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base" sheetId="1" r:id="rId4"/>
    <sheet state="visible" name="Инфографики" sheetId="2" r:id="rId5"/>
    <sheet state="visible" name="Рецепти" sheetId="3" r:id="rId6"/>
    <sheet state="visible" name="Макроси" sheetId="4" r:id="rId7"/>
    <sheet state="visible" name="Наръчник за меню" sheetId="5" r:id="rId8"/>
    <sheet state="visible" name="Почивен ден" sheetId="6" r:id="rId9"/>
    <sheet state="visible" name="T1" sheetId="7" r:id="rId10"/>
    <sheet state="visible" name="Т2" sheetId="8" r:id="rId11"/>
    <sheet state="visible" name="T3 (1)" sheetId="9" r:id="rId12"/>
    <sheet state="visible" name="T3 (2)" sheetId="10" r:id="rId13"/>
    <sheet state="hidden" name="T5" sheetId="11" r:id="rId14"/>
  </sheets>
  <definedNames>
    <definedName name="Foods">Database!$A:$A</definedName>
    <definedName name="DB">Database!$B:$H</definedName>
  </definedNames>
  <calcPr/>
</workbook>
</file>

<file path=xl/sharedStrings.xml><?xml version="1.0" encoding="utf-8"?>
<sst xmlns="http://schemas.openxmlformats.org/spreadsheetml/2006/main" count="588" uniqueCount="151">
  <si>
    <t>Категория</t>
  </si>
  <si>
    <t>Храна (суров вид)</t>
  </si>
  <si>
    <t>Размер на порция</t>
  </si>
  <si>
    <t>Протеин (гр)</t>
  </si>
  <si>
    <t>Въглехидрат (гр)</t>
  </si>
  <si>
    <t>Мазнини (гр)</t>
  </si>
  <si>
    <t>Фибри (гр)</t>
  </si>
  <si>
    <t>Калории</t>
  </si>
  <si>
    <t>Рецепти (Лични)</t>
  </si>
  <si>
    <t>Смес за такоси</t>
  </si>
  <si>
    <t>Сьомга с Броколи</t>
  </si>
  <si>
    <t>Пиле с Ориз</t>
  </si>
  <si>
    <t>ЛЕГЕНДА</t>
  </si>
  <si>
    <t>Сурово количество на цялото ястие  (в грамове)</t>
  </si>
  <si>
    <t>&lt;-- Попълвай само полетата с този цвят</t>
  </si>
  <si>
    <t>Сготвено количество на цялото ястие (в грамове)</t>
  </si>
  <si>
    <t>&lt;-- Запиши името на рецептата тук</t>
  </si>
  <si>
    <t>Продукт</t>
  </si>
  <si>
    <t>Грамаж</t>
  </si>
  <si>
    <t>Протеин</t>
  </si>
  <si>
    <t>Въглехидрати</t>
  </si>
  <si>
    <t>Мазнини</t>
  </si>
  <si>
    <t>Фибри</t>
  </si>
  <si>
    <t>Коефициент</t>
  </si>
  <si>
    <t>Зеленчуци</t>
  </si>
  <si>
    <t>Шалот</t>
  </si>
  <si>
    <t>Чесън- стар (сурово състояние)</t>
  </si>
  <si>
    <t>Сосове</t>
  </si>
  <si>
    <t>Доматено пюре - Rosso Gargano</t>
  </si>
  <si>
    <t>Месо</t>
  </si>
  <si>
    <t>Охл. Конско кюфте - Харманли</t>
  </si>
  <si>
    <t xml:space="preserve">Попълни тук за лична храна &gt; </t>
  </si>
  <si>
    <t>Макроси</t>
  </si>
  <si>
    <t>Общо за сурово количество (цялото ястие)</t>
  </si>
  <si>
    <t>За 100 грама сготвено ястие</t>
  </si>
  <si>
    <t>За 100 грама сготвено количество</t>
  </si>
  <si>
    <t>За порция (от</t>
  </si>
  <si>
    <t>броя равни порции)</t>
  </si>
  <si>
    <t>Брой Порции</t>
  </si>
  <si>
    <t xml:space="preserve">За порция от </t>
  </si>
  <si>
    <t>грама сготвено ястие</t>
  </si>
  <si>
    <t xml:space="preserve">Грамаж сготвено количество </t>
  </si>
  <si>
    <t>Рецепта - Описание</t>
  </si>
  <si>
    <t>Може да използвате и пилешко варено и раздърпано месо, идеята е да запечете малко шалот и чесън в тигана, да добавите доматения сос заедно с месото,</t>
  </si>
  <si>
    <t>подправете го със сол на вкус, като сложите няколко дафинови листа и бахар за аромат да поврат заедно.</t>
  </si>
  <si>
    <t>Тренировка след второ хранене (T2)</t>
  </si>
  <si>
    <t>Описание</t>
  </si>
  <si>
    <t>Преди-Т</t>
  </si>
  <si>
    <t>След-Т</t>
  </si>
  <si>
    <t>Следобяд</t>
  </si>
  <si>
    <t>Вечеря</t>
  </si>
  <si>
    <t>Тренировка след трето хранене 1</t>
  </si>
  <si>
    <t>Закуска</t>
  </si>
  <si>
    <t>Тренировка след 1-во хранене</t>
  </si>
  <si>
    <t>Хранене</t>
  </si>
  <si>
    <t>Хранене 1</t>
  </si>
  <si>
    <t>Хранене 2</t>
  </si>
  <si>
    <t>Хранене 3</t>
  </si>
  <si>
    <t>Хранене 4</t>
  </si>
  <si>
    <t>Час</t>
  </si>
  <si>
    <t>Calories</t>
  </si>
  <si>
    <t>Почивен ден</t>
  </si>
  <si>
    <t>Обяд</t>
  </si>
  <si>
    <t>Тренировка след трето хранене 2</t>
  </si>
  <si>
    <t>Т5</t>
  </si>
  <si>
    <t>Добави Храна</t>
  </si>
  <si>
    <t>3 основни правила при съставяне на всяко хранене</t>
  </si>
  <si>
    <t>Винаги първо започваме с източник на протеин</t>
  </si>
  <si>
    <t>След това избираме да запълним мазнини или въглехидрати, според това от кое имаме по-малко</t>
  </si>
  <si>
    <t>За финал допълваме и последния макронутриент, след което донагласяме грамажите, ако е необходимо</t>
  </si>
  <si>
    <t>Основни хранителни източници</t>
  </si>
  <si>
    <t>Чисти източници на протеин</t>
  </si>
  <si>
    <t>Източници на протеин + мазнини</t>
  </si>
  <si>
    <t>Източници на въглехидрат</t>
  </si>
  <si>
    <t>Източници на мазнини</t>
  </si>
  <si>
    <t>Източници на мазнини + въглехидрат + протеин</t>
  </si>
  <si>
    <t>Пилешки гърди</t>
  </si>
  <si>
    <t>Свинско месо</t>
  </si>
  <si>
    <t>Всички видове плодове</t>
  </si>
  <si>
    <t>Авокадо</t>
  </si>
  <si>
    <t>Бадеми</t>
  </si>
  <si>
    <t>Пуешки гърди</t>
  </si>
  <si>
    <t>Агнешко месо</t>
  </si>
  <si>
    <t>Маслини</t>
  </si>
  <si>
    <t>Лешници</t>
  </si>
  <si>
    <t>Риба тон</t>
  </si>
  <si>
    <t>Телешко месо</t>
  </si>
  <si>
    <t>Картофи</t>
  </si>
  <si>
    <t>Зехтин</t>
  </si>
  <si>
    <t>Фъстъци</t>
  </si>
  <si>
    <t>Филе от бяла риба</t>
  </si>
  <si>
    <t>Цяло яйце</t>
  </si>
  <si>
    <t>Ориз</t>
  </si>
  <si>
    <t>Краве масло</t>
  </si>
  <si>
    <t>Шам фъстък</t>
  </si>
  <si>
    <t>Миди</t>
  </si>
  <si>
    <t>Скумрия</t>
  </si>
  <si>
    <t>Тестени изделия</t>
  </si>
  <si>
    <t>Гхи</t>
  </si>
  <si>
    <t>Орехи</t>
  </si>
  <si>
    <t>Яйчен белтък</t>
  </si>
  <si>
    <t>Сьомга</t>
  </si>
  <si>
    <t>Слънчогледово семе</t>
  </si>
  <si>
    <t>Обезмаслена извара</t>
  </si>
  <si>
    <t>Ципура</t>
  </si>
  <si>
    <t>Всички видове ядкови масла</t>
  </si>
  <si>
    <t>Обезмаслено котидж сирене</t>
  </si>
  <si>
    <t>Лаврак</t>
  </si>
  <si>
    <t>Скир</t>
  </si>
  <si>
    <t>Протеинова пудра</t>
  </si>
  <si>
    <t>Пилешки/свиснки/телешки дроб</t>
  </si>
  <si>
    <t>Примерни рецепти</t>
  </si>
  <si>
    <t>Рецепта</t>
  </si>
  <si>
    <t xml:space="preserve">Пълнена тиквичка с пилешко месо </t>
  </si>
  <si>
    <t>Тортила с пилешко и маслини</t>
  </si>
  <si>
    <t>Протеинов десерт със Скир</t>
  </si>
  <si>
    <t>Сочни пилешки мръвки (без кожа) на фурна</t>
  </si>
  <si>
    <t>Сиренка със скирове</t>
  </si>
  <si>
    <t>Домат с Извара</t>
  </si>
  <si>
    <t>Салата с риба тон и червен боб</t>
  </si>
  <si>
    <t>Торта Шоко-Боко за Коко</t>
  </si>
  <si>
    <t>Пълнени пилешки гърди с моцарела ,сушени домати и пресен босилек</t>
  </si>
  <si>
    <t>Още подходящи рецепти можеш да намериш ТУК</t>
  </si>
  <si>
    <t>За деня</t>
  </si>
  <si>
    <t>Зададени</t>
  </si>
  <si>
    <t>Достигнати</t>
  </si>
  <si>
    <t>Млечни</t>
  </si>
  <si>
    <t>Високо протеинов пудинг Milbona ванилия - Lidl</t>
  </si>
  <si>
    <t>Ядкови масла</t>
  </si>
  <si>
    <t>Фъстъчено масло с повече протеин</t>
  </si>
  <si>
    <t>Свободно попълване на калории</t>
  </si>
  <si>
    <t>фитнес баница</t>
  </si>
  <si>
    <t>Продуктм</t>
  </si>
  <si>
    <t>Телешка плешка (сурово състояние)</t>
  </si>
  <si>
    <t>Кореноплодни зеленчуци</t>
  </si>
  <si>
    <t>Сладък картоф (сурово състояние)</t>
  </si>
  <si>
    <t>чабата</t>
  </si>
  <si>
    <t>Яйца</t>
  </si>
  <si>
    <t>Саламурено сирене</t>
  </si>
  <si>
    <t>Извара Домлян</t>
  </si>
  <si>
    <t>Скир - натурален</t>
  </si>
  <si>
    <t>Бял хляб (стандартен)</t>
  </si>
  <si>
    <t>Свинско бонфиле (сурово състояние)</t>
  </si>
  <si>
    <t>Тортила</t>
  </si>
  <si>
    <t>Пилешки гърди (сурово състояние)</t>
  </si>
  <si>
    <t>Ядки</t>
  </si>
  <si>
    <t>Кашу (печено, със сол)</t>
  </si>
  <si>
    <t>Прясно мляко 3,6%</t>
  </si>
  <si>
    <t>Пълнозърнест хляб Симид</t>
  </si>
  <si>
    <t>Мед/конфитюри</t>
  </si>
  <si>
    <t>Пчелен мед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</si>
</sst>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_(* #,##0_);_(* \(#,##0\);_(* &quot;-&quot;??_);_(@_)"/>
  </numFmts>
  <fonts count="54">
    <font>
      <sz val="10.0"/>
      <color rgb="FF000000"/>
      <name val="Arial"/>
      <scheme val="minor"/>
    </font>
    <font>
      <b/>
      <sz val="14.0"/>
      <color rgb="FFFFFFFF"/>
      <name val="Arial"/>
      <scheme val="minor"/>
    </font>
    <font>
      <color theme="1"/>
      <name val="Arial"/>
      <scheme val="minor"/>
    </font>
    <font>
      <sz val="11.0"/>
      <color rgb="FF000000"/>
      <name val="Inconsolata"/>
    </font>
    <font>
      <sz val="11.0"/>
      <color theme="1"/>
      <name val="Arial"/>
    </font>
    <font>
      <sz val="11.0"/>
      <color rgb="FF000000"/>
      <name val="Arial"/>
    </font>
    <font>
      <sz val="11.0"/>
      <color rgb="FF1D2129"/>
      <name val="Helvetica"/>
    </font>
    <font>
      <sz val="10.0"/>
      <color theme="1"/>
      <name val="Arial"/>
      <scheme val="minor"/>
    </font>
    <font>
      <sz val="10.0"/>
      <color theme="1"/>
      <name val="Arial"/>
    </font>
    <font>
      <b/>
      <sz val="18.0"/>
      <color rgb="FFFFFFFF"/>
      <name val="Calibri"/>
    </font>
    <font/>
    <font>
      <sz val="11.0"/>
      <color theme="1"/>
      <name val="Calibri"/>
    </font>
    <font>
      <b/>
      <sz val="11.0"/>
      <color rgb="FFFFFFFF"/>
      <name val="Calibri"/>
    </font>
    <font>
      <b/>
      <i/>
      <sz val="13.0"/>
      <color rgb="FF000000"/>
      <name val="Calibri"/>
    </font>
    <font>
      <i/>
      <sz val="11.0"/>
      <color rgb="FF000000"/>
      <name val="Calibri"/>
    </font>
    <font>
      <b/>
      <sz val="18.0"/>
      <color theme="1"/>
      <name val="Calibri"/>
    </font>
    <font>
      <b/>
      <i/>
      <sz val="18.0"/>
      <color rgb="FF000000"/>
      <name val="Calibri"/>
    </font>
    <font>
      <color rgb="FF000000"/>
      <name val="Arial"/>
      <scheme val="minor"/>
    </font>
    <font>
      <sz val="11.0"/>
      <color rgb="FF000000"/>
      <name val="Calibri"/>
    </font>
    <font>
      <i/>
      <sz val="13.0"/>
      <color rgb="FF000000"/>
      <name val="Calibri"/>
    </font>
    <font>
      <sz val="18.0"/>
      <color rgb="FF000000"/>
      <name val="Calibri"/>
    </font>
    <font>
      <b/>
      <sz val="11.0"/>
      <color theme="1"/>
      <name val="Calibri"/>
    </font>
    <font>
      <sz val="14.0"/>
      <color rgb="FF000000"/>
      <name val="Calibri"/>
    </font>
    <font>
      <b/>
      <sz val="18.0"/>
      <color rgb="FF000000"/>
      <name val="Calibri"/>
    </font>
    <font>
      <b/>
      <sz val="14.0"/>
      <color rgb="FF000000"/>
      <name val="Calibri"/>
    </font>
    <font>
      <b/>
      <sz val="14.0"/>
      <color rgb="FFFFFFFF"/>
      <name val="Calibri"/>
    </font>
    <font>
      <sz val="11.0"/>
      <color theme="1"/>
      <name val="Inconsolata"/>
    </font>
    <font>
      <sz val="11.0"/>
      <color rgb="FFFFFFFF"/>
      <name val="Calibri"/>
    </font>
    <font>
      <b/>
      <i/>
      <sz val="13.0"/>
      <color rgb="FFFFFFFF"/>
      <name val="Arial"/>
    </font>
    <font>
      <b/>
      <i/>
      <sz val="11.0"/>
      <color rgb="FFFFFFFF"/>
      <name val="Calibri"/>
    </font>
    <font>
      <b/>
      <i/>
      <sz val="13.0"/>
      <color rgb="FFFFFFFF"/>
      <name val="Calibri"/>
    </font>
    <font>
      <i/>
      <sz val="11.0"/>
      <color rgb="FFFFFFFF"/>
      <name val="Calibri"/>
    </font>
    <font>
      <b/>
      <u/>
      <sz val="28.0"/>
      <color rgb="FFFFFFFF"/>
      <name val="Calibri"/>
    </font>
    <font>
      <u/>
      <sz val="11.0"/>
      <color rgb="FF1155CC"/>
      <name val="Calibri"/>
    </font>
    <font>
      <b/>
      <sz val="16.0"/>
      <color theme="1"/>
      <name val="Arial"/>
      <scheme val="minor"/>
    </font>
    <font>
      <b/>
      <i/>
      <color theme="1"/>
      <name val="Arial"/>
      <scheme val="minor"/>
    </font>
    <font>
      <b/>
      <i/>
      <sz val="12.0"/>
      <color theme="1"/>
      <name val="Arial"/>
      <scheme val="minor"/>
    </font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</font>
    <font>
      <u/>
      <color rgb="FF0000FF"/>
    </font>
    <font>
      <b/>
      <u/>
      <sz val="16.0"/>
      <color rgb="FF1155CC"/>
    </font>
    <font>
      <b/>
      <i/>
      <sz val="36.0"/>
      <color rgb="FFFFFFFF"/>
      <name val="Calibri"/>
    </font>
    <font>
      <b/>
      <sz val="12.0"/>
      <color rgb="FFFFFFFF"/>
      <name val="Calibri"/>
    </font>
    <font>
      <b/>
      <i/>
      <sz val="18.0"/>
      <color rgb="FFFFFFFF"/>
      <name val="Calibri"/>
    </font>
    <font>
      <i/>
      <sz val="11.0"/>
      <color rgb="FFCCCCCC"/>
      <name val="Calibri"/>
    </font>
    <font>
      <sz val="11.0"/>
      <color rgb="FFCCCCCC"/>
      <name val="Calibri"/>
    </font>
    <font>
      <b/>
      <i/>
      <sz val="11.0"/>
      <color rgb="FF000000"/>
      <name val="Calibri"/>
    </font>
    <font>
      <color rgb="FFCCCCCC"/>
      <name val="Arial"/>
    </font>
    <font>
      <color rgb="FFCCCCCC"/>
      <name val="Arial"/>
      <scheme val="minor"/>
    </font>
    <font>
      <i/>
      <sz val="11.0"/>
      <color rgb="FFC8C8C8"/>
      <name val="Calibri"/>
    </font>
    <font>
      <sz val="11.0"/>
      <color rgb="FFC8C8C8"/>
      <name val="Calibri"/>
    </font>
    <font>
      <color rgb="FFC8C8C8"/>
      <name val="Arial"/>
      <scheme val="minor"/>
    </font>
  </fonts>
  <fills count="13">
    <fill>
      <patternFill patternType="none"/>
    </fill>
    <fill>
      <patternFill patternType="lightGray"/>
    </fill>
    <fill>
      <patternFill patternType="solid">
        <fgColor rgb="FF0B5394"/>
        <bgColor rgb="FF0B5394"/>
      </patternFill>
    </fill>
    <fill>
      <patternFill patternType="solid">
        <fgColor rgb="FF3D85C6"/>
        <bgColor rgb="FF3D85C6"/>
      </patternFill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FFF2CC"/>
        <bgColor rgb="FFFFF2CC"/>
      </patternFill>
    </fill>
    <fill>
      <patternFill patternType="solid">
        <fgColor rgb="FFF9CB9C"/>
        <bgColor rgb="FFF9CB9C"/>
      </patternFill>
    </fill>
    <fill>
      <patternFill patternType="solid">
        <fgColor rgb="FF6D9EEB"/>
        <bgColor rgb="FF6D9EEB"/>
      </patternFill>
    </fill>
    <fill>
      <patternFill patternType="solid">
        <fgColor rgb="FFEA9999"/>
        <bgColor rgb="FFEA9999"/>
      </patternFill>
    </fill>
    <fill>
      <patternFill patternType="solid">
        <fgColor rgb="FF4A86E8"/>
        <bgColor rgb="FF4A86E8"/>
      </patternFill>
    </fill>
    <fill>
      <patternFill patternType="solid">
        <fgColor rgb="FFD9EAD3"/>
        <bgColor rgb="FFD9EAD3"/>
      </patternFill>
    </fill>
    <fill>
      <patternFill patternType="solid">
        <fgColor rgb="FF666666"/>
        <bgColor rgb="FF666666"/>
      </patternFill>
    </fill>
  </fills>
  <borders count="103">
    <border/>
    <border>
      <left style="thin">
        <color rgb="FF000000"/>
      </left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top/>
      <bottom/>
    </border>
    <border>
      <right/>
      <top/>
      <bottom/>
    </border>
    <border>
      <left style="medium">
        <color rgb="FF000000"/>
      </left>
      <bottom/>
    </border>
    <border>
      <left style="thin">
        <color rgb="FF000000"/>
      </left>
      <right style="thin">
        <color rgb="FF000000"/>
      </right>
      <bottom/>
    </border>
    <border>
      <right style="thin">
        <color rgb="FF000000"/>
      </right>
      <bottom/>
    </border>
    <border>
      <right/>
      <bottom/>
    </border>
    <border>
      <right style="medium">
        <color rgb="FF000000"/>
      </right>
      <bottom/>
    </border>
    <border>
      <left style="thin">
        <color rgb="FF000000"/>
      </left>
      <right style="thin">
        <color rgb="FF000000"/>
      </right>
    </border>
    <border>
      <right/>
    </border>
    <border>
      <right/>
      <top/>
    </border>
    <border>
      <bottom/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/>
    </border>
    <border>
      <left style="medium">
        <color rgb="FF000000"/>
      </left>
      <top style="dotted">
        <color rgb="FF000000"/>
      </top>
      <bottom style="dotted">
        <color rgb="FF000000"/>
      </bottom>
    </border>
    <border>
      <top style="dotted">
        <color rgb="FF000000"/>
      </top>
      <bottom style="dotted">
        <color rgb="FF000000"/>
      </bottom>
    </border>
    <border>
      <right style="medium">
        <color rgb="FF000000"/>
      </right>
      <top style="dotted">
        <color rgb="FF000000"/>
      </top>
      <bottom style="dotted">
        <color rgb="FF000000"/>
      </bottom>
    </border>
    <border>
      <left style="medium">
        <color rgb="FF000000"/>
      </left>
      <top style="dotted">
        <color rgb="FF000000"/>
      </top>
      <bottom style="medium">
        <color rgb="FF000000"/>
      </bottom>
    </border>
    <border>
      <top style="dotted">
        <color rgb="FF000000"/>
      </top>
      <bottom style="medium">
        <color rgb="FF000000"/>
      </bottom>
    </border>
    <border>
      <right style="medium">
        <color rgb="FF000000"/>
      </right>
      <top style="dotted">
        <color rgb="FF000000"/>
      </top>
      <bottom style="medium">
        <color rgb="FF000000"/>
      </bottom>
    </border>
    <border>
      <left/>
      <right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/>
      <bottom/>
    </border>
    <border>
      <right style="thin">
        <color rgb="FF000000"/>
      </right>
      <top style="thin">
        <color rgb="FF000000"/>
      </top>
    </border>
    <border>
      <right/>
      <top style="thin">
        <color rgb="FFFFFFFF"/>
      </top>
      <bottom/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bottom style="thin">
        <color rgb="FF000000"/>
      </bottom>
    </border>
    <border>
      <right/>
      <bottom style="thin">
        <color rgb="FF000000"/>
      </bottom>
    </border>
    <border>
      <left/>
      <right/>
    </border>
    <border>
      <top style="thin">
        <color rgb="FFFFFFFF"/>
      </top>
    </border>
    <border>
      <right/>
      <top style="thin">
        <color rgb="FFFFFFFF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bottom/>
    </border>
    <border>
      <left/>
      <bottom style="thin">
        <color rgb="FF000000"/>
      </bottom>
    </border>
    <border>
      <left style="thin">
        <color rgb="FF000000"/>
      </left>
      <right/>
      <bottom style="thin">
        <color rgb="FF000000"/>
      </bottom>
    </border>
    <border>
      <left style="thin">
        <color rgb="FF000000"/>
      </left>
      <bottom/>
    </border>
    <border>
      <left style="thin">
        <color rgb="FF000000"/>
      </left>
      <right/>
      <top style="thin">
        <color rgb="FF000000"/>
      </top>
      <bottom/>
    </border>
    <border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bottom style="thin">
        <color rgb="FF000000"/>
      </bottom>
    </border>
    <border>
      <left/>
      <right style="thin">
        <color rgb="FF000000"/>
      </right>
      <bottom/>
    </border>
    <border>
      <left/>
      <right style="thin">
        <color rgb="FF000000"/>
      </right>
    </border>
    <border>
      <left/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right/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/>
      <bottom style="medium">
        <color rgb="FF000000"/>
      </bottom>
    </border>
    <border>
      <bottom style="thick">
        <color rgb="FF000000"/>
      </bottom>
    </border>
    <border>
      <left/>
      <right/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right/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top style="thin">
        <color rgb="FF000000"/>
      </top>
      <bottom/>
    </border>
    <border>
      <left/>
      <right style="thin">
        <color rgb="FF000000"/>
      </right>
      <bottom style="medium">
        <color rgb="FF000000"/>
      </bottom>
    </border>
    <border>
      <left style="thin">
        <color rgb="FF000000"/>
      </left>
      <right/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35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0" fillId="3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4" fontId="3" numFmtId="0" xfId="0" applyFill="1" applyFont="1"/>
    <xf borderId="0" fillId="0" fontId="2" numFmtId="0" xfId="0" applyAlignment="1" applyFont="1">
      <alignment horizontal="center"/>
    </xf>
    <xf borderId="0" fillId="4" fontId="3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4" fontId="3" numFmtId="49" xfId="0" applyFont="1" applyNumberFormat="1"/>
    <xf borderId="0" fillId="0" fontId="2" numFmtId="1" xfId="0" applyAlignment="1" applyFont="1" applyNumberFormat="1">
      <alignment horizontal="center" readingOrder="0"/>
    </xf>
    <xf borderId="0" fillId="0" fontId="2" numFmtId="1" xfId="0" applyAlignment="1" applyFont="1" applyNumberFormat="1">
      <alignment horizontal="center"/>
    </xf>
    <xf borderId="0" fillId="0" fontId="2" numFmtId="49" xfId="0" applyFont="1" applyNumberFormat="1"/>
    <xf borderId="0" fillId="0" fontId="4" numFmtId="0" xfId="0" applyAlignment="1" applyFont="1">
      <alignment horizontal="center" readingOrder="0"/>
    </xf>
    <xf borderId="0" fillId="0" fontId="2" numFmtId="0" xfId="0" applyAlignment="1" applyFont="1">
      <alignment horizontal="center" shrinkToFit="0" wrapText="1"/>
    </xf>
    <xf borderId="0" fillId="0" fontId="2" numFmtId="0" xfId="0" applyFont="1"/>
    <xf borderId="0" fillId="0" fontId="5" numFmtId="0" xfId="0" applyAlignment="1" applyFont="1">
      <alignment horizontal="center"/>
    </xf>
    <xf borderId="0" fillId="4" fontId="6" numFmtId="1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0" fontId="2" numFmtId="49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/>
    </xf>
    <xf borderId="0" fillId="0" fontId="2" numFmtId="1" xfId="0" applyFont="1" applyNumberFormat="1"/>
    <xf borderId="0" fillId="0" fontId="2" numFmtId="164" xfId="0" applyFont="1" applyNumberFormat="1"/>
    <xf borderId="0" fillId="0" fontId="7" numFmtId="0" xfId="0" applyAlignment="1" applyFont="1">
      <alignment readingOrder="0"/>
    </xf>
    <xf borderId="0" fillId="0" fontId="8" numFmtId="0" xfId="0" applyAlignment="1" applyFont="1">
      <alignment horizontal="center" vertical="bottom"/>
    </xf>
    <xf borderId="0" fillId="0" fontId="7" numFmtId="0" xfId="0" applyAlignment="1" applyFont="1">
      <alignment readingOrder="0" shrinkToFit="0" vertical="center" wrapText="1"/>
    </xf>
    <xf borderId="0" fillId="0" fontId="7" numFmtId="0" xfId="0" applyFont="1"/>
    <xf borderId="0" fillId="0" fontId="7" numFmtId="0" xfId="0" applyAlignment="1" applyFont="1">
      <alignment horizontal="center" readingOrder="0"/>
    </xf>
    <xf borderId="2" fillId="5" fontId="9" numFmtId="0" xfId="0" applyAlignment="1" applyBorder="1" applyFill="1" applyFont="1">
      <alignment horizontal="center" shrinkToFit="0" vertical="center" wrapText="1"/>
    </xf>
    <xf borderId="3" fillId="0" fontId="10" numFmtId="0" xfId="0" applyBorder="1" applyFont="1"/>
    <xf borderId="4" fillId="0" fontId="10" numFmtId="0" xfId="0" applyBorder="1" applyFont="1"/>
    <xf borderId="0" fillId="0" fontId="11" numFmtId="0" xfId="0" applyAlignment="1" applyFont="1">
      <alignment vertical="bottom"/>
    </xf>
    <xf borderId="5" fillId="5" fontId="12" numFmtId="0" xfId="0" applyAlignment="1" applyBorder="1" applyFont="1">
      <alignment horizontal="center" readingOrder="0" shrinkToFit="0" vertical="center" wrapText="1"/>
    </xf>
    <xf borderId="6" fillId="0" fontId="10" numFmtId="0" xfId="0" applyBorder="1" applyFont="1"/>
    <xf borderId="7" fillId="0" fontId="10" numFmtId="0" xfId="0" applyBorder="1" applyFont="1"/>
    <xf borderId="0" fillId="4" fontId="12" numFmtId="0" xfId="0" applyAlignment="1" applyFont="1">
      <alignment horizontal="center" readingOrder="0" vertical="center"/>
    </xf>
    <xf borderId="0" fillId="4" fontId="11" numFmtId="0" xfId="0" applyAlignment="1" applyFont="1">
      <alignment vertical="bottom"/>
    </xf>
    <xf borderId="8" fillId="0" fontId="10" numFmtId="0" xfId="0" applyBorder="1" applyFont="1"/>
    <xf borderId="9" fillId="0" fontId="10" numFmtId="0" xfId="0" applyBorder="1" applyFont="1"/>
    <xf borderId="10" fillId="4" fontId="13" numFmtId="0" xfId="0" applyAlignment="1" applyBorder="1" applyFont="1">
      <alignment horizontal="center" readingOrder="0" shrinkToFit="0" wrapText="1"/>
    </xf>
    <xf borderId="11" fillId="0" fontId="10" numFmtId="0" xfId="0" applyBorder="1" applyFont="1"/>
    <xf borderId="12" fillId="0" fontId="10" numFmtId="0" xfId="0" applyBorder="1" applyFont="1"/>
    <xf borderId="13" fillId="6" fontId="14" numFmtId="0" xfId="0" applyAlignment="1" applyBorder="1" applyFill="1" applyFont="1">
      <alignment readingOrder="0" vertical="bottom"/>
    </xf>
    <xf borderId="14" fillId="0" fontId="10" numFmtId="0" xfId="0" applyBorder="1" applyFont="1"/>
    <xf borderId="14" fillId="4" fontId="15" numFmtId="0" xfId="0" applyAlignment="1" applyBorder="1" applyFont="1">
      <alignment readingOrder="0" vertical="center"/>
    </xf>
    <xf borderId="15" fillId="4" fontId="15" numFmtId="0" xfId="0" applyAlignment="1" applyBorder="1" applyFont="1">
      <alignment readingOrder="0" vertical="center"/>
    </xf>
    <xf borderId="13" fillId="6" fontId="16" numFmtId="0" xfId="0" applyAlignment="1" applyBorder="1" applyFont="1">
      <alignment horizontal="center" readingOrder="0" vertical="center"/>
    </xf>
    <xf borderId="13" fillId="6" fontId="13" numFmtId="0" xfId="0" applyAlignment="1" applyBorder="1" applyFont="1">
      <alignment horizontal="center" readingOrder="0" shrinkToFit="0" wrapText="1"/>
    </xf>
    <xf borderId="15" fillId="0" fontId="10" numFmtId="0" xfId="0" applyBorder="1" applyFont="1"/>
    <xf borderId="0" fillId="0" fontId="12" numFmtId="0" xfId="0" applyAlignment="1" applyFont="1">
      <alignment horizontal="center" shrinkToFit="0" vertical="center" wrapText="1"/>
    </xf>
    <xf borderId="16" fillId="5" fontId="12" numFmtId="0" xfId="0" applyAlignment="1" applyBorder="1" applyFont="1">
      <alignment horizontal="center" readingOrder="0" shrinkToFit="0" vertical="center" wrapText="1"/>
    </xf>
    <xf borderId="17" fillId="5" fontId="12" numFmtId="0" xfId="0" applyAlignment="1" applyBorder="1" applyFont="1">
      <alignment horizontal="center" readingOrder="0" shrinkToFit="0" vertical="center" wrapText="1"/>
    </xf>
    <xf borderId="18" fillId="5" fontId="12" numFmtId="0" xfId="0" applyAlignment="1" applyBorder="1" applyFont="1">
      <alignment horizontal="center" shrinkToFit="0" vertical="center" wrapText="1"/>
    </xf>
    <xf borderId="19" fillId="5" fontId="12" numFmtId="0" xfId="0" applyAlignment="1" applyBorder="1" applyFont="1">
      <alignment horizontal="center" shrinkToFit="0" vertical="center" wrapText="1"/>
    </xf>
    <xf borderId="20" fillId="4" fontId="11" numFmtId="0" xfId="0" applyAlignment="1" applyBorder="1" applyFont="1">
      <alignment vertical="bottom"/>
    </xf>
    <xf borderId="0" fillId="0" fontId="17" numFmtId="0" xfId="0" applyFont="1"/>
    <xf borderId="0" fillId="4" fontId="18" numFmtId="0" xfId="0" applyAlignment="1" applyFont="1">
      <alignment vertical="bottom"/>
    </xf>
    <xf borderId="0" fillId="4" fontId="18" numFmtId="0" xfId="0" applyAlignment="1" applyFont="1">
      <alignment horizontal="center" readingOrder="0" vertical="center"/>
    </xf>
    <xf borderId="21" fillId="4" fontId="11" numFmtId="0" xfId="0" applyAlignment="1" applyBorder="1" applyFont="1">
      <alignment vertical="bottom"/>
    </xf>
    <xf borderId="22" fillId="6" fontId="14" numFmtId="0" xfId="0" applyAlignment="1" applyBorder="1" applyFont="1">
      <alignment readingOrder="0" vertical="bottom"/>
    </xf>
    <xf borderId="23" fillId="6" fontId="14" numFmtId="0" xfId="0" applyAlignment="1" applyBorder="1" applyFont="1">
      <alignment readingOrder="0" vertical="bottom"/>
    </xf>
    <xf borderId="24" fillId="6" fontId="18" numFmtId="0" xfId="0" applyAlignment="1" applyBorder="1" applyFont="1">
      <alignment horizontal="center" readingOrder="0" vertical="bottom"/>
    </xf>
    <xf borderId="25" fillId="4" fontId="18" numFmtId="164" xfId="0" applyAlignment="1" applyBorder="1" applyFont="1" applyNumberFormat="1">
      <alignment horizontal="center" vertical="bottom"/>
    </xf>
    <xf borderId="26" fillId="4" fontId="14" numFmtId="0" xfId="0" applyAlignment="1" applyBorder="1" applyFont="1">
      <alignment horizontal="center" vertical="bottom"/>
    </xf>
    <xf borderId="0" fillId="4" fontId="14" numFmtId="20" xfId="0" applyAlignment="1" applyFont="1" applyNumberFormat="1">
      <alignment horizontal="center" vertical="bottom"/>
    </xf>
    <xf borderId="0" fillId="4" fontId="18" numFmtId="0" xfId="0" applyAlignment="1" applyFont="1">
      <alignment readingOrder="0" vertical="bottom"/>
    </xf>
    <xf borderId="25" fillId="4" fontId="11" numFmtId="0" xfId="0" applyAlignment="1" applyBorder="1" applyFont="1">
      <alignment vertical="bottom"/>
    </xf>
    <xf borderId="27" fillId="6" fontId="14" numFmtId="0" xfId="0" applyAlignment="1" applyBorder="1" applyFont="1">
      <alignment readingOrder="0" vertical="bottom"/>
    </xf>
    <xf borderId="0" fillId="4" fontId="19" numFmtId="0" xfId="0" applyAlignment="1" applyFont="1">
      <alignment horizontal="center" readingOrder="0" shrinkToFit="0" wrapText="1"/>
    </xf>
    <xf borderId="0" fillId="4" fontId="13" numFmtId="0" xfId="0" applyAlignment="1" applyFont="1">
      <alignment horizontal="center" readingOrder="0" shrinkToFit="0" wrapText="1"/>
    </xf>
    <xf borderId="0" fillId="4" fontId="14" numFmtId="0" xfId="0" applyAlignment="1" applyFont="1">
      <alignment horizontal="center" vertical="bottom"/>
    </xf>
    <xf borderId="0" fillId="4" fontId="18" numFmtId="1" xfId="0" applyAlignment="1" applyFont="1" applyNumberFormat="1">
      <alignment horizontal="center" vertical="bottom"/>
    </xf>
    <xf borderId="0" fillId="4" fontId="14" numFmtId="0" xfId="0" applyAlignment="1" applyFont="1">
      <alignment horizontal="center" readingOrder="0" vertical="bottom"/>
    </xf>
    <xf borderId="0" fillId="0" fontId="20" numFmtId="0" xfId="0" applyAlignment="1" applyFont="1">
      <alignment horizontal="center" shrinkToFit="0" vertical="center" wrapText="1"/>
    </xf>
    <xf borderId="28" fillId="4" fontId="18" numFmtId="0" xfId="0" applyAlignment="1" applyBorder="1" applyFont="1">
      <alignment vertical="bottom"/>
    </xf>
    <xf borderId="29" fillId="4" fontId="11" numFmtId="0" xfId="0" applyAlignment="1" applyBorder="1" applyFont="1">
      <alignment vertical="bottom"/>
    </xf>
    <xf borderId="28" fillId="4" fontId="11" numFmtId="0" xfId="0" applyAlignment="1" applyBorder="1" applyFont="1">
      <alignment vertical="bottom"/>
    </xf>
    <xf borderId="0" fillId="4" fontId="19" numFmtId="0" xfId="0" applyAlignment="1" applyFont="1">
      <alignment horizontal="center" shrinkToFit="0" wrapText="1"/>
    </xf>
    <xf borderId="0" fillId="0" fontId="20" numFmtId="0" xfId="0" applyAlignment="1" applyFont="1">
      <alignment readingOrder="0" vertical="bottom"/>
    </xf>
    <xf borderId="0" fillId="0" fontId="18" numFmtId="0" xfId="0" applyAlignment="1" applyFont="1">
      <alignment horizontal="center" readingOrder="0" vertical="bottom"/>
    </xf>
    <xf borderId="0" fillId="0" fontId="21" numFmtId="0" xfId="0" applyAlignment="1" applyFont="1">
      <alignment horizontal="center" readingOrder="0" vertical="bottom"/>
    </xf>
    <xf borderId="25" fillId="0" fontId="11" numFmtId="0" xfId="0" applyAlignment="1" applyBorder="1" applyFont="1">
      <alignment vertical="bottom"/>
    </xf>
    <xf borderId="25" fillId="4" fontId="18" numFmtId="0" xfId="0" applyAlignment="1" applyBorder="1" applyFont="1">
      <alignment vertical="bottom"/>
    </xf>
    <xf borderId="30" fillId="4" fontId="18" numFmtId="0" xfId="0" applyAlignment="1" applyBorder="1" applyFont="1">
      <alignment vertical="bottom"/>
    </xf>
    <xf borderId="0" fillId="0" fontId="22" numFmtId="0" xfId="0" applyAlignment="1" applyFont="1">
      <alignment horizontal="center" shrinkToFit="0" vertical="center" wrapText="1"/>
    </xf>
    <xf borderId="13" fillId="7" fontId="14" numFmtId="0" xfId="0" applyAlignment="1" applyBorder="1" applyFill="1" applyFont="1">
      <alignment readingOrder="0" vertical="bottom"/>
    </xf>
    <xf borderId="31" fillId="7" fontId="14" numFmtId="0" xfId="0" applyAlignment="1" applyBorder="1" applyFont="1">
      <alignment readingOrder="0" vertical="bottom"/>
    </xf>
    <xf borderId="32" fillId="7" fontId="18" numFmtId="0" xfId="0" applyAlignment="1" applyBorder="1" applyFont="1">
      <alignment horizontal="center" readingOrder="0" vertical="bottom"/>
    </xf>
    <xf borderId="33" fillId="7" fontId="18" numFmtId="164" xfId="0" applyAlignment="1" applyBorder="1" applyFont="1" applyNumberFormat="1">
      <alignment horizontal="center" readingOrder="0" vertical="bottom"/>
    </xf>
    <xf borderId="15" fillId="7" fontId="14" numFmtId="0" xfId="0" applyAlignment="1" applyBorder="1" applyFont="1">
      <alignment horizontal="center" vertical="bottom"/>
    </xf>
    <xf borderId="0" fillId="4" fontId="23" numFmtId="0" xfId="0" applyAlignment="1" applyFont="1">
      <alignment horizontal="center" readingOrder="0" vertical="center"/>
    </xf>
    <xf borderId="0" fillId="4" fontId="24" numFmtId="0" xfId="0" applyAlignment="1" applyFont="1">
      <alignment horizontal="center" shrinkToFit="0" vertical="center" wrapText="1"/>
    </xf>
    <xf borderId="5" fillId="4" fontId="15" numFmtId="0" xfId="0" applyAlignment="1" applyBorder="1" applyFont="1">
      <alignment horizontal="center" readingOrder="0" vertical="center"/>
    </xf>
    <xf borderId="17" fillId="0" fontId="10" numFmtId="0" xfId="0" applyBorder="1" applyFont="1"/>
    <xf borderId="34" fillId="5" fontId="25" numFmtId="0" xfId="0" applyAlignment="1" applyBorder="1" applyFont="1">
      <alignment horizontal="center" shrinkToFit="0" vertical="center" wrapText="1"/>
    </xf>
    <xf borderId="35" fillId="5" fontId="25" numFmtId="0" xfId="0" applyAlignment="1" applyBorder="1" applyFont="1">
      <alignment horizontal="center" shrinkToFit="0" vertical="center" wrapText="1"/>
    </xf>
    <xf borderId="36" fillId="4" fontId="21" numFmtId="0" xfId="0" applyAlignment="1" applyBorder="1" applyFont="1">
      <alignment readingOrder="0" vertical="bottom"/>
    </xf>
    <xf borderId="37" fillId="0" fontId="10" numFmtId="0" xfId="0" applyBorder="1" applyFont="1"/>
    <xf borderId="38" fillId="4" fontId="11" numFmtId="0" xfId="0" applyAlignment="1" applyBorder="1" applyFont="1">
      <alignment horizontal="center" vertical="bottom"/>
    </xf>
    <xf borderId="39" fillId="4" fontId="18" numFmtId="0" xfId="0" applyAlignment="1" applyBorder="1" applyFont="1">
      <alignment horizontal="center" vertical="center"/>
    </xf>
    <xf borderId="40" fillId="4" fontId="18" numFmtId="0" xfId="0" applyAlignment="1" applyBorder="1" applyFont="1">
      <alignment horizontal="center" vertical="center"/>
    </xf>
    <xf borderId="41" fillId="4" fontId="18" numFmtId="0" xfId="0" applyAlignment="1" applyBorder="1" applyFont="1">
      <alignment horizontal="center" vertical="center"/>
    </xf>
    <xf borderId="42" fillId="8" fontId="25" numFmtId="0" xfId="0" applyAlignment="1" applyBorder="1" applyFill="1" applyFont="1">
      <alignment horizontal="center" readingOrder="0" shrinkToFit="0" vertical="center" wrapText="1"/>
    </xf>
    <xf borderId="43" fillId="0" fontId="10" numFmtId="0" xfId="0" applyBorder="1" applyFont="1"/>
    <xf borderId="44" fillId="0" fontId="10" numFmtId="0" xfId="0" applyBorder="1" applyFont="1"/>
    <xf borderId="21" fillId="4" fontId="11" numFmtId="0" xfId="0" applyAlignment="1" applyBorder="1" applyFont="1">
      <alignment readingOrder="0" vertical="bottom"/>
    </xf>
    <xf borderId="36" fillId="4" fontId="21" numFmtId="0" xfId="0" applyAlignment="1" applyBorder="1" applyFont="1">
      <alignment vertical="center"/>
    </xf>
    <xf borderId="40" fillId="0" fontId="10" numFmtId="0" xfId="0" applyBorder="1" applyFont="1"/>
    <xf borderId="39" fillId="4" fontId="18" numFmtId="164" xfId="0" applyAlignment="1" applyBorder="1" applyFont="1" applyNumberFormat="1">
      <alignment horizontal="center" vertical="center"/>
    </xf>
    <xf borderId="40" fillId="4" fontId="18" numFmtId="164" xfId="0" applyAlignment="1" applyBorder="1" applyFont="1" applyNumberFormat="1">
      <alignment horizontal="center" vertical="center"/>
    </xf>
    <xf borderId="41" fillId="4" fontId="18" numFmtId="164" xfId="0" applyAlignment="1" applyBorder="1" applyFont="1" applyNumberFormat="1">
      <alignment horizontal="center" vertical="center"/>
    </xf>
    <xf borderId="0" fillId="4" fontId="4" numFmtId="0" xfId="0" applyAlignment="1" applyFont="1">
      <alignment readingOrder="0"/>
    </xf>
    <xf borderId="0" fillId="4" fontId="26" numFmtId="0" xfId="0" applyAlignment="1" applyFont="1">
      <alignment readingOrder="0"/>
    </xf>
    <xf borderId="25" fillId="4" fontId="27" numFmtId="0" xfId="0" applyAlignment="1" applyBorder="1" applyFont="1">
      <alignment vertical="bottom"/>
    </xf>
    <xf borderId="40" fillId="6" fontId="18" numFmtId="0" xfId="0" applyAlignment="1" applyBorder="1" applyFont="1">
      <alignment horizontal="center" readingOrder="0" vertical="center"/>
    </xf>
    <xf borderId="39" fillId="4" fontId="18" numFmtId="2" xfId="0" applyAlignment="1" applyBorder="1" applyFont="1" applyNumberFormat="1">
      <alignment horizontal="center" vertical="center"/>
    </xf>
    <xf borderId="25" fillId="4" fontId="11" numFmtId="0" xfId="0" applyAlignment="1" applyBorder="1" applyFont="1">
      <alignment readingOrder="0" vertical="bottom"/>
    </xf>
    <xf borderId="45" fillId="4" fontId="21" numFmtId="0" xfId="0" applyAlignment="1" applyBorder="1" applyFont="1">
      <alignment readingOrder="0" vertical="center"/>
    </xf>
    <xf borderId="46" fillId="6" fontId="18" numFmtId="0" xfId="0" applyAlignment="1" applyBorder="1" applyFont="1">
      <alignment horizontal="center" readingOrder="0" vertical="center"/>
    </xf>
    <xf borderId="46" fillId="0" fontId="11" numFmtId="0" xfId="0" applyAlignment="1" applyBorder="1" applyFont="1">
      <alignment horizontal="center" vertical="center"/>
    </xf>
    <xf borderId="47" fillId="4" fontId="18" numFmtId="164" xfId="0" applyAlignment="1" applyBorder="1" applyFont="1" applyNumberFormat="1">
      <alignment horizontal="center" vertical="center"/>
    </xf>
    <xf borderId="48" fillId="4" fontId="18" numFmtId="164" xfId="0" applyAlignment="1" applyBorder="1" applyFont="1" applyNumberFormat="1">
      <alignment horizontal="center" vertical="center"/>
    </xf>
    <xf borderId="49" fillId="4" fontId="18" numFmtId="164" xfId="0" applyAlignment="1" applyBorder="1" applyFont="1" applyNumberFormat="1">
      <alignment horizontal="center" vertical="center"/>
    </xf>
    <xf borderId="50" fillId="4" fontId="11" numFmtId="0" xfId="0" applyAlignment="1" applyBorder="1" applyFont="1">
      <alignment vertical="bottom"/>
    </xf>
    <xf borderId="2" fillId="5" fontId="25" numFmtId="0" xfId="0" applyAlignment="1" applyBorder="1" applyFont="1">
      <alignment horizontal="center" shrinkToFit="0" vertical="center" wrapText="1"/>
    </xf>
    <xf borderId="51" fillId="4" fontId="11" numFmtId="0" xfId="0" applyAlignment="1" applyBorder="1" applyFont="1">
      <alignment readingOrder="0" vertical="bottom"/>
    </xf>
    <xf borderId="52" fillId="0" fontId="10" numFmtId="0" xfId="0" applyBorder="1" applyFont="1"/>
    <xf borderId="53" fillId="0" fontId="10" numFmtId="0" xfId="0" applyBorder="1" applyFont="1"/>
    <xf borderId="51" fillId="4" fontId="11" numFmtId="0" xfId="0" applyAlignment="1" applyBorder="1" applyFont="1">
      <alignment vertical="bottom"/>
    </xf>
    <xf borderId="54" fillId="4" fontId="11" numFmtId="0" xfId="0" applyAlignment="1" applyBorder="1" applyFont="1">
      <alignment vertical="bottom"/>
    </xf>
    <xf borderId="55" fillId="0" fontId="10" numFmtId="0" xfId="0" applyBorder="1" applyFont="1"/>
    <xf borderId="56" fillId="0" fontId="10" numFmtId="0" xfId="0" applyBorder="1" applyFont="1"/>
    <xf borderId="57" fillId="4" fontId="11" numFmtId="0" xfId="0" applyAlignment="1" applyBorder="1" applyFont="1">
      <alignment vertical="bottom"/>
    </xf>
    <xf borderId="58" fillId="8" fontId="28" numFmtId="0" xfId="0" applyAlignment="1" applyBorder="1" applyFont="1">
      <alignment horizontal="center" readingOrder="0" shrinkToFit="0" vertical="center" wrapText="1"/>
    </xf>
    <xf borderId="37" fillId="8" fontId="29" numFmtId="0" xfId="0" applyAlignment="1" applyBorder="1" applyFont="1">
      <alignment horizontal="center" vertical="bottom"/>
    </xf>
    <xf borderId="37" fillId="8" fontId="29" numFmtId="0" xfId="0" applyAlignment="1" applyBorder="1" applyFont="1">
      <alignment horizontal="center" readingOrder="0" vertical="bottom"/>
    </xf>
    <xf borderId="59" fillId="4" fontId="11" numFmtId="0" xfId="0" applyAlignment="1" applyBorder="1" applyFont="1">
      <alignment vertical="bottom"/>
    </xf>
    <xf borderId="60" fillId="8" fontId="28" numFmtId="0" xfId="0" applyAlignment="1" applyBorder="1" applyFont="1">
      <alignment horizontal="center" readingOrder="0" shrinkToFit="0" wrapText="1"/>
    </xf>
    <xf borderId="37" fillId="8" fontId="29" numFmtId="20" xfId="0" applyAlignment="1" applyBorder="1" applyFont="1" applyNumberFormat="1">
      <alignment horizontal="center" readingOrder="0" vertical="bottom"/>
    </xf>
    <xf borderId="61" fillId="4" fontId="11" numFmtId="0" xfId="0" applyAlignment="1" applyBorder="1" applyFont="1">
      <alignment vertical="bottom"/>
    </xf>
    <xf borderId="60" fillId="8" fontId="30" numFmtId="0" xfId="0" applyAlignment="1" applyBorder="1" applyFont="1">
      <alignment horizontal="center" readingOrder="0" shrinkToFit="0" vertical="center" wrapText="1"/>
    </xf>
    <xf borderId="27" fillId="0" fontId="10" numFmtId="0" xfId="0" applyBorder="1" applyFont="1"/>
    <xf borderId="62" fillId="8" fontId="29" numFmtId="0" xfId="0" applyAlignment="1" applyBorder="1" applyFont="1">
      <alignment horizontal="center" vertical="bottom"/>
    </xf>
    <xf borderId="62" fillId="8" fontId="29" numFmtId="0" xfId="0" applyAlignment="1" applyBorder="1" applyFont="1">
      <alignment horizontal="center" readingOrder="0" vertical="bottom"/>
    </xf>
    <xf borderId="24" fillId="4" fontId="11" numFmtId="0" xfId="0" applyAlignment="1" applyBorder="1" applyFont="1">
      <alignment vertical="bottom"/>
    </xf>
    <xf borderId="63" fillId="0" fontId="10" numFmtId="0" xfId="0" applyBorder="1" applyFont="1"/>
    <xf borderId="62" fillId="8" fontId="29" numFmtId="0" xfId="0" applyAlignment="1" applyBorder="1" applyFont="1">
      <alignment horizontal="center" readingOrder="0" vertical="bottom"/>
    </xf>
    <xf borderId="64" fillId="0" fontId="10" numFmtId="0" xfId="0" applyBorder="1" applyFont="1"/>
    <xf borderId="62" fillId="0" fontId="10" numFmtId="0" xfId="0" applyBorder="1" applyFont="1"/>
    <xf borderId="23" fillId="8" fontId="31" numFmtId="0" xfId="0" applyAlignment="1" applyBorder="1" applyFont="1">
      <alignment horizontal="center" readingOrder="0" vertical="bottom"/>
    </xf>
    <xf borderId="24" fillId="9" fontId="12" numFmtId="1" xfId="0" applyAlignment="1" applyBorder="1" applyFill="1" applyFont="1" applyNumberFormat="1">
      <alignment horizontal="center" vertical="bottom"/>
    </xf>
    <xf borderId="58" fillId="4" fontId="11" numFmtId="1" xfId="0" applyAlignment="1" applyBorder="1" applyFont="1" applyNumberFormat="1">
      <alignment horizontal="center" vertical="bottom"/>
    </xf>
    <xf borderId="60" fillId="4" fontId="11" numFmtId="1" xfId="0" applyAlignment="1" applyBorder="1" applyFont="1" applyNumberFormat="1">
      <alignment horizontal="center" vertical="bottom"/>
    </xf>
    <xf borderId="24" fillId="8" fontId="31" numFmtId="0" xfId="0" applyAlignment="1" applyBorder="1" applyFont="1">
      <alignment horizontal="center" readingOrder="0" vertical="bottom"/>
    </xf>
    <xf borderId="27" fillId="4" fontId="11" numFmtId="1" xfId="0" applyAlignment="1" applyBorder="1" applyFont="1" applyNumberFormat="1">
      <alignment horizontal="center" vertical="bottom"/>
    </xf>
    <xf borderId="63" fillId="4" fontId="11" numFmtId="1" xfId="0" applyAlignment="1" applyBorder="1" applyFont="1" applyNumberFormat="1">
      <alignment horizontal="center" vertical="bottom"/>
    </xf>
    <xf borderId="64" fillId="8" fontId="31" numFmtId="0" xfId="0" applyAlignment="1" applyBorder="1" applyFont="1">
      <alignment horizontal="center" readingOrder="0" vertical="bottom"/>
    </xf>
    <xf borderId="62" fillId="9" fontId="12" numFmtId="1" xfId="0" applyAlignment="1" applyBorder="1" applyFont="1" applyNumberFormat="1">
      <alignment horizontal="center" vertical="bottom"/>
    </xf>
    <xf borderId="62" fillId="8" fontId="31" numFmtId="0" xfId="0" applyAlignment="1" applyBorder="1" applyFont="1">
      <alignment horizontal="center" readingOrder="0" vertical="bottom"/>
    </xf>
    <xf borderId="64" fillId="8" fontId="31" numFmtId="0" xfId="0" applyAlignment="1" applyBorder="1" applyFont="1">
      <alignment horizontal="center" vertical="bottom"/>
    </xf>
    <xf borderId="62" fillId="8" fontId="31" numFmtId="0" xfId="0" applyAlignment="1" applyBorder="1" applyFont="1">
      <alignment horizontal="center" vertical="bottom"/>
    </xf>
    <xf borderId="65" fillId="4" fontId="11" numFmtId="0" xfId="0" applyAlignment="1" applyBorder="1" applyFont="1">
      <alignment vertical="bottom"/>
    </xf>
    <xf borderId="66" fillId="4" fontId="11" numFmtId="0" xfId="0" applyAlignment="1" applyBorder="1" applyFont="1">
      <alignment vertical="bottom"/>
    </xf>
    <xf borderId="27" fillId="8" fontId="30" numFmtId="0" xfId="0" applyAlignment="1" applyBorder="1" applyFont="1">
      <alignment horizontal="center" shrinkToFit="0" vertical="center" wrapText="1"/>
    </xf>
    <xf borderId="62" fillId="8" fontId="29" numFmtId="20" xfId="0" applyAlignment="1" applyBorder="1" applyFont="1" applyNumberFormat="1">
      <alignment horizontal="center" readingOrder="0" vertical="bottom"/>
    </xf>
    <xf borderId="63" fillId="8" fontId="28" numFmtId="0" xfId="0" applyAlignment="1" applyBorder="1" applyFont="1">
      <alignment horizontal="center" readingOrder="0" shrinkToFit="0" wrapText="1"/>
    </xf>
    <xf borderId="63" fillId="8" fontId="29" numFmtId="0" xfId="0" applyAlignment="1" applyBorder="1" applyFont="1">
      <alignment horizontal="center" vertical="bottom"/>
    </xf>
    <xf borderId="23" fillId="8" fontId="31" numFmtId="0" xfId="0" applyAlignment="1" applyBorder="1" applyFont="1">
      <alignment horizontal="center" readingOrder="0" vertical="bottom"/>
    </xf>
    <xf borderId="30" fillId="9" fontId="12" numFmtId="1" xfId="0" applyAlignment="1" applyBorder="1" applyFont="1" applyNumberFormat="1">
      <alignment horizontal="center" vertical="bottom"/>
    </xf>
    <xf borderId="24" fillId="4" fontId="11" numFmtId="1" xfId="0" applyAlignment="1" applyBorder="1" applyFont="1" applyNumberFormat="1">
      <alignment horizontal="center" readingOrder="0" vertical="bottom"/>
    </xf>
    <xf borderId="64" fillId="8" fontId="31" numFmtId="0" xfId="0" applyAlignment="1" applyBorder="1" applyFont="1">
      <alignment horizontal="center" readingOrder="0" vertical="bottom"/>
    </xf>
    <xf borderId="43" fillId="9" fontId="12" numFmtId="1" xfId="0" applyAlignment="1" applyBorder="1" applyFont="1" applyNumberFormat="1">
      <alignment horizontal="center" vertical="bottom"/>
    </xf>
    <xf borderId="67" fillId="4" fontId="11" numFmtId="0" xfId="0" applyAlignment="1" applyBorder="1" applyFont="1">
      <alignment vertical="bottom"/>
    </xf>
    <xf borderId="68" fillId="10" fontId="32" numFmtId="0" xfId="0" applyAlignment="1" applyBorder="1" applyFill="1" applyFont="1">
      <alignment horizontal="center" readingOrder="0" vertical="center"/>
    </xf>
    <xf borderId="68" fillId="0" fontId="10" numFmtId="0" xfId="0" applyBorder="1" applyFont="1"/>
    <xf borderId="69" fillId="0" fontId="10" numFmtId="0" xfId="0" applyBorder="1" applyFont="1"/>
    <xf borderId="28" fillId="0" fontId="10" numFmtId="0" xfId="0" applyBorder="1" applyFont="1"/>
    <xf borderId="61" fillId="4" fontId="33" numFmtId="0" xfId="0" applyAlignment="1" applyBorder="1" applyFont="1">
      <alignment readingOrder="0" vertical="bottom"/>
    </xf>
    <xf borderId="30" fillId="0" fontId="10" numFmtId="0" xfId="0" applyBorder="1" applyFont="1"/>
    <xf borderId="25" fillId="0" fontId="10" numFmtId="0" xfId="0" applyBorder="1" applyFont="1"/>
    <xf borderId="2" fillId="5" fontId="34" numFmtId="0" xfId="0" applyAlignment="1" applyBorder="1" applyFont="1">
      <alignment horizontal="center" readingOrder="0"/>
    </xf>
    <xf borderId="8" fillId="11" fontId="35" numFmtId="0" xfId="0" applyAlignment="1" applyBorder="1" applyFill="1" applyFont="1">
      <alignment readingOrder="0"/>
    </xf>
    <xf borderId="0" fillId="11" fontId="35" numFmtId="0" xfId="0" applyAlignment="1" applyFont="1">
      <alignment readingOrder="0"/>
    </xf>
    <xf borderId="13" fillId="11" fontId="35" numFmtId="0" xfId="0" applyAlignment="1" applyBorder="1" applyFont="1">
      <alignment readingOrder="0"/>
    </xf>
    <xf borderId="14" fillId="11" fontId="35" numFmtId="0" xfId="0" applyAlignment="1" applyBorder="1" applyFont="1">
      <alignment readingOrder="0"/>
    </xf>
    <xf borderId="8" fillId="0" fontId="2" numFmtId="0" xfId="0" applyBorder="1" applyFont="1"/>
    <xf borderId="9" fillId="0" fontId="2" numFmtId="0" xfId="0" applyBorder="1" applyFont="1"/>
    <xf borderId="8" fillId="5" fontId="34" numFmtId="0" xfId="0" applyAlignment="1" applyBorder="1" applyFont="1">
      <alignment horizontal="center" readingOrder="0"/>
    </xf>
    <xf borderId="39" fillId="11" fontId="36" numFmtId="0" xfId="0" applyAlignment="1" applyBorder="1" applyFont="1">
      <alignment horizontal="center" readingOrder="0" shrinkToFit="0" vertical="center" wrapText="1"/>
    </xf>
    <xf borderId="41" fillId="0" fontId="10" numFmtId="0" xfId="0" applyBorder="1" applyFont="1"/>
    <xf borderId="10" fillId="0" fontId="37" numFmtId="0" xfId="0" applyAlignment="1" applyBorder="1" applyFont="1">
      <alignment readingOrder="0"/>
    </xf>
    <xf borderId="60" fillId="0" fontId="2" numFmtId="0" xfId="0" applyBorder="1" applyFont="1"/>
    <xf borderId="70" fillId="0" fontId="37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8" fillId="0" fontId="37" numFmtId="0" xfId="0" applyAlignment="1" applyBorder="1" applyFont="1">
      <alignment readingOrder="0"/>
    </xf>
    <xf borderId="63" fillId="0" fontId="2" numFmtId="0" xfId="0" applyBorder="1" applyFont="1"/>
    <xf borderId="1" fillId="0" fontId="37" numFmtId="0" xfId="0" applyAlignment="1" applyBorder="1" applyFont="1">
      <alignment readingOrder="0"/>
    </xf>
    <xf borderId="0" fillId="0" fontId="37" numFmtId="0" xfId="0" applyAlignment="1" applyFont="1">
      <alignment readingOrder="0"/>
    </xf>
    <xf borderId="63" fillId="0" fontId="37" numFmtId="0" xfId="0" applyAlignment="1" applyBorder="1" applyFont="1">
      <alignment readingOrder="0"/>
    </xf>
    <xf borderId="13" fillId="0" fontId="37" numFmtId="0" xfId="0" applyAlignment="1" applyBorder="1" applyFont="1">
      <alignment readingOrder="0"/>
    </xf>
    <xf borderId="32" fillId="0" fontId="2" numFmtId="0" xfId="0" applyBorder="1" applyFont="1"/>
    <xf borderId="71" fillId="0" fontId="37" numFmtId="0" xfId="0" applyAlignment="1" applyBorder="1" applyFont="1">
      <alignment readingOrder="0"/>
    </xf>
    <xf borderId="14" fillId="0" fontId="2" numFmtId="0" xfId="0" applyBorder="1" applyFont="1"/>
    <xf borderId="15" fillId="0" fontId="2" numFmtId="0" xfId="0" applyBorder="1" applyFont="1"/>
    <xf borderId="8" fillId="5" fontId="34" numFmtId="0" xfId="0" applyAlignment="1" applyBorder="1" applyFont="1">
      <alignment horizontal="center" readingOrder="0" vertical="center"/>
    </xf>
    <xf borderId="0" fillId="8" fontId="38" numFmtId="0" xfId="0" applyAlignment="1" applyFont="1">
      <alignment horizontal="center" readingOrder="0"/>
    </xf>
    <xf borderId="0" fillId="0" fontId="39" numFmtId="0" xfId="0" applyAlignment="1" applyFont="1">
      <alignment horizontal="center" readingOrder="0"/>
    </xf>
    <xf borderId="0" fillId="0" fontId="40" numFmtId="0" xfId="0" applyAlignment="1" applyFont="1">
      <alignment horizontal="center" readingOrder="0" vertical="bottom"/>
    </xf>
    <xf borderId="0" fillId="0" fontId="40" numFmtId="0" xfId="0" applyAlignment="1" applyFont="1">
      <alignment horizontal="center" vertical="bottom"/>
    </xf>
    <xf borderId="0" fillId="0" fontId="41" numFmtId="0" xfId="0" applyAlignment="1" applyFont="1">
      <alignment horizontal="center" readingOrder="0"/>
    </xf>
    <xf borderId="72" fillId="5" fontId="42" numFmtId="0" xfId="0" applyAlignment="1" applyBorder="1" applyFont="1">
      <alignment horizontal="center" readingOrder="0"/>
    </xf>
    <xf borderId="73" fillId="0" fontId="10" numFmtId="0" xfId="0" applyBorder="1" applyFont="1"/>
    <xf borderId="74" fillId="0" fontId="10" numFmtId="0" xfId="0" applyBorder="1" applyFont="1"/>
    <xf borderId="50" fillId="8" fontId="43" numFmtId="0" xfId="0" applyAlignment="1" applyBorder="1" applyFont="1">
      <alignment horizontal="left" readingOrder="0" vertical="center"/>
    </xf>
    <xf borderId="75" fillId="8" fontId="44" numFmtId="164" xfId="0" applyAlignment="1" applyBorder="1" applyFont="1" applyNumberFormat="1">
      <alignment horizontal="center" vertical="center"/>
    </xf>
    <xf borderId="76" fillId="8" fontId="44" numFmtId="164" xfId="0" applyAlignment="1" applyBorder="1" applyFont="1" applyNumberFormat="1">
      <alignment horizontal="center" vertical="center"/>
    </xf>
    <xf borderId="76" fillId="8" fontId="44" numFmtId="164" xfId="0" applyAlignment="1" applyBorder="1" applyFont="1" applyNumberFormat="1">
      <alignment horizontal="center" readingOrder="0" vertical="center"/>
    </xf>
    <xf borderId="38" fillId="8" fontId="44" numFmtId="164" xfId="0" applyAlignment="1" applyBorder="1" applyFont="1" applyNumberFormat="1">
      <alignment horizontal="center" vertical="center"/>
    </xf>
    <xf borderId="25" fillId="12" fontId="11" numFmtId="0" xfId="0" applyAlignment="1" applyBorder="1" applyFill="1" applyFont="1">
      <alignment vertical="bottom"/>
    </xf>
    <xf borderId="50" fillId="0" fontId="10" numFmtId="0" xfId="0" applyBorder="1" applyFont="1"/>
    <xf borderId="77" fillId="5" fontId="12" numFmtId="164" xfId="0" applyAlignment="1" applyBorder="1" applyFont="1" applyNumberFormat="1">
      <alignment horizontal="center" vertical="bottom"/>
    </xf>
    <xf borderId="25" fillId="5" fontId="12" numFmtId="164" xfId="0" applyAlignment="1" applyBorder="1" applyFont="1" applyNumberFormat="1">
      <alignment horizontal="center" vertical="bottom"/>
    </xf>
    <xf borderId="23" fillId="5" fontId="12" numFmtId="164" xfId="0" applyAlignment="1" applyBorder="1" applyFont="1" applyNumberFormat="1">
      <alignment horizontal="center" vertical="bottom"/>
    </xf>
    <xf borderId="78" fillId="0" fontId="10" numFmtId="0" xfId="0" applyBorder="1" applyFont="1"/>
    <xf borderId="66" fillId="0" fontId="10" numFmtId="0" xfId="0" applyBorder="1" applyFont="1"/>
    <xf borderId="79" fillId="9" fontId="12" numFmtId="164" xfId="0" applyAlignment="1" applyBorder="1" applyFont="1" applyNumberFormat="1">
      <alignment horizontal="center" vertical="bottom"/>
    </xf>
    <xf borderId="66" fillId="9" fontId="12" numFmtId="164" xfId="0" applyAlignment="1" applyBorder="1" applyFont="1" applyNumberFormat="1">
      <alignment horizontal="center" vertical="bottom"/>
    </xf>
    <xf borderId="64" fillId="9" fontId="12" numFmtId="164" xfId="0" applyAlignment="1" applyBorder="1" applyFont="1" applyNumberFormat="1">
      <alignment horizontal="center" vertical="bottom"/>
    </xf>
    <xf borderId="25" fillId="4" fontId="11" numFmtId="0" xfId="0" applyAlignment="1" applyBorder="1" applyFont="1">
      <alignment horizontal="left" vertical="bottom"/>
    </xf>
    <xf borderId="25" fillId="4" fontId="11" numFmtId="0" xfId="0" applyAlignment="1" applyBorder="1" applyFont="1">
      <alignment horizontal="center" vertical="bottom"/>
    </xf>
    <xf borderId="28" fillId="4" fontId="11" numFmtId="0" xfId="0" applyAlignment="1" applyBorder="1" applyFont="1">
      <alignment horizontal="center" vertical="bottom"/>
    </xf>
    <xf borderId="78" fillId="8" fontId="45" numFmtId="0" xfId="0" applyAlignment="1" applyBorder="1" applyFont="1">
      <alignment horizontal="left" readingOrder="0" vertical="center"/>
    </xf>
    <xf borderId="21" fillId="12" fontId="11" numFmtId="0" xfId="0" applyAlignment="1" applyBorder="1" applyFont="1">
      <alignment vertical="bottom"/>
    </xf>
    <xf borderId="0" fillId="5" fontId="44" numFmtId="164" xfId="0" applyAlignment="1" applyFont="1" applyNumberFormat="1">
      <alignment horizontal="left" readingOrder="0" vertical="center"/>
    </xf>
    <xf borderId="1" fillId="5" fontId="44" numFmtId="164" xfId="0" applyAlignment="1" applyBorder="1" applyFont="1" applyNumberFormat="1">
      <alignment horizontal="left" readingOrder="0" vertical="center"/>
    </xf>
    <xf borderId="80" fillId="5" fontId="44" numFmtId="164" xfId="0" applyAlignment="1" applyBorder="1" applyFont="1" applyNumberFormat="1">
      <alignment horizontal="center" vertical="bottom"/>
    </xf>
    <xf borderId="81" fillId="5" fontId="12" numFmtId="164" xfId="0" applyAlignment="1" applyBorder="1" applyFont="1" applyNumberFormat="1">
      <alignment horizontal="center" vertical="bottom"/>
    </xf>
    <xf borderId="82" fillId="5" fontId="12" numFmtId="164" xfId="0" applyAlignment="1" applyBorder="1" applyFont="1" applyNumberFormat="1">
      <alignment horizontal="center" vertical="bottom"/>
    </xf>
    <xf borderId="83" fillId="5" fontId="12" numFmtId="164" xfId="0" applyAlignment="1" applyBorder="1" applyFont="1" applyNumberFormat="1">
      <alignment horizontal="center" vertical="bottom"/>
    </xf>
    <xf borderId="84" fillId="0" fontId="10" numFmtId="0" xfId="0" applyBorder="1" applyFont="1"/>
    <xf borderId="84" fillId="9" fontId="44" numFmtId="164" xfId="0" applyAlignment="1" applyBorder="1" applyFont="1" applyNumberFormat="1">
      <alignment horizontal="center" vertical="bottom"/>
    </xf>
    <xf borderId="85" fillId="12" fontId="46" numFmtId="0" xfId="0" applyAlignment="1" applyBorder="1" applyFont="1">
      <alignment horizontal="left" readingOrder="0" vertical="bottom"/>
    </xf>
    <xf borderId="24" fillId="12" fontId="47" numFmtId="0" xfId="0" applyAlignment="1" applyBorder="1" applyFont="1">
      <alignment horizontal="center" readingOrder="0" vertical="bottom"/>
    </xf>
    <xf borderId="25" fillId="12" fontId="47" numFmtId="164" xfId="0" applyAlignment="1" applyBorder="1" applyFont="1" applyNumberFormat="1">
      <alignment horizontal="center" vertical="bottom"/>
    </xf>
    <xf borderId="23" fillId="12" fontId="46" numFmtId="0" xfId="0" applyAlignment="1" applyBorder="1" applyFont="1">
      <alignment horizontal="center" vertical="bottom"/>
    </xf>
    <xf borderId="25" fillId="12" fontId="47" numFmtId="0" xfId="0" applyAlignment="1" applyBorder="1" applyFont="1">
      <alignment horizontal="center" vertical="bottom"/>
    </xf>
    <xf borderId="25" fillId="12" fontId="47" numFmtId="164" xfId="0" applyAlignment="1" applyBorder="1" applyFont="1" applyNumberFormat="1">
      <alignment horizontal="center" readingOrder="0" vertical="bottom"/>
    </xf>
    <xf borderId="86" fillId="12" fontId="46" numFmtId="0" xfId="0" applyAlignment="1" applyBorder="1" applyFont="1">
      <alignment horizontal="left" readingOrder="0" vertical="bottom"/>
    </xf>
    <xf borderId="63" fillId="12" fontId="47" numFmtId="0" xfId="0" applyAlignment="1" applyBorder="1" applyFont="1">
      <alignment horizontal="center" readingOrder="0" vertical="bottom"/>
    </xf>
    <xf borderId="28" fillId="12" fontId="47" numFmtId="164" xfId="0" applyAlignment="1" applyBorder="1" applyFont="1" applyNumberFormat="1">
      <alignment horizontal="center" vertical="bottom"/>
    </xf>
    <xf borderId="27" fillId="12" fontId="46" numFmtId="0" xfId="0" applyAlignment="1" applyBorder="1" applyFont="1">
      <alignment horizontal="center" vertical="bottom"/>
    </xf>
    <xf borderId="87" fillId="7" fontId="48" numFmtId="0" xfId="0" applyAlignment="1" applyBorder="1" applyFont="1">
      <alignment horizontal="left" readingOrder="0" vertical="bottom"/>
    </xf>
    <xf borderId="88" fillId="0" fontId="10" numFmtId="0" xfId="0" applyBorder="1" applyFont="1"/>
    <xf borderId="88" fillId="7" fontId="18" numFmtId="0" xfId="0" applyAlignment="1" applyBorder="1" applyFont="1">
      <alignment horizontal="center" readingOrder="0" vertical="bottom"/>
    </xf>
    <xf borderId="89" fillId="7" fontId="18" numFmtId="164" xfId="0" applyAlignment="1" applyBorder="1" applyFont="1" applyNumberFormat="1">
      <alignment horizontal="center" readingOrder="0" vertical="bottom"/>
    </xf>
    <xf borderId="90" fillId="7" fontId="14" numFmtId="0" xfId="0" applyAlignment="1" applyBorder="1" applyFont="1">
      <alignment horizontal="center" vertical="bottom"/>
    </xf>
    <xf borderId="91" fillId="7" fontId="48" numFmtId="0" xfId="0" applyAlignment="1" applyBorder="1" applyFont="1">
      <alignment horizontal="left" readingOrder="0" vertical="bottom"/>
    </xf>
    <xf borderId="32" fillId="0" fontId="10" numFmtId="0" xfId="0" applyBorder="1" applyFont="1"/>
    <xf borderId="33" fillId="7" fontId="18" numFmtId="164" xfId="0" applyAlignment="1" applyBorder="1" applyFont="1" applyNumberFormat="1">
      <alignment horizontal="center" vertical="bottom"/>
    </xf>
    <xf borderId="31" fillId="7" fontId="14" numFmtId="0" xfId="0" applyAlignment="1" applyBorder="1" applyFont="1">
      <alignment horizontal="center" vertical="bottom"/>
    </xf>
    <xf borderId="92" fillId="5" fontId="18" numFmtId="0" xfId="0" applyAlignment="1" applyBorder="1" applyFont="1">
      <alignment horizontal="left" vertical="bottom"/>
    </xf>
    <xf borderId="93" fillId="5" fontId="18" numFmtId="0" xfId="0" applyAlignment="1" applyBorder="1" applyFont="1">
      <alignment horizontal="left" readingOrder="0" vertical="bottom"/>
    </xf>
    <xf borderId="94" fillId="5" fontId="11" numFmtId="0" xfId="0" applyAlignment="1" applyBorder="1" applyFont="1">
      <alignment horizontal="center" vertical="bottom"/>
    </xf>
    <xf borderId="95" fillId="5" fontId="11" numFmtId="1" xfId="0" applyAlignment="1" applyBorder="1" applyFont="1" applyNumberFormat="1">
      <alignment horizontal="center" vertical="bottom"/>
    </xf>
    <xf borderId="92" fillId="5" fontId="11" numFmtId="1" xfId="0" applyAlignment="1" applyBorder="1" applyFont="1" applyNumberFormat="1">
      <alignment horizontal="center" vertical="bottom"/>
    </xf>
    <xf borderId="96" fillId="5" fontId="18" numFmtId="0" xfId="0" applyAlignment="1" applyBorder="1" applyFont="1">
      <alignment horizontal="center" vertical="bottom"/>
    </xf>
    <xf borderId="40" fillId="8" fontId="44" numFmtId="164" xfId="0" applyAlignment="1" applyBorder="1" applyFont="1" applyNumberFormat="1">
      <alignment horizontal="center" readingOrder="0" vertical="center"/>
    </xf>
    <xf borderId="97" fillId="5" fontId="12" numFmtId="164" xfId="0" applyAlignment="1" applyBorder="1" applyFont="1" applyNumberFormat="1">
      <alignment horizontal="center" vertical="bottom"/>
    </xf>
    <xf borderId="43" fillId="9" fontId="12" numFmtId="164" xfId="0" applyAlignment="1" applyBorder="1" applyFont="1" applyNumberFormat="1">
      <alignment horizontal="center" vertical="bottom"/>
    </xf>
    <xf borderId="89" fillId="7" fontId="18" numFmtId="164" xfId="0" applyAlignment="1" applyBorder="1" applyFont="1" applyNumberFormat="1">
      <alignment horizontal="center" vertical="bottom"/>
    </xf>
    <xf borderId="24" fillId="7" fontId="18" numFmtId="0" xfId="0" applyAlignment="1" applyBorder="1" applyFont="1">
      <alignment horizontal="center" readingOrder="0" vertical="bottom"/>
    </xf>
    <xf borderId="25" fillId="7" fontId="18" numFmtId="164" xfId="0" applyAlignment="1" applyBorder="1" applyFont="1" applyNumberFormat="1">
      <alignment horizontal="center" vertical="bottom"/>
    </xf>
    <xf borderId="23" fillId="7" fontId="14" numFmtId="0" xfId="0" applyAlignment="1" applyBorder="1" applyFont="1">
      <alignment horizontal="center" vertical="bottom"/>
    </xf>
    <xf borderId="63" fillId="12" fontId="49" numFmtId="0" xfId="0" applyAlignment="1" applyBorder="1" applyFont="1">
      <alignment horizontal="left" vertical="bottom"/>
    </xf>
    <xf borderId="63" fillId="12" fontId="49" numFmtId="0" xfId="0" applyAlignment="1" applyBorder="1" applyFont="1">
      <alignment horizontal="center" vertical="bottom"/>
    </xf>
    <xf borderId="0" fillId="12" fontId="49" numFmtId="164" xfId="0" applyAlignment="1" applyFont="1" applyNumberFormat="1">
      <alignment horizontal="center" vertical="bottom"/>
    </xf>
    <xf borderId="63" fillId="12" fontId="49" numFmtId="164" xfId="0" applyAlignment="1" applyBorder="1" applyFont="1" applyNumberFormat="1">
      <alignment horizontal="center" vertical="bottom"/>
    </xf>
    <xf borderId="63" fillId="12" fontId="46" numFmtId="0" xfId="0" applyAlignment="1" applyBorder="1" applyFont="1">
      <alignment horizontal="center" vertical="bottom"/>
    </xf>
    <xf borderId="0" fillId="12" fontId="49" numFmtId="0" xfId="0" applyAlignment="1" applyFont="1">
      <alignment horizontal="center" vertical="bottom"/>
    </xf>
    <xf borderId="98" fillId="12" fontId="46" numFmtId="0" xfId="0" applyAlignment="1" applyBorder="1" applyFont="1">
      <alignment horizontal="left" readingOrder="0" vertical="bottom"/>
    </xf>
    <xf borderId="32" fillId="12" fontId="47" numFmtId="0" xfId="0" applyAlignment="1" applyBorder="1" applyFont="1">
      <alignment horizontal="center" readingOrder="0" vertical="bottom"/>
    </xf>
    <xf borderId="33" fillId="12" fontId="47" numFmtId="164" xfId="0" applyAlignment="1" applyBorder="1" applyFont="1" applyNumberFormat="1">
      <alignment horizontal="center" vertical="bottom"/>
    </xf>
    <xf borderId="31" fillId="12" fontId="46" numFmtId="0" xfId="0" applyAlignment="1" applyBorder="1" applyFont="1">
      <alignment horizontal="center" vertical="bottom"/>
    </xf>
    <xf borderId="59" fillId="7" fontId="40" numFmtId="0" xfId="0" applyAlignment="1" applyBorder="1" applyFont="1">
      <alignment horizontal="center" vertical="bottom"/>
    </xf>
    <xf borderId="21" fillId="7" fontId="40" numFmtId="164" xfId="0" applyAlignment="1" applyBorder="1" applyFont="1" applyNumberFormat="1">
      <alignment horizontal="center" vertical="bottom"/>
    </xf>
    <xf borderId="59" fillId="7" fontId="40" numFmtId="164" xfId="0" applyAlignment="1" applyBorder="1" applyFont="1" applyNumberFormat="1">
      <alignment horizontal="center" vertical="bottom"/>
    </xf>
    <xf borderId="59" fillId="7" fontId="14" numFmtId="0" xfId="0" applyAlignment="1" applyBorder="1" applyFont="1">
      <alignment horizontal="center" vertical="bottom"/>
    </xf>
    <xf borderId="32" fillId="7" fontId="40" numFmtId="0" xfId="0" applyAlignment="1" applyBorder="1" applyFont="1">
      <alignment horizontal="center" vertical="bottom"/>
    </xf>
    <xf borderId="33" fillId="7" fontId="40" numFmtId="164" xfId="0" applyAlignment="1" applyBorder="1" applyFont="1" applyNumberFormat="1">
      <alignment horizontal="center" vertical="bottom"/>
    </xf>
    <xf borderId="32" fillId="7" fontId="40" numFmtId="164" xfId="0" applyAlignment="1" applyBorder="1" applyFont="1" applyNumberFormat="1">
      <alignment horizontal="center" vertical="bottom"/>
    </xf>
    <xf borderId="32" fillId="7" fontId="14" numFmtId="0" xfId="0" applyAlignment="1" applyBorder="1" applyFont="1">
      <alignment horizontal="center" vertical="bottom"/>
    </xf>
    <xf borderId="57" fillId="12" fontId="11" numFmtId="0" xfId="0" applyAlignment="1" applyBorder="1" applyFont="1">
      <alignment horizontal="left" vertical="bottom"/>
    </xf>
    <xf borderId="25" fillId="12" fontId="11" numFmtId="0" xfId="0" applyAlignment="1" applyBorder="1" applyFont="1">
      <alignment horizontal="center" vertical="bottom"/>
    </xf>
    <xf borderId="57" fillId="4" fontId="11" numFmtId="0" xfId="0" applyAlignment="1" applyBorder="1" applyFont="1">
      <alignment horizontal="left" vertical="bottom"/>
    </xf>
    <xf borderId="0" fillId="12" fontId="2" numFmtId="0" xfId="0" applyFont="1"/>
    <xf borderId="50" fillId="8" fontId="43" numFmtId="0" xfId="0" applyAlignment="1" applyBorder="1" applyFont="1">
      <alignment horizontal="center" readingOrder="0" vertical="center"/>
    </xf>
    <xf borderId="99" fillId="8" fontId="44" numFmtId="164" xfId="0" applyAlignment="1" applyBorder="1" applyFont="1" applyNumberFormat="1">
      <alignment horizontal="center" vertical="center"/>
    </xf>
    <xf borderId="100" fillId="8" fontId="44" numFmtId="164" xfId="0" applyAlignment="1" applyBorder="1" applyFont="1" applyNumberFormat="1">
      <alignment horizontal="center" vertical="center"/>
    </xf>
    <xf borderId="11" fillId="5" fontId="12" numFmtId="164" xfId="0" applyAlignment="1" applyBorder="1" applyFont="1" applyNumberFormat="1">
      <alignment horizontal="center" vertical="bottom"/>
    </xf>
    <xf borderId="78" fillId="8" fontId="45" numFmtId="0" xfId="0" applyAlignment="1" applyBorder="1" applyFont="1">
      <alignment horizontal="center" readingOrder="0" vertical="center"/>
    </xf>
    <xf borderId="0" fillId="5" fontId="44" numFmtId="164" xfId="0" applyAlignment="1" applyFont="1" applyNumberFormat="1">
      <alignment horizontal="center" readingOrder="0" vertical="center"/>
    </xf>
    <xf borderId="1" fillId="5" fontId="44" numFmtId="164" xfId="0" applyAlignment="1" applyBorder="1" applyFont="1" applyNumberFormat="1">
      <alignment horizontal="center" readingOrder="0" vertical="center"/>
    </xf>
    <xf borderId="75" fillId="5" fontId="12" numFmtId="164" xfId="0" applyAlignment="1" applyBorder="1" applyFont="1" applyNumberFormat="1">
      <alignment horizontal="center" vertical="bottom"/>
    </xf>
    <xf borderId="76" fillId="5" fontId="12" numFmtId="164" xfId="0" applyAlignment="1" applyBorder="1" applyFont="1" applyNumberFormat="1">
      <alignment horizontal="center" vertical="bottom"/>
    </xf>
    <xf borderId="38" fillId="5" fontId="12" numFmtId="164" xfId="0" applyAlignment="1" applyBorder="1" applyFont="1" applyNumberFormat="1">
      <alignment horizontal="center" vertical="bottom"/>
    </xf>
    <xf borderId="86" fillId="12" fontId="46" numFmtId="0" xfId="0" applyAlignment="1" applyBorder="1" applyFont="1">
      <alignment readingOrder="0" vertical="bottom"/>
    </xf>
    <xf borderId="25" fillId="12" fontId="47" numFmtId="0" xfId="0" applyAlignment="1" applyBorder="1" applyFont="1">
      <alignment vertical="bottom"/>
    </xf>
    <xf borderId="0" fillId="12" fontId="50" numFmtId="0" xfId="0" applyFont="1"/>
    <xf borderId="87" fillId="7" fontId="48" numFmtId="0" xfId="0" applyAlignment="1" applyBorder="1" applyFont="1">
      <alignment horizontal="center" readingOrder="0" vertical="bottom"/>
    </xf>
    <xf borderId="101" fillId="7" fontId="14" numFmtId="0" xfId="0" applyAlignment="1" applyBorder="1" applyFont="1">
      <alignment horizontal="center" vertical="bottom"/>
    </xf>
    <xf borderId="91" fillId="7" fontId="48" numFmtId="0" xfId="0" applyAlignment="1" applyBorder="1" applyFont="1">
      <alignment horizontal="center" readingOrder="0" vertical="bottom"/>
    </xf>
    <xf borderId="102" fillId="7" fontId="14" numFmtId="0" xfId="0" applyAlignment="1" applyBorder="1" applyFont="1">
      <alignment horizontal="center" vertical="bottom"/>
    </xf>
    <xf borderId="92" fillId="5" fontId="18" numFmtId="0" xfId="0" applyAlignment="1" applyBorder="1" applyFont="1">
      <alignment vertical="bottom"/>
    </xf>
    <xf borderId="93" fillId="5" fontId="18" numFmtId="0" xfId="0" applyAlignment="1" applyBorder="1" applyFont="1">
      <alignment readingOrder="0" vertical="bottom"/>
    </xf>
    <xf borderId="94" fillId="5" fontId="11" numFmtId="0" xfId="0" applyAlignment="1" applyBorder="1" applyFont="1">
      <alignment vertical="bottom"/>
    </xf>
    <xf borderId="95" fillId="5" fontId="11" numFmtId="1" xfId="0" applyAlignment="1" applyBorder="1" applyFont="1" applyNumberFormat="1">
      <alignment vertical="bottom"/>
    </xf>
    <xf borderId="92" fillId="5" fontId="11" numFmtId="1" xfId="0" applyAlignment="1" applyBorder="1" applyFont="1" applyNumberFormat="1">
      <alignment vertical="bottom"/>
    </xf>
    <xf borderId="25" fillId="12" fontId="11" numFmtId="0" xfId="0" applyAlignment="1" applyBorder="1" applyFont="1">
      <alignment readingOrder="0" vertical="bottom"/>
    </xf>
    <xf borderId="28" fillId="12" fontId="47" numFmtId="164" xfId="0" applyAlignment="1" applyBorder="1" applyFont="1" applyNumberFormat="1">
      <alignment horizontal="center" readingOrder="0" vertical="bottom"/>
    </xf>
    <xf borderId="86" fillId="12" fontId="51" numFmtId="0" xfId="0" applyAlignment="1" applyBorder="1" applyFont="1">
      <alignment readingOrder="0" vertical="bottom"/>
    </xf>
    <xf borderId="63" fillId="12" fontId="52" numFmtId="0" xfId="0" applyAlignment="1" applyBorder="1" applyFont="1">
      <alignment horizontal="center" readingOrder="0" vertical="bottom"/>
    </xf>
    <xf borderId="28" fillId="12" fontId="52" numFmtId="164" xfId="0" applyAlignment="1" applyBorder="1" applyFont="1" applyNumberFormat="1">
      <alignment horizontal="center" vertical="bottom"/>
    </xf>
    <xf borderId="27" fillId="12" fontId="51" numFmtId="0" xfId="0" applyAlignment="1" applyBorder="1" applyFont="1">
      <alignment horizontal="center" vertical="bottom"/>
    </xf>
    <xf borderId="25" fillId="12" fontId="52" numFmtId="0" xfId="0" applyAlignment="1" applyBorder="1" applyFont="1">
      <alignment vertical="bottom"/>
    </xf>
    <xf borderId="0" fillId="12" fontId="53" numFmtId="0" xfId="0" applyFont="1"/>
    <xf borderId="57" fillId="12" fontId="11" numFmtId="0" xfId="0" applyAlignment="1" applyBorder="1" applyFont="1">
      <alignment vertical="bottom"/>
    </xf>
    <xf borderId="99" fillId="5" fontId="12" numFmtId="164" xfId="0" applyAlignment="1" applyBorder="1" applyFont="1" applyNumberFormat="1">
      <alignment horizontal="center" vertical="bottom"/>
    </xf>
    <xf borderId="100" fillId="5" fontId="12" numFmtId="164" xfId="0" applyAlignment="1" applyBorder="1" applyFont="1" applyNumberFormat="1">
      <alignment horizontal="center" vertical="bottom"/>
    </xf>
    <xf borderId="58" fillId="5" fontId="12" numFmtId="164" xfId="0" applyAlignment="1" applyBorder="1" applyFont="1" applyNumberFormat="1">
      <alignment horizontal="center" vertical="bottom"/>
    </xf>
    <xf borderId="39" fillId="9" fontId="12" numFmtId="164" xfId="0" applyAlignment="1" applyBorder="1" applyFont="1" applyNumberFormat="1">
      <alignment horizontal="center" vertical="bottom"/>
    </xf>
    <xf borderId="40" fillId="9" fontId="12" numFmtId="164" xfId="0" applyAlignment="1" applyBorder="1" applyFont="1" applyNumberFormat="1">
      <alignment horizontal="center" vertical="bottom"/>
    </xf>
    <xf borderId="37" fillId="9" fontId="12" numFmtId="164" xfId="0" applyAlignment="1" applyBorder="1" applyFont="1" applyNumberFormat="1">
      <alignment horizontal="center" vertical="bottom"/>
    </xf>
    <xf borderId="38" fillId="9" fontId="12" numFmtId="164" xfId="0" applyAlignment="1" applyBorder="1" applyFont="1" applyNumberFormat="1">
      <alignment horizontal="center" vertical="bottom"/>
    </xf>
    <xf borderId="85" fillId="12" fontId="46" numFmtId="0" xfId="0" applyAlignment="1" applyBorder="1" applyFont="1">
      <alignment readingOrder="0" vertical="bottom"/>
    </xf>
    <xf borderId="75" fillId="9" fontId="12" numFmtId="164" xfId="0" applyAlignment="1" applyBorder="1" applyFont="1" applyNumberFormat="1">
      <alignment horizontal="center" vertical="bottom"/>
    </xf>
    <xf borderId="76" fillId="9" fontId="12" numFmtId="164" xfId="0" applyAlignment="1" applyBorder="1" applyFont="1" applyNumberFormat="1">
      <alignment horizontal="center" vertical="bottom"/>
    </xf>
    <xf borderId="85" fillId="4" fontId="14" numFmtId="0" xfId="0" applyAlignment="1" applyBorder="1" applyFont="1">
      <alignment readingOrder="0" vertical="bottom"/>
    </xf>
    <xf borderId="24" fillId="4" fontId="18" numFmtId="0" xfId="0" applyAlignment="1" applyBorder="1" applyFont="1">
      <alignment horizontal="center" readingOrder="0" vertical="bottom"/>
    </xf>
    <xf borderId="23" fillId="4" fontId="14" numFmtId="0" xfId="0" applyAlignment="1" applyBorder="1" applyFont="1">
      <alignment horizontal="center" vertical="bottom"/>
    </xf>
    <xf borderId="86" fillId="4" fontId="14" numFmtId="0" xfId="0" applyAlignment="1" applyBorder="1" applyFont="1">
      <alignment readingOrder="0" vertical="bottom"/>
    </xf>
    <xf borderId="63" fillId="4" fontId="18" numFmtId="0" xfId="0" applyAlignment="1" applyBorder="1" applyFont="1">
      <alignment horizontal="center" readingOrder="0" vertical="bottom"/>
    </xf>
    <xf borderId="27" fillId="4" fontId="14" numFmtId="0" xfId="0" applyAlignment="1" applyBorder="1" applyFont="1">
      <alignment horizontal="center" vertical="bottom"/>
    </xf>
    <xf borderId="98" fillId="4" fontId="14" numFmtId="0" xfId="0" applyAlignment="1" applyBorder="1" applyFont="1">
      <alignment readingOrder="0" vertical="bottom"/>
    </xf>
    <xf borderId="32" fillId="4" fontId="18" numFmtId="0" xfId="0" applyAlignment="1" applyBorder="1" applyFont="1">
      <alignment horizontal="center" readingOrder="0" vertical="bottom"/>
    </xf>
    <xf borderId="33" fillId="4" fontId="18" numFmtId="164" xfId="0" applyAlignment="1" applyBorder="1" applyFont="1" applyNumberFormat="1">
      <alignment horizontal="center" vertical="bottom"/>
    </xf>
    <xf borderId="31" fillId="4" fontId="14" numFmtId="0" xfId="0" applyAlignment="1" applyBorder="1" applyFont="1">
      <alignment horizontal="center" vertical="bottom"/>
    </xf>
    <xf borderId="28" fillId="4" fontId="18" numFmtId="164" xfId="0" applyAlignment="1" applyBorder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8.jpg"/><Relationship Id="rId5" Type="http://schemas.openxmlformats.org/officeDocument/2006/relationships/image" Target="../media/image4.jpg"/><Relationship Id="rId6" Type="http://schemas.openxmlformats.org/officeDocument/2006/relationships/image" Target="../media/image1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19050</xdr:rowOff>
    </xdr:from>
    <xdr:ext cx="2057400" cy="5153025"/>
    <xdr:pic>
      <xdr:nvPicPr>
        <xdr:cNvPr id="0" name="image7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2124075</xdr:colOff>
      <xdr:row>0</xdr:row>
      <xdr:rowOff>28575</xdr:rowOff>
    </xdr:from>
    <xdr:ext cx="2057400" cy="5153025"/>
    <xdr:pic>
      <xdr:nvPicPr>
        <xdr:cNvPr id="0" name="image2.jp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0</xdr:row>
      <xdr:rowOff>19050</xdr:rowOff>
    </xdr:from>
    <xdr:ext cx="2057400" cy="5153025"/>
    <xdr:pic>
      <xdr:nvPicPr>
        <xdr:cNvPr id="0" name="image3.jp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1152525</xdr:colOff>
      <xdr:row>0</xdr:row>
      <xdr:rowOff>19050</xdr:rowOff>
    </xdr:from>
    <xdr:ext cx="2057400" cy="5153025"/>
    <xdr:pic>
      <xdr:nvPicPr>
        <xdr:cNvPr id="0" name="image8.jp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1143000</xdr:colOff>
      <xdr:row>0</xdr:row>
      <xdr:rowOff>19050</xdr:rowOff>
    </xdr:from>
    <xdr:ext cx="2057400" cy="5153025"/>
    <xdr:pic>
      <xdr:nvPicPr>
        <xdr:cNvPr id="0" name="image4.jp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85725</xdr:colOff>
      <xdr:row>0</xdr:row>
      <xdr:rowOff>19050</xdr:rowOff>
    </xdr:from>
    <xdr:ext cx="2057400" cy="5153025"/>
    <xdr:pic>
      <xdr:nvPicPr>
        <xdr:cNvPr id="0" name="image1.jp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76200" cy="200025"/>
    <xdr:pic>
      <xdr:nvPicPr>
        <xdr:cNvPr id="0" name="image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733425</xdr:colOff>
      <xdr:row>5</xdr:row>
      <xdr:rowOff>371475</xdr:rowOff>
    </xdr:from>
    <xdr:ext cx="1733550" cy="676275"/>
    <xdr:sp>
      <xdr:nvSpPr>
        <xdr:cNvPr id="3" name="Shape 3"/>
        <xdr:cNvSpPr/>
      </xdr:nvSpPr>
      <xdr:spPr>
        <a:xfrm>
          <a:off x="3282575" y="1500050"/>
          <a:ext cx="1714500" cy="652500"/>
        </a:xfrm>
        <a:prstGeom prst="roundRect">
          <a:avLst>
            <a:gd fmla="val 16667" name="adj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/>
            <a:t>Добави Рецепта</a:t>
          </a:r>
          <a:endParaRPr b="1"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704850</xdr:colOff>
      <xdr:row>0</xdr:row>
      <xdr:rowOff>0</xdr:rowOff>
    </xdr:from>
    <xdr:ext cx="5543550" cy="3943350"/>
    <xdr:pic>
      <xdr:nvPicPr>
        <xdr:cNvPr id="0" name="image9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142875</xdr:colOff>
      <xdr:row>19</xdr:row>
      <xdr:rowOff>66675</xdr:rowOff>
    </xdr:from>
    <xdr:ext cx="6896100" cy="351472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aestheticbyscience.com/add-food-to-database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MQTj4IBzeXnAJ_jXTEOg_kJFWdlOx5T31NOcr1V7kMQ/edit?usp=sharing" TargetMode="External"/><Relationship Id="rId2" Type="http://schemas.openxmlformats.org/officeDocument/2006/relationships/hyperlink" Target="https://docs.google.com/spreadsheets/d/1yglpLrhiyTBoQzJLphoxQ7BLvYkMWFpcC8UNwPXPVBE/edit?usp=sharing" TargetMode="External"/><Relationship Id="rId3" Type="http://schemas.openxmlformats.org/officeDocument/2006/relationships/hyperlink" Target="https://docs.google.com/spreadsheets/d/10djXWgrq0euCabNYbWvvYU16Wpq3GVA1pDmiKy7ovxk/edit?usp=sharing" TargetMode="External"/><Relationship Id="rId4" Type="http://schemas.openxmlformats.org/officeDocument/2006/relationships/hyperlink" Target="https://docs.google.com/spreadsheets/d/157wWE8T2_pR_TATy6PtkMgsSV9N0Wk_ueOu7qHIfi3k/edit?usp=sharing" TargetMode="External"/><Relationship Id="rId11" Type="http://schemas.openxmlformats.org/officeDocument/2006/relationships/drawing" Target="../drawings/drawing5.xml"/><Relationship Id="rId10" Type="http://schemas.openxmlformats.org/officeDocument/2006/relationships/hyperlink" Target="https://docs.google.com/spreadsheets/d/1Rf38jFXfE18SfASblkuO2E9U1I4XPx7G_eauzCEJrL8/copy" TargetMode="External"/><Relationship Id="rId9" Type="http://schemas.openxmlformats.org/officeDocument/2006/relationships/hyperlink" Target="https://docs.google.com/spreadsheets/d/1FcRvuwzGcvDF3-0HeVG-k3Q89JGQhDrjoje8vG_liG8/edit?usp=sharing" TargetMode="External"/><Relationship Id="rId5" Type="http://schemas.openxmlformats.org/officeDocument/2006/relationships/hyperlink" Target="https://docs.google.com/spreadsheets/d/1XuH9AIkytXTRV-Vrp8b0jHueYRHcc4DOre0m4TTKw6s/edit?usp=sharing" TargetMode="External"/><Relationship Id="rId6" Type="http://schemas.openxmlformats.org/officeDocument/2006/relationships/hyperlink" Target="https://docs.google.com/spreadsheets/d/1_wp0MBxKFGrRTMY8TeGh-hIZ4Xzt_ZiuEOM_Geclt5I/edit?usp=sharing" TargetMode="External"/><Relationship Id="rId7" Type="http://schemas.openxmlformats.org/officeDocument/2006/relationships/hyperlink" Target="https://docs.google.com/spreadsheets/d/1RIG6--LmrfrfnYKF9qSuhOvQUxt5xoFottCJkdEJAg8/edit?usp=sharing" TargetMode="External"/><Relationship Id="rId8" Type="http://schemas.openxmlformats.org/officeDocument/2006/relationships/hyperlink" Target="https://docs.google.com/spreadsheets/d/1TOPcl2q4pDZHgEbTBctjnMEidUZNqKVGXZFyU7nKOsE/edit?usp=sharing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63"/>
    <col customWidth="1" min="2" max="2" width="43.63"/>
    <col customWidth="1" min="3" max="3" width="21.38"/>
    <col customWidth="1" min="4" max="4" width="15.75"/>
    <col customWidth="1" min="5" max="5" width="20.25"/>
    <col customWidth="1" min="6" max="6" width="19.25"/>
    <col customWidth="1" min="7" max="7" width="13.5"/>
    <col customWidth="1" min="8" max="8" width="13.38"/>
    <col customWidth="1" min="9" max="9" width="12.88"/>
    <col customWidth="1" min="11" max="11" width="17.6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4"/>
      <c r="J1" s="5"/>
      <c r="K1" s="5"/>
      <c r="L1" s="5"/>
      <c r="M1" s="4"/>
    </row>
    <row r="2" hidden="1">
      <c r="A2" s="6"/>
      <c r="B2" s="5"/>
      <c r="C2" s="5"/>
      <c r="D2" s="7"/>
      <c r="E2" s="5"/>
      <c r="F2" s="5"/>
      <c r="G2" s="5"/>
      <c r="H2" s="7"/>
      <c r="I2" s="7"/>
      <c r="J2" s="5"/>
      <c r="K2" s="5"/>
      <c r="L2" s="5"/>
      <c r="M2" s="7"/>
    </row>
    <row r="3">
      <c r="A3" s="8" t="s">
        <v>8</v>
      </c>
      <c r="B3" s="5" t="s">
        <v>9</v>
      </c>
      <c r="C3" s="5">
        <v>100.0</v>
      </c>
      <c r="D3" s="7">
        <v>9.95</v>
      </c>
      <c r="E3" s="9">
        <v>6.63</v>
      </c>
      <c r="F3" s="9">
        <v>2.99</v>
      </c>
      <c r="G3" s="9">
        <v>2.14</v>
      </c>
      <c r="H3" s="7">
        <v>92.19251336898395</v>
      </c>
      <c r="I3" s="7"/>
      <c r="J3" s="5"/>
      <c r="K3" s="5"/>
      <c r="L3" s="5"/>
      <c r="M3" s="7"/>
    </row>
    <row r="4">
      <c r="A4" s="8" t="s">
        <v>8</v>
      </c>
      <c r="B4" s="5" t="s">
        <v>10</v>
      </c>
      <c r="C4" s="5">
        <v>100.0</v>
      </c>
      <c r="D4" s="7">
        <v>14.22</v>
      </c>
      <c r="E4" s="9">
        <v>7.33</v>
      </c>
      <c r="F4" s="9">
        <v>6.89</v>
      </c>
      <c r="G4" s="9">
        <v>2.89</v>
      </c>
      <c r="H4" s="7">
        <v>148.0</v>
      </c>
      <c r="I4" s="7"/>
      <c r="J4" s="5"/>
      <c r="K4" s="5"/>
      <c r="L4" s="5"/>
      <c r="M4" s="7"/>
    </row>
    <row r="5">
      <c r="A5" s="8" t="s">
        <v>8</v>
      </c>
      <c r="B5" s="5" t="s">
        <v>11</v>
      </c>
      <c r="C5" s="5">
        <v>100.0</v>
      </c>
      <c r="D5" s="7">
        <v>12.07</v>
      </c>
      <c r="E5" s="9">
        <v>28.68</v>
      </c>
      <c r="F5" s="9">
        <v>4.55</v>
      </c>
      <c r="G5" s="9">
        <v>1.57</v>
      </c>
      <c r="H5" s="7">
        <v>203.44827586206898</v>
      </c>
      <c r="I5" s="7"/>
      <c r="J5" s="5"/>
      <c r="K5" s="5"/>
      <c r="L5" s="5"/>
      <c r="M5" s="7"/>
    </row>
    <row r="6">
      <c r="A6" s="10" t="str">
        <f>IFERROR(__xludf.DUMMYFUNCTION("importrange(""https://docs.google.com/spreadsheets/d/1kdEzLg2_c2axiTHIXlWgD8P-jWlpEuHV36aE8b5joXs/edit#gid=0"",""DB!A2:H10000"")"),"Алкохоли и коктейли")</f>
        <v>Алкохоли и коктейли</v>
      </c>
      <c r="B6" s="5" t="str">
        <f>IFERROR(__xludf.DUMMYFUNCTION("""COMPUTED_VALUE"""),"Ракия")</f>
        <v>Ракия</v>
      </c>
      <c r="C6" s="11">
        <f>IFERROR(__xludf.DUMMYFUNCTION("""COMPUTED_VALUE"""),100.0)</f>
        <v>100</v>
      </c>
      <c r="D6" s="7">
        <f>IFERROR(__xludf.DUMMYFUNCTION("""COMPUTED_VALUE"""),2.0)</f>
        <v>2</v>
      </c>
      <c r="E6" s="5">
        <f>IFERROR(__xludf.DUMMYFUNCTION("""COMPUTED_VALUE"""),20.0)</f>
        <v>20</v>
      </c>
      <c r="F6" s="5">
        <f>IFERROR(__xludf.DUMMYFUNCTION("""COMPUTED_VALUE"""),5.0)</f>
        <v>5</v>
      </c>
      <c r="G6" s="5">
        <f>IFERROR(__xludf.DUMMYFUNCTION("""COMPUTED_VALUE"""),2.0)</f>
        <v>2</v>
      </c>
      <c r="H6" s="12">
        <f>IFERROR(__xludf.DUMMYFUNCTION("""COMPUTED_VALUE"""),133.0)</f>
        <v>133</v>
      </c>
      <c r="I6" s="7"/>
      <c r="J6" s="5"/>
      <c r="K6" s="5"/>
      <c r="L6" s="5"/>
      <c r="M6" s="7"/>
    </row>
    <row r="7">
      <c r="A7" s="13" t="str">
        <f>IFERROR(__xludf.DUMMYFUNCTION("""COMPUTED_VALUE"""),"Алкохоли и коктейли")</f>
        <v>Алкохоли и коктейли</v>
      </c>
      <c r="B7" s="5" t="str">
        <f>IFERROR(__xludf.DUMMYFUNCTION("""COMPUTED_VALUE"""),"Бренди, коняк")</f>
        <v>Бренди, коняк</v>
      </c>
      <c r="C7" s="11">
        <f>IFERROR(__xludf.DUMMYFUNCTION("""COMPUTED_VALUE"""),100.0)</f>
        <v>100</v>
      </c>
      <c r="D7" s="7">
        <f>IFERROR(__xludf.DUMMYFUNCTION("""COMPUTED_VALUE"""),0.0)</f>
        <v>0</v>
      </c>
      <c r="E7" s="5">
        <f>IFERROR(__xludf.DUMMYFUNCTION("""COMPUTED_VALUE"""),56.0)</f>
        <v>56</v>
      </c>
      <c r="F7" s="5">
        <f>IFERROR(__xludf.DUMMYFUNCTION("""COMPUTED_VALUE"""),0.0)</f>
        <v>0</v>
      </c>
      <c r="G7" s="5" t="str">
        <f>IFERROR(__xludf.DUMMYFUNCTION("""COMPUTED_VALUE"""),"0")</f>
        <v>0</v>
      </c>
      <c r="H7" s="12">
        <f>IFERROR(__xludf.DUMMYFUNCTION("""COMPUTED_VALUE"""),224.0)</f>
        <v>224</v>
      </c>
      <c r="I7" s="7"/>
      <c r="J7" s="5"/>
      <c r="K7" s="5"/>
      <c r="L7" s="5"/>
      <c r="M7" s="7"/>
    </row>
    <row r="8">
      <c r="A8" s="13" t="str">
        <f>IFERROR(__xludf.DUMMYFUNCTION("""COMPUTED_VALUE"""),"Алкохоли и коктейли")</f>
        <v>Алкохоли и коктейли</v>
      </c>
      <c r="B8" s="5" t="str">
        <f>IFERROR(__xludf.DUMMYFUNCTION("""COMPUTED_VALUE"""),"Уиски, ром, джин, текила, водка")</f>
        <v>Уиски, ром, джин, текила, водка</v>
      </c>
      <c r="C8" s="11">
        <f>IFERROR(__xludf.DUMMYFUNCTION("""COMPUTED_VALUE"""),100.0)</f>
        <v>100</v>
      </c>
      <c r="D8" s="7">
        <f>IFERROR(__xludf.DUMMYFUNCTION("""COMPUTED_VALUE"""),0.0)</f>
        <v>0</v>
      </c>
      <c r="E8" s="5">
        <f>IFERROR(__xludf.DUMMYFUNCTION("""COMPUTED_VALUE"""),55.0)</f>
        <v>55</v>
      </c>
      <c r="F8" s="5">
        <f>IFERROR(__xludf.DUMMYFUNCTION("""COMPUTED_VALUE"""),0.0)</f>
        <v>0</v>
      </c>
      <c r="G8" s="5" t="str">
        <f>IFERROR(__xludf.DUMMYFUNCTION("""COMPUTED_VALUE"""),"0")</f>
        <v>0</v>
      </c>
      <c r="H8" s="12">
        <f>IFERROR(__xludf.DUMMYFUNCTION("""COMPUTED_VALUE"""),220.0)</f>
        <v>220</v>
      </c>
      <c r="I8" s="7"/>
      <c r="J8" s="5"/>
      <c r="K8" s="5"/>
      <c r="L8" s="5"/>
      <c r="M8" s="7"/>
    </row>
    <row r="9">
      <c r="A9" s="13" t="str">
        <f>IFERROR(__xludf.DUMMYFUNCTION("""COMPUTED_VALUE"""),"Алкохоли и коктейли")</f>
        <v>Алкохоли и коктейли</v>
      </c>
      <c r="B9" s="5" t="str">
        <f>IFERROR(__xludf.DUMMYFUNCTION("""COMPUTED_VALUE"""),"Мартини, коктейл, сухо")</f>
        <v>Мартини, коктейл, сухо</v>
      </c>
      <c r="C9" s="11">
        <f>IFERROR(__xludf.DUMMYFUNCTION("""COMPUTED_VALUE"""),100.0)</f>
        <v>100</v>
      </c>
      <c r="D9" s="7">
        <f>IFERROR(__xludf.DUMMYFUNCTION("""COMPUTED_VALUE"""),0.0)</f>
        <v>0</v>
      </c>
      <c r="E9" s="5">
        <f>IFERROR(__xludf.DUMMYFUNCTION("""COMPUTED_VALUE"""),52.0)</f>
        <v>52</v>
      </c>
      <c r="F9" s="5">
        <f>IFERROR(__xludf.DUMMYFUNCTION("""COMPUTED_VALUE"""),0.0)</f>
        <v>0</v>
      </c>
      <c r="G9" s="5" t="str">
        <f>IFERROR(__xludf.DUMMYFUNCTION("""COMPUTED_VALUE"""),"0")</f>
        <v>0</v>
      </c>
      <c r="H9" s="12">
        <f>IFERROR(__xludf.DUMMYFUNCTION("""COMPUTED_VALUE"""),208.0)</f>
        <v>208</v>
      </c>
      <c r="I9" s="7"/>
      <c r="J9" s="5"/>
      <c r="K9" s="5"/>
      <c r="L9" s="5"/>
      <c r="M9" s="7"/>
    </row>
    <row r="10">
      <c r="A10" s="13" t="str">
        <f>IFERROR(__xludf.DUMMYFUNCTION("""COMPUTED_VALUE"""),"Алкохоли и коктейли")</f>
        <v>Алкохоли и коктейли</v>
      </c>
      <c r="B10" s="5" t="str">
        <f>IFERROR(__xludf.DUMMYFUNCTION("""COMPUTED_VALUE"""),"Дайкири, коктейл")</f>
        <v>Дайкири, коктейл</v>
      </c>
      <c r="C10" s="11">
        <f>IFERROR(__xludf.DUMMYFUNCTION("""COMPUTED_VALUE"""),100.0)</f>
        <v>100</v>
      </c>
      <c r="D10" s="7">
        <f>IFERROR(__xludf.DUMMYFUNCTION("""COMPUTED_VALUE"""),0.0)</f>
        <v>0</v>
      </c>
      <c r="E10" s="5">
        <f>IFERROR(__xludf.DUMMYFUNCTION("""COMPUTED_VALUE"""),48.0)</f>
        <v>48</v>
      </c>
      <c r="F10" s="5">
        <f>IFERROR(__xludf.DUMMYFUNCTION("""COMPUTED_VALUE"""),0.0)</f>
        <v>0</v>
      </c>
      <c r="G10" s="5" t="str">
        <f>IFERROR(__xludf.DUMMYFUNCTION("""COMPUTED_VALUE"""),"0")</f>
        <v>0</v>
      </c>
      <c r="H10" s="12">
        <f>IFERROR(__xludf.DUMMYFUNCTION("""COMPUTED_VALUE"""),192.0)</f>
        <v>192</v>
      </c>
      <c r="I10" s="7"/>
      <c r="J10" s="5"/>
      <c r="K10" s="5"/>
      <c r="L10" s="5"/>
      <c r="M10" s="7"/>
    </row>
    <row r="11">
      <c r="A11" s="13" t="str">
        <f>IFERROR(__xludf.DUMMYFUNCTION("""COMPUTED_VALUE"""),"Алкохоли и коктейли")</f>
        <v>Алкохоли и коктейли</v>
      </c>
      <c r="B11" s="5" t="str">
        <f>IFERROR(__xludf.DUMMYFUNCTION("""COMPUTED_VALUE"""),"Мартини, коктейл традиционен")</f>
        <v>Мартини, коктейл традиционен</v>
      </c>
      <c r="C11" s="11">
        <f>IFERROR(__xludf.DUMMYFUNCTION("""COMPUTED_VALUE"""),100.0)</f>
        <v>100</v>
      </c>
      <c r="D11" s="7">
        <f>IFERROR(__xludf.DUMMYFUNCTION("""COMPUTED_VALUE"""),0.0)</f>
        <v>0</v>
      </c>
      <c r="E11" s="5">
        <f>IFERROR(__xludf.DUMMYFUNCTION("""COMPUTED_VALUE"""),47.0)</f>
        <v>47</v>
      </c>
      <c r="F11" s="5">
        <f>IFERROR(__xludf.DUMMYFUNCTION("""COMPUTED_VALUE"""),0.0)</f>
        <v>0</v>
      </c>
      <c r="G11" s="5" t="str">
        <f>IFERROR(__xludf.DUMMYFUNCTION("""COMPUTED_VALUE"""),"0")</f>
        <v>0</v>
      </c>
      <c r="H11" s="12">
        <f>IFERROR(__xludf.DUMMYFUNCTION("""COMPUTED_VALUE"""),188.0)</f>
        <v>188</v>
      </c>
      <c r="I11" s="7"/>
      <c r="J11" s="5"/>
      <c r="K11" s="5"/>
      <c r="L11" s="5"/>
      <c r="M11" s="7"/>
    </row>
    <row r="12">
      <c r="A12" s="13" t="str">
        <f>IFERROR(__xludf.DUMMYFUNCTION("""COMPUTED_VALUE"""),"Алкохоли и коктейли")</f>
        <v>Алкохоли и коктейли</v>
      </c>
      <c r="B12" s="5" t="str">
        <f>IFERROR(__xludf.DUMMYFUNCTION("""COMPUTED_VALUE"""),"Пина Колада, коктейл")</f>
        <v>Пина Колада, коктейл</v>
      </c>
      <c r="C12" s="11">
        <f>IFERROR(__xludf.DUMMYFUNCTION("""COMPUTED_VALUE"""),100.0)</f>
        <v>100</v>
      </c>
      <c r="D12" s="7">
        <f>IFERROR(__xludf.DUMMYFUNCTION("""COMPUTED_VALUE"""),0.0)</f>
        <v>0</v>
      </c>
      <c r="E12" s="5">
        <f>IFERROR(__xludf.DUMMYFUNCTION("""COMPUTED_VALUE"""),46.0)</f>
        <v>46</v>
      </c>
      <c r="F12" s="5">
        <f>IFERROR(__xludf.DUMMYFUNCTION("""COMPUTED_VALUE"""),0.0)</f>
        <v>0</v>
      </c>
      <c r="G12" s="5" t="str">
        <f>IFERROR(__xludf.DUMMYFUNCTION("""COMPUTED_VALUE"""),"0")</f>
        <v>0</v>
      </c>
      <c r="H12" s="12">
        <f>IFERROR(__xludf.DUMMYFUNCTION("""COMPUTED_VALUE"""),184.0)</f>
        <v>184</v>
      </c>
      <c r="I12" s="7"/>
      <c r="J12" s="5"/>
      <c r="K12" s="5"/>
      <c r="L12" s="5"/>
      <c r="M12" s="7"/>
    </row>
    <row r="13">
      <c r="A13" s="13" t="str">
        <f>IFERROR(__xludf.DUMMYFUNCTION("""COMPUTED_VALUE"""),"Алкохоли и коктейли")</f>
        <v>Алкохоли и коктейли</v>
      </c>
      <c r="B13" s="5" t="str">
        <f>IFERROR(__xludf.DUMMYFUNCTION("""COMPUTED_VALUE"""),"Космополитън, коктейл")</f>
        <v>Космополитън, коктейл</v>
      </c>
      <c r="C13" s="11">
        <f>IFERROR(__xludf.DUMMYFUNCTION("""COMPUTED_VALUE"""),100.0)</f>
        <v>100</v>
      </c>
      <c r="D13" s="14">
        <f>IFERROR(__xludf.DUMMYFUNCTION("""COMPUTED_VALUE"""),0.0)</f>
        <v>0</v>
      </c>
      <c r="E13" s="5">
        <f>IFERROR(__xludf.DUMMYFUNCTION("""COMPUTED_VALUE"""),45.0)</f>
        <v>45</v>
      </c>
      <c r="F13" s="5">
        <f>IFERROR(__xludf.DUMMYFUNCTION("""COMPUTED_VALUE"""),0.0)</f>
        <v>0</v>
      </c>
      <c r="G13" s="5" t="str">
        <f>IFERROR(__xludf.DUMMYFUNCTION("""COMPUTED_VALUE"""),"0")</f>
        <v>0</v>
      </c>
      <c r="H13" s="12">
        <f>IFERROR(__xludf.DUMMYFUNCTION("""COMPUTED_VALUE"""),180.0)</f>
        <v>180</v>
      </c>
      <c r="I13" s="15"/>
      <c r="J13" s="5"/>
      <c r="K13" s="5"/>
      <c r="L13" s="5"/>
      <c r="M13" s="7"/>
    </row>
    <row r="14">
      <c r="A14" s="13" t="str">
        <f>IFERROR(__xludf.DUMMYFUNCTION("""COMPUTED_VALUE"""),"Алкохоли и коктейли")</f>
        <v>Алкохоли и коктейли</v>
      </c>
      <c r="B14" s="5" t="str">
        <f>IFERROR(__xludf.DUMMYFUNCTION("""COMPUTED_VALUE"""),"Вино, вермут сладък")</f>
        <v>Вино, вермут сладък</v>
      </c>
      <c r="C14" s="11">
        <f>IFERROR(__xludf.DUMMYFUNCTION("""COMPUTED_VALUE"""),100.0)</f>
        <v>100</v>
      </c>
      <c r="D14" s="7">
        <f>IFERROR(__xludf.DUMMYFUNCTION("""COMPUTED_VALUE"""),0.0)</f>
        <v>0</v>
      </c>
      <c r="E14" s="5">
        <f>IFERROR(__xludf.DUMMYFUNCTION("""COMPUTED_VALUE"""),40.0)</f>
        <v>40</v>
      </c>
      <c r="F14" s="5">
        <f>IFERROR(__xludf.DUMMYFUNCTION("""COMPUTED_VALUE"""),0.0)</f>
        <v>0</v>
      </c>
      <c r="G14" s="5" t="str">
        <f>IFERROR(__xludf.DUMMYFUNCTION("""COMPUTED_VALUE"""),"0")</f>
        <v>0</v>
      </c>
      <c r="H14" s="12">
        <f>IFERROR(__xludf.DUMMYFUNCTION("""COMPUTED_VALUE"""),160.0)</f>
        <v>160</v>
      </c>
      <c r="I14" s="7"/>
      <c r="J14" s="5"/>
      <c r="K14" s="5"/>
      <c r="L14" s="5"/>
      <c r="M14" s="7"/>
    </row>
    <row r="15">
      <c r="A15" s="13" t="str">
        <f>IFERROR(__xludf.DUMMYFUNCTION("""COMPUTED_VALUE"""),"Алкохоли и коктейли")</f>
        <v>Алкохоли и коктейли</v>
      </c>
      <c r="B15" s="16" t="str">
        <f>IFERROR(__xludf.DUMMYFUNCTION("""COMPUTED_VALUE"""),"Манхатън, коктейл")</f>
        <v>Манхатън, коктейл</v>
      </c>
      <c r="C15" s="11">
        <f>IFERROR(__xludf.DUMMYFUNCTION("""COMPUTED_VALUE"""),100.0)</f>
        <v>100</v>
      </c>
      <c r="D15" s="7">
        <f>IFERROR(__xludf.DUMMYFUNCTION("""COMPUTED_VALUE"""),0.0)</f>
        <v>0</v>
      </c>
      <c r="E15" s="5">
        <f>IFERROR(__xludf.DUMMYFUNCTION("""COMPUTED_VALUE"""),40.0)</f>
        <v>40</v>
      </c>
      <c r="F15" s="5">
        <f>IFERROR(__xludf.DUMMYFUNCTION("""COMPUTED_VALUE"""),0.0)</f>
        <v>0</v>
      </c>
      <c r="G15" s="5" t="str">
        <f>IFERROR(__xludf.DUMMYFUNCTION("""COMPUTED_VALUE"""),"0")</f>
        <v>0</v>
      </c>
      <c r="H15" s="12">
        <f>IFERROR(__xludf.DUMMYFUNCTION("""COMPUTED_VALUE"""),160.0)</f>
        <v>160</v>
      </c>
      <c r="I15" s="7"/>
      <c r="J15" s="5"/>
      <c r="K15" s="5"/>
      <c r="L15" s="5"/>
      <c r="M15" s="7"/>
    </row>
    <row r="16">
      <c r="A16" s="13" t="str">
        <f>IFERROR(__xludf.DUMMYFUNCTION("""COMPUTED_VALUE"""),"Алкохоли и коктейли")</f>
        <v>Алкохоли и коктейли</v>
      </c>
      <c r="B16" s="5" t="str">
        <f>IFERROR(__xludf.DUMMYFUNCTION("""COMPUTED_VALUE"""),"Уиски с лимон, коктейл")</f>
        <v>Уиски с лимон, коктейл</v>
      </c>
      <c r="C16" s="11">
        <f>IFERROR(__xludf.DUMMYFUNCTION("""COMPUTED_VALUE"""),100.0)</f>
        <v>100</v>
      </c>
      <c r="D16" s="7">
        <f>IFERROR(__xludf.DUMMYFUNCTION("""COMPUTED_VALUE"""),0.0)</f>
        <v>0</v>
      </c>
      <c r="E16" s="5">
        <f>IFERROR(__xludf.DUMMYFUNCTION("""COMPUTED_VALUE"""),39.0)</f>
        <v>39</v>
      </c>
      <c r="F16" s="5">
        <f>IFERROR(__xludf.DUMMYFUNCTION("""COMPUTED_VALUE"""),0.0)</f>
        <v>0</v>
      </c>
      <c r="G16" s="5" t="str">
        <f>IFERROR(__xludf.DUMMYFUNCTION("""COMPUTED_VALUE"""),"0")</f>
        <v>0</v>
      </c>
      <c r="H16" s="12">
        <f>IFERROR(__xludf.DUMMYFUNCTION("""COMPUTED_VALUE"""),156.0)</f>
        <v>156</v>
      </c>
      <c r="I16" s="17"/>
      <c r="J16" s="5"/>
      <c r="K16" s="5"/>
      <c r="L16" s="5"/>
      <c r="M16" s="7"/>
    </row>
    <row r="17">
      <c r="A17" s="13" t="str">
        <f>IFERROR(__xludf.DUMMYFUNCTION("""COMPUTED_VALUE"""),"Алкохоли и коктейли")</f>
        <v>Алкохоли и коктейли</v>
      </c>
      <c r="B17" s="16" t="str">
        <f>IFERROR(__xludf.DUMMYFUNCTION("""COMPUTED_VALUE"""),"Вино, порт")</f>
        <v>Вино, порт</v>
      </c>
      <c r="C17" s="11">
        <f>IFERROR(__xludf.DUMMYFUNCTION("""COMPUTED_VALUE"""),100.0)</f>
        <v>100</v>
      </c>
      <c r="D17" s="7">
        <f>IFERROR(__xludf.DUMMYFUNCTION("""COMPUTED_VALUE"""),0.0)</f>
        <v>0</v>
      </c>
      <c r="E17" s="5">
        <f>IFERROR(__xludf.DUMMYFUNCTION("""COMPUTED_VALUE"""),38.0)</f>
        <v>38</v>
      </c>
      <c r="F17" s="5">
        <f>IFERROR(__xludf.DUMMYFUNCTION("""COMPUTED_VALUE"""),0.0)</f>
        <v>0</v>
      </c>
      <c r="G17" s="5" t="str">
        <f>IFERROR(__xludf.DUMMYFUNCTION("""COMPUTED_VALUE"""),"0")</f>
        <v>0</v>
      </c>
      <c r="H17" s="12">
        <f>IFERROR(__xludf.DUMMYFUNCTION("""COMPUTED_VALUE"""),152.0)</f>
        <v>152</v>
      </c>
      <c r="I17" s="7"/>
      <c r="J17" s="5"/>
      <c r="K17" s="5"/>
      <c r="L17" s="5"/>
      <c r="M17" s="7"/>
    </row>
    <row r="18">
      <c r="A18" s="13" t="str">
        <f>IFERROR(__xludf.DUMMYFUNCTION("""COMPUTED_VALUE"""),"Алкохоли и коктейли")</f>
        <v>Алкохоли и коктейли</v>
      </c>
      <c r="B18" s="5" t="str">
        <f>IFERROR(__xludf.DUMMYFUNCTION("""COMPUTED_VALUE"""),"Маргарита, коктейл")</f>
        <v>Маргарита, коктейл</v>
      </c>
      <c r="C18" s="11">
        <f>IFERROR(__xludf.DUMMYFUNCTION("""COMPUTED_VALUE"""),100.0)</f>
        <v>100</v>
      </c>
      <c r="D18" s="7">
        <f>IFERROR(__xludf.DUMMYFUNCTION("""COMPUTED_VALUE"""),0.0)</f>
        <v>0</v>
      </c>
      <c r="E18" s="5">
        <f>IFERROR(__xludf.DUMMYFUNCTION("""COMPUTED_VALUE"""),36.0)</f>
        <v>36</v>
      </c>
      <c r="F18" s="5">
        <f>IFERROR(__xludf.DUMMYFUNCTION("""COMPUTED_VALUE"""),0.0)</f>
        <v>0</v>
      </c>
      <c r="G18" s="5" t="str">
        <f>IFERROR(__xludf.DUMMYFUNCTION("""COMPUTED_VALUE"""),"0")</f>
        <v>0</v>
      </c>
      <c r="H18" s="12">
        <f>IFERROR(__xludf.DUMMYFUNCTION("""COMPUTED_VALUE"""),144.0)</f>
        <v>144</v>
      </c>
      <c r="I18" s="7"/>
      <c r="J18" s="5"/>
      <c r="K18" s="5"/>
      <c r="L18" s="5"/>
      <c r="M18" s="7"/>
    </row>
    <row r="19">
      <c r="A19" s="13" t="str">
        <f>IFERROR(__xludf.DUMMYFUNCTION("""COMPUTED_VALUE"""),"Алкохоли и коктейли")</f>
        <v>Алкохоли и коктейли</v>
      </c>
      <c r="B19" s="5" t="str">
        <f>IFERROR(__xludf.DUMMYFUNCTION("""COMPUTED_VALUE"""),"Вино, шери")</f>
        <v>Вино, шери</v>
      </c>
      <c r="C19" s="11">
        <f>IFERROR(__xludf.DUMMYFUNCTION("""COMPUTED_VALUE"""),100.0)</f>
        <v>100</v>
      </c>
      <c r="D19" s="7">
        <f>IFERROR(__xludf.DUMMYFUNCTION("""COMPUTED_VALUE"""),0.0)</f>
        <v>0</v>
      </c>
      <c r="E19" s="5">
        <f>IFERROR(__xludf.DUMMYFUNCTION("""COMPUTED_VALUE"""),32.0)</f>
        <v>32</v>
      </c>
      <c r="F19" s="5">
        <f>IFERROR(__xludf.DUMMYFUNCTION("""COMPUTED_VALUE"""),0.0)</f>
        <v>0</v>
      </c>
      <c r="G19" s="5" t="str">
        <f>IFERROR(__xludf.DUMMYFUNCTION("""COMPUTED_VALUE"""),"0")</f>
        <v>0</v>
      </c>
      <c r="H19" s="12">
        <f>IFERROR(__xludf.DUMMYFUNCTION("""COMPUTED_VALUE"""),128.0)</f>
        <v>128</v>
      </c>
      <c r="I19" s="7"/>
      <c r="J19" s="5"/>
      <c r="K19" s="5"/>
      <c r="L19" s="5"/>
      <c r="M19" s="7"/>
    </row>
    <row r="20">
      <c r="A20" s="13" t="str">
        <f>IFERROR(__xludf.DUMMYFUNCTION("""COMPUTED_VALUE"""),"Алкохоли и коктейли")</f>
        <v>Алкохоли и коктейли</v>
      </c>
      <c r="B20" s="5" t="str">
        <f>IFERROR(__xludf.DUMMYFUNCTION("""COMPUTED_VALUE"""),"Вино, вермут сух")</f>
        <v>Вино, вермут сух</v>
      </c>
      <c r="C20" s="11">
        <f>IFERROR(__xludf.DUMMYFUNCTION("""COMPUTED_VALUE"""),100.0)</f>
        <v>100</v>
      </c>
      <c r="D20" s="7">
        <f>IFERROR(__xludf.DUMMYFUNCTION("""COMPUTED_VALUE"""),0.0)</f>
        <v>0</v>
      </c>
      <c r="E20" s="5">
        <f>IFERROR(__xludf.DUMMYFUNCTION("""COMPUTED_VALUE"""),30.0)</f>
        <v>30</v>
      </c>
      <c r="F20" s="5">
        <f>IFERROR(__xludf.DUMMYFUNCTION("""COMPUTED_VALUE"""),0.0)</f>
        <v>0</v>
      </c>
      <c r="G20" s="5" t="str">
        <f>IFERROR(__xludf.DUMMYFUNCTION("""COMPUTED_VALUE"""),"0")</f>
        <v>0</v>
      </c>
      <c r="H20" s="12">
        <f>IFERROR(__xludf.DUMMYFUNCTION("""COMPUTED_VALUE"""),120.0)</f>
        <v>120</v>
      </c>
      <c r="I20" s="7"/>
      <c r="J20" s="5"/>
      <c r="K20" s="5"/>
      <c r="L20" s="5"/>
      <c r="M20" s="7"/>
    </row>
    <row r="21">
      <c r="A21" s="13" t="str">
        <f>IFERROR(__xludf.DUMMYFUNCTION("""COMPUTED_VALUE"""),"Алкохоли и коктейли")</f>
        <v>Алкохоли и коктейли</v>
      </c>
      <c r="B21" s="5" t="str">
        <f>IFERROR(__xludf.DUMMYFUNCTION("""COMPUTED_VALUE"""),"Червено вино")</f>
        <v>Червено вино</v>
      </c>
      <c r="C21" s="11">
        <f>IFERROR(__xludf.DUMMYFUNCTION("""COMPUTED_VALUE"""),100.0)</f>
        <v>100</v>
      </c>
      <c r="D21" s="7">
        <f>IFERROR(__xludf.DUMMYFUNCTION("""COMPUTED_VALUE"""),0.0)</f>
        <v>0</v>
      </c>
      <c r="E21" s="5">
        <f>IFERROR(__xludf.DUMMYFUNCTION("""COMPUTED_VALUE"""),21.0)</f>
        <v>21</v>
      </c>
      <c r="F21" s="5">
        <f>IFERROR(__xludf.DUMMYFUNCTION("""COMPUTED_VALUE"""),0.0)</f>
        <v>0</v>
      </c>
      <c r="G21" s="5" t="str">
        <f>IFERROR(__xludf.DUMMYFUNCTION("""COMPUTED_VALUE"""),"0")</f>
        <v>0</v>
      </c>
      <c r="H21" s="12">
        <f>IFERROR(__xludf.DUMMYFUNCTION("""COMPUTED_VALUE"""),84.0)</f>
        <v>84</v>
      </c>
      <c r="I21" s="7"/>
      <c r="J21" s="5"/>
      <c r="K21" s="5"/>
      <c r="L21" s="5"/>
      <c r="M21" s="7"/>
    </row>
    <row r="22">
      <c r="A22" s="13" t="str">
        <f>IFERROR(__xludf.DUMMYFUNCTION("""COMPUTED_VALUE"""),"Алкохоли и коктейли")</f>
        <v>Алкохоли и коктейли</v>
      </c>
      <c r="B22" s="5" t="str">
        <f>IFERROR(__xludf.DUMMYFUNCTION("""COMPUTED_VALUE"""),"Бяло вино")</f>
        <v>Бяло вино</v>
      </c>
      <c r="C22" s="18">
        <f>IFERROR(__xludf.DUMMYFUNCTION("""COMPUTED_VALUE"""),100.0)</f>
        <v>100</v>
      </c>
      <c r="D22" s="7">
        <f>IFERROR(__xludf.DUMMYFUNCTION("""COMPUTED_VALUE"""),0.0)</f>
        <v>0</v>
      </c>
      <c r="E22" s="5">
        <f>IFERROR(__xludf.DUMMYFUNCTION("""COMPUTED_VALUE"""),20.0)</f>
        <v>20</v>
      </c>
      <c r="F22" s="5">
        <f>IFERROR(__xludf.DUMMYFUNCTION("""COMPUTED_VALUE"""),0.0)</f>
        <v>0</v>
      </c>
      <c r="G22" s="5" t="str">
        <f>IFERROR(__xludf.DUMMYFUNCTION("""COMPUTED_VALUE"""),"0")</f>
        <v>0</v>
      </c>
      <c r="H22" s="12">
        <f>IFERROR(__xludf.DUMMYFUNCTION("""COMPUTED_VALUE"""),80.0)</f>
        <v>80</v>
      </c>
      <c r="I22" s="7"/>
      <c r="J22" s="5"/>
      <c r="K22" s="5"/>
      <c r="L22" s="5"/>
      <c r="M22" s="7"/>
    </row>
    <row r="23">
      <c r="A23" s="13" t="str">
        <f>IFERROR(__xludf.DUMMYFUNCTION("""COMPUTED_VALUE"""),"Алкохоли и коктейли")</f>
        <v>Алкохоли и коктейли</v>
      </c>
      <c r="B23" s="5" t="str">
        <f>IFERROR(__xludf.DUMMYFUNCTION("""COMPUTED_VALUE"""),"Мохито, коктейл")</f>
        <v>Мохито, коктейл</v>
      </c>
      <c r="C23" s="11">
        <f>IFERROR(__xludf.DUMMYFUNCTION("""COMPUTED_VALUE"""),100.0)</f>
        <v>100</v>
      </c>
      <c r="D23" s="7">
        <f>IFERROR(__xludf.DUMMYFUNCTION("""COMPUTED_VALUE"""),0.0)</f>
        <v>0</v>
      </c>
      <c r="E23" s="5">
        <f>IFERROR(__xludf.DUMMYFUNCTION("""COMPUTED_VALUE"""),20.0)</f>
        <v>20</v>
      </c>
      <c r="F23" s="5">
        <f>IFERROR(__xludf.DUMMYFUNCTION("""COMPUTED_VALUE"""),0.0)</f>
        <v>0</v>
      </c>
      <c r="G23" s="5" t="str">
        <f>IFERROR(__xludf.DUMMYFUNCTION("""COMPUTED_VALUE"""),"0")</f>
        <v>0</v>
      </c>
      <c r="H23" s="12">
        <f>IFERROR(__xludf.DUMMYFUNCTION("""COMPUTED_VALUE"""),80.0)</f>
        <v>80</v>
      </c>
      <c r="I23" s="7"/>
      <c r="J23" s="5"/>
      <c r="K23" s="5"/>
      <c r="L23" s="5"/>
      <c r="M23" s="7"/>
    </row>
    <row r="24">
      <c r="A24" s="16" t="str">
        <f>IFERROR(__xludf.DUMMYFUNCTION("""COMPUTED_VALUE"""),"Алкохоли и коктейли")</f>
        <v>Алкохоли и коктейли</v>
      </c>
      <c r="B24" s="5" t="str">
        <f>IFERROR(__xludf.DUMMYFUNCTION("""COMPUTED_VALUE"""),"Вино, шампанско")</f>
        <v>Вино, шампанско</v>
      </c>
      <c r="C24" s="11">
        <f>IFERROR(__xludf.DUMMYFUNCTION("""COMPUTED_VALUE"""),100.0)</f>
        <v>100</v>
      </c>
      <c r="D24" s="7">
        <f>IFERROR(__xludf.DUMMYFUNCTION("""COMPUTED_VALUE"""),0.0)</f>
        <v>0</v>
      </c>
      <c r="E24" s="5">
        <f>IFERROR(__xludf.DUMMYFUNCTION("""COMPUTED_VALUE"""),18.0)</f>
        <v>18</v>
      </c>
      <c r="F24" s="5">
        <f>IFERROR(__xludf.DUMMYFUNCTION("""COMPUTED_VALUE"""),0.0)</f>
        <v>0</v>
      </c>
      <c r="G24" s="5" t="str">
        <f>IFERROR(__xludf.DUMMYFUNCTION("""COMPUTED_VALUE"""),"0")</f>
        <v>0</v>
      </c>
      <c r="H24" s="12">
        <f>IFERROR(__xludf.DUMMYFUNCTION("""COMPUTED_VALUE"""),72.0)</f>
        <v>72</v>
      </c>
      <c r="I24" s="7"/>
      <c r="J24" s="5"/>
      <c r="K24" s="5"/>
      <c r="L24" s="5"/>
      <c r="M24" s="7"/>
    </row>
    <row r="25">
      <c r="A25" s="16" t="str">
        <f>IFERROR(__xludf.DUMMYFUNCTION("""COMPUTED_VALUE"""),"Алкохоли и коктейли")</f>
        <v>Алкохоли и коктейли</v>
      </c>
      <c r="B25" s="5" t="str">
        <f>IFERROR(__xludf.DUMMYFUNCTION("""COMPUTED_VALUE"""),"Бира")</f>
        <v>Бира</v>
      </c>
      <c r="C25" s="11">
        <f>IFERROR(__xludf.DUMMYFUNCTION("""COMPUTED_VALUE"""),100.0)</f>
        <v>100</v>
      </c>
      <c r="D25" s="7">
        <f>IFERROR(__xludf.DUMMYFUNCTION("""COMPUTED_VALUE"""),0.0)</f>
        <v>0</v>
      </c>
      <c r="E25" s="5">
        <f>IFERROR(__xludf.DUMMYFUNCTION("""COMPUTED_VALUE"""),11.0)</f>
        <v>11</v>
      </c>
      <c r="F25" s="5">
        <f>IFERROR(__xludf.DUMMYFUNCTION("""COMPUTED_VALUE"""),0.0)</f>
        <v>0</v>
      </c>
      <c r="G25" s="5" t="str">
        <f>IFERROR(__xludf.DUMMYFUNCTION("""COMPUTED_VALUE"""),"0")</f>
        <v>0</v>
      </c>
      <c r="H25" s="12">
        <f>IFERROR(__xludf.DUMMYFUNCTION("""COMPUTED_VALUE"""),44.0)</f>
        <v>44</v>
      </c>
      <c r="I25" s="7"/>
      <c r="J25" s="5"/>
      <c r="K25" s="5"/>
      <c r="L25" s="5"/>
      <c r="M25" s="7"/>
    </row>
    <row r="26">
      <c r="A26" s="16" t="str">
        <f>IFERROR(__xludf.DUMMYFUNCTION("""COMPUTED_VALUE"""),"Алкохоли и коктейли")</f>
        <v>Алкохоли и коктейли</v>
      </c>
      <c r="B26" s="5" t="str">
        <f>IFERROR(__xludf.DUMMYFUNCTION("""COMPUTED_VALUE"""),"Heineken 0.0")</f>
        <v>Heineken 0.0</v>
      </c>
      <c r="C26" s="11">
        <f>IFERROR(__xludf.DUMMYFUNCTION("""COMPUTED_VALUE"""),100.0)</f>
        <v>100</v>
      </c>
      <c r="D26" s="7">
        <f>IFERROR(__xludf.DUMMYFUNCTION("""COMPUTED_VALUE"""),0.0)</f>
        <v>0</v>
      </c>
      <c r="E26" s="5">
        <f>IFERROR(__xludf.DUMMYFUNCTION("""COMPUTED_VALUE"""),4.8)</f>
        <v>4.8</v>
      </c>
      <c r="F26" s="5">
        <f>IFERROR(__xludf.DUMMYFUNCTION("""COMPUTED_VALUE"""),0.0)</f>
        <v>0</v>
      </c>
      <c r="G26" s="5">
        <f>IFERROR(__xludf.DUMMYFUNCTION("""COMPUTED_VALUE"""),0.0)</f>
        <v>0</v>
      </c>
      <c r="H26" s="12">
        <f>IFERROR(__xludf.DUMMYFUNCTION("""COMPUTED_VALUE"""),19.2)</f>
        <v>19.2</v>
      </c>
      <c r="I26" s="7"/>
      <c r="J26" s="5"/>
      <c r="K26" s="5"/>
      <c r="L26" s="5"/>
      <c r="M26" s="7"/>
    </row>
    <row r="27">
      <c r="A27" s="16" t="str">
        <f>IFERROR(__xludf.DUMMYFUNCTION("""COMPUTED_VALUE"""),"Алкохоли и коктейли")</f>
        <v>Алкохоли и коктейли</v>
      </c>
      <c r="B27" s="5" t="str">
        <f>IFERROR(__xludf.DUMMYFUNCTION("""COMPUTED_VALUE"""),"Безалкохолна бира Heineken 0.0")</f>
        <v>Безалкохолна бира Heineken 0.0</v>
      </c>
      <c r="C27" s="11">
        <f>IFERROR(__xludf.DUMMYFUNCTION("""COMPUTED_VALUE"""),100.0)</f>
        <v>100</v>
      </c>
      <c r="D27" s="7">
        <f>IFERROR(__xludf.DUMMYFUNCTION("""COMPUTED_VALUE"""),0.0)</f>
        <v>0</v>
      </c>
      <c r="E27" s="5">
        <f>IFERROR(__xludf.DUMMYFUNCTION("""COMPUTED_VALUE"""),4.8)</f>
        <v>4.8</v>
      </c>
      <c r="F27" s="5">
        <f>IFERROR(__xludf.DUMMYFUNCTION("""COMPUTED_VALUE"""),0.0)</f>
        <v>0</v>
      </c>
      <c r="G27" s="5">
        <f>IFERROR(__xludf.DUMMYFUNCTION("""COMPUTED_VALUE"""),0.0)</f>
        <v>0</v>
      </c>
      <c r="H27" s="12">
        <f>IFERROR(__xludf.DUMMYFUNCTION("""COMPUTED_VALUE"""),19.2)</f>
        <v>19.2</v>
      </c>
      <c r="I27" s="7"/>
      <c r="J27" s="5"/>
      <c r="K27" s="5"/>
      <c r="L27" s="5"/>
      <c r="M27" s="7"/>
    </row>
    <row r="28">
      <c r="A28" s="16" t="str">
        <f>IFERROR(__xludf.DUMMYFUNCTION("""COMPUTED_VALUE"""),"Алкохоли и коктейли")</f>
        <v>Алкохоли и коктейли</v>
      </c>
      <c r="B28" s="5" t="str">
        <f>IFERROR(__xludf.DUMMYFUNCTION("""COMPUTED_VALUE"""),"Бира OeTTINGER Безалкохолна")</f>
        <v>Бира OeTTINGER Безалкохолна</v>
      </c>
      <c r="C28" s="11">
        <f>IFERROR(__xludf.DUMMYFUNCTION("""COMPUTED_VALUE"""),100.0)</f>
        <v>100</v>
      </c>
      <c r="D28" s="7">
        <f>IFERROR(__xludf.DUMMYFUNCTION("""COMPUTED_VALUE"""),0.5)</f>
        <v>0.5</v>
      </c>
      <c r="E28" s="5">
        <f>IFERROR(__xludf.DUMMYFUNCTION("""COMPUTED_VALUE"""),6.6)</f>
        <v>6.6</v>
      </c>
      <c r="F28" s="5">
        <f>IFERROR(__xludf.DUMMYFUNCTION("""COMPUTED_VALUE"""),0.5)</f>
        <v>0.5</v>
      </c>
      <c r="G28" s="5">
        <f>IFERROR(__xludf.DUMMYFUNCTION("""COMPUTED_VALUE"""),0.0)</f>
        <v>0</v>
      </c>
      <c r="H28" s="12">
        <f>IFERROR(__xludf.DUMMYFUNCTION("""COMPUTED_VALUE"""),32.9)</f>
        <v>32.9</v>
      </c>
      <c r="I28" s="7"/>
      <c r="J28" s="5"/>
      <c r="K28" s="5"/>
      <c r="L28" s="5"/>
      <c r="M28" s="7"/>
    </row>
    <row r="29">
      <c r="A29" s="16" t="str">
        <f>IFERROR(__xludf.DUMMYFUNCTION("""COMPUTED_VALUE"""),"Алкохоли и коктейли")</f>
        <v>Алкохоли и коктейли</v>
      </c>
      <c r="B29" s="5" t="str">
        <f>IFERROR(__xludf.DUMMYFUNCTION("""COMPUTED_VALUE"""),"Бира  Stolichno Bock")</f>
        <v>Бира  Stolichno Bock</v>
      </c>
      <c r="C29" s="11">
        <f>IFERROR(__xludf.DUMMYFUNCTION("""COMPUTED_VALUE"""),100.0)</f>
        <v>100</v>
      </c>
      <c r="D29" s="7">
        <f>IFERROR(__xludf.DUMMYFUNCTION("""COMPUTED_VALUE"""),1.1)</f>
        <v>1.1</v>
      </c>
      <c r="E29" s="5">
        <f>IFERROR(__xludf.DUMMYFUNCTION("""COMPUTED_VALUE"""),4.9)</f>
        <v>4.9</v>
      </c>
      <c r="F29" s="5">
        <f>IFERROR(__xludf.DUMMYFUNCTION("""COMPUTED_VALUE"""),0.0)</f>
        <v>0</v>
      </c>
      <c r="G29" s="5">
        <f>IFERROR(__xludf.DUMMYFUNCTION("""COMPUTED_VALUE"""),0.0)</f>
        <v>0</v>
      </c>
      <c r="H29" s="12">
        <f>IFERROR(__xludf.DUMMYFUNCTION("""COMPUTED_VALUE"""),24.0)</f>
        <v>24</v>
      </c>
      <c r="I29" s="7"/>
      <c r="J29" s="5"/>
      <c r="K29" s="5"/>
      <c r="L29" s="5"/>
      <c r="M29" s="7"/>
    </row>
    <row r="30">
      <c r="A30" s="16" t="str">
        <f>IFERROR(__xludf.DUMMYFUNCTION("""COMPUTED_VALUE"""),"Алкохоли и коктейли")</f>
        <v>Алкохоли и коктейли</v>
      </c>
      <c r="B30" s="5" t="str">
        <f>IFERROR(__xludf.DUMMYFUNCTION("""COMPUTED_VALUE"""),"Бира Stolichno Weiss")</f>
        <v>Бира Stolichno Weiss</v>
      </c>
      <c r="C30" s="11">
        <f>IFERROR(__xludf.DUMMYFUNCTION("""COMPUTED_VALUE"""),100.0)</f>
        <v>100</v>
      </c>
      <c r="D30" s="7">
        <f>IFERROR(__xludf.DUMMYFUNCTION("""COMPUTED_VALUE"""),0.6)</f>
        <v>0.6</v>
      </c>
      <c r="E30" s="5">
        <f>IFERROR(__xludf.DUMMYFUNCTION("""COMPUTED_VALUE"""),4.9)</f>
        <v>4.9</v>
      </c>
      <c r="F30" s="5">
        <f>IFERROR(__xludf.DUMMYFUNCTION("""COMPUTED_VALUE"""),0.1)</f>
        <v>0.1</v>
      </c>
      <c r="G30" s="5">
        <f>IFERROR(__xludf.DUMMYFUNCTION("""COMPUTED_VALUE"""),0.0)</f>
        <v>0</v>
      </c>
      <c r="H30" s="12">
        <f>IFERROR(__xludf.DUMMYFUNCTION("""COMPUTED_VALUE"""),22.9)</f>
        <v>22.9</v>
      </c>
      <c r="I30" s="7"/>
      <c r="J30" s="5"/>
      <c r="K30" s="5"/>
      <c r="L30" s="5"/>
      <c r="M30" s="7"/>
    </row>
    <row r="31">
      <c r="A31" s="16" t="str">
        <f>IFERROR(__xludf.DUMMYFUNCTION("""COMPUTED_VALUE"""),"Алкохоли и коктейли")</f>
        <v>Алкохоли и коктейли</v>
      </c>
      <c r="B31" s="5" t="str">
        <f>IFERROR(__xludf.DUMMYFUNCTION("""COMPUTED_VALUE"""),"Бира PAULANER Weissbier 0,0% - без алкохолна")</f>
        <v>Бира PAULANER Weissbier 0,0% - без алкохолна</v>
      </c>
      <c r="C31" s="5">
        <f>IFERROR(__xludf.DUMMYFUNCTION("""COMPUTED_VALUE"""),100.0)</f>
        <v>100</v>
      </c>
      <c r="D31" s="7">
        <f>IFERROR(__xludf.DUMMYFUNCTION("""COMPUTED_VALUE"""),0.7)</f>
        <v>0.7</v>
      </c>
      <c r="E31" s="5">
        <f>IFERROR(__xludf.DUMMYFUNCTION("""COMPUTED_VALUE"""),5.3)</f>
        <v>5.3</v>
      </c>
      <c r="F31" s="5">
        <f>IFERROR(__xludf.DUMMYFUNCTION("""COMPUTED_VALUE"""),0.0)</f>
        <v>0</v>
      </c>
      <c r="G31" s="5">
        <f>IFERROR(__xludf.DUMMYFUNCTION("""COMPUTED_VALUE"""),0.0)</f>
        <v>0</v>
      </c>
      <c r="H31" s="7">
        <f>IFERROR(__xludf.DUMMYFUNCTION("""COMPUTED_VALUE"""),24.0)</f>
        <v>24</v>
      </c>
      <c r="I31" s="7"/>
      <c r="J31" s="5"/>
      <c r="K31" s="5"/>
      <c r="L31" s="5"/>
      <c r="M31" s="7"/>
    </row>
    <row r="32">
      <c r="A32" s="16" t="str">
        <f>IFERROR(__xludf.DUMMYFUNCTION("""COMPUTED_VALUE"""),"Алкохоли и коктейли")</f>
        <v>Алкохоли и коктейли</v>
      </c>
      <c r="B32" s="5" t="str">
        <f>IFERROR(__xludf.DUMMYFUNCTION("""COMPUTED_VALUE"""),"Безалкохолна бира Waisels Weisse")</f>
        <v>Безалкохолна бира Waisels Weisse</v>
      </c>
      <c r="C32" s="11">
        <f>IFERROR(__xludf.DUMMYFUNCTION("""COMPUTED_VALUE"""),100.0)</f>
        <v>100</v>
      </c>
      <c r="D32" s="7">
        <f>IFERROR(__xludf.DUMMYFUNCTION("""COMPUTED_VALUE"""),0.7)</f>
        <v>0.7</v>
      </c>
      <c r="E32" s="5">
        <f>IFERROR(__xludf.DUMMYFUNCTION("""COMPUTED_VALUE"""),5.5)</f>
        <v>5.5</v>
      </c>
      <c r="F32" s="5">
        <f>IFERROR(__xludf.DUMMYFUNCTION("""COMPUTED_VALUE"""),0.0)</f>
        <v>0</v>
      </c>
      <c r="G32" s="5">
        <f>IFERROR(__xludf.DUMMYFUNCTION("""COMPUTED_VALUE"""),0.0)</f>
        <v>0</v>
      </c>
      <c r="H32" s="12">
        <f>IFERROR(__xludf.DUMMYFUNCTION("""COMPUTED_VALUE"""),24.8)</f>
        <v>24.8</v>
      </c>
      <c r="I32" s="7"/>
      <c r="J32" s="5"/>
      <c r="K32" s="5"/>
      <c r="L32" s="5"/>
      <c r="M32" s="7"/>
    </row>
    <row r="33">
      <c r="A33" s="16" t="str">
        <f>IFERROR(__xludf.DUMMYFUNCTION("""COMPUTED_VALUE"""),"Алкохоли и коктейли")</f>
        <v>Алкохоли и коктейли</v>
      </c>
      <c r="B33" s="5" t="str">
        <f>IFERROR(__xludf.DUMMYFUNCTION("""COMPUTED_VALUE"""),"Текила Patrón XO Cafe")</f>
        <v>Текила Patrón XO Cafe</v>
      </c>
      <c r="C33" s="11">
        <f>IFERROR(__xludf.DUMMYFUNCTION("""COMPUTED_VALUE"""),100.0)</f>
        <v>100</v>
      </c>
      <c r="D33" s="7">
        <f>IFERROR(__xludf.DUMMYFUNCTION("""COMPUTED_VALUE"""),0.0)</f>
        <v>0</v>
      </c>
      <c r="E33" s="5">
        <f>IFERROR(__xludf.DUMMYFUNCTION("""COMPUTED_VALUE"""),37.2)</f>
        <v>37.2</v>
      </c>
      <c r="F33" s="5">
        <f>IFERROR(__xludf.DUMMYFUNCTION("""COMPUTED_VALUE"""),0.0)</f>
        <v>0</v>
      </c>
      <c r="G33" s="5">
        <f>IFERROR(__xludf.DUMMYFUNCTION("""COMPUTED_VALUE"""),0.0)</f>
        <v>0</v>
      </c>
      <c r="H33" s="12">
        <f>IFERROR(__xludf.DUMMYFUNCTION("""COMPUTED_VALUE"""),148.8)</f>
        <v>148.8</v>
      </c>
      <c r="I33" s="7"/>
      <c r="J33" s="5"/>
      <c r="K33" s="5"/>
      <c r="L33" s="5"/>
      <c r="M33" s="7"/>
    </row>
    <row r="34">
      <c r="A34" s="16" t="str">
        <f>IFERROR(__xludf.DUMMYFUNCTION("""COMPUTED_VALUE"""),"Безалкохолни напитки")</f>
        <v>Безалкохолни напитки</v>
      </c>
      <c r="B34" s="5" t="str">
        <f>IFERROR(__xludf.DUMMYFUNCTION("""COMPUTED_VALUE"""),"Сода-Мохито")</f>
        <v>Сода-Мохито</v>
      </c>
      <c r="C34" s="11">
        <f>IFERROR(__xludf.DUMMYFUNCTION("""COMPUTED_VALUE"""),100.0)</f>
        <v>100</v>
      </c>
      <c r="D34" s="7">
        <f>IFERROR(__xludf.DUMMYFUNCTION("""COMPUTED_VALUE"""),0.0)</f>
        <v>0</v>
      </c>
      <c r="E34" s="5">
        <f>IFERROR(__xludf.DUMMYFUNCTION("""COMPUTED_VALUE"""),12.0)</f>
        <v>12</v>
      </c>
      <c r="F34" s="5">
        <f>IFERROR(__xludf.DUMMYFUNCTION("""COMPUTED_VALUE"""),0.0)</f>
        <v>0</v>
      </c>
      <c r="G34" s="5">
        <f>IFERROR(__xludf.DUMMYFUNCTION("""COMPUTED_VALUE"""),0.0)</f>
        <v>0</v>
      </c>
      <c r="H34" s="12">
        <f>IFERROR(__xludf.DUMMYFUNCTION("""COMPUTED_VALUE"""),48.0)</f>
        <v>48</v>
      </c>
      <c r="I34" s="7"/>
      <c r="J34" s="5"/>
      <c r="K34" s="5"/>
      <c r="L34" s="5"/>
      <c r="M34" s="7"/>
    </row>
    <row r="35">
      <c r="A35" s="16" t="str">
        <f>IFERROR(__xludf.DUMMYFUNCTION("""COMPUTED_VALUE"""),"Безалкохолни напитки")</f>
        <v>Безалкохолни напитки</v>
      </c>
      <c r="B35" s="5" t="str">
        <f>IFERROR(__xludf.DUMMYFUNCTION("""COMPUTED_VALUE"""),"Лимонада -Диетична")</f>
        <v>Лимонада -Диетична</v>
      </c>
      <c r="C35" s="11">
        <f>IFERROR(__xludf.DUMMYFUNCTION("""COMPUTED_VALUE"""),100.0)</f>
        <v>100</v>
      </c>
      <c r="D35" s="7">
        <f>IFERROR(__xludf.DUMMYFUNCTION("""COMPUTED_VALUE"""),0.0)</f>
        <v>0</v>
      </c>
      <c r="E35" s="5">
        <f>IFERROR(__xludf.DUMMYFUNCTION("""COMPUTED_VALUE"""),0.0)</f>
        <v>0</v>
      </c>
      <c r="F35" s="5">
        <f>IFERROR(__xludf.DUMMYFUNCTION("""COMPUTED_VALUE"""),0.5)</f>
        <v>0.5</v>
      </c>
      <c r="G35" s="5">
        <f>IFERROR(__xludf.DUMMYFUNCTION("""COMPUTED_VALUE"""),0.0)</f>
        <v>0</v>
      </c>
      <c r="H35" s="12">
        <f>IFERROR(__xludf.DUMMYFUNCTION("""COMPUTED_VALUE"""),4.5)</f>
        <v>4.5</v>
      </c>
      <c r="I35" s="7"/>
      <c r="J35" s="5"/>
      <c r="K35" s="5"/>
      <c r="L35" s="5"/>
      <c r="M35" s="7"/>
    </row>
    <row r="36">
      <c r="A36" s="16" t="str">
        <f>IFERROR(__xludf.DUMMYFUNCTION("""COMPUTED_VALUE"""),"Безалкохолни напитки")</f>
        <v>Безалкохолни напитки</v>
      </c>
      <c r="B36" s="5" t="str">
        <f>IFERROR(__xludf.DUMMYFUNCTION("""COMPUTED_VALUE"""),"Granini портокалов сок")</f>
        <v>Granini портокалов сок</v>
      </c>
      <c r="C36" s="11">
        <f>IFERROR(__xludf.DUMMYFUNCTION("""COMPUTED_VALUE"""),100.0)</f>
        <v>100</v>
      </c>
      <c r="D36" s="7">
        <f>IFERROR(__xludf.DUMMYFUNCTION("""COMPUTED_VALUE"""),0.1)</f>
        <v>0.1</v>
      </c>
      <c r="E36" s="5">
        <f>IFERROR(__xludf.DUMMYFUNCTION("""COMPUTED_VALUE"""),8.8)</f>
        <v>8.8</v>
      </c>
      <c r="F36" s="19">
        <f>IFERROR(__xludf.DUMMYFUNCTION("""COMPUTED_VALUE"""),0.2)</f>
        <v>0.2</v>
      </c>
      <c r="G36" s="19">
        <f>IFERROR(__xludf.DUMMYFUNCTION("""COMPUTED_VALUE"""),0.2)</f>
        <v>0.2</v>
      </c>
      <c r="H36" s="12">
        <f>IFERROR(__xludf.DUMMYFUNCTION("""COMPUTED_VALUE"""),37.4)</f>
        <v>37.4</v>
      </c>
      <c r="I36" s="7"/>
      <c r="J36" s="5"/>
      <c r="K36" s="5"/>
      <c r="L36" s="5"/>
      <c r="M36" s="7"/>
    </row>
    <row r="37">
      <c r="A37" s="16" t="str">
        <f>IFERROR(__xludf.DUMMYFUNCTION("""COMPUTED_VALUE"""),"Безалкохолни напитки")</f>
        <v>Безалкохолни напитки</v>
      </c>
      <c r="B37" s="5" t="str">
        <f>IFERROR(__xludf.DUMMYFUNCTION("""COMPUTED_VALUE"""),"Кафе - 3 в 1 + 50 мл прясно мляко 1.7% / Криси")</f>
        <v>Кафе - 3 в 1 + 50 мл прясно мляко 1.7% / Криси</v>
      </c>
      <c r="C37" s="11">
        <f>IFERROR(__xludf.DUMMYFUNCTION("""COMPUTED_VALUE"""),100.0)</f>
        <v>100</v>
      </c>
      <c r="D37" s="7">
        <f>IFERROR(__xludf.DUMMYFUNCTION("""COMPUTED_VALUE"""),2.0)</f>
        <v>2</v>
      </c>
      <c r="E37" s="5">
        <f>IFERROR(__xludf.DUMMYFUNCTION("""COMPUTED_VALUE"""),16.0)</f>
        <v>16</v>
      </c>
      <c r="F37" s="19">
        <f>IFERROR(__xludf.DUMMYFUNCTION("""COMPUTED_VALUE"""),4.0)</f>
        <v>4</v>
      </c>
      <c r="G37" s="19">
        <f>IFERROR(__xludf.DUMMYFUNCTION("""COMPUTED_VALUE"""),0.0)</f>
        <v>0</v>
      </c>
      <c r="H37" s="12">
        <f>IFERROR(__xludf.DUMMYFUNCTION("""COMPUTED_VALUE"""),108.0)</f>
        <v>108</v>
      </c>
      <c r="I37" s="7"/>
      <c r="J37" s="5"/>
      <c r="K37" s="5"/>
      <c r="L37" s="5"/>
      <c r="M37" s="7"/>
    </row>
    <row r="38">
      <c r="A38" s="16" t="str">
        <f>IFERROR(__xludf.DUMMYFUNCTION("""COMPUTED_VALUE"""),"Безалкохолни напитки")</f>
        <v>Безалкохолни напитки</v>
      </c>
      <c r="B38" s="5" t="str">
        <f>IFERROR(__xludf.DUMMYFUNCTION("""COMPUTED_VALUE"""),"Ябълков сок LaVita")</f>
        <v>Ябълков сок LaVita</v>
      </c>
      <c r="C38" s="11">
        <f>IFERROR(__xludf.DUMMYFUNCTION("""COMPUTED_VALUE"""),100.0)</f>
        <v>100</v>
      </c>
      <c r="D38" s="7">
        <f>IFERROR(__xludf.DUMMYFUNCTION("""COMPUTED_VALUE"""),0.0)</f>
        <v>0</v>
      </c>
      <c r="E38" s="5">
        <f>IFERROR(__xludf.DUMMYFUNCTION("""COMPUTED_VALUE"""),10.2)</f>
        <v>10.2</v>
      </c>
      <c r="F38" s="5">
        <f>IFERROR(__xludf.DUMMYFUNCTION("""COMPUTED_VALUE"""),0.1)</f>
        <v>0.1</v>
      </c>
      <c r="G38" s="5">
        <f>IFERROR(__xludf.DUMMYFUNCTION("""COMPUTED_VALUE"""),0.1)</f>
        <v>0.1</v>
      </c>
      <c r="H38" s="12">
        <f>IFERROR(__xludf.DUMMYFUNCTION("""COMPUTED_VALUE"""),41.699999999999996)</f>
        <v>41.7</v>
      </c>
      <c r="I38" s="7"/>
      <c r="J38" s="5"/>
      <c r="K38" s="5"/>
      <c r="L38" s="5"/>
      <c r="M38" s="7"/>
    </row>
    <row r="39">
      <c r="A39" s="16" t="str">
        <f>IFERROR(__xludf.DUMMYFUNCTION("""COMPUTED_VALUE"""),"Безалкохолни напитки")</f>
        <v>Безалкохолни напитки</v>
      </c>
      <c r="B39" s="5" t="str">
        <f>IFERROR(__xludf.DUMMYFUNCTION("""COMPUTED_VALUE"""),"Боза")</f>
        <v>Боза</v>
      </c>
      <c r="C39" s="11">
        <f>IFERROR(__xludf.DUMMYFUNCTION("""COMPUTED_VALUE"""),100.0)</f>
        <v>100</v>
      </c>
      <c r="D39" s="7">
        <f>IFERROR(__xludf.DUMMYFUNCTION("""COMPUTED_VALUE"""),1.17)</f>
        <v>1.17</v>
      </c>
      <c r="E39" s="5">
        <f>IFERROR(__xludf.DUMMYFUNCTION("""COMPUTED_VALUE"""),6.02)</f>
        <v>6.02</v>
      </c>
      <c r="F39" s="5">
        <f>IFERROR(__xludf.DUMMYFUNCTION("""COMPUTED_VALUE"""),0.09)</f>
        <v>0.09</v>
      </c>
      <c r="G39" s="5">
        <f>IFERROR(__xludf.DUMMYFUNCTION("""COMPUTED_VALUE"""),0.0)</f>
        <v>0</v>
      </c>
      <c r="H39" s="12">
        <f>IFERROR(__xludf.DUMMYFUNCTION("""COMPUTED_VALUE"""),29.569999999999997)</f>
        <v>29.57</v>
      </c>
      <c r="I39" s="7"/>
      <c r="J39" s="5"/>
      <c r="K39" s="5"/>
      <c r="L39" s="5"/>
      <c r="M39" s="7"/>
    </row>
    <row r="40">
      <c r="A40" s="16" t="str">
        <f>IFERROR(__xludf.DUMMYFUNCTION("""COMPUTED_VALUE"""),"Безалкохолни напитки")</f>
        <v>Безалкохолни напитки</v>
      </c>
      <c r="B40" s="5" t="str">
        <f>IFERROR(__xludf.DUMMYFUNCTION("""COMPUTED_VALUE"""),"Smoothie 750 ml. LIDL")</f>
        <v>Smoothie 750 ml. LIDL</v>
      </c>
      <c r="C40" s="11">
        <f>IFERROR(__xludf.DUMMYFUNCTION("""COMPUTED_VALUE"""),100.0)</f>
        <v>100</v>
      </c>
      <c r="D40" s="7">
        <f>IFERROR(__xludf.DUMMYFUNCTION("""COMPUTED_VALUE"""),0.4)</f>
        <v>0.4</v>
      </c>
      <c r="E40" s="5">
        <f>IFERROR(__xludf.DUMMYFUNCTION("""COMPUTED_VALUE"""),12.5)</f>
        <v>12.5</v>
      </c>
      <c r="F40" s="5">
        <f>IFERROR(__xludf.DUMMYFUNCTION("""COMPUTED_VALUE"""),0.1)</f>
        <v>0.1</v>
      </c>
      <c r="G40" s="5">
        <f>IFERROR(__xludf.DUMMYFUNCTION("""COMPUTED_VALUE"""),0.0)</f>
        <v>0</v>
      </c>
      <c r="H40" s="12">
        <f>IFERROR(__xludf.DUMMYFUNCTION("""COMPUTED_VALUE"""),52.5)</f>
        <v>52.5</v>
      </c>
      <c r="I40" s="7"/>
      <c r="J40" s="5"/>
      <c r="K40" s="5"/>
      <c r="L40" s="5"/>
      <c r="M40" s="7"/>
    </row>
    <row r="41">
      <c r="A41" s="16" t="str">
        <f>IFERROR(__xludf.DUMMYFUNCTION("""COMPUTED_VALUE"""),"Безалкохолни напитки")</f>
        <v>Безалкохолни напитки</v>
      </c>
      <c r="B41" s="5" t="str">
        <f>IFERROR(__xludf.DUMMYFUNCTION("""COMPUTED_VALUE"""),"Лимонада Cappy Lemon &amp; Mint")</f>
        <v>Лимонада Cappy Lemon &amp; Mint</v>
      </c>
      <c r="C41" s="11">
        <f>IFERROR(__xludf.DUMMYFUNCTION("""COMPUTED_VALUE"""),100.0)</f>
        <v>100</v>
      </c>
      <c r="D41" s="7">
        <f>IFERROR(__xludf.DUMMYFUNCTION("""COMPUTED_VALUE"""),0.0)</f>
        <v>0</v>
      </c>
      <c r="E41" s="5">
        <f>IFERROR(__xludf.DUMMYFUNCTION("""COMPUTED_VALUE"""),4.4)</f>
        <v>4.4</v>
      </c>
      <c r="F41" s="5">
        <f>IFERROR(__xludf.DUMMYFUNCTION("""COMPUTED_VALUE"""),0.0)</f>
        <v>0</v>
      </c>
      <c r="G41" s="5">
        <f>IFERROR(__xludf.DUMMYFUNCTION("""COMPUTED_VALUE"""),0.0)</f>
        <v>0</v>
      </c>
      <c r="H41" s="12">
        <f>IFERROR(__xludf.DUMMYFUNCTION("""COMPUTED_VALUE"""),17.6)</f>
        <v>17.6</v>
      </c>
      <c r="I41" s="7"/>
      <c r="J41" s="5"/>
      <c r="K41" s="5"/>
      <c r="L41" s="5"/>
      <c r="M41" s="7"/>
    </row>
    <row r="42">
      <c r="A42" s="16" t="str">
        <f>IFERROR(__xludf.DUMMYFUNCTION("""COMPUTED_VALUE"""),"Безалкохолни напитки")</f>
        <v>Безалкохолни напитки</v>
      </c>
      <c r="B42" s="5" t="str">
        <f>IFERROR(__xludf.DUMMYFUNCTION("""COMPUTED_VALUE"""),"Безалкохолен Heineken 0.0%")</f>
        <v>Безалкохолен Heineken 0.0%</v>
      </c>
      <c r="C42" s="11">
        <f>IFERROR(__xludf.DUMMYFUNCTION("""COMPUTED_VALUE"""),100.0)</f>
        <v>100</v>
      </c>
      <c r="D42" s="7">
        <f>IFERROR(__xludf.DUMMYFUNCTION("""COMPUTED_VALUE"""),0.4)</f>
        <v>0.4</v>
      </c>
      <c r="E42" s="5">
        <f>IFERROR(__xludf.DUMMYFUNCTION("""COMPUTED_VALUE"""),4.8)</f>
        <v>4.8</v>
      </c>
      <c r="F42" s="5">
        <f>IFERROR(__xludf.DUMMYFUNCTION("""COMPUTED_VALUE"""),0.0)</f>
        <v>0</v>
      </c>
      <c r="G42" s="5">
        <f>IFERROR(__xludf.DUMMYFUNCTION("""COMPUTED_VALUE"""),0.0)</f>
        <v>0</v>
      </c>
      <c r="H42" s="12">
        <f>IFERROR(__xludf.DUMMYFUNCTION("""COMPUTED_VALUE"""),20.8)</f>
        <v>20.8</v>
      </c>
      <c r="I42" s="7"/>
      <c r="J42" s="5"/>
      <c r="K42" s="5"/>
      <c r="L42" s="5"/>
      <c r="M42" s="7"/>
    </row>
    <row r="43">
      <c r="A43" s="16" t="str">
        <f>IFERROR(__xludf.DUMMYFUNCTION("""COMPUTED_VALUE"""),"Бобови храни")</f>
        <v>Бобови храни</v>
      </c>
      <c r="B43" s="5" t="str">
        <f>IFERROR(__xludf.DUMMYFUNCTION("""COMPUTED_VALUE"""),"Боб на фурнаа")</f>
        <v>Боб на фурнаа</v>
      </c>
      <c r="C43" s="11">
        <f>IFERROR(__xludf.DUMMYFUNCTION("""COMPUTED_VALUE"""),100.0)</f>
        <v>100</v>
      </c>
      <c r="D43" s="7">
        <f>IFERROR(__xludf.DUMMYFUNCTION("""COMPUTED_VALUE"""),5.57)</f>
        <v>5.57</v>
      </c>
      <c r="E43" s="5">
        <f>IFERROR(__xludf.DUMMYFUNCTION("""COMPUTED_VALUE"""),21.63)</f>
        <v>21.63</v>
      </c>
      <c r="F43" s="5">
        <f>IFERROR(__xludf.DUMMYFUNCTION("""COMPUTED_VALUE"""),5.15)</f>
        <v>5.15</v>
      </c>
      <c r="G43" s="20">
        <f>IFERROR(__xludf.DUMMYFUNCTION("""COMPUTED_VALUE"""),1.0)</f>
        <v>1</v>
      </c>
      <c r="H43" s="12">
        <f>IFERROR(__xludf.DUMMYFUNCTION("""COMPUTED_VALUE"""),155.15)</f>
        <v>155.15</v>
      </c>
      <c r="I43" s="7"/>
      <c r="J43" s="5"/>
      <c r="K43" s="5"/>
      <c r="L43" s="5"/>
      <c r="M43" s="7"/>
    </row>
    <row r="44">
      <c r="A44" s="16" t="str">
        <f>IFERROR(__xludf.DUMMYFUNCTION("""COMPUTED_VALUE"""),"Бобови храни")</f>
        <v>Бобови храни</v>
      </c>
      <c r="B44" s="5" t="str">
        <f>IFERROR(__xludf.DUMMYFUNCTION("""COMPUTED_VALUE"""),"Грах- пресен/замразен (сурово състояние)")</f>
        <v>Грах- пресен/замразен (сурово състояние)</v>
      </c>
      <c r="C44" s="11">
        <f>IFERROR(__xludf.DUMMYFUNCTION("""COMPUTED_VALUE"""),100.0)</f>
        <v>100</v>
      </c>
      <c r="D44" s="7">
        <f>IFERROR(__xludf.DUMMYFUNCTION("""COMPUTED_VALUE"""),5.0)</f>
        <v>5</v>
      </c>
      <c r="E44" s="5">
        <f>IFERROR(__xludf.DUMMYFUNCTION("""COMPUTED_VALUE"""),14.0)</f>
        <v>14</v>
      </c>
      <c r="F44" s="5">
        <f>IFERROR(__xludf.DUMMYFUNCTION("""COMPUTED_VALUE"""),0.0)</f>
        <v>0</v>
      </c>
      <c r="G44" s="20">
        <f>IFERROR(__xludf.DUMMYFUNCTION("""COMPUTED_VALUE"""),5.0)</f>
        <v>5</v>
      </c>
      <c r="H44" s="12">
        <f>IFERROR(__xludf.DUMMYFUNCTION("""COMPUTED_VALUE"""),76.0)</f>
        <v>76</v>
      </c>
      <c r="I44" s="7"/>
      <c r="J44" s="5"/>
      <c r="K44" s="5"/>
      <c r="L44" s="5"/>
      <c r="M44" s="7"/>
    </row>
    <row r="45">
      <c r="A45" s="16" t="str">
        <f>IFERROR(__xludf.DUMMYFUNCTION("""COMPUTED_VALUE"""),"Бобови храни")</f>
        <v>Бобови храни</v>
      </c>
      <c r="B45" s="5" t="str">
        <f>IFERROR(__xludf.DUMMYFUNCTION("""COMPUTED_VALUE"""),"Сладка царевица (консерва)")</f>
        <v>Сладка царевица (консерва)</v>
      </c>
      <c r="C45" s="11">
        <f>IFERROR(__xludf.DUMMYFUNCTION("""COMPUTED_VALUE"""),100.0)</f>
        <v>100</v>
      </c>
      <c r="D45" s="7">
        <f>IFERROR(__xludf.DUMMYFUNCTION("""COMPUTED_VALUE"""),1.0)</f>
        <v>1</v>
      </c>
      <c r="E45" s="5">
        <f>IFERROR(__xludf.DUMMYFUNCTION("""COMPUTED_VALUE"""),20.0)</f>
        <v>20</v>
      </c>
      <c r="F45" s="5">
        <f>IFERROR(__xludf.DUMMYFUNCTION("""COMPUTED_VALUE"""),1.0)</f>
        <v>1</v>
      </c>
      <c r="G45" s="20">
        <f>IFERROR(__xludf.DUMMYFUNCTION("""COMPUTED_VALUE"""),2.0)</f>
        <v>2</v>
      </c>
      <c r="H45" s="12">
        <f>IFERROR(__xludf.DUMMYFUNCTION("""COMPUTED_VALUE"""),93.0)</f>
        <v>93</v>
      </c>
      <c r="I45" s="7"/>
      <c r="J45" s="5"/>
      <c r="K45" s="5"/>
      <c r="L45" s="5"/>
      <c r="M45" s="7"/>
    </row>
    <row r="46">
      <c r="A46" s="16" t="str">
        <f>IFERROR(__xludf.DUMMYFUNCTION("""COMPUTED_VALUE"""),"Бобови храни")</f>
        <v>Бобови храни</v>
      </c>
      <c r="B46" s="5" t="str">
        <f>IFERROR(__xludf.DUMMYFUNCTION("""COMPUTED_VALUE"""),"Нахут (сурово състояние)")</f>
        <v>Нахут (сурово състояние)</v>
      </c>
      <c r="C46" s="11">
        <f>IFERROR(__xludf.DUMMYFUNCTION("""COMPUTED_VALUE"""),100.0)</f>
        <v>100</v>
      </c>
      <c r="D46" s="7">
        <f>IFERROR(__xludf.DUMMYFUNCTION("""COMPUTED_VALUE"""),20.0)</f>
        <v>20</v>
      </c>
      <c r="E46" s="5">
        <f>IFERROR(__xludf.DUMMYFUNCTION("""COMPUTED_VALUE"""),63.0)</f>
        <v>63</v>
      </c>
      <c r="F46" s="5">
        <f>IFERROR(__xludf.DUMMYFUNCTION("""COMPUTED_VALUE"""),6.0)</f>
        <v>6</v>
      </c>
      <c r="G46" s="20">
        <f>IFERROR(__xludf.DUMMYFUNCTION("""COMPUTED_VALUE"""),12.0)</f>
        <v>12</v>
      </c>
      <c r="H46" s="12">
        <f>IFERROR(__xludf.DUMMYFUNCTION("""COMPUTED_VALUE"""),386.0)</f>
        <v>386</v>
      </c>
      <c r="I46" s="7"/>
      <c r="J46" s="5"/>
      <c r="K46" s="5"/>
      <c r="L46" s="5"/>
      <c r="M46" s="7"/>
    </row>
    <row r="47">
      <c r="A47" s="16" t="str">
        <f>IFERROR(__xludf.DUMMYFUNCTION("""COMPUTED_VALUE"""),"Бобови храни")</f>
        <v>Бобови храни</v>
      </c>
      <c r="B47" s="5" t="str">
        <f>IFERROR(__xludf.DUMMYFUNCTION("""COMPUTED_VALUE"""),"Нахут (консерва)")</f>
        <v>Нахут (консерва)</v>
      </c>
      <c r="C47" s="11" t="str">
        <f>IFERROR(__xludf.DUMMYFUNCTION("""COMPUTED_VALUE"""),"100")</f>
        <v>100</v>
      </c>
      <c r="D47" s="7">
        <f>IFERROR(__xludf.DUMMYFUNCTION("""COMPUTED_VALUE"""),5.0)</f>
        <v>5</v>
      </c>
      <c r="E47" s="5">
        <f>IFERROR(__xludf.DUMMYFUNCTION("""COMPUTED_VALUE"""),13.0)</f>
        <v>13</v>
      </c>
      <c r="F47" s="5">
        <f>IFERROR(__xludf.DUMMYFUNCTION("""COMPUTED_VALUE"""),2.0)</f>
        <v>2</v>
      </c>
      <c r="G47" s="20">
        <f>IFERROR(__xludf.DUMMYFUNCTION("""COMPUTED_VALUE"""),4.0)</f>
        <v>4</v>
      </c>
      <c r="H47" s="12">
        <f>IFERROR(__xludf.DUMMYFUNCTION("""COMPUTED_VALUE"""),90.0)</f>
        <v>90</v>
      </c>
      <c r="I47" s="7"/>
      <c r="J47" s="5"/>
      <c r="K47" s="5"/>
      <c r="L47" s="5"/>
      <c r="M47" s="7"/>
    </row>
    <row r="48">
      <c r="A48" s="16" t="str">
        <f>IFERROR(__xludf.DUMMYFUNCTION("""COMPUTED_VALUE"""),"Бобови храни")</f>
        <v>Бобови храни</v>
      </c>
      <c r="B48" s="5" t="str">
        <f>IFERROR(__xludf.DUMMYFUNCTION("""COMPUTED_VALUE"""),"Боб- бял/червен (сурово състояние)")</f>
        <v>Боб- бял/червен (сурово състояние)</v>
      </c>
      <c r="C48" s="11" t="str">
        <f>IFERROR(__xludf.DUMMYFUNCTION("""COMPUTED_VALUE"""),"100")</f>
        <v>100</v>
      </c>
      <c r="D48" s="12">
        <f>IFERROR(__xludf.DUMMYFUNCTION("""COMPUTED_VALUE"""),23.0)</f>
        <v>23</v>
      </c>
      <c r="E48" s="21">
        <f>IFERROR(__xludf.DUMMYFUNCTION("""COMPUTED_VALUE"""),60.0)</f>
        <v>60</v>
      </c>
      <c r="F48" s="21">
        <f>IFERROR(__xludf.DUMMYFUNCTION("""COMPUTED_VALUE"""),1.0)</f>
        <v>1</v>
      </c>
      <c r="G48" s="20">
        <f>IFERROR(__xludf.DUMMYFUNCTION("""COMPUTED_VALUE"""),23.0)</f>
        <v>23</v>
      </c>
      <c r="H48" s="12">
        <f>IFERROR(__xludf.DUMMYFUNCTION("""COMPUTED_VALUE"""),341.0)</f>
        <v>341</v>
      </c>
      <c r="I48" s="7"/>
      <c r="J48" s="5"/>
      <c r="K48" s="5"/>
      <c r="L48" s="5"/>
      <c r="M48" s="7"/>
    </row>
    <row r="49">
      <c r="A49" s="16" t="str">
        <f>IFERROR(__xludf.DUMMYFUNCTION("""COMPUTED_VALUE"""),"Бобови храни")</f>
        <v>Бобови храни</v>
      </c>
      <c r="B49" s="5" t="str">
        <f>IFERROR(__xludf.DUMMYFUNCTION("""COMPUTED_VALUE"""),"Боб- бял/червен (консерва)")</f>
        <v>Боб- бял/червен (консерва)</v>
      </c>
      <c r="C49" s="11">
        <f>IFERROR(__xludf.DUMMYFUNCTION("""COMPUTED_VALUE"""),100.0)</f>
        <v>100</v>
      </c>
      <c r="D49" s="7">
        <f>IFERROR(__xludf.DUMMYFUNCTION("""COMPUTED_VALUE"""),5.3)</f>
        <v>5.3</v>
      </c>
      <c r="E49" s="5">
        <f>IFERROR(__xludf.DUMMYFUNCTION("""COMPUTED_VALUE"""),16.4)</f>
        <v>16.4</v>
      </c>
      <c r="F49" s="5">
        <f>IFERROR(__xludf.DUMMYFUNCTION("""COMPUTED_VALUE"""),0.4)</f>
        <v>0.4</v>
      </c>
      <c r="G49" s="20">
        <f>IFERROR(__xludf.DUMMYFUNCTION("""COMPUTED_VALUE"""),5.4)</f>
        <v>5.4</v>
      </c>
      <c r="H49" s="12">
        <f>IFERROR(__xludf.DUMMYFUNCTION("""COMPUTED_VALUE"""),90.39999999999999)</f>
        <v>90.4</v>
      </c>
      <c r="I49" s="7"/>
      <c r="J49" s="5"/>
      <c r="K49" s="5"/>
      <c r="L49" s="5"/>
      <c r="M49" s="7"/>
    </row>
    <row r="50">
      <c r="A50" s="16" t="str">
        <f>IFERROR(__xludf.DUMMYFUNCTION("""COMPUTED_VALUE"""),"Бобови храни")</f>
        <v>Бобови храни</v>
      </c>
      <c r="B50" s="5" t="str">
        <f>IFERROR(__xludf.DUMMYFUNCTION("""COMPUTED_VALUE"""),"Леща (сурово състояние)")</f>
        <v>Леща (сурово състояние)</v>
      </c>
      <c r="C50" s="11">
        <f>IFERROR(__xludf.DUMMYFUNCTION("""COMPUTED_VALUE"""),100.0)</f>
        <v>100</v>
      </c>
      <c r="D50" s="7">
        <f>IFERROR(__xludf.DUMMYFUNCTION("""COMPUTED_VALUE"""),24.0)</f>
        <v>24</v>
      </c>
      <c r="E50" s="5">
        <f>IFERROR(__xludf.DUMMYFUNCTION("""COMPUTED_VALUE"""),63.0)</f>
        <v>63</v>
      </c>
      <c r="F50" s="5">
        <f>IFERROR(__xludf.DUMMYFUNCTION("""COMPUTED_VALUE"""),1.0)</f>
        <v>1</v>
      </c>
      <c r="G50" s="20">
        <f>IFERROR(__xludf.DUMMYFUNCTION("""COMPUTED_VALUE"""),10.0)</f>
        <v>10</v>
      </c>
      <c r="H50" s="12">
        <f>IFERROR(__xludf.DUMMYFUNCTION("""COMPUTED_VALUE"""),357.0)</f>
        <v>357</v>
      </c>
      <c r="I50" s="7"/>
      <c r="J50" s="5"/>
      <c r="K50" s="5"/>
      <c r="L50" s="5"/>
      <c r="M50" s="7"/>
    </row>
    <row r="51">
      <c r="A51" s="16" t="str">
        <f>IFERROR(__xludf.DUMMYFUNCTION("""COMPUTED_VALUE"""),"Бобови храни")</f>
        <v>Бобови храни</v>
      </c>
      <c r="B51" s="5" t="str">
        <f>IFERROR(__xludf.DUMMYFUNCTION("""COMPUTED_VALUE"""),"Леща (консерва)")</f>
        <v>Леща (консерва)</v>
      </c>
      <c r="C51" s="11">
        <f>IFERROR(__xludf.DUMMYFUNCTION("""COMPUTED_VALUE"""),100.0)</f>
        <v>100</v>
      </c>
      <c r="D51" s="12">
        <f>IFERROR(__xludf.DUMMYFUNCTION("""COMPUTED_VALUE"""),8.0)</f>
        <v>8</v>
      </c>
      <c r="E51" s="11">
        <f>IFERROR(__xludf.DUMMYFUNCTION("""COMPUTED_VALUE"""),17.0)</f>
        <v>17</v>
      </c>
      <c r="F51" s="11">
        <f>IFERROR(__xludf.DUMMYFUNCTION("""COMPUTED_VALUE"""),0.5)</f>
        <v>0.5</v>
      </c>
      <c r="G51" s="20">
        <f>IFERROR(__xludf.DUMMYFUNCTION("""COMPUTED_VALUE"""),3.0)</f>
        <v>3</v>
      </c>
      <c r="H51" s="12">
        <f>IFERROR(__xludf.DUMMYFUNCTION("""COMPUTED_VALUE"""),104.5)</f>
        <v>104.5</v>
      </c>
      <c r="I51" s="7"/>
      <c r="J51" s="5"/>
      <c r="K51" s="5"/>
      <c r="L51" s="5"/>
      <c r="M51" s="7"/>
    </row>
    <row r="52">
      <c r="A52" s="16" t="str">
        <f>IFERROR(__xludf.DUMMYFUNCTION("""COMPUTED_VALUE"""),"Бобови храни")</f>
        <v>Бобови храни</v>
      </c>
      <c r="B52" s="5" t="str">
        <f>IFERROR(__xludf.DUMMYFUNCTION("""COMPUTED_VALUE"""),"Фалафел (сурово състояние)")</f>
        <v>Фалафел (сурово състояние)</v>
      </c>
      <c r="C52" s="11">
        <f>IFERROR(__xludf.DUMMYFUNCTION("""COMPUTED_VALUE"""),100.0)</f>
        <v>100</v>
      </c>
      <c r="D52" s="12">
        <f>IFERROR(__xludf.DUMMYFUNCTION("""COMPUTED_VALUE"""),13.0)</f>
        <v>13</v>
      </c>
      <c r="E52" s="11">
        <f>IFERROR(__xludf.DUMMYFUNCTION("""COMPUTED_VALUE"""),31.0)</f>
        <v>31</v>
      </c>
      <c r="F52" s="11">
        <f>IFERROR(__xludf.DUMMYFUNCTION("""COMPUTED_VALUE"""),17.5)</f>
        <v>17.5</v>
      </c>
      <c r="G52" s="20">
        <f>IFERROR(__xludf.DUMMYFUNCTION("""COMPUTED_VALUE"""),0.0)</f>
        <v>0</v>
      </c>
      <c r="H52" s="12">
        <f>IFERROR(__xludf.DUMMYFUNCTION("""COMPUTED_VALUE"""),333.5)</f>
        <v>333.5</v>
      </c>
      <c r="I52" s="7"/>
      <c r="J52" s="5"/>
      <c r="K52" s="5"/>
      <c r="L52" s="5"/>
      <c r="M52" s="7"/>
    </row>
    <row r="53">
      <c r="A53" s="16" t="str">
        <f>IFERROR(__xludf.DUMMYFUNCTION("""COMPUTED_VALUE"""),"Бобови храни")</f>
        <v>Бобови храни</v>
      </c>
      <c r="B53" s="5" t="str">
        <f>IFERROR(__xludf.DUMMYFUNCTION("""COMPUTED_VALUE"""),"Едамаме (сурово състояние)")</f>
        <v>Едамаме (сурово състояние)</v>
      </c>
      <c r="C53" s="11">
        <f>IFERROR(__xludf.DUMMYFUNCTION("""COMPUTED_VALUE"""),100.0)</f>
        <v>100</v>
      </c>
      <c r="D53" s="7">
        <f>IFERROR(__xludf.DUMMYFUNCTION("""COMPUTED_VALUE"""),8.0)</f>
        <v>8</v>
      </c>
      <c r="E53" s="5">
        <f>IFERROR(__xludf.DUMMYFUNCTION("""COMPUTED_VALUE"""),10.0)</f>
        <v>10</v>
      </c>
      <c r="F53" s="5">
        <f>IFERROR(__xludf.DUMMYFUNCTION("""COMPUTED_VALUE"""),0.0)</f>
        <v>0</v>
      </c>
      <c r="G53" s="20">
        <f>IFERROR(__xludf.DUMMYFUNCTION("""COMPUTED_VALUE"""),0.0)</f>
        <v>0</v>
      </c>
      <c r="H53" s="12">
        <f>IFERROR(__xludf.DUMMYFUNCTION("""COMPUTED_VALUE"""),72.0)</f>
        <v>72</v>
      </c>
      <c r="I53" s="7"/>
      <c r="J53" s="5"/>
      <c r="K53" s="5"/>
      <c r="L53" s="5"/>
      <c r="M53" s="7"/>
    </row>
    <row r="54">
      <c r="A54" s="16" t="str">
        <f>IFERROR(__xludf.DUMMYFUNCTION("""COMPUTED_VALUE"""),"Бобови храни")</f>
        <v>Бобови храни</v>
      </c>
      <c r="B54" s="5" t="str">
        <f>IFERROR(__xludf.DUMMYFUNCTION("""COMPUTED_VALUE"""),"Боб (бял -  варен със сол)")</f>
        <v>Боб (бял -  варен със сол)</v>
      </c>
      <c r="C54" s="11">
        <f>IFERROR(__xludf.DUMMYFUNCTION("""COMPUTED_VALUE"""),100.0)</f>
        <v>100</v>
      </c>
      <c r="D54" s="7">
        <f>IFERROR(__xludf.DUMMYFUNCTION("""COMPUTED_VALUE"""),7.5)</f>
        <v>7.5</v>
      </c>
      <c r="E54" s="5">
        <f>IFERROR(__xludf.DUMMYFUNCTION("""COMPUTED_VALUE"""),24.8)</f>
        <v>24.8</v>
      </c>
      <c r="F54" s="5">
        <f>IFERROR(__xludf.DUMMYFUNCTION("""COMPUTED_VALUE"""),0.1)</f>
        <v>0.1</v>
      </c>
      <c r="G54" s="20">
        <f>IFERROR(__xludf.DUMMYFUNCTION("""COMPUTED_VALUE"""),7.3)</f>
        <v>7.3</v>
      </c>
      <c r="H54" s="12">
        <f>IFERROR(__xludf.DUMMYFUNCTION("""COMPUTED_VALUE"""),130.1)</f>
        <v>130.1</v>
      </c>
      <c r="I54" s="7"/>
      <c r="J54" s="5"/>
      <c r="K54" s="5"/>
      <c r="L54" s="5"/>
      <c r="M54" s="7"/>
    </row>
    <row r="55">
      <c r="A55" s="16" t="str">
        <f>IFERROR(__xludf.DUMMYFUNCTION("""COMPUTED_VALUE"""),"Бобови храни")</f>
        <v>Бобови храни</v>
      </c>
      <c r="B55" s="5" t="str">
        <f>IFERROR(__xludf.DUMMYFUNCTION("""COMPUTED_VALUE"""),"Хумус")</f>
        <v>Хумус</v>
      </c>
      <c r="C55" s="11">
        <f>IFERROR(__xludf.DUMMYFUNCTION("""COMPUTED_VALUE"""),100.0)</f>
        <v>100</v>
      </c>
      <c r="D55" s="7">
        <f>IFERROR(__xludf.DUMMYFUNCTION("""COMPUTED_VALUE"""),7.28)</f>
        <v>7.28</v>
      </c>
      <c r="E55" s="5">
        <f>IFERROR(__xludf.DUMMYFUNCTION("""COMPUTED_VALUE"""),19.4)</f>
        <v>19.4</v>
      </c>
      <c r="F55" s="5">
        <f>IFERROR(__xludf.DUMMYFUNCTION("""COMPUTED_VALUE"""),12.8)</f>
        <v>12.8</v>
      </c>
      <c r="G55" s="20">
        <f>IFERROR(__xludf.DUMMYFUNCTION("""COMPUTED_VALUE"""),5.0)</f>
        <v>5</v>
      </c>
      <c r="H55" s="12">
        <f>IFERROR(__xludf.DUMMYFUNCTION("""COMPUTED_VALUE"""),221.92000000000002)</f>
        <v>221.92</v>
      </c>
      <c r="I55" s="7"/>
      <c r="J55" s="5"/>
      <c r="K55" s="5"/>
      <c r="L55" s="5"/>
      <c r="M55" s="7"/>
    </row>
    <row r="56">
      <c r="A56" s="16" t="str">
        <f>IFERROR(__xludf.DUMMYFUNCTION("""COMPUTED_VALUE"""),"Бобови храни")</f>
        <v>Бобови храни</v>
      </c>
      <c r="B56" s="5" t="str">
        <f>IFERROR(__xludf.DUMMYFUNCTION("""COMPUTED_VALUE"""),"Леща червена (сурово състояние)")</f>
        <v>Леща червена (сурово състояние)</v>
      </c>
      <c r="C56" s="11">
        <f>IFERROR(__xludf.DUMMYFUNCTION("""COMPUTED_VALUE"""),100.0)</f>
        <v>100</v>
      </c>
      <c r="D56" s="7">
        <f>IFERROR(__xludf.DUMMYFUNCTION("""COMPUTED_VALUE"""),23.0)</f>
        <v>23</v>
      </c>
      <c r="E56" s="5">
        <f>IFERROR(__xludf.DUMMYFUNCTION("""COMPUTED_VALUE"""),56.0)</f>
        <v>56</v>
      </c>
      <c r="F56" s="5">
        <f>IFERROR(__xludf.DUMMYFUNCTION("""COMPUTED_VALUE"""),0.0)</f>
        <v>0</v>
      </c>
      <c r="G56" s="20">
        <f>IFERROR(__xludf.DUMMYFUNCTION("""COMPUTED_VALUE"""),6.0)</f>
        <v>6</v>
      </c>
      <c r="H56" s="12">
        <f>IFERROR(__xludf.DUMMYFUNCTION("""COMPUTED_VALUE"""),316.0)</f>
        <v>316</v>
      </c>
      <c r="I56" s="7"/>
      <c r="J56" s="5"/>
      <c r="K56" s="5"/>
      <c r="L56" s="5"/>
      <c r="M56" s="7"/>
    </row>
    <row r="57">
      <c r="A57" s="16" t="str">
        <f>IFERROR(__xludf.DUMMYFUNCTION("""COMPUTED_VALUE"""),"Бобови храни")</f>
        <v>Бобови храни</v>
      </c>
      <c r="B57" s="5" t="str">
        <f>IFERROR(__xludf.DUMMYFUNCTION("""COMPUTED_VALUE"""),"Боб Heinz (Консерва)")</f>
        <v>Боб Heinz (Консерва)</v>
      </c>
      <c r="C57" s="11">
        <f>IFERROR(__xludf.DUMMYFUNCTION("""COMPUTED_VALUE"""),100.0)</f>
        <v>100</v>
      </c>
      <c r="D57" s="7">
        <f>IFERROR(__xludf.DUMMYFUNCTION("""COMPUTED_VALUE"""),4.8)</f>
        <v>4.8</v>
      </c>
      <c r="E57" s="5">
        <f>IFERROR(__xludf.DUMMYFUNCTION("""COMPUTED_VALUE"""),9.2)</f>
        <v>9.2</v>
      </c>
      <c r="F57" s="5">
        <f>IFERROR(__xludf.DUMMYFUNCTION("""COMPUTED_VALUE"""),0.4)</f>
        <v>0.4</v>
      </c>
      <c r="G57" s="20">
        <f>IFERROR(__xludf.DUMMYFUNCTION("""COMPUTED_VALUE"""),0.0)</f>
        <v>0</v>
      </c>
      <c r="H57" s="12">
        <f>IFERROR(__xludf.DUMMYFUNCTION("""COMPUTED_VALUE"""),59.6)</f>
        <v>59.6</v>
      </c>
      <c r="I57" s="7"/>
      <c r="J57" s="5"/>
      <c r="K57" s="5"/>
      <c r="L57" s="5"/>
      <c r="M57" s="7"/>
    </row>
    <row r="58">
      <c r="A58" s="16" t="str">
        <f>IFERROR(__xludf.DUMMYFUNCTION("""COMPUTED_VALUE"""),"Бобови храни")</f>
        <v>Бобови храни</v>
      </c>
      <c r="B58" s="5" t="str">
        <f>IFERROR(__xludf.DUMMYFUNCTION("""COMPUTED_VALUE"""),"Грах с бейби моркови ")</f>
        <v>Грах с бейби моркови </v>
      </c>
      <c r="C58" s="11">
        <f>IFERROR(__xludf.DUMMYFUNCTION("""COMPUTED_VALUE"""),100.0)</f>
        <v>100</v>
      </c>
      <c r="D58" s="7">
        <f>IFERROR(__xludf.DUMMYFUNCTION("""COMPUTED_VALUE"""),3.5)</f>
        <v>3.5</v>
      </c>
      <c r="E58" s="5">
        <f>IFERROR(__xludf.DUMMYFUNCTION("""COMPUTED_VALUE"""),6.5)</f>
        <v>6.5</v>
      </c>
      <c r="F58" s="5">
        <f>IFERROR(__xludf.DUMMYFUNCTION("""COMPUTED_VALUE"""),0.4)</f>
        <v>0.4</v>
      </c>
      <c r="G58" s="5">
        <f>IFERROR(__xludf.DUMMYFUNCTION("""COMPUTED_VALUE"""),0.0)</f>
        <v>0</v>
      </c>
      <c r="H58" s="7">
        <f>IFERROR(__xludf.DUMMYFUNCTION("""COMPUTED_VALUE"""),43.6)</f>
        <v>43.6</v>
      </c>
      <c r="I58" s="7"/>
      <c r="J58" s="5"/>
      <c r="K58" s="5"/>
      <c r="L58" s="5"/>
      <c r="M58" s="7"/>
    </row>
    <row r="59">
      <c r="A59" s="16" t="str">
        <f>IFERROR(__xludf.DUMMYFUNCTION("""COMPUTED_VALUE"""),"Бобови храни")</f>
        <v>Бобови храни</v>
      </c>
      <c r="B59" s="5" t="str">
        <f>IFERROR(__xludf.DUMMYFUNCTION("""COMPUTED_VALUE"""),"Сладък зелен грах (консерва)")</f>
        <v>Сладък зелен грах (консерва)</v>
      </c>
      <c r="C59" s="11">
        <f>IFERROR(__xludf.DUMMYFUNCTION("""COMPUTED_VALUE"""),100.0)</f>
        <v>100</v>
      </c>
      <c r="D59" s="7">
        <f>IFERROR(__xludf.DUMMYFUNCTION("""COMPUTED_VALUE"""),5.5)</f>
        <v>5.5</v>
      </c>
      <c r="E59" s="5">
        <f>IFERROR(__xludf.DUMMYFUNCTION("""COMPUTED_VALUE"""),7.4)</f>
        <v>7.4</v>
      </c>
      <c r="F59" s="5">
        <f>IFERROR(__xludf.DUMMYFUNCTION("""COMPUTED_VALUE"""),0.7)</f>
        <v>0.7</v>
      </c>
      <c r="G59" s="5">
        <f>IFERROR(__xludf.DUMMYFUNCTION("""COMPUTED_VALUE"""),7.8)</f>
        <v>7.8</v>
      </c>
      <c r="H59" s="7">
        <f>IFERROR(__xludf.DUMMYFUNCTION("""COMPUTED_VALUE"""),57.9)</f>
        <v>57.9</v>
      </c>
      <c r="I59" s="7"/>
      <c r="J59" s="5"/>
      <c r="K59" s="5"/>
      <c r="L59" s="5"/>
      <c r="M59" s="7"/>
    </row>
    <row r="60">
      <c r="A60" s="16" t="str">
        <f>IFERROR(__xludf.DUMMYFUNCTION("""COMPUTED_VALUE"""),"Бобови храни")</f>
        <v>Бобови храни</v>
      </c>
      <c r="B60" s="5" t="str">
        <f>IFERROR(__xludf.DUMMYFUNCTION("""COMPUTED_VALUE"""),"Боб с доматен сос Heinz (Консерва)")</f>
        <v>Боб с доматен сос Heinz (Консерва)</v>
      </c>
      <c r="C60" s="11">
        <f>IFERROR(__xludf.DUMMYFUNCTION("""COMPUTED_VALUE"""),100.0)</f>
        <v>100</v>
      </c>
      <c r="D60" s="7">
        <f>IFERROR(__xludf.DUMMYFUNCTION("""COMPUTED_VALUE"""),4.8)</f>
        <v>4.8</v>
      </c>
      <c r="E60" s="5">
        <f>IFERROR(__xludf.DUMMYFUNCTION("""COMPUTED_VALUE"""),15.5)</f>
        <v>15.5</v>
      </c>
      <c r="F60" s="5">
        <f>IFERROR(__xludf.DUMMYFUNCTION("""COMPUTED_VALUE"""),0.4)</f>
        <v>0.4</v>
      </c>
      <c r="G60" s="5">
        <f>IFERROR(__xludf.DUMMYFUNCTION("""COMPUTED_VALUE"""),3.9)</f>
        <v>3.9</v>
      </c>
      <c r="H60" s="7">
        <f>IFERROR(__xludf.DUMMYFUNCTION("""COMPUTED_VALUE"""),84.8)</f>
        <v>84.8</v>
      </c>
      <c r="I60" s="7"/>
      <c r="J60" s="5"/>
      <c r="K60" s="5"/>
      <c r="L60" s="5"/>
      <c r="M60" s="7"/>
    </row>
    <row r="61">
      <c r="A61" s="16" t="str">
        <f>IFERROR(__xludf.DUMMYFUNCTION("""COMPUTED_VALUE"""),"Бобови храни")</f>
        <v>Бобови храни</v>
      </c>
      <c r="B61" s="5" t="str">
        <f>IFERROR(__xludf.DUMMYFUNCTION("""COMPUTED_VALUE"""),"Слатка царевица (варена)")</f>
        <v>Слатка царевица (варена)</v>
      </c>
      <c r="C61" s="11">
        <f>IFERROR(__xludf.DUMMYFUNCTION("""COMPUTED_VALUE"""),100.0)</f>
        <v>100</v>
      </c>
      <c r="D61" s="7">
        <f>IFERROR(__xludf.DUMMYFUNCTION("""COMPUTED_VALUE"""),3.41)</f>
        <v>3.41</v>
      </c>
      <c r="E61" s="5">
        <f>IFERROR(__xludf.DUMMYFUNCTION("""COMPUTED_VALUE"""),20.98)</f>
        <v>20.98</v>
      </c>
      <c r="F61" s="5">
        <f>IFERROR(__xludf.DUMMYFUNCTION("""COMPUTED_VALUE"""),1.5)</f>
        <v>1.5</v>
      </c>
      <c r="G61" s="5">
        <f>IFERROR(__xludf.DUMMYFUNCTION("""COMPUTED_VALUE"""),2.4)</f>
        <v>2.4</v>
      </c>
      <c r="H61" s="12">
        <f>IFERROR(__xludf.DUMMYFUNCTION("""COMPUTED_VALUE"""),111.06)</f>
        <v>111.06</v>
      </c>
      <c r="I61" s="7"/>
      <c r="J61" s="5"/>
      <c r="K61" s="5"/>
      <c r="L61" s="5"/>
      <c r="M61" s="7"/>
    </row>
    <row r="62">
      <c r="A62" s="16" t="str">
        <f>IFERROR(__xludf.DUMMYFUNCTION("""COMPUTED_VALUE"""),"Брашна")</f>
        <v>Брашна</v>
      </c>
      <c r="B62" s="5" t="str">
        <f>IFERROR(__xludf.DUMMYFUNCTION("""COMPUTED_VALUE"""),"Кокосово брашно")</f>
        <v>Кокосово брашно</v>
      </c>
      <c r="C62" s="11">
        <f>IFERROR(__xludf.DUMMYFUNCTION("""COMPUTED_VALUE"""),100.0)</f>
        <v>100</v>
      </c>
      <c r="D62" s="7">
        <f>IFERROR(__xludf.DUMMYFUNCTION("""COMPUTED_VALUE"""),17.5)</f>
        <v>17.5</v>
      </c>
      <c r="E62" s="5">
        <f>IFERROR(__xludf.DUMMYFUNCTION("""COMPUTED_VALUE"""),59.3)</f>
        <v>59.3</v>
      </c>
      <c r="F62" s="5">
        <f>IFERROR(__xludf.DUMMYFUNCTION("""COMPUTED_VALUE"""),15.0)</f>
        <v>15</v>
      </c>
      <c r="G62" s="20">
        <f>IFERROR(__xludf.DUMMYFUNCTION("""COMPUTED_VALUE"""),37.5)</f>
        <v>37.5</v>
      </c>
      <c r="H62" s="12">
        <f>IFERROR(__xludf.DUMMYFUNCTION("""COMPUTED_VALUE"""),442.2)</f>
        <v>442.2</v>
      </c>
      <c r="I62" s="7"/>
      <c r="J62" s="5"/>
      <c r="K62" s="5"/>
      <c r="L62" s="5"/>
      <c r="M62" s="7"/>
    </row>
    <row r="63">
      <c r="A63" s="16" t="str">
        <f>IFERROR(__xludf.DUMMYFUNCTION("""COMPUTED_VALUE"""),"Брашна")</f>
        <v>Брашна</v>
      </c>
      <c r="B63" s="5" t="str">
        <f>IFERROR(__xludf.DUMMYFUNCTION("""COMPUTED_VALUE"""),"Бяло брашно")</f>
        <v>Бяло брашно</v>
      </c>
      <c r="C63" s="11">
        <f>IFERROR(__xludf.DUMMYFUNCTION("""COMPUTED_VALUE"""),100.0)</f>
        <v>100</v>
      </c>
      <c r="D63" s="7">
        <f>IFERROR(__xludf.DUMMYFUNCTION("""COMPUTED_VALUE"""),10.3)</f>
        <v>10.3</v>
      </c>
      <c r="E63" s="5">
        <f>IFERROR(__xludf.DUMMYFUNCTION("""COMPUTED_VALUE"""),76.3)</f>
        <v>76.3</v>
      </c>
      <c r="F63" s="5">
        <f>IFERROR(__xludf.DUMMYFUNCTION("""COMPUTED_VALUE"""),1.0)</f>
        <v>1</v>
      </c>
      <c r="G63" s="20">
        <f>IFERROR(__xludf.DUMMYFUNCTION("""COMPUTED_VALUE"""),2.7)</f>
        <v>2.7</v>
      </c>
      <c r="H63" s="12">
        <f>IFERROR(__xludf.DUMMYFUNCTION("""COMPUTED_VALUE"""),355.4)</f>
        <v>355.4</v>
      </c>
      <c r="I63" s="7"/>
      <c r="J63" s="5"/>
      <c r="K63" s="5"/>
      <c r="L63" s="5"/>
      <c r="M63" s="7"/>
    </row>
    <row r="64">
      <c r="A64" s="16" t="str">
        <f>IFERROR(__xludf.DUMMYFUNCTION("""COMPUTED_VALUE"""),"Брашна")</f>
        <v>Брашна</v>
      </c>
      <c r="B64" s="5" t="str">
        <f>IFERROR(__xludf.DUMMYFUNCTION("""COMPUTED_VALUE"""),"Пълнозърнесто брашно")</f>
        <v>Пълнозърнесто брашно</v>
      </c>
      <c r="C64" s="11">
        <f>IFERROR(__xludf.DUMMYFUNCTION("""COMPUTED_VALUE"""),100.0)</f>
        <v>100</v>
      </c>
      <c r="D64" s="7">
        <f>IFERROR(__xludf.DUMMYFUNCTION("""COMPUTED_VALUE"""),13.7)</f>
        <v>13.7</v>
      </c>
      <c r="E64" s="5">
        <f>IFERROR(__xludf.DUMMYFUNCTION("""COMPUTED_VALUE"""),72.6)</f>
        <v>72.6</v>
      </c>
      <c r="F64" s="5">
        <f>IFERROR(__xludf.DUMMYFUNCTION("""COMPUTED_VALUE"""),1.9)</f>
        <v>1.9</v>
      </c>
      <c r="G64" s="20">
        <f>IFERROR(__xludf.DUMMYFUNCTION("""COMPUTED_VALUE"""),12.2)</f>
        <v>12.2</v>
      </c>
      <c r="H64" s="12">
        <f>IFERROR(__xludf.DUMMYFUNCTION("""COMPUTED_VALUE"""),362.3)</f>
        <v>362.3</v>
      </c>
      <c r="I64" s="7"/>
      <c r="J64" s="5"/>
      <c r="K64" s="5"/>
      <c r="L64" s="5"/>
      <c r="M64" s="7"/>
    </row>
    <row r="65">
      <c r="A65" s="16" t="str">
        <f>IFERROR(__xludf.DUMMYFUNCTION("""COMPUTED_VALUE"""),"Брашна")</f>
        <v>Брашна</v>
      </c>
      <c r="B65" s="5" t="str">
        <f>IFERROR(__xludf.DUMMYFUNCTION("""COMPUTED_VALUE"""),"Оризово брашно")</f>
        <v>Оризово брашно</v>
      </c>
      <c r="C65" s="11">
        <f>IFERROR(__xludf.DUMMYFUNCTION("""COMPUTED_VALUE"""),100.0)</f>
        <v>100</v>
      </c>
      <c r="D65" s="7">
        <f>IFERROR(__xludf.DUMMYFUNCTION("""COMPUTED_VALUE"""),5.95)</f>
        <v>5.95</v>
      </c>
      <c r="E65" s="5">
        <f>IFERROR(__xludf.DUMMYFUNCTION("""COMPUTED_VALUE"""),80.13)</f>
        <v>80.13</v>
      </c>
      <c r="F65" s="5">
        <f>IFERROR(__xludf.DUMMYFUNCTION("""COMPUTED_VALUE"""),1.42)</f>
        <v>1.42</v>
      </c>
      <c r="G65" s="20">
        <f>IFERROR(__xludf.DUMMYFUNCTION("""COMPUTED_VALUE"""),2.4)</f>
        <v>2.4</v>
      </c>
      <c r="H65" s="12">
        <f>IFERROR(__xludf.DUMMYFUNCTION("""COMPUTED_VALUE"""),357.09999999999997)</f>
        <v>357.1</v>
      </c>
      <c r="I65" s="7"/>
      <c r="J65" s="5"/>
      <c r="K65" s="5"/>
      <c r="L65" s="5"/>
      <c r="M65" s="7"/>
    </row>
    <row r="66">
      <c r="A66" s="16" t="str">
        <f>IFERROR(__xludf.DUMMYFUNCTION("""COMPUTED_VALUE"""),"Брашна")</f>
        <v>Брашна</v>
      </c>
      <c r="B66" s="5" t="str">
        <f>IFERROR(__xludf.DUMMYFUNCTION("""COMPUTED_VALUE"""),"Ленено брашно (Биокласа)")</f>
        <v>Ленено брашно (Биокласа)</v>
      </c>
      <c r="C66" s="11">
        <f>IFERROR(__xludf.DUMMYFUNCTION("""COMPUTED_VALUE"""),100.0)</f>
        <v>100</v>
      </c>
      <c r="D66" s="7">
        <f>IFERROR(__xludf.DUMMYFUNCTION("""COMPUTED_VALUE"""),31.0)</f>
        <v>31</v>
      </c>
      <c r="E66" s="5">
        <f>IFERROR(__xludf.DUMMYFUNCTION("""COMPUTED_VALUE"""),32.0)</f>
        <v>32</v>
      </c>
      <c r="F66" s="5">
        <f>IFERROR(__xludf.DUMMYFUNCTION("""COMPUTED_VALUE"""),6.1)</f>
        <v>6.1</v>
      </c>
      <c r="G66" s="20">
        <f>IFERROR(__xludf.DUMMYFUNCTION("""COMPUTED_VALUE"""),19.0)</f>
        <v>19</v>
      </c>
      <c r="H66" s="12">
        <f>IFERROR(__xludf.DUMMYFUNCTION("""COMPUTED_VALUE"""),306.9)</f>
        <v>306.9</v>
      </c>
      <c r="I66" s="7"/>
      <c r="J66" s="5"/>
      <c r="K66" s="5"/>
      <c r="L66" s="5"/>
      <c r="M66" s="7"/>
    </row>
    <row r="67">
      <c r="A67" s="16" t="str">
        <f>IFERROR(__xludf.DUMMYFUNCTION("""COMPUTED_VALUE"""),"Брашна")</f>
        <v>Брашна</v>
      </c>
      <c r="B67" s="5" t="str">
        <f>IFERROR(__xludf.DUMMYFUNCTION("""COMPUTED_VALUE"""),"Нахутено брашно (DM bio)")</f>
        <v>Нахутено брашно (DM bio)</v>
      </c>
      <c r="C67" s="11">
        <f>IFERROR(__xludf.DUMMYFUNCTION("""COMPUTED_VALUE"""),100.0)</f>
        <v>100</v>
      </c>
      <c r="D67" s="7">
        <f>IFERROR(__xludf.DUMMYFUNCTION("""COMPUTED_VALUE"""),22.0)</f>
        <v>22</v>
      </c>
      <c r="E67" s="5">
        <f>IFERROR(__xludf.DUMMYFUNCTION("""COMPUTED_VALUE"""),48.0)</f>
        <v>48</v>
      </c>
      <c r="F67" s="5">
        <f>IFERROR(__xludf.DUMMYFUNCTION("""COMPUTED_VALUE"""),6.1)</f>
        <v>6.1</v>
      </c>
      <c r="G67" s="20">
        <f>IFERROR(__xludf.DUMMYFUNCTION("""COMPUTED_VALUE"""),13.0)</f>
        <v>13</v>
      </c>
      <c r="H67" s="12">
        <f>IFERROR(__xludf.DUMMYFUNCTION("""COMPUTED_VALUE"""),334.9)</f>
        <v>334.9</v>
      </c>
      <c r="I67" s="7"/>
      <c r="J67" s="5"/>
      <c r="K67" s="5"/>
      <c r="L67" s="5"/>
      <c r="M67" s="7"/>
    </row>
    <row r="68">
      <c r="A68" s="16" t="str">
        <f>IFERROR(__xludf.DUMMYFUNCTION("""COMPUTED_VALUE"""),"Брашна")</f>
        <v>Брашна</v>
      </c>
      <c r="B68" s="5" t="str">
        <f>IFERROR(__xludf.DUMMYFUNCTION("""COMPUTED_VALUE"""),"Пълнозърнесто брашно - София Мел")</f>
        <v>Пълнозърнесто брашно - София Мел</v>
      </c>
      <c r="C68" s="11">
        <f>IFERROR(__xludf.DUMMYFUNCTION("""COMPUTED_VALUE"""),100.0)</f>
        <v>100</v>
      </c>
      <c r="D68" s="12">
        <f>IFERROR(__xludf.DUMMYFUNCTION("""COMPUTED_VALUE"""),14.3)</f>
        <v>14.3</v>
      </c>
      <c r="E68" s="11">
        <f>IFERROR(__xludf.DUMMYFUNCTION("""COMPUTED_VALUE"""),56.1)</f>
        <v>56.1</v>
      </c>
      <c r="F68" s="11">
        <f>IFERROR(__xludf.DUMMYFUNCTION("""COMPUTED_VALUE"""),1.9)</f>
        <v>1.9</v>
      </c>
      <c r="G68" s="20">
        <f>IFERROR(__xludf.DUMMYFUNCTION("""COMPUTED_VALUE"""),12.6)</f>
        <v>12.6</v>
      </c>
      <c r="H68" s="12">
        <f>IFERROR(__xludf.DUMMYFUNCTION("""COMPUTED_VALUE"""),298.70000000000005)</f>
        <v>298.7</v>
      </c>
      <c r="I68" s="7"/>
      <c r="J68" s="5"/>
      <c r="K68" s="5"/>
      <c r="L68" s="5"/>
      <c r="M68" s="7"/>
    </row>
    <row r="69">
      <c r="A69" s="16" t="str">
        <f>IFERROR(__xludf.DUMMYFUNCTION("""COMPUTED_VALUE"""),"Брашна")</f>
        <v>Брашна</v>
      </c>
      <c r="B69" s="5" t="str">
        <f>IFERROR(__xludf.DUMMYFUNCTION("""COMPUTED_VALUE"""),"Фъстъчено био брашно (dragon superfoods)")</f>
        <v>Фъстъчено био брашно (dragon superfoods)</v>
      </c>
      <c r="C69" s="11">
        <f>IFERROR(__xludf.DUMMYFUNCTION("""COMPUTED_VALUE"""),100.0)</f>
        <v>100</v>
      </c>
      <c r="D69" s="7">
        <f>IFERROR(__xludf.DUMMYFUNCTION("""COMPUTED_VALUE"""),49.0)</f>
        <v>49</v>
      </c>
      <c r="E69" s="5">
        <f>IFERROR(__xludf.DUMMYFUNCTION("""COMPUTED_VALUE"""),22.0)</f>
        <v>22</v>
      </c>
      <c r="F69" s="5">
        <f>IFERROR(__xludf.DUMMYFUNCTION("""COMPUTED_VALUE"""),9.7)</f>
        <v>9.7</v>
      </c>
      <c r="G69" s="20">
        <f>IFERROR(__xludf.DUMMYFUNCTION("""COMPUTED_VALUE"""),13.0)</f>
        <v>13</v>
      </c>
      <c r="H69" s="12">
        <f>IFERROR(__xludf.DUMMYFUNCTION("""COMPUTED_VALUE"""),371.3)</f>
        <v>371.3</v>
      </c>
      <c r="I69" s="7"/>
      <c r="J69" s="5"/>
      <c r="K69" s="5"/>
      <c r="L69" s="5"/>
      <c r="M69" s="7"/>
    </row>
    <row r="70">
      <c r="A70" s="16" t="str">
        <f>IFERROR(__xludf.DUMMYFUNCTION("""COMPUTED_VALUE"""),"Брашна")</f>
        <v>Брашна</v>
      </c>
      <c r="B70" s="5" t="str">
        <f>IFERROR(__xludf.DUMMYFUNCTION("""COMPUTED_VALUE"""),"Пълнозърнесто брашно от лимец (Balcho)")</f>
        <v>Пълнозърнесто брашно от лимец (Balcho)</v>
      </c>
      <c r="C70" s="11">
        <f>IFERROR(__xludf.DUMMYFUNCTION("""COMPUTED_VALUE"""),100.0)</f>
        <v>100</v>
      </c>
      <c r="D70" s="12">
        <f>IFERROR(__xludf.DUMMYFUNCTION("""COMPUTED_VALUE"""),15.0)</f>
        <v>15</v>
      </c>
      <c r="E70" s="11">
        <f>IFERROR(__xludf.DUMMYFUNCTION("""COMPUTED_VALUE"""),68.0)</f>
        <v>68</v>
      </c>
      <c r="F70" s="11">
        <f>IFERROR(__xludf.DUMMYFUNCTION("""COMPUTED_VALUE"""),3.0)</f>
        <v>3</v>
      </c>
      <c r="G70" s="20">
        <f>IFERROR(__xludf.DUMMYFUNCTION("""COMPUTED_VALUE"""),10.0)</f>
        <v>10</v>
      </c>
      <c r="H70" s="12">
        <f>IFERROR(__xludf.DUMMYFUNCTION("""COMPUTED_VALUE"""),359.0)</f>
        <v>359</v>
      </c>
      <c r="I70" s="7"/>
      <c r="J70" s="5"/>
      <c r="K70" s="5"/>
      <c r="L70" s="5"/>
      <c r="M70" s="7"/>
    </row>
    <row r="71">
      <c r="A71" s="16" t="str">
        <f>IFERROR(__xludf.DUMMYFUNCTION("""COMPUTED_VALUE"""),"Брашна")</f>
        <v>Брашна</v>
      </c>
      <c r="B71" s="5" t="str">
        <f>IFERROR(__xludf.DUMMYFUNCTION("""COMPUTED_VALUE"""),"Ръжено брашно")</f>
        <v>Ръжено брашно</v>
      </c>
      <c r="C71" s="11">
        <f>IFERROR(__xludf.DUMMYFUNCTION("""COMPUTED_VALUE"""),100.0)</f>
        <v>100</v>
      </c>
      <c r="D71" s="7">
        <f>IFERROR(__xludf.DUMMYFUNCTION("""COMPUTED_VALUE"""),10.1)</f>
        <v>10.1</v>
      </c>
      <c r="E71" s="5">
        <f>IFERROR(__xludf.DUMMYFUNCTION("""COMPUTED_VALUE"""),57.9)</f>
        <v>57.9</v>
      </c>
      <c r="F71" s="5">
        <f>IFERROR(__xludf.DUMMYFUNCTION("""COMPUTED_VALUE"""),1.5)</f>
        <v>1.5</v>
      </c>
      <c r="G71" s="20">
        <f>IFERROR(__xludf.DUMMYFUNCTION("""COMPUTED_VALUE"""),17.0)</f>
        <v>17</v>
      </c>
      <c r="H71" s="12">
        <f>IFERROR(__xludf.DUMMYFUNCTION("""COMPUTED_VALUE"""),285.5)</f>
        <v>285.5</v>
      </c>
      <c r="I71" s="7"/>
      <c r="J71" s="5"/>
      <c r="K71" s="5"/>
      <c r="L71" s="5"/>
      <c r="M71" s="7"/>
    </row>
    <row r="72">
      <c r="A72" s="16" t="str">
        <f>IFERROR(__xludf.DUMMYFUNCTION("""COMPUTED_VALUE"""),"Брашна")</f>
        <v>Брашна</v>
      </c>
      <c r="B72" s="5" t="str">
        <f>IFERROR(__xludf.DUMMYFUNCTION("""COMPUTED_VALUE"""),"Царевично брашно")</f>
        <v>Царевично брашно</v>
      </c>
      <c r="C72" s="11">
        <f>IFERROR(__xludf.DUMMYFUNCTION("""COMPUTED_VALUE"""),100.0)</f>
        <v>100</v>
      </c>
      <c r="D72" s="12">
        <f>IFERROR(__xludf.DUMMYFUNCTION("""COMPUTED_VALUE"""),0.4)</f>
        <v>0.4</v>
      </c>
      <c r="E72" s="11">
        <f>IFERROR(__xludf.DUMMYFUNCTION("""COMPUTED_VALUE"""),86.0)</f>
        <v>86</v>
      </c>
      <c r="F72" s="11">
        <f>IFERROR(__xludf.DUMMYFUNCTION("""COMPUTED_VALUE"""),0.1)</f>
        <v>0.1</v>
      </c>
      <c r="G72" s="20">
        <f>IFERROR(__xludf.DUMMYFUNCTION("""COMPUTED_VALUE"""),1.0)</f>
        <v>1</v>
      </c>
      <c r="H72" s="12">
        <f>IFERROR(__xludf.DUMMYFUNCTION("""COMPUTED_VALUE"""),346.5)</f>
        <v>346.5</v>
      </c>
      <c r="I72" s="7"/>
      <c r="J72" s="5"/>
      <c r="K72" s="5"/>
      <c r="L72" s="5"/>
      <c r="M72" s="7"/>
    </row>
    <row r="73">
      <c r="A73" s="16" t="str">
        <f>IFERROR(__xludf.DUMMYFUNCTION("""COMPUTED_VALUE"""),"Брашна")</f>
        <v>Брашна</v>
      </c>
      <c r="B73" s="5" t="str">
        <f>IFERROR(__xludf.DUMMYFUNCTION("""COMPUTED_VALUE"""),"Семолина")</f>
        <v>Семолина</v>
      </c>
      <c r="C73" s="11">
        <f>IFERROR(__xludf.DUMMYFUNCTION("""COMPUTED_VALUE"""),100.0)</f>
        <v>100</v>
      </c>
      <c r="D73" s="12">
        <f>IFERROR(__xludf.DUMMYFUNCTION("""COMPUTED_VALUE"""),12.7)</f>
        <v>12.7</v>
      </c>
      <c r="E73" s="11">
        <f>IFERROR(__xludf.DUMMYFUNCTION("""COMPUTED_VALUE"""),72.8)</f>
        <v>72.8</v>
      </c>
      <c r="F73" s="11">
        <f>IFERROR(__xludf.DUMMYFUNCTION("""COMPUTED_VALUE"""),1.1)</f>
        <v>1.1</v>
      </c>
      <c r="G73" s="20">
        <f>IFERROR(__xludf.DUMMYFUNCTION("""COMPUTED_VALUE"""),3.9)</f>
        <v>3.9</v>
      </c>
      <c r="H73" s="12">
        <f>IFERROR(__xludf.DUMMYFUNCTION("""COMPUTED_VALUE"""),351.9)</f>
        <v>351.9</v>
      </c>
      <c r="I73" s="7"/>
      <c r="J73" s="5"/>
      <c r="K73" s="5"/>
      <c r="L73" s="5"/>
      <c r="M73" s="7"/>
    </row>
    <row r="74">
      <c r="A74" s="16" t="str">
        <f>IFERROR(__xludf.DUMMYFUNCTION("""COMPUTED_VALUE"""),"Брашна")</f>
        <v>Брашна</v>
      </c>
      <c r="B74" s="5" t="str">
        <f>IFERROR(__xludf.DUMMYFUNCTION("""COMPUTED_VALUE"""),"Качамак Оберон")</f>
        <v>Качамак Оберон</v>
      </c>
      <c r="C74" s="11">
        <f>IFERROR(__xludf.DUMMYFUNCTION("""COMPUTED_VALUE"""),100.0)</f>
        <v>100</v>
      </c>
      <c r="D74" s="7">
        <f>IFERROR(__xludf.DUMMYFUNCTION("""COMPUTED_VALUE"""),9.0)</f>
        <v>9</v>
      </c>
      <c r="E74" s="5">
        <f>IFERROR(__xludf.DUMMYFUNCTION("""COMPUTED_VALUE"""),63.0)</f>
        <v>63</v>
      </c>
      <c r="F74" s="5">
        <f>IFERROR(__xludf.DUMMYFUNCTION("""COMPUTED_VALUE"""),8.0)</f>
        <v>8</v>
      </c>
      <c r="G74" s="20">
        <f>IFERROR(__xludf.DUMMYFUNCTION("""COMPUTED_VALUE"""),0.0)</f>
        <v>0</v>
      </c>
      <c r="H74" s="12">
        <f>IFERROR(__xludf.DUMMYFUNCTION("""COMPUTED_VALUE"""),360.0)</f>
        <v>360</v>
      </c>
      <c r="I74" s="7"/>
      <c r="J74" s="5"/>
      <c r="K74" s="5"/>
      <c r="L74" s="5"/>
      <c r="M74" s="7"/>
    </row>
    <row r="75">
      <c r="A75" s="16" t="str">
        <f>IFERROR(__xludf.DUMMYFUNCTION("""COMPUTED_VALUE"""),"Брашна")</f>
        <v>Брашна</v>
      </c>
      <c r="B75" s="5" t="str">
        <f>IFERROR(__xludf.DUMMYFUNCTION("""COMPUTED_VALUE"""),"Бадемово брашно")</f>
        <v>Бадемово брашно</v>
      </c>
      <c r="C75" s="11">
        <f>IFERROR(__xludf.DUMMYFUNCTION("""COMPUTED_VALUE"""),100.0)</f>
        <v>100</v>
      </c>
      <c r="D75" s="7">
        <f>IFERROR(__xludf.DUMMYFUNCTION("""COMPUTED_VALUE"""),21.0)</f>
        <v>21</v>
      </c>
      <c r="E75" s="5">
        <f>IFERROR(__xludf.DUMMYFUNCTION("""COMPUTED_VALUE"""),4.0)</f>
        <v>4</v>
      </c>
      <c r="F75" s="5">
        <f>IFERROR(__xludf.DUMMYFUNCTION("""COMPUTED_VALUE"""),56.0)</f>
        <v>56</v>
      </c>
      <c r="G75" s="20">
        <f>IFERROR(__xludf.DUMMYFUNCTION("""COMPUTED_VALUE"""),12.0)</f>
        <v>12</v>
      </c>
      <c r="H75" s="12">
        <f>IFERROR(__xludf.DUMMYFUNCTION("""COMPUTED_VALUE"""),604.0)</f>
        <v>604</v>
      </c>
      <c r="I75" s="7"/>
      <c r="J75" s="5"/>
      <c r="K75" s="5"/>
      <c r="L75" s="5"/>
      <c r="M75" s="7"/>
    </row>
    <row r="76">
      <c r="A76" s="16" t="str">
        <f>IFERROR(__xludf.DUMMYFUNCTION("""COMPUTED_VALUE"""),"Брашна")</f>
        <v>Брашна</v>
      </c>
      <c r="B76" s="5" t="str">
        <f>IFERROR(__xludf.DUMMYFUNCTION("""COMPUTED_VALUE"""),"Тиквено брашно Balcho")</f>
        <v>Тиквено брашно Balcho</v>
      </c>
      <c r="C76" s="11">
        <f>IFERROR(__xludf.DUMMYFUNCTION("""COMPUTED_VALUE"""),100.0)</f>
        <v>100</v>
      </c>
      <c r="D76" s="7">
        <f>IFERROR(__xludf.DUMMYFUNCTION("""COMPUTED_VALUE"""),56.0)</f>
        <v>56</v>
      </c>
      <c r="E76" s="5">
        <f>IFERROR(__xludf.DUMMYFUNCTION("""COMPUTED_VALUE"""),34.0)</f>
        <v>34</v>
      </c>
      <c r="F76" s="5">
        <f>IFERROR(__xludf.DUMMYFUNCTION("""COMPUTED_VALUE"""),10.0)</f>
        <v>10</v>
      </c>
      <c r="G76" s="20">
        <f>IFERROR(__xludf.DUMMYFUNCTION("""COMPUTED_VALUE"""),16.0)</f>
        <v>16</v>
      </c>
      <c r="H76" s="12">
        <f>IFERROR(__xludf.DUMMYFUNCTION("""COMPUTED_VALUE"""),450.0)</f>
        <v>450</v>
      </c>
      <c r="I76" s="7"/>
      <c r="J76" s="5"/>
      <c r="K76" s="5"/>
      <c r="L76" s="5"/>
      <c r="M76" s="7"/>
    </row>
    <row r="77">
      <c r="A77" s="16" t="str">
        <f>IFERROR(__xludf.DUMMYFUNCTION("""COMPUTED_VALUE"""),"Брашна")</f>
        <v>Брашна</v>
      </c>
      <c r="B77" s="5" t="str">
        <f>IFERROR(__xludf.DUMMYFUNCTION("""COMPUTED_VALUE"""),"Брашно от сладка лупина")</f>
        <v>Брашно от сладка лупина</v>
      </c>
      <c r="C77" s="11">
        <f>IFERROR(__xludf.DUMMYFUNCTION("""COMPUTED_VALUE"""),100.0)</f>
        <v>100</v>
      </c>
      <c r="D77" s="12">
        <f>IFERROR(__xludf.DUMMYFUNCTION("""COMPUTED_VALUE"""),40.0)</f>
        <v>40</v>
      </c>
      <c r="E77" s="11">
        <f>IFERROR(__xludf.DUMMYFUNCTION("""COMPUTED_VALUE"""),9.0)</f>
        <v>9</v>
      </c>
      <c r="F77" s="11">
        <f>IFERROR(__xludf.DUMMYFUNCTION("""COMPUTED_VALUE"""),12.0)</f>
        <v>12</v>
      </c>
      <c r="G77" s="20">
        <f>IFERROR(__xludf.DUMMYFUNCTION("""COMPUTED_VALUE"""),27.0)</f>
        <v>27</v>
      </c>
      <c r="H77" s="12">
        <f>IFERROR(__xludf.DUMMYFUNCTION("""COMPUTED_VALUE"""),304.0)</f>
        <v>304</v>
      </c>
      <c r="I77" s="7"/>
      <c r="J77" s="5"/>
      <c r="K77" s="5"/>
      <c r="L77" s="5"/>
      <c r="M77" s="7"/>
    </row>
    <row r="78">
      <c r="A78" s="16" t="str">
        <f>IFERROR(__xludf.DUMMYFUNCTION("""COMPUTED_VALUE"""),"Брашна")</f>
        <v>Брашна</v>
      </c>
      <c r="B78" s="5" t="str">
        <f>IFERROR(__xludf.DUMMYFUNCTION("""COMPUTED_VALUE"""),"Конопено Брашно Био Класа")</f>
        <v>Конопено Брашно Био Класа</v>
      </c>
      <c r="C78" s="11">
        <f>IFERROR(__xludf.DUMMYFUNCTION("""COMPUTED_VALUE"""),100.0)</f>
        <v>100</v>
      </c>
      <c r="D78" s="7">
        <f>IFERROR(__xludf.DUMMYFUNCTION("""COMPUTED_VALUE"""),30.0)</f>
        <v>30</v>
      </c>
      <c r="E78" s="5">
        <f>IFERROR(__xludf.DUMMYFUNCTION("""COMPUTED_VALUE"""),3.1)</f>
        <v>3.1</v>
      </c>
      <c r="F78" s="5">
        <f>IFERROR(__xludf.DUMMYFUNCTION("""COMPUTED_VALUE"""),8.1)</f>
        <v>8.1</v>
      </c>
      <c r="G78" s="20">
        <f>IFERROR(__xludf.DUMMYFUNCTION("""COMPUTED_VALUE"""),0.0)</f>
        <v>0</v>
      </c>
      <c r="H78" s="12">
        <f>IFERROR(__xludf.DUMMYFUNCTION("""COMPUTED_VALUE"""),205.3)</f>
        <v>205.3</v>
      </c>
      <c r="I78" s="7"/>
      <c r="J78" s="5"/>
      <c r="K78" s="5"/>
      <c r="L78" s="5"/>
      <c r="M78" s="7"/>
    </row>
    <row r="79">
      <c r="A79" s="16" t="str">
        <f>IFERROR(__xludf.DUMMYFUNCTION("""COMPUTED_VALUE"""),"Брашна")</f>
        <v>Брашна</v>
      </c>
      <c r="B79" s="5" t="str">
        <f>IFERROR(__xludf.DUMMYFUNCTION("""COMPUTED_VALUE"""),"Киноа брашно")</f>
        <v>Киноа брашно</v>
      </c>
      <c r="C79" s="11">
        <f>IFERROR(__xludf.DUMMYFUNCTION("""COMPUTED_VALUE"""),100.0)</f>
        <v>100</v>
      </c>
      <c r="D79" s="7">
        <f>IFERROR(__xludf.DUMMYFUNCTION("""COMPUTED_VALUE"""),12.9)</f>
        <v>12.9</v>
      </c>
      <c r="E79" s="5">
        <f>IFERROR(__xludf.DUMMYFUNCTION("""COMPUTED_VALUE"""),62.44)</f>
        <v>62.44</v>
      </c>
      <c r="F79" s="5">
        <f>IFERROR(__xludf.DUMMYFUNCTION("""COMPUTED_VALUE"""),5.94)</f>
        <v>5.94</v>
      </c>
      <c r="G79" s="20">
        <f>IFERROR(__xludf.DUMMYFUNCTION("""COMPUTED_VALUE"""),0.0)</f>
        <v>0</v>
      </c>
      <c r="H79" s="12">
        <f>IFERROR(__xludf.DUMMYFUNCTION("""COMPUTED_VALUE"""),354.82)</f>
        <v>354.82</v>
      </c>
      <c r="I79" s="7"/>
      <c r="J79" s="5"/>
      <c r="K79" s="5"/>
      <c r="L79" s="5"/>
      <c r="M79" s="7"/>
    </row>
    <row r="80">
      <c r="A80" s="16" t="str">
        <f>IFERROR(__xludf.DUMMYFUNCTION("""COMPUTED_VALUE"""),"Брашна")</f>
        <v>Брашна</v>
      </c>
      <c r="B80" s="5" t="str">
        <f>IFERROR(__xludf.DUMMYFUNCTION("""COMPUTED_VALUE"""),"Грис")</f>
        <v>Грис</v>
      </c>
      <c r="C80" s="11">
        <f>IFERROR(__xludf.DUMMYFUNCTION("""COMPUTED_VALUE"""),100.0)</f>
        <v>100</v>
      </c>
      <c r="D80" s="7">
        <f>IFERROR(__xludf.DUMMYFUNCTION("""COMPUTED_VALUE"""),13.0)</f>
        <v>13</v>
      </c>
      <c r="E80" s="5">
        <f>IFERROR(__xludf.DUMMYFUNCTION("""COMPUTED_VALUE"""),66.0)</f>
        <v>66</v>
      </c>
      <c r="F80" s="5">
        <f>IFERROR(__xludf.DUMMYFUNCTION("""COMPUTED_VALUE"""),2.0)</f>
        <v>2</v>
      </c>
      <c r="G80" s="20">
        <f>IFERROR(__xludf.DUMMYFUNCTION("""COMPUTED_VALUE"""),0.0)</f>
        <v>0</v>
      </c>
      <c r="H80" s="12">
        <f>IFERROR(__xludf.DUMMYFUNCTION("""COMPUTED_VALUE"""),334.0)</f>
        <v>334</v>
      </c>
      <c r="I80" s="7"/>
      <c r="J80" s="5"/>
      <c r="K80" s="5"/>
      <c r="L80" s="5"/>
      <c r="M80" s="7"/>
    </row>
    <row r="81">
      <c r="A81" s="16" t="str">
        <f>IFERROR(__xludf.DUMMYFUNCTION("""COMPUTED_VALUE"""),"Брашна")</f>
        <v>Брашна</v>
      </c>
      <c r="B81" s="5" t="str">
        <f>IFERROR(__xludf.DUMMYFUNCTION("""COMPUTED_VALUE"""),"Брашно от елда")</f>
        <v>Брашно от елда</v>
      </c>
      <c r="C81" s="11">
        <f>IFERROR(__xludf.DUMMYFUNCTION("""COMPUTED_VALUE"""),100.0)</f>
        <v>100</v>
      </c>
      <c r="D81" s="12">
        <f>IFERROR(__xludf.DUMMYFUNCTION("""COMPUTED_VALUE"""),8.0)</f>
        <v>8</v>
      </c>
      <c r="E81" s="11">
        <f>IFERROR(__xludf.DUMMYFUNCTION("""COMPUTED_VALUE"""),71.0)</f>
        <v>71</v>
      </c>
      <c r="F81" s="11">
        <f>IFERROR(__xludf.DUMMYFUNCTION("""COMPUTED_VALUE"""),3.0)</f>
        <v>3</v>
      </c>
      <c r="G81" s="20">
        <f>IFERROR(__xludf.DUMMYFUNCTION("""COMPUTED_VALUE"""),0.0)</f>
        <v>0</v>
      </c>
      <c r="H81" s="12">
        <f>IFERROR(__xludf.DUMMYFUNCTION("""COMPUTED_VALUE"""),343.0)</f>
        <v>343</v>
      </c>
      <c r="I81" s="7"/>
      <c r="J81" s="5"/>
      <c r="K81" s="5"/>
      <c r="L81" s="5"/>
      <c r="M81" s="7"/>
    </row>
    <row r="82">
      <c r="A82" s="16" t="str">
        <f>IFERROR(__xludf.DUMMYFUNCTION("""COMPUTED_VALUE"""),"Брашна")</f>
        <v>Брашна</v>
      </c>
      <c r="B82" s="5" t="str">
        <f>IFERROR(__xludf.DUMMYFUNCTION("""COMPUTED_VALUE"""),"Брашно от бял трън- Агробен ЕООД")</f>
        <v>Брашно от бял трън- Агробен ЕООД</v>
      </c>
      <c r="C82" s="11">
        <f>IFERROR(__xludf.DUMMYFUNCTION("""COMPUTED_VALUE"""),100.0)</f>
        <v>100</v>
      </c>
      <c r="D82" s="7">
        <f>IFERROR(__xludf.DUMMYFUNCTION("""COMPUTED_VALUE"""),17.85)</f>
        <v>17.85</v>
      </c>
      <c r="E82" s="5">
        <f>IFERROR(__xludf.DUMMYFUNCTION("""COMPUTED_VALUE"""),5.21)</f>
        <v>5.21</v>
      </c>
      <c r="F82" s="5">
        <f>IFERROR(__xludf.DUMMYFUNCTION("""COMPUTED_VALUE"""),12.63)</f>
        <v>12.63</v>
      </c>
      <c r="G82" s="20">
        <f>IFERROR(__xludf.DUMMYFUNCTION("""COMPUTED_VALUE"""),6.0)</f>
        <v>6</v>
      </c>
      <c r="H82" s="12">
        <f>IFERROR(__xludf.DUMMYFUNCTION("""COMPUTED_VALUE"""),205.91000000000003)</f>
        <v>205.91</v>
      </c>
      <c r="I82" s="7"/>
      <c r="J82" s="5"/>
      <c r="K82" s="5"/>
      <c r="L82" s="5"/>
      <c r="M82" s="7"/>
    </row>
    <row r="83">
      <c r="A83" s="16" t="str">
        <f>IFERROR(__xludf.DUMMYFUNCTION("""COMPUTED_VALUE"""),"Брашна")</f>
        <v>Брашна</v>
      </c>
      <c r="B83" s="5" t="str">
        <f>IFERROR(__xludf.DUMMYFUNCTION("""COMPUTED_VALUE"""),"Брашно от спелта")</f>
        <v>Брашно от спелта</v>
      </c>
      <c r="C83" s="11">
        <f>IFERROR(__xludf.DUMMYFUNCTION("""COMPUTED_VALUE"""),100.0)</f>
        <v>100</v>
      </c>
      <c r="D83" s="7">
        <f>IFERROR(__xludf.DUMMYFUNCTION("""COMPUTED_VALUE"""),8.0)</f>
        <v>8</v>
      </c>
      <c r="E83" s="5">
        <f>IFERROR(__xludf.DUMMYFUNCTION("""COMPUTED_VALUE"""),69.0)</f>
        <v>69</v>
      </c>
      <c r="F83" s="5">
        <f>IFERROR(__xludf.DUMMYFUNCTION("""COMPUTED_VALUE"""),2.0)</f>
        <v>2</v>
      </c>
      <c r="G83" s="20">
        <f>IFERROR(__xludf.DUMMYFUNCTION("""COMPUTED_VALUE"""),0.0)</f>
        <v>0</v>
      </c>
      <c r="H83" s="12">
        <f>IFERROR(__xludf.DUMMYFUNCTION("""COMPUTED_VALUE"""),326.0)</f>
        <v>326</v>
      </c>
      <c r="I83" s="7"/>
      <c r="J83" s="5"/>
      <c r="K83" s="5"/>
      <c r="L83" s="5"/>
      <c r="M83" s="7"/>
    </row>
    <row r="84">
      <c r="A84" s="16" t="str">
        <f>IFERROR(__xludf.DUMMYFUNCTION("""COMPUTED_VALUE"""),"Брашна")</f>
        <v>Брашна</v>
      </c>
      <c r="B84" s="5" t="str">
        <f>IFERROR(__xludf.DUMMYFUNCTION("""COMPUTED_VALUE"""),"ПРОТЕИНОВО ПРАШНО ЗА ПИЦА")</f>
        <v>ПРОТЕИНОВО ПРАШНО ЗА ПИЦА</v>
      </c>
      <c r="C84" s="11">
        <f>IFERROR(__xludf.DUMMYFUNCTION("""COMPUTED_VALUE"""),100.0)</f>
        <v>100</v>
      </c>
      <c r="D84" s="7">
        <f>IFERROR(__xludf.DUMMYFUNCTION("""COMPUTED_VALUE"""),48.0)</f>
        <v>48</v>
      </c>
      <c r="E84" s="5">
        <f>IFERROR(__xludf.DUMMYFUNCTION("""COMPUTED_VALUE"""),22.0)</f>
        <v>22</v>
      </c>
      <c r="F84" s="5">
        <f>IFERROR(__xludf.DUMMYFUNCTION("""COMPUTED_VALUE"""),3.0)</f>
        <v>3</v>
      </c>
      <c r="G84" s="20">
        <f>IFERROR(__xludf.DUMMYFUNCTION("""COMPUTED_VALUE"""),0.0)</f>
        <v>0</v>
      </c>
      <c r="H84" s="12">
        <f>IFERROR(__xludf.DUMMYFUNCTION("""COMPUTED_VALUE"""),307.0)</f>
        <v>307</v>
      </c>
      <c r="I84" s="7"/>
      <c r="J84" s="5"/>
      <c r="K84" s="5"/>
      <c r="L84" s="5"/>
      <c r="M84" s="7"/>
    </row>
    <row r="85">
      <c r="A85" s="16" t="str">
        <f>IFERROR(__xludf.DUMMYFUNCTION("""COMPUTED_VALUE"""),"Брашна")</f>
        <v>Брашна</v>
      </c>
      <c r="B85" s="5" t="str">
        <f>IFERROR(__xludf.DUMMYFUNCTION("""COMPUTED_VALUE"""),"Пшенично брашно Типово")</f>
        <v>Пшенично брашно Типово</v>
      </c>
      <c r="C85" s="11">
        <f>IFERROR(__xludf.DUMMYFUNCTION("""COMPUTED_VALUE"""),100.0)</f>
        <v>100</v>
      </c>
      <c r="D85" s="12">
        <f>IFERROR(__xludf.DUMMYFUNCTION("""COMPUTED_VALUE"""),12.2)</f>
        <v>12.2</v>
      </c>
      <c r="E85" s="11">
        <f>IFERROR(__xludf.DUMMYFUNCTION("""COMPUTED_VALUE"""),65.5)</f>
        <v>65.5</v>
      </c>
      <c r="F85" s="11">
        <f>IFERROR(__xludf.DUMMYFUNCTION("""COMPUTED_VALUE"""),1.8)</f>
        <v>1.8</v>
      </c>
      <c r="G85" s="20">
        <f>IFERROR(__xludf.DUMMYFUNCTION("""COMPUTED_VALUE"""),6.7)</f>
        <v>6.7</v>
      </c>
      <c r="H85" s="12">
        <f>IFERROR(__xludf.DUMMYFUNCTION("""COMPUTED_VALUE"""),327.0)</f>
        <v>327</v>
      </c>
      <c r="I85" s="7"/>
      <c r="J85" s="5"/>
      <c r="K85" s="5"/>
      <c r="L85" s="5"/>
      <c r="M85" s="7"/>
    </row>
    <row r="86">
      <c r="A86" s="16" t="str">
        <f>IFERROR(__xludf.DUMMYFUNCTION("""COMPUTED_VALUE"""),"Брашна")</f>
        <v>Брашна</v>
      </c>
      <c r="B86" s="5" t="str">
        <f>IFERROR(__xludf.DUMMYFUNCTION("""COMPUTED_VALUE"""),"Брашно от кокос BIO PREMIUM")</f>
        <v>Брашно от кокос BIO PREMIUM</v>
      </c>
      <c r="C86" s="11">
        <f>IFERROR(__xludf.DUMMYFUNCTION("""COMPUTED_VALUE"""),100.0)</f>
        <v>100</v>
      </c>
      <c r="D86" s="7">
        <f>IFERROR(__xludf.DUMMYFUNCTION("""COMPUTED_VALUE"""),21.0)</f>
        <v>21</v>
      </c>
      <c r="E86" s="5">
        <f>IFERROR(__xludf.DUMMYFUNCTION("""COMPUTED_VALUE"""),22.0)</f>
        <v>22</v>
      </c>
      <c r="F86" s="5">
        <f>IFERROR(__xludf.DUMMYFUNCTION("""COMPUTED_VALUE"""),9.9)</f>
        <v>9.9</v>
      </c>
      <c r="G86" s="5">
        <f>IFERROR(__xludf.DUMMYFUNCTION("""COMPUTED_VALUE"""),38.0)</f>
        <v>38</v>
      </c>
      <c r="H86" s="7">
        <f>IFERROR(__xludf.DUMMYFUNCTION("""COMPUTED_VALUE"""),261.1)</f>
        <v>261.1</v>
      </c>
      <c r="I86" s="7"/>
      <c r="J86" s="5"/>
      <c r="K86" s="5"/>
      <c r="L86" s="5"/>
      <c r="M86" s="7"/>
    </row>
    <row r="87">
      <c r="A87" s="16" t="str">
        <f>IFERROR(__xludf.DUMMYFUNCTION("""COMPUTED_VALUE"""),"Брашна")</f>
        <v>Брашна</v>
      </c>
      <c r="B87" s="5" t="str">
        <f>IFERROR(__xludf.DUMMYFUNCTION("""COMPUTED_VALUE"""),"Орехово брашно")</f>
        <v>Орехово брашно</v>
      </c>
      <c r="C87" s="11">
        <f>IFERROR(__xludf.DUMMYFUNCTION("""COMPUTED_VALUE"""),100.0)</f>
        <v>100</v>
      </c>
      <c r="D87" s="7">
        <f>IFERROR(__xludf.DUMMYFUNCTION("""COMPUTED_VALUE"""),51.0)</f>
        <v>51</v>
      </c>
      <c r="E87" s="5">
        <f>IFERROR(__xludf.DUMMYFUNCTION("""COMPUTED_VALUE"""),11.0)</f>
        <v>11</v>
      </c>
      <c r="F87" s="5">
        <f>IFERROR(__xludf.DUMMYFUNCTION("""COMPUTED_VALUE"""),14.0)</f>
        <v>14</v>
      </c>
      <c r="G87" s="5">
        <f>IFERROR(__xludf.DUMMYFUNCTION("""COMPUTED_VALUE"""),16.0)</f>
        <v>16</v>
      </c>
      <c r="H87" s="7">
        <f>IFERROR(__xludf.DUMMYFUNCTION("""COMPUTED_VALUE"""),374.0)</f>
        <v>374</v>
      </c>
      <c r="I87" s="7"/>
      <c r="J87" s="5"/>
      <c r="K87" s="5"/>
      <c r="L87" s="5"/>
      <c r="M87" s="7"/>
    </row>
    <row r="88">
      <c r="A88" s="16" t="str">
        <f>IFERROR(__xludf.DUMMYFUNCTION("""COMPUTED_VALUE"""),"Брашна")</f>
        <v>Брашна</v>
      </c>
      <c r="B88" s="5" t="str">
        <f>IFERROR(__xludf.DUMMYFUNCTION("""COMPUTED_VALUE"""),"Лешниково брашно")</f>
        <v>Лешниково брашно</v>
      </c>
      <c r="C88" s="11">
        <f>IFERROR(__xludf.DUMMYFUNCTION("""COMPUTED_VALUE"""),100.0)</f>
        <v>100</v>
      </c>
      <c r="D88" s="7">
        <f>IFERROR(__xludf.DUMMYFUNCTION("""COMPUTED_VALUE"""),41.0)</f>
        <v>41</v>
      </c>
      <c r="E88" s="5">
        <f>IFERROR(__xludf.DUMMYFUNCTION("""COMPUTED_VALUE"""),10.0)</f>
        <v>10</v>
      </c>
      <c r="F88" s="5">
        <f>IFERROR(__xludf.DUMMYFUNCTION("""COMPUTED_VALUE"""),17.0)</f>
        <v>17</v>
      </c>
      <c r="G88" s="5">
        <f>IFERROR(__xludf.DUMMYFUNCTION("""COMPUTED_VALUE"""),22.0)</f>
        <v>22</v>
      </c>
      <c r="H88" s="7">
        <f>IFERROR(__xludf.DUMMYFUNCTION("""COMPUTED_VALUE"""),357.0)</f>
        <v>357</v>
      </c>
      <c r="I88" s="7"/>
      <c r="J88" s="5"/>
      <c r="K88" s="5"/>
      <c r="L88" s="5"/>
      <c r="M88" s="7"/>
    </row>
    <row r="89">
      <c r="A89" s="16" t="str">
        <f>IFERROR(__xludf.DUMMYFUNCTION("""COMPUTED_VALUE"""),"Брашна")</f>
        <v>Брашна</v>
      </c>
      <c r="B89" s="5" t="str">
        <f>IFERROR(__xludf.DUMMYFUNCTION("""COMPUTED_VALUE"""),"Fibra Fit нежни фибри")</f>
        <v>Fibra Fit нежни фибри</v>
      </c>
      <c r="C89" s="11">
        <f>IFERROR(__xludf.DUMMYFUNCTION("""COMPUTED_VALUE"""),100.0)</f>
        <v>100</v>
      </c>
      <c r="D89" s="7">
        <f>IFERROR(__xludf.DUMMYFUNCTION("""COMPUTED_VALUE"""),10.3)</f>
        <v>10.3</v>
      </c>
      <c r="E89" s="5">
        <f>IFERROR(__xludf.DUMMYFUNCTION("""COMPUTED_VALUE"""),46.8)</f>
        <v>46.8</v>
      </c>
      <c r="F89" s="5">
        <f>IFERROR(__xludf.DUMMYFUNCTION("""COMPUTED_VALUE"""),0.6)</f>
        <v>0.6</v>
      </c>
      <c r="G89" s="5">
        <f>IFERROR(__xludf.DUMMYFUNCTION("""COMPUTED_VALUE"""),35.0)</f>
        <v>35</v>
      </c>
      <c r="H89" s="7">
        <f>IFERROR(__xludf.DUMMYFUNCTION("""COMPUTED_VALUE"""),233.79999999999998)</f>
        <v>233.8</v>
      </c>
      <c r="I89" s="7"/>
      <c r="J89" s="5"/>
      <c r="K89" s="5"/>
      <c r="L89" s="5"/>
      <c r="M89" s="7"/>
    </row>
    <row r="90">
      <c r="A90" s="16" t="str">
        <f>IFERROR(__xludf.DUMMYFUNCTION("""COMPUTED_VALUE"""),"Брашна")</f>
        <v>Брашна</v>
      </c>
      <c r="B90" s="5" t="str">
        <f>IFERROR(__xludf.DUMMYFUNCTION("""COMPUTED_VALUE"""),"Бадемово брашно (Бизнес Къща)")</f>
        <v>Бадемово брашно (Бизнес Къща)</v>
      </c>
      <c r="C90" s="11">
        <f>IFERROR(__xludf.DUMMYFUNCTION("""COMPUTED_VALUE"""),100.0)</f>
        <v>100</v>
      </c>
      <c r="D90" s="7">
        <f>IFERROR(__xludf.DUMMYFUNCTION("""COMPUTED_VALUE"""),40.0)</f>
        <v>40</v>
      </c>
      <c r="E90" s="5">
        <f>IFERROR(__xludf.DUMMYFUNCTION("""COMPUTED_VALUE"""),28.0)</f>
        <v>28</v>
      </c>
      <c r="F90" s="5">
        <f>IFERROR(__xludf.DUMMYFUNCTION("""COMPUTED_VALUE"""),11.0)</f>
        <v>11</v>
      </c>
      <c r="G90" s="5">
        <f>IFERROR(__xludf.DUMMYFUNCTION("""COMPUTED_VALUE"""),20.0)</f>
        <v>20</v>
      </c>
      <c r="H90" s="12">
        <f>IFERROR(__xludf.DUMMYFUNCTION("""COMPUTED_VALUE"""),371.0)</f>
        <v>371</v>
      </c>
      <c r="I90" s="7"/>
      <c r="J90" s="5"/>
      <c r="K90" s="5"/>
      <c r="L90" s="5"/>
      <c r="M90" s="7"/>
    </row>
    <row r="91">
      <c r="A91" s="16" t="str">
        <f>IFERROR(__xludf.DUMMYFUNCTION("""COMPUTED_VALUE"""),"Брашна")</f>
        <v>Брашна</v>
      </c>
      <c r="B91" s="5" t="str">
        <f>IFERROR(__xludf.DUMMYFUNCTION("""COMPUTED_VALUE"""),"Брашно от киноа")</f>
        <v>Брашно от киноа</v>
      </c>
      <c r="C91" s="5">
        <f>IFERROR(__xludf.DUMMYFUNCTION("""COMPUTED_VALUE"""),100.0)</f>
        <v>100</v>
      </c>
      <c r="D91" s="7">
        <f>IFERROR(__xludf.DUMMYFUNCTION("""COMPUTED_VALUE"""),13.0)</f>
        <v>13</v>
      </c>
      <c r="E91" s="5">
        <f>IFERROR(__xludf.DUMMYFUNCTION("""COMPUTED_VALUE"""),62.0)</f>
        <v>62</v>
      </c>
      <c r="F91" s="5">
        <f>IFERROR(__xludf.DUMMYFUNCTION("""COMPUTED_VALUE"""),6.0)</f>
        <v>6</v>
      </c>
      <c r="G91" s="5">
        <f>IFERROR(__xludf.DUMMYFUNCTION("""COMPUTED_VALUE"""),7.0)</f>
        <v>7</v>
      </c>
      <c r="H91" s="12">
        <f>IFERROR(__xludf.DUMMYFUNCTION("""COMPUTED_VALUE"""),354.0)</f>
        <v>354</v>
      </c>
      <c r="I91" s="7"/>
      <c r="J91" s="5"/>
      <c r="K91" s="5"/>
      <c r="L91" s="5"/>
      <c r="M91" s="7"/>
    </row>
    <row r="92">
      <c r="A92" s="16" t="str">
        <f>IFERROR(__xludf.DUMMYFUNCTION("""COMPUTED_VALUE"""),"Вегетариански протеинови храни")</f>
        <v>Вегетариански протеинови храни</v>
      </c>
      <c r="B92" s="5" t="str">
        <f>IFERROR(__xludf.DUMMYFUNCTION("""COMPUTED_VALUE"""),"Темпе (варено състояние)")</f>
        <v>Темпе (варено състояние)</v>
      </c>
      <c r="C92" s="11">
        <f>IFERROR(__xludf.DUMMYFUNCTION("""COMPUTED_VALUE"""),100.0)</f>
        <v>100</v>
      </c>
      <c r="D92" s="12">
        <f>IFERROR(__xludf.DUMMYFUNCTION("""COMPUTED_VALUE"""),12.0)</f>
        <v>12</v>
      </c>
      <c r="E92" s="11">
        <f>IFERROR(__xludf.DUMMYFUNCTION("""COMPUTED_VALUE"""),7.0)</f>
        <v>7</v>
      </c>
      <c r="F92" s="11">
        <f>IFERROR(__xludf.DUMMYFUNCTION("""COMPUTED_VALUE"""),8.0)</f>
        <v>8</v>
      </c>
      <c r="G92" s="20">
        <f>IFERROR(__xludf.DUMMYFUNCTION("""COMPUTED_VALUE"""),8.0)</f>
        <v>8</v>
      </c>
      <c r="H92" s="12">
        <f>IFERROR(__xludf.DUMMYFUNCTION("""COMPUTED_VALUE"""),148.0)</f>
        <v>148</v>
      </c>
      <c r="I92" s="7"/>
      <c r="J92" s="5"/>
      <c r="K92" s="5"/>
      <c r="L92" s="5"/>
      <c r="M92" s="7"/>
    </row>
    <row r="93">
      <c r="A93" s="16" t="str">
        <f>IFERROR(__xludf.DUMMYFUNCTION("""COMPUTED_VALUE"""),"Вегетариански протеинови храни")</f>
        <v>Вегетариански протеинови храни</v>
      </c>
      <c r="B93" s="5" t="str">
        <f>IFERROR(__xludf.DUMMYFUNCTION("""COMPUTED_VALUE"""),"Темпе (мариновано)")</f>
        <v>Темпе (мариновано)</v>
      </c>
      <c r="C93" s="11">
        <f>IFERROR(__xludf.DUMMYFUNCTION("""COMPUTED_VALUE"""),100.0)</f>
        <v>100</v>
      </c>
      <c r="D93" s="7">
        <f>IFERROR(__xludf.DUMMYFUNCTION("""COMPUTED_VALUE"""),18.0)</f>
        <v>18</v>
      </c>
      <c r="E93" s="5">
        <f>IFERROR(__xludf.DUMMYFUNCTION("""COMPUTED_VALUE"""),9.0)</f>
        <v>9</v>
      </c>
      <c r="F93" s="5">
        <f>IFERROR(__xludf.DUMMYFUNCTION("""COMPUTED_VALUE"""),11.0)</f>
        <v>11</v>
      </c>
      <c r="G93" s="20">
        <f>IFERROR(__xludf.DUMMYFUNCTION("""COMPUTED_VALUE"""),8.0)</f>
        <v>8</v>
      </c>
      <c r="H93" s="12">
        <f>IFERROR(__xludf.DUMMYFUNCTION("""COMPUTED_VALUE"""),207.0)</f>
        <v>207</v>
      </c>
      <c r="I93" s="7"/>
      <c r="J93" s="5"/>
      <c r="K93" s="5"/>
      <c r="L93" s="5"/>
      <c r="M93" s="7"/>
    </row>
    <row r="94">
      <c r="A94" s="16" t="str">
        <f>IFERROR(__xludf.DUMMYFUNCTION("""COMPUTED_VALUE"""),"Вегетариански протеинови храни")</f>
        <v>Вегетариански протеинови храни</v>
      </c>
      <c r="B94" s="5" t="str">
        <f>IFERROR(__xludf.DUMMYFUNCTION("""COMPUTED_VALUE"""),"Веган бекон")</f>
        <v>Веган бекон</v>
      </c>
      <c r="C94" s="11">
        <f>IFERROR(__xludf.DUMMYFUNCTION("""COMPUTED_VALUE"""),100.0)</f>
        <v>100</v>
      </c>
      <c r="D94" s="7">
        <f>IFERROR(__xludf.DUMMYFUNCTION("""COMPUTED_VALUE"""),35.3)</f>
        <v>35.3</v>
      </c>
      <c r="E94" s="5">
        <f>IFERROR(__xludf.DUMMYFUNCTION("""COMPUTED_VALUE"""),3.2)</f>
        <v>3.2</v>
      </c>
      <c r="F94" s="5">
        <f>IFERROR(__xludf.DUMMYFUNCTION("""COMPUTED_VALUE"""),5.9)</f>
        <v>5.9</v>
      </c>
      <c r="G94" s="20">
        <f>IFERROR(__xludf.DUMMYFUNCTION("""COMPUTED_VALUE"""),0.0)</f>
        <v>0</v>
      </c>
      <c r="H94" s="12">
        <f>IFERROR(__xludf.DUMMYFUNCTION("""COMPUTED_VALUE"""),207.1)</f>
        <v>207.1</v>
      </c>
      <c r="I94" s="7"/>
      <c r="J94" s="5"/>
      <c r="K94" s="5"/>
      <c r="L94" s="5"/>
      <c r="M94" s="7"/>
    </row>
    <row r="95">
      <c r="A95" s="16" t="str">
        <f>IFERROR(__xludf.DUMMYFUNCTION("""COMPUTED_VALUE"""),"Вегетариански протеинови храни")</f>
        <v>Вегетариански протеинови храни</v>
      </c>
      <c r="B95" s="5" t="str">
        <f>IFERROR(__xludf.DUMMYFUNCTION("""COMPUTED_VALUE"""),"Веган наденичка чоризо")</f>
        <v>Веган наденичка чоризо</v>
      </c>
      <c r="C95" s="11">
        <f>IFERROR(__xludf.DUMMYFUNCTION("""COMPUTED_VALUE"""),100.0)</f>
        <v>100</v>
      </c>
      <c r="D95" s="12">
        <f>IFERROR(__xludf.DUMMYFUNCTION("""COMPUTED_VALUE"""),29.0)</f>
        <v>29</v>
      </c>
      <c r="E95" s="11">
        <f>IFERROR(__xludf.DUMMYFUNCTION("""COMPUTED_VALUE"""),5.9)</f>
        <v>5.9</v>
      </c>
      <c r="F95" s="11">
        <f>IFERROR(__xludf.DUMMYFUNCTION("""COMPUTED_VALUE"""),11.2)</f>
        <v>11.2</v>
      </c>
      <c r="G95" s="20">
        <f>IFERROR(__xludf.DUMMYFUNCTION("""COMPUTED_VALUE"""),0.0)</f>
        <v>0</v>
      </c>
      <c r="H95" s="12">
        <f>IFERROR(__xludf.DUMMYFUNCTION("""COMPUTED_VALUE"""),240.39999999999998)</f>
        <v>240.4</v>
      </c>
      <c r="I95" s="7"/>
      <c r="J95" s="5"/>
      <c r="K95" s="5"/>
      <c r="L95" s="5"/>
      <c r="M95" s="7"/>
    </row>
    <row r="96">
      <c r="A96" s="16" t="str">
        <f>IFERROR(__xludf.DUMMYFUNCTION("""COMPUTED_VALUE"""),"Вегетариански протеинови храни")</f>
        <v>Вегетариански протеинови храни</v>
      </c>
      <c r="B96" s="5" t="str">
        <f>IFERROR(__xludf.DUMMYFUNCTION("""COMPUTED_VALUE"""),"Веган кашкавал (Violife)")</f>
        <v>Веган кашкавал (Violife)</v>
      </c>
      <c r="C96" s="11">
        <f>IFERROR(__xludf.DUMMYFUNCTION("""COMPUTED_VALUE"""),100.0)</f>
        <v>100</v>
      </c>
      <c r="D96" s="12">
        <f>IFERROR(__xludf.DUMMYFUNCTION("""COMPUTED_VALUE"""),0.0)</f>
        <v>0</v>
      </c>
      <c r="E96" s="11">
        <f>IFERROR(__xludf.DUMMYFUNCTION("""COMPUTED_VALUE"""),21.0)</f>
        <v>21</v>
      </c>
      <c r="F96" s="11">
        <f>IFERROR(__xludf.DUMMYFUNCTION("""COMPUTED_VALUE"""),21.0)</f>
        <v>21</v>
      </c>
      <c r="G96" s="20">
        <f>IFERROR(__xludf.DUMMYFUNCTION("""COMPUTED_VALUE"""),0.0)</f>
        <v>0</v>
      </c>
      <c r="H96" s="12">
        <f>IFERROR(__xludf.DUMMYFUNCTION("""COMPUTED_VALUE"""),273.0)</f>
        <v>273</v>
      </c>
      <c r="I96" s="7"/>
      <c r="J96" s="5"/>
      <c r="K96" s="5"/>
      <c r="L96" s="5"/>
      <c r="M96" s="7"/>
    </row>
    <row r="97">
      <c r="A97" s="16" t="str">
        <f>IFERROR(__xludf.DUMMYFUNCTION("""COMPUTED_VALUE"""),"Вегетариански протеинови храни")</f>
        <v>Вегетариански протеинови храни</v>
      </c>
      <c r="B97" s="5" t="str">
        <f>IFERROR(__xludf.DUMMYFUNCTION("""COMPUTED_VALUE"""),"Сайтан (сурово състояние)")</f>
        <v>Сайтан (сурово състояние)</v>
      </c>
      <c r="C97" s="11">
        <f>IFERROR(__xludf.DUMMYFUNCTION("""COMPUTED_VALUE"""),100.0)</f>
        <v>100</v>
      </c>
      <c r="D97" s="7">
        <f>IFERROR(__xludf.DUMMYFUNCTION("""COMPUTED_VALUE"""),23.0)</f>
        <v>23</v>
      </c>
      <c r="E97" s="5">
        <f>IFERROR(__xludf.DUMMYFUNCTION("""COMPUTED_VALUE"""),11.0)</f>
        <v>11</v>
      </c>
      <c r="F97" s="5">
        <f>IFERROR(__xludf.DUMMYFUNCTION("""COMPUTED_VALUE"""),0.5)</f>
        <v>0.5</v>
      </c>
      <c r="G97" s="20">
        <f>IFERROR(__xludf.DUMMYFUNCTION("""COMPUTED_VALUE"""),2.0)</f>
        <v>2</v>
      </c>
      <c r="H97" s="12">
        <f>IFERROR(__xludf.DUMMYFUNCTION("""COMPUTED_VALUE"""),140.5)</f>
        <v>140.5</v>
      </c>
      <c r="I97" s="7"/>
      <c r="J97" s="5"/>
      <c r="K97" s="5"/>
      <c r="L97" s="5"/>
      <c r="M97" s="7"/>
    </row>
    <row r="98">
      <c r="A98" s="16" t="str">
        <f>IFERROR(__xludf.DUMMYFUNCTION("""COMPUTED_VALUE"""),"Вегетариански протеинови храни")</f>
        <v>Вегетариански протеинови храни</v>
      </c>
      <c r="B98" s="5" t="str">
        <f>IFERROR(__xludf.DUMMYFUNCTION("""COMPUTED_VALUE"""),"Тофу- класическо (сурово състояние)")</f>
        <v>Тофу- класическо (сурово състояние)</v>
      </c>
      <c r="C98" s="11">
        <f>IFERROR(__xludf.DUMMYFUNCTION("""COMPUTED_VALUE"""),100.0)</f>
        <v>100</v>
      </c>
      <c r="D98" s="7">
        <f>IFERROR(__xludf.DUMMYFUNCTION("""COMPUTED_VALUE"""),8.0)</f>
        <v>8</v>
      </c>
      <c r="E98" s="5">
        <f>IFERROR(__xludf.DUMMYFUNCTION("""COMPUTED_VALUE"""),1.5)</f>
        <v>1.5</v>
      </c>
      <c r="F98" s="5">
        <f>IFERROR(__xludf.DUMMYFUNCTION("""COMPUTED_VALUE"""),4.0)</f>
        <v>4</v>
      </c>
      <c r="G98" s="19">
        <f>IFERROR(__xludf.DUMMYFUNCTION("""COMPUTED_VALUE"""),1.0)</f>
        <v>1</v>
      </c>
      <c r="H98" s="12">
        <f>IFERROR(__xludf.DUMMYFUNCTION("""COMPUTED_VALUE"""),74.0)</f>
        <v>74</v>
      </c>
      <c r="I98" s="7"/>
      <c r="J98" s="5"/>
      <c r="K98" s="5"/>
      <c r="L98" s="5"/>
      <c r="M98" s="7"/>
    </row>
    <row r="99">
      <c r="A99" s="16" t="str">
        <f>IFERROR(__xludf.DUMMYFUNCTION("""COMPUTED_VALUE"""),"Вегетариански протеинови храни")</f>
        <v>Вегетариански протеинови храни</v>
      </c>
      <c r="B99" s="5" t="str">
        <f>IFERROR(__xludf.DUMMYFUNCTION("""COMPUTED_VALUE"""),"Наденички от тофу")</f>
        <v>Наденички от тофу</v>
      </c>
      <c r="C99" s="11">
        <f>IFERROR(__xludf.DUMMYFUNCTION("""COMPUTED_VALUE"""),100.0)</f>
        <v>100</v>
      </c>
      <c r="D99" s="7">
        <f>IFERROR(__xludf.DUMMYFUNCTION("""COMPUTED_VALUE"""),20.0)</f>
        <v>20</v>
      </c>
      <c r="E99" s="5">
        <f>IFERROR(__xludf.DUMMYFUNCTION("""COMPUTED_VALUE"""),7.3)</f>
        <v>7.3</v>
      </c>
      <c r="F99" s="5">
        <f>IFERROR(__xludf.DUMMYFUNCTION("""COMPUTED_VALUE"""),18.0)</f>
        <v>18</v>
      </c>
      <c r="G99" s="19">
        <f>IFERROR(__xludf.DUMMYFUNCTION("""COMPUTED_VALUE"""),0.0)</f>
        <v>0</v>
      </c>
      <c r="H99" s="12">
        <f>IFERROR(__xludf.DUMMYFUNCTION("""COMPUTED_VALUE"""),271.2)</f>
        <v>271.2</v>
      </c>
      <c r="I99" s="7"/>
      <c r="J99" s="5"/>
      <c r="K99" s="5"/>
      <c r="L99" s="5"/>
      <c r="M99" s="7"/>
    </row>
    <row r="100">
      <c r="A100" s="16" t="str">
        <f>IFERROR(__xludf.DUMMYFUNCTION("""COMPUTED_VALUE"""),"Вегетариански протеинови храни")</f>
        <v>Вегетариански протеинови храни</v>
      </c>
      <c r="B100" s="5" t="str">
        <f>IFERROR(__xludf.DUMMYFUNCTION("""COMPUTED_VALUE"""),"Соева кайма")</f>
        <v>Соева кайма</v>
      </c>
      <c r="C100" s="11">
        <f>IFERROR(__xludf.DUMMYFUNCTION("""COMPUTED_VALUE"""),100.0)</f>
        <v>100</v>
      </c>
      <c r="D100" s="7">
        <f>IFERROR(__xludf.DUMMYFUNCTION("""COMPUTED_VALUE"""),49.0)</f>
        <v>49</v>
      </c>
      <c r="E100" s="5">
        <f>IFERROR(__xludf.DUMMYFUNCTION("""COMPUTED_VALUE"""),29.0)</f>
        <v>29</v>
      </c>
      <c r="F100" s="5">
        <f>IFERROR(__xludf.DUMMYFUNCTION("""COMPUTED_VALUE"""),6.0)</f>
        <v>6</v>
      </c>
      <c r="G100" s="19">
        <f>IFERROR(__xludf.DUMMYFUNCTION("""COMPUTED_VALUE"""),0.0)</f>
        <v>0</v>
      </c>
      <c r="H100" s="12">
        <f>IFERROR(__xludf.DUMMYFUNCTION("""COMPUTED_VALUE"""),366.0)</f>
        <v>366</v>
      </c>
      <c r="I100" s="7"/>
      <c r="J100" s="5"/>
      <c r="K100" s="5"/>
      <c r="L100" s="5"/>
      <c r="M100" s="7"/>
    </row>
    <row r="101">
      <c r="A101" s="16" t="str">
        <f>IFERROR(__xludf.DUMMYFUNCTION("""COMPUTED_VALUE"""),"Вегетариански протеинови храни")</f>
        <v>Вегетариански протеинови храни</v>
      </c>
      <c r="B101" s="5" t="str">
        <f>IFERROR(__xludf.DUMMYFUNCTION("""COMPUTED_VALUE"""),"Бургер от грахов протеин")</f>
        <v>Бургер от грахов протеин</v>
      </c>
      <c r="C101" s="11">
        <f>IFERROR(__xludf.DUMMYFUNCTION("""COMPUTED_VALUE"""),100.0)</f>
        <v>100</v>
      </c>
      <c r="D101" s="7">
        <f>IFERROR(__xludf.DUMMYFUNCTION("""COMPUTED_VALUE"""),15.0)</f>
        <v>15</v>
      </c>
      <c r="E101" s="5">
        <f>IFERROR(__xludf.DUMMYFUNCTION("""COMPUTED_VALUE"""),5.0)</f>
        <v>5</v>
      </c>
      <c r="F101" s="5">
        <f>IFERROR(__xludf.DUMMYFUNCTION("""COMPUTED_VALUE"""),17.0)</f>
        <v>17</v>
      </c>
      <c r="G101" s="19">
        <f>IFERROR(__xludf.DUMMYFUNCTION("""COMPUTED_VALUE"""),6.4)</f>
        <v>6.4</v>
      </c>
      <c r="H101" s="12">
        <f>IFERROR(__xludf.DUMMYFUNCTION("""COMPUTED_VALUE"""),233.0)</f>
        <v>233</v>
      </c>
      <c r="I101" s="7"/>
      <c r="J101" s="5"/>
      <c r="K101" s="5"/>
      <c r="L101" s="5"/>
      <c r="M101" s="7"/>
    </row>
    <row r="102">
      <c r="A102" s="16" t="str">
        <f>IFERROR(__xludf.DUMMYFUNCTION("""COMPUTED_VALUE"""),"Вегетариански протеинови храни")</f>
        <v>Вегетариански протеинови храни</v>
      </c>
      <c r="B102" s="5" t="str">
        <f>IFERROR(__xludf.DUMMYFUNCTION("""COMPUTED_VALUE"""),"Хапки с градински билки от грахов протеин")</f>
        <v>Хапки с градински билки от грахов протеин</v>
      </c>
      <c r="C102" s="11">
        <f>IFERROR(__xludf.DUMMYFUNCTION("""COMPUTED_VALUE"""),100.0)</f>
        <v>100</v>
      </c>
      <c r="D102" s="7">
        <f>IFERROR(__xludf.DUMMYFUNCTION("""COMPUTED_VALUE"""),27.0)</f>
        <v>27</v>
      </c>
      <c r="E102" s="5">
        <f>IFERROR(__xludf.DUMMYFUNCTION("""COMPUTED_VALUE"""),1.9)</f>
        <v>1.9</v>
      </c>
      <c r="F102" s="5">
        <f>IFERROR(__xludf.DUMMYFUNCTION("""COMPUTED_VALUE"""),9.0)</f>
        <v>9</v>
      </c>
      <c r="G102" s="19">
        <f>IFERROR(__xludf.DUMMYFUNCTION("""COMPUTED_VALUE"""),0.5)</f>
        <v>0.5</v>
      </c>
      <c r="H102" s="12">
        <f>IFERROR(__xludf.DUMMYFUNCTION("""COMPUTED_VALUE"""),196.6)</f>
        <v>196.6</v>
      </c>
      <c r="I102" s="7"/>
      <c r="J102" s="5"/>
      <c r="K102" s="5"/>
      <c r="L102" s="5"/>
      <c r="M102" s="7"/>
    </row>
    <row r="103">
      <c r="A103" s="16" t="str">
        <f>IFERROR(__xludf.DUMMYFUNCTION("""COMPUTED_VALUE"""),"Вегетариански протеинови храни")</f>
        <v>Вегетариански протеинови храни</v>
      </c>
      <c r="B103" s="5" t="str">
        <f>IFERROR(__xludf.DUMMYFUNCTION("""COMPUTED_VALUE"""),"Фреш Тофу")</f>
        <v>Фреш Тофу</v>
      </c>
      <c r="C103" s="11">
        <f>IFERROR(__xludf.DUMMYFUNCTION("""COMPUTED_VALUE"""),100.0)</f>
        <v>100</v>
      </c>
      <c r="D103" s="7">
        <f>IFERROR(__xludf.DUMMYFUNCTION("""COMPUTED_VALUE"""),7.7)</f>
        <v>7.7</v>
      </c>
      <c r="E103" s="5">
        <f>IFERROR(__xludf.DUMMYFUNCTION("""COMPUTED_VALUE"""),1.3)</f>
        <v>1.3</v>
      </c>
      <c r="F103" s="5">
        <f>IFERROR(__xludf.DUMMYFUNCTION("""COMPUTED_VALUE"""),3.7)</f>
        <v>3.7</v>
      </c>
      <c r="G103" s="19">
        <f>IFERROR(__xludf.DUMMYFUNCTION("""COMPUTED_VALUE"""),0.5)</f>
        <v>0.5</v>
      </c>
      <c r="H103" s="12">
        <f>IFERROR(__xludf.DUMMYFUNCTION("""COMPUTED_VALUE"""),69.30000000000001)</f>
        <v>69.3</v>
      </c>
      <c r="I103" s="7"/>
      <c r="J103" s="5"/>
      <c r="K103" s="5"/>
      <c r="L103" s="5"/>
      <c r="M103" s="7"/>
    </row>
    <row r="104">
      <c r="A104" s="16" t="str">
        <f>IFERROR(__xludf.DUMMYFUNCTION("""COMPUTED_VALUE"""),"Вегетариански протеинови храни")</f>
        <v>Вегетариански протеинови храни</v>
      </c>
      <c r="B104" s="5" t="str">
        <f>IFERROR(__xludf.DUMMYFUNCTION("""COMPUTED_VALUE"""),"Тофу пушено")</f>
        <v>Тофу пушено</v>
      </c>
      <c r="C104" s="11">
        <f>IFERROR(__xludf.DUMMYFUNCTION("""COMPUTED_VALUE"""),100.0)</f>
        <v>100</v>
      </c>
      <c r="D104" s="7">
        <f>IFERROR(__xludf.DUMMYFUNCTION("""COMPUTED_VALUE"""),18.0)</f>
        <v>18</v>
      </c>
      <c r="E104" s="5">
        <f>IFERROR(__xludf.DUMMYFUNCTION("""COMPUTED_VALUE"""),2.0)</f>
        <v>2</v>
      </c>
      <c r="F104" s="5">
        <f>IFERROR(__xludf.DUMMYFUNCTION("""COMPUTED_VALUE"""),10.0)</f>
        <v>10</v>
      </c>
      <c r="G104" s="19">
        <f>IFERROR(__xludf.DUMMYFUNCTION("""COMPUTED_VALUE"""),2.0)</f>
        <v>2</v>
      </c>
      <c r="H104" s="12">
        <f>IFERROR(__xludf.DUMMYFUNCTION("""COMPUTED_VALUE"""),170.0)</f>
        <v>170</v>
      </c>
      <c r="I104" s="7"/>
      <c r="J104" s="5"/>
      <c r="K104" s="5"/>
      <c r="L104" s="5"/>
      <c r="M104" s="7"/>
    </row>
    <row r="105">
      <c r="A105" s="16" t="str">
        <f>IFERROR(__xludf.DUMMYFUNCTION("""COMPUTED_VALUE"""),"Вегетариански протеинови храни")</f>
        <v>Вегетариански протеинови храни</v>
      </c>
      <c r="B105" s="5" t="str">
        <f>IFERROR(__xludf.DUMMYFUNCTION("""COMPUTED_VALUE"""),"Соево мляко")</f>
        <v>Соево мляко</v>
      </c>
      <c r="C105" s="11">
        <f>IFERROR(__xludf.DUMMYFUNCTION("""COMPUTED_VALUE"""),100.0)</f>
        <v>100</v>
      </c>
      <c r="D105" s="22">
        <f>IFERROR(__xludf.DUMMYFUNCTION("""COMPUTED_VALUE"""),3.0)</f>
        <v>3</v>
      </c>
      <c r="E105" s="19">
        <f>IFERROR(__xludf.DUMMYFUNCTION("""COMPUTED_VALUE"""),0.0)</f>
        <v>0</v>
      </c>
      <c r="F105" s="19">
        <f>IFERROR(__xludf.DUMMYFUNCTION("""COMPUTED_VALUE"""),2.0)</f>
        <v>2</v>
      </c>
      <c r="G105" s="19">
        <f>IFERROR(__xludf.DUMMYFUNCTION("""COMPUTED_VALUE"""),1.0)</f>
        <v>1</v>
      </c>
      <c r="H105" s="12">
        <f>IFERROR(__xludf.DUMMYFUNCTION("""COMPUTED_VALUE"""),30.0)</f>
        <v>30</v>
      </c>
      <c r="I105" s="7"/>
      <c r="J105" s="5"/>
      <c r="K105" s="5"/>
      <c r="L105" s="5"/>
      <c r="M105" s="7"/>
    </row>
    <row r="106">
      <c r="A106" s="16" t="str">
        <f>IFERROR(__xludf.DUMMYFUNCTION("""COMPUTED_VALUE"""),"Вегетариански протеинови храни")</f>
        <v>Вегетариански протеинови храни</v>
      </c>
      <c r="B106" s="5" t="str">
        <f>IFERROR(__xludf.DUMMYFUNCTION("""COMPUTED_VALUE"""),"Веган мляко ванилия")</f>
        <v>Веган мляко ванилия</v>
      </c>
      <c r="C106" s="11">
        <f>IFERROR(__xludf.DUMMYFUNCTION("""COMPUTED_VALUE"""),100.0)</f>
        <v>100</v>
      </c>
      <c r="D106" s="22">
        <f>IFERROR(__xludf.DUMMYFUNCTION("""COMPUTED_VALUE"""),3.0)</f>
        <v>3</v>
      </c>
      <c r="E106" s="19">
        <f>IFERROR(__xludf.DUMMYFUNCTION("""COMPUTED_VALUE"""),7.0)</f>
        <v>7</v>
      </c>
      <c r="F106" s="19">
        <f>IFERROR(__xludf.DUMMYFUNCTION("""COMPUTED_VALUE"""),2.0)</f>
        <v>2</v>
      </c>
      <c r="G106" s="19">
        <f>IFERROR(__xludf.DUMMYFUNCTION("""COMPUTED_VALUE"""),0.0)</f>
        <v>0</v>
      </c>
      <c r="H106" s="12">
        <f>IFERROR(__xludf.DUMMYFUNCTION("""COMPUTED_VALUE"""),58.0)</f>
        <v>58</v>
      </c>
      <c r="I106" s="7"/>
      <c r="J106" s="5"/>
      <c r="K106" s="5"/>
      <c r="L106" s="5"/>
      <c r="M106" s="7"/>
    </row>
    <row r="107">
      <c r="A107" s="16" t="str">
        <f>IFERROR(__xludf.DUMMYFUNCTION("""COMPUTED_VALUE"""),"Вегетариански протеинови храни")</f>
        <v>Вегетариански протеинови храни</v>
      </c>
      <c r="B107" s="5" t="str">
        <f>IFERROR(__xludf.DUMMYFUNCTION("""COMPUTED_VALUE"""),"Хумус със сушени домати")</f>
        <v>Хумус със сушени домати</v>
      </c>
      <c r="C107" s="11">
        <f>IFERROR(__xludf.DUMMYFUNCTION("""COMPUTED_VALUE"""),100.0)</f>
        <v>100</v>
      </c>
      <c r="D107" s="22">
        <f>IFERROR(__xludf.DUMMYFUNCTION("""COMPUTED_VALUE"""),5.0)</f>
        <v>5</v>
      </c>
      <c r="E107" s="19">
        <f>IFERROR(__xludf.DUMMYFUNCTION("""COMPUTED_VALUE"""),8.0)</f>
        <v>8</v>
      </c>
      <c r="F107" s="19">
        <f>IFERROR(__xludf.DUMMYFUNCTION("""COMPUTED_VALUE"""),22.0)</f>
        <v>22</v>
      </c>
      <c r="G107" s="19">
        <f>IFERROR(__xludf.DUMMYFUNCTION("""COMPUTED_VALUE"""),0.0)</f>
        <v>0</v>
      </c>
      <c r="H107" s="12">
        <f>IFERROR(__xludf.DUMMYFUNCTION("""COMPUTED_VALUE"""),250.0)</f>
        <v>250</v>
      </c>
      <c r="I107" s="7"/>
      <c r="J107" s="5"/>
      <c r="K107" s="5"/>
      <c r="L107" s="5"/>
      <c r="M107" s="7"/>
    </row>
    <row r="108">
      <c r="A108" s="16" t="str">
        <f>IFERROR(__xludf.DUMMYFUNCTION("""COMPUTED_VALUE"""),"Вегетариански протеинови храни")</f>
        <v>Вегетариански протеинови храни</v>
      </c>
      <c r="B108" s="5" t="str">
        <f>IFERROR(__xludf.DUMMYFUNCTION("""COMPUTED_VALUE"""),"Веган крем с манго и маракуя")</f>
        <v>Веган крем с манго и маракуя</v>
      </c>
      <c r="C108" s="11">
        <f>IFERROR(__xludf.DUMMYFUNCTION("""COMPUTED_VALUE"""),100.0)</f>
        <v>100</v>
      </c>
      <c r="D108" s="22">
        <f>IFERROR(__xludf.DUMMYFUNCTION("""COMPUTED_VALUE"""),1.0)</f>
        <v>1</v>
      </c>
      <c r="E108" s="19">
        <f>IFERROR(__xludf.DUMMYFUNCTION("""COMPUTED_VALUE"""),10.0)</f>
        <v>10</v>
      </c>
      <c r="F108" s="19">
        <f>IFERROR(__xludf.DUMMYFUNCTION("""COMPUTED_VALUE"""),4.0)</f>
        <v>4</v>
      </c>
      <c r="G108" s="19">
        <f>IFERROR(__xludf.DUMMYFUNCTION("""COMPUTED_VALUE"""),3.0)</f>
        <v>3</v>
      </c>
      <c r="H108" s="12">
        <f>IFERROR(__xludf.DUMMYFUNCTION("""COMPUTED_VALUE"""),80.0)</f>
        <v>80</v>
      </c>
      <c r="I108" s="7"/>
      <c r="J108" s="5"/>
      <c r="K108" s="5"/>
      <c r="L108" s="5"/>
      <c r="M108" s="7"/>
    </row>
    <row r="109">
      <c r="A109" s="16" t="str">
        <f>IFERROR(__xludf.DUMMYFUNCTION("""COMPUTED_VALUE"""),"Вегетариански протеинови храни")</f>
        <v>Вегетариански протеинови храни</v>
      </c>
      <c r="B109" s="5" t="str">
        <f>IFERROR(__xludf.DUMMYFUNCTION("""COMPUTED_VALUE"""),"Хумус с песто (Sapori dei Monasteri)")</f>
        <v>Хумус с песто (Sapori dei Monasteri)</v>
      </c>
      <c r="C109" s="11">
        <f>IFERROR(__xludf.DUMMYFUNCTION("""COMPUTED_VALUE"""),100.0)</f>
        <v>100</v>
      </c>
      <c r="D109" s="22">
        <f>IFERROR(__xludf.DUMMYFUNCTION("""COMPUTED_VALUE"""),4.54)</f>
        <v>4.54</v>
      </c>
      <c r="E109" s="19">
        <f>IFERROR(__xludf.DUMMYFUNCTION("""COMPUTED_VALUE"""),7.75)</f>
        <v>7.75</v>
      </c>
      <c r="F109" s="19">
        <f>IFERROR(__xludf.DUMMYFUNCTION("""COMPUTED_VALUE"""),23.54)</f>
        <v>23.54</v>
      </c>
      <c r="G109" s="19">
        <f>IFERROR(__xludf.DUMMYFUNCTION("""COMPUTED_VALUE"""),0.0)</f>
        <v>0</v>
      </c>
      <c r="H109" s="12">
        <f>IFERROR(__xludf.DUMMYFUNCTION("""COMPUTED_VALUE"""),261.02)</f>
        <v>261.02</v>
      </c>
      <c r="I109" s="7"/>
      <c r="J109" s="5"/>
      <c r="K109" s="5"/>
      <c r="L109" s="5"/>
      <c r="M109" s="7"/>
    </row>
    <row r="110">
      <c r="A110" s="16" t="str">
        <f>IFERROR(__xludf.DUMMYFUNCTION("""COMPUTED_VALUE"""),"Вегетариански протеинови храни")</f>
        <v>Вегетариански протеинови храни</v>
      </c>
      <c r="B110" s="5" t="str">
        <f>IFERROR(__xludf.DUMMYFUNCTION("""COMPUTED_VALUE"""),"Delishu кашу")</f>
        <v>Delishu кашу</v>
      </c>
      <c r="C110" s="11">
        <f>IFERROR(__xludf.DUMMYFUNCTION("""COMPUTED_VALUE"""),100.0)</f>
        <v>100</v>
      </c>
      <c r="D110" s="22">
        <f>IFERROR(__xludf.DUMMYFUNCTION("""COMPUTED_VALUE"""),7.1)</f>
        <v>7.1</v>
      </c>
      <c r="E110" s="19">
        <f>IFERROR(__xludf.DUMMYFUNCTION("""COMPUTED_VALUE"""),11.0)</f>
        <v>11</v>
      </c>
      <c r="F110" s="19">
        <f>IFERROR(__xludf.DUMMYFUNCTION("""COMPUTED_VALUE"""),41.2)</f>
        <v>41.2</v>
      </c>
      <c r="G110" s="19">
        <f>IFERROR(__xludf.DUMMYFUNCTION("""COMPUTED_VALUE"""),0.0)</f>
        <v>0</v>
      </c>
      <c r="H110" s="12">
        <f>IFERROR(__xludf.DUMMYFUNCTION("""COMPUTED_VALUE"""),443.20000000000005)</f>
        <v>443.2</v>
      </c>
      <c r="I110" s="7"/>
      <c r="J110" s="5"/>
      <c r="K110" s="5"/>
      <c r="L110" s="5"/>
      <c r="M110" s="7"/>
    </row>
    <row r="111">
      <c r="A111" s="16" t="str">
        <f>IFERROR(__xludf.DUMMYFUNCTION("""COMPUTED_VALUE"""),"Вегетариански протеинови храни")</f>
        <v>Вегетариански протеинови храни</v>
      </c>
      <c r="B111" s="5" t="str">
        <f>IFERROR(__xludf.DUMMYFUNCTION("""COMPUTED_VALUE"""),"Лешников крем")</f>
        <v>Лешников крем</v>
      </c>
      <c r="C111" s="11">
        <f>IFERROR(__xludf.DUMMYFUNCTION("""COMPUTED_VALUE"""),100.0)</f>
        <v>100</v>
      </c>
      <c r="D111" s="22">
        <f>IFERROR(__xludf.DUMMYFUNCTION("""COMPUTED_VALUE"""),5.4)</f>
        <v>5.4</v>
      </c>
      <c r="E111" s="19">
        <f>IFERROR(__xludf.DUMMYFUNCTION("""COMPUTED_VALUE"""),55.0)</f>
        <v>55</v>
      </c>
      <c r="F111" s="19">
        <f>IFERROR(__xludf.DUMMYFUNCTION("""COMPUTED_VALUE"""),33.0)</f>
        <v>33</v>
      </c>
      <c r="G111" s="19">
        <f>IFERROR(__xludf.DUMMYFUNCTION("""COMPUTED_VALUE"""),4.8)</f>
        <v>4.8</v>
      </c>
      <c r="H111" s="12">
        <f>IFERROR(__xludf.DUMMYFUNCTION("""COMPUTED_VALUE"""),538.6)</f>
        <v>538.6</v>
      </c>
      <c r="I111" s="7"/>
      <c r="J111" s="5"/>
      <c r="K111" s="5"/>
      <c r="L111" s="5"/>
      <c r="M111" s="7"/>
    </row>
    <row r="112">
      <c r="A112" s="16" t="str">
        <f>IFERROR(__xludf.DUMMYFUNCTION("""COMPUTED_VALUE"""),"Вегетариански протеинови храни")</f>
        <v>Вегетариански протеинови храни</v>
      </c>
      <c r="B112" s="5" t="str">
        <f>IFERROR(__xludf.DUMMYFUNCTION("""COMPUTED_VALUE"""),"Тофу - Lidl")</f>
        <v>Тофу - Lidl</v>
      </c>
      <c r="C112" s="11">
        <f>IFERROR(__xludf.DUMMYFUNCTION("""COMPUTED_VALUE"""),100.0)</f>
        <v>100</v>
      </c>
      <c r="D112" s="22">
        <f>IFERROR(__xludf.DUMMYFUNCTION("""COMPUTED_VALUE"""),13.0)</f>
        <v>13</v>
      </c>
      <c r="E112" s="19">
        <f>IFERROR(__xludf.DUMMYFUNCTION("""COMPUTED_VALUE"""),2.4)</f>
        <v>2.4</v>
      </c>
      <c r="F112" s="19">
        <f>IFERROR(__xludf.DUMMYFUNCTION("""COMPUTED_VALUE"""),8.0)</f>
        <v>8</v>
      </c>
      <c r="G112" s="19">
        <f>IFERROR(__xludf.DUMMYFUNCTION("""COMPUTED_VALUE"""),0.0)</f>
        <v>0</v>
      </c>
      <c r="H112" s="12">
        <f>IFERROR(__xludf.DUMMYFUNCTION("""COMPUTED_VALUE"""),133.6)</f>
        <v>133.6</v>
      </c>
      <c r="I112" s="7"/>
      <c r="J112" s="5"/>
      <c r="K112" s="5"/>
      <c r="L112" s="5"/>
      <c r="M112" s="7"/>
    </row>
    <row r="113">
      <c r="A113" s="16" t="str">
        <f>IFERROR(__xludf.DUMMYFUNCTION("""COMPUTED_VALUE"""),"Вегетариански протеинови храни")</f>
        <v>Вегетариански протеинови храни</v>
      </c>
      <c r="B113" s="5" t="str">
        <f>IFERROR(__xludf.DUMMYFUNCTION("""COMPUTED_VALUE"""),"Вегетариански пастет")</f>
        <v>Вегетариански пастет</v>
      </c>
      <c r="C113" s="11">
        <f>IFERROR(__xludf.DUMMYFUNCTION("""COMPUTED_VALUE"""),100.0)</f>
        <v>100</v>
      </c>
      <c r="D113" s="7">
        <f>IFERROR(__xludf.DUMMYFUNCTION("""COMPUTED_VALUE"""),2.9)</f>
        <v>2.9</v>
      </c>
      <c r="E113" s="5">
        <f>IFERROR(__xludf.DUMMYFUNCTION("""COMPUTED_VALUE"""),5.8)</f>
        <v>5.8</v>
      </c>
      <c r="F113" s="5">
        <f>IFERROR(__xludf.DUMMYFUNCTION("""COMPUTED_VALUE"""),13.0)</f>
        <v>13</v>
      </c>
      <c r="G113" s="5">
        <f>IFERROR(__xludf.DUMMYFUNCTION("""COMPUTED_VALUE"""),0.0)</f>
        <v>0</v>
      </c>
      <c r="H113" s="7">
        <f>IFERROR(__xludf.DUMMYFUNCTION("""COMPUTED_VALUE"""),151.8)</f>
        <v>151.8</v>
      </c>
      <c r="I113" s="7"/>
      <c r="J113" s="5"/>
      <c r="K113" s="5"/>
      <c r="L113" s="5"/>
      <c r="M113" s="7"/>
    </row>
    <row r="114">
      <c r="A114" s="16" t="str">
        <f>IFERROR(__xludf.DUMMYFUNCTION("""COMPUTED_VALUE"""),"Вегетариански протеинови храни")</f>
        <v>Вегетариански протеинови храни</v>
      </c>
      <c r="B114" s="5" t="str">
        <f>IFERROR(__xludf.DUMMYFUNCTION("""COMPUTED_VALUE"""),"Шоколадов пудинг ( алпро)")</f>
        <v>Шоколадов пудинг ( алпро)</v>
      </c>
      <c r="C114" s="11">
        <f>IFERROR(__xludf.DUMMYFUNCTION("""COMPUTED_VALUE"""),100.0)</f>
        <v>100</v>
      </c>
      <c r="D114" s="7">
        <f>IFERROR(__xludf.DUMMYFUNCTION("""COMPUTED_VALUE"""),3.1)</f>
        <v>3.1</v>
      </c>
      <c r="E114" s="5">
        <f>IFERROR(__xludf.DUMMYFUNCTION("""COMPUTED_VALUE"""),12.7)</f>
        <v>12.7</v>
      </c>
      <c r="F114" s="5">
        <f>IFERROR(__xludf.DUMMYFUNCTION("""COMPUTED_VALUE"""),2.0)</f>
        <v>2</v>
      </c>
      <c r="G114" s="5">
        <f>IFERROR(__xludf.DUMMYFUNCTION("""COMPUTED_VALUE"""),1.2)</f>
        <v>1.2</v>
      </c>
      <c r="H114" s="12">
        <f>IFERROR(__xludf.DUMMYFUNCTION("""COMPUTED_VALUE"""),81.19999999999999)</f>
        <v>81.2</v>
      </c>
      <c r="I114" s="7"/>
      <c r="J114" s="5"/>
      <c r="K114" s="5"/>
      <c r="L114" s="5"/>
      <c r="M114" s="7"/>
    </row>
    <row r="115">
      <c r="A115" s="16" t="str">
        <f>IFERROR(__xludf.DUMMYFUNCTION("""COMPUTED_VALUE"""),"Вегетариански протеинови храни")</f>
        <v>Вегетариански протеинови храни</v>
      </c>
      <c r="B115" s="7" t="str">
        <f>IFERROR(__xludf.DUMMYFUNCTION("""COMPUTED_VALUE"""),"Оризовки с шоколад")</f>
        <v>Оризовки с шоколад</v>
      </c>
      <c r="C115" s="12">
        <f>IFERROR(__xludf.DUMMYFUNCTION("""COMPUTED_VALUE"""),100.0)</f>
        <v>100</v>
      </c>
      <c r="D115" s="7">
        <f>IFERROR(__xludf.DUMMYFUNCTION("""COMPUTED_VALUE"""),8.3)</f>
        <v>8.3</v>
      </c>
      <c r="E115" s="5">
        <f>IFERROR(__xludf.DUMMYFUNCTION("""COMPUTED_VALUE"""),56.0)</f>
        <v>56</v>
      </c>
      <c r="F115" s="5">
        <f>IFERROR(__xludf.DUMMYFUNCTION("""COMPUTED_VALUE"""),23.0)</f>
        <v>23</v>
      </c>
      <c r="G115" s="5">
        <f>IFERROR(__xludf.DUMMYFUNCTION("""COMPUTED_VALUE"""),7.0)</f>
        <v>7</v>
      </c>
      <c r="H115" s="12">
        <f>IFERROR(__xludf.DUMMYFUNCTION("""COMPUTED_VALUE"""),464.2)</f>
        <v>464.2</v>
      </c>
      <c r="M115" s="7"/>
    </row>
    <row r="116">
      <c r="A116" s="16" t="str">
        <f>IFERROR(__xludf.DUMMYFUNCTION("""COMPUTED_VALUE"""),"Вегетариански/веган продукти")</f>
        <v>Вегетариански/веган продукти</v>
      </c>
      <c r="B116" s="7" t="str">
        <f>IFERROR(__xludf.DUMMYFUNCTION("""COMPUTED_VALUE"""),"Паста без яйца")</f>
        <v>Паста без яйца</v>
      </c>
      <c r="C116" s="12">
        <f>IFERROR(__xludf.DUMMYFUNCTION("""COMPUTED_VALUE"""),100.0)</f>
        <v>100</v>
      </c>
      <c r="D116" s="22">
        <f>IFERROR(__xludf.DUMMYFUNCTION("""COMPUTED_VALUE"""),11.0)</f>
        <v>11</v>
      </c>
      <c r="E116" s="19">
        <f>IFERROR(__xludf.DUMMYFUNCTION("""COMPUTED_VALUE"""),67.0)</f>
        <v>67</v>
      </c>
      <c r="F116" s="19">
        <f>IFERROR(__xludf.DUMMYFUNCTION("""COMPUTED_VALUE"""),2.7)</f>
        <v>2.7</v>
      </c>
      <c r="G116" s="19">
        <f>IFERROR(__xludf.DUMMYFUNCTION("""COMPUTED_VALUE"""),8.6)</f>
        <v>8.6</v>
      </c>
      <c r="H116" s="12">
        <f>IFERROR(__xludf.DUMMYFUNCTION("""COMPUTED_VALUE"""),336.3)</f>
        <v>336.3</v>
      </c>
      <c r="M116" s="7"/>
    </row>
    <row r="117">
      <c r="A117" s="16" t="str">
        <f>IFERROR(__xludf.DUMMYFUNCTION("""COMPUTED_VALUE"""),"Вегетариански/веган продукти")</f>
        <v>Вегетариански/веган продукти</v>
      </c>
      <c r="B117" s="7" t="str">
        <f>IFERROR(__xludf.DUMMYFUNCTION("""COMPUTED_VALUE"""),"Хранителна мая")</f>
        <v>Хранителна мая</v>
      </c>
      <c r="C117" s="12">
        <f>IFERROR(__xludf.DUMMYFUNCTION("""COMPUTED_VALUE"""),100.0)</f>
        <v>100</v>
      </c>
      <c r="D117" s="22">
        <f>IFERROR(__xludf.DUMMYFUNCTION("""COMPUTED_VALUE"""),50.0)</f>
        <v>50</v>
      </c>
      <c r="E117" s="19">
        <f>IFERROR(__xludf.DUMMYFUNCTION("""COMPUTED_VALUE"""),31.0)</f>
        <v>31</v>
      </c>
      <c r="F117" s="19">
        <f>IFERROR(__xludf.DUMMYFUNCTION("""COMPUTED_VALUE"""),3.0)</f>
        <v>3</v>
      </c>
      <c r="G117" s="19">
        <f>IFERROR(__xludf.DUMMYFUNCTION("""COMPUTED_VALUE"""),20.0)</f>
        <v>20</v>
      </c>
      <c r="H117" s="12">
        <f>IFERROR(__xludf.DUMMYFUNCTION("""COMPUTED_VALUE"""),351.0)</f>
        <v>351</v>
      </c>
      <c r="M117" s="7"/>
    </row>
    <row r="118">
      <c r="A118" s="16" t="str">
        <f>IFERROR(__xludf.DUMMYFUNCTION("""COMPUTED_VALUE"""),"Вегетариански/веган продукти")</f>
        <v>Вегетариански/веган продукти</v>
      </c>
      <c r="B118" s="7" t="str">
        <f>IFERROR(__xludf.DUMMYFUNCTION("""COMPUTED_VALUE"""),"Веган крема сирене (натурално)")</f>
        <v>Веган крема сирене (натурално)</v>
      </c>
      <c r="C118" s="12">
        <f>IFERROR(__xludf.DUMMYFUNCTION("""COMPUTED_VALUE"""),100.0)</f>
        <v>100</v>
      </c>
      <c r="D118" s="22">
        <f>IFERROR(__xludf.DUMMYFUNCTION("""COMPUTED_VALUE"""),0.0)</f>
        <v>0</v>
      </c>
      <c r="E118" s="19">
        <f>IFERROR(__xludf.DUMMYFUNCTION("""COMPUTED_VALUE"""),8.0)</f>
        <v>8</v>
      </c>
      <c r="F118" s="19">
        <f>IFERROR(__xludf.DUMMYFUNCTION("""COMPUTED_VALUE"""),23.0)</f>
        <v>23</v>
      </c>
      <c r="G118" s="19">
        <f>IFERROR(__xludf.DUMMYFUNCTION("""COMPUTED_VALUE"""),0.0)</f>
        <v>0</v>
      </c>
      <c r="H118" s="12">
        <f>IFERROR(__xludf.DUMMYFUNCTION("""COMPUTED_VALUE"""),239.0)</f>
        <v>239</v>
      </c>
    </row>
    <row r="119">
      <c r="A119" s="16" t="str">
        <f>IFERROR(__xludf.DUMMYFUNCTION("""COMPUTED_VALUE"""),"Вегетариански/веган продукти")</f>
        <v>Вегетариански/веган продукти</v>
      </c>
      <c r="B119" s="7" t="str">
        <f>IFERROR(__xludf.DUMMYFUNCTION("""COMPUTED_VALUE"""),"Ширатаки спагети")</f>
        <v>Ширатаки спагети</v>
      </c>
      <c r="C119" s="12">
        <f>IFERROR(__xludf.DUMMYFUNCTION("""COMPUTED_VALUE"""),100.0)</f>
        <v>100</v>
      </c>
      <c r="D119" s="22">
        <f>IFERROR(__xludf.DUMMYFUNCTION("""COMPUTED_VALUE"""),0.0)</f>
        <v>0</v>
      </c>
      <c r="E119" s="19">
        <f>IFERROR(__xludf.DUMMYFUNCTION("""COMPUTED_VALUE"""),0.5)</f>
        <v>0.5</v>
      </c>
      <c r="F119" s="19">
        <f>IFERROR(__xludf.DUMMYFUNCTION("""COMPUTED_VALUE"""),0.0)</f>
        <v>0</v>
      </c>
      <c r="G119" s="19">
        <f>IFERROR(__xludf.DUMMYFUNCTION("""COMPUTED_VALUE"""),4.5)</f>
        <v>4.5</v>
      </c>
      <c r="H119" s="12">
        <f>IFERROR(__xludf.DUMMYFUNCTION("""COMPUTED_VALUE"""),2.0)</f>
        <v>2</v>
      </c>
    </row>
    <row r="120">
      <c r="A120" s="16" t="str">
        <f>IFERROR(__xludf.DUMMYFUNCTION("""COMPUTED_VALUE"""),"Вегетариански/веган продукти")</f>
        <v>Вегетариански/веган продукти</v>
      </c>
      <c r="B120" s="7" t="str">
        <f>IFERROR(__xludf.DUMMYFUNCTION("""COMPUTED_VALUE"""),"Веган сирене (натурално)")</f>
        <v>Веган сирене (натурално)</v>
      </c>
      <c r="C120" s="12">
        <f>IFERROR(__xludf.DUMMYFUNCTION("""COMPUTED_VALUE"""),100.0)</f>
        <v>100</v>
      </c>
      <c r="D120" s="22">
        <f>IFERROR(__xludf.DUMMYFUNCTION("""COMPUTED_VALUE"""),0.0)</f>
        <v>0</v>
      </c>
      <c r="E120" s="19">
        <f>IFERROR(__xludf.DUMMYFUNCTION("""COMPUTED_VALUE"""),11.0)</f>
        <v>11</v>
      </c>
      <c r="F120" s="19">
        <f>IFERROR(__xludf.DUMMYFUNCTION("""COMPUTED_VALUE"""),29.0)</f>
        <v>29</v>
      </c>
      <c r="G120" s="19">
        <f>IFERROR(__xludf.DUMMYFUNCTION("""COMPUTED_VALUE"""),0.0)</f>
        <v>0</v>
      </c>
      <c r="H120" s="12">
        <f>IFERROR(__xludf.DUMMYFUNCTION("""COMPUTED_VALUE"""),305.0)</f>
        <v>305</v>
      </c>
    </row>
    <row r="121">
      <c r="A121" s="16" t="str">
        <f>IFERROR(__xludf.DUMMYFUNCTION("""COMPUTED_VALUE"""),"Вегетариански/веган продукти")</f>
        <v>Вегетариански/веган продукти</v>
      </c>
      <c r="B121" s="7" t="str">
        <f>IFERROR(__xludf.DUMMYFUNCTION("""COMPUTED_VALUE"""),"Мляко от Кашу")</f>
        <v>Мляко от Кашу</v>
      </c>
      <c r="C121" s="12">
        <f>IFERROR(__xludf.DUMMYFUNCTION("""COMPUTED_VALUE"""),100.0)</f>
        <v>100</v>
      </c>
      <c r="D121" s="22">
        <f>IFERROR(__xludf.DUMMYFUNCTION("""COMPUTED_VALUE"""),1.0)</f>
        <v>1</v>
      </c>
      <c r="E121" s="19">
        <f>IFERROR(__xludf.DUMMYFUNCTION("""COMPUTED_VALUE"""),4.4)</f>
        <v>4.4</v>
      </c>
      <c r="F121" s="19">
        <f>IFERROR(__xludf.DUMMYFUNCTION("""COMPUTED_VALUE"""),2.8)</f>
        <v>2.8</v>
      </c>
      <c r="G121" s="19">
        <f>IFERROR(__xludf.DUMMYFUNCTION("""COMPUTED_VALUE"""),0.0)</f>
        <v>0</v>
      </c>
      <c r="H121" s="12">
        <f>IFERROR(__xludf.DUMMYFUNCTION("""COMPUTED_VALUE"""),46.8)</f>
        <v>46.8</v>
      </c>
    </row>
    <row r="122">
      <c r="A122" s="16" t="str">
        <f>IFERROR(__xludf.DUMMYFUNCTION("""COMPUTED_VALUE"""),"Вегетариански/веган продукти")</f>
        <v>Вегетариански/веган продукти</v>
      </c>
      <c r="B122" s="7" t="str">
        <f>IFERROR(__xludf.DUMMYFUNCTION("""COMPUTED_VALUE"""),"Веган пармезан (violife)")</f>
        <v>Веган пармезан (violife)</v>
      </c>
      <c r="C122" s="12">
        <f>IFERROR(__xludf.DUMMYFUNCTION("""COMPUTED_VALUE"""),100.0)</f>
        <v>100</v>
      </c>
      <c r="D122" s="22">
        <f>IFERROR(__xludf.DUMMYFUNCTION("""COMPUTED_VALUE"""),1.6)</f>
        <v>1.6</v>
      </c>
      <c r="E122" s="19">
        <f>IFERROR(__xludf.DUMMYFUNCTION("""COMPUTED_VALUE"""),17.0)</f>
        <v>17</v>
      </c>
      <c r="F122" s="19">
        <f>IFERROR(__xludf.DUMMYFUNCTION("""COMPUTED_VALUE"""),30.0)</f>
        <v>30</v>
      </c>
      <c r="G122" s="19">
        <f>IFERROR(__xludf.DUMMYFUNCTION("""COMPUTED_VALUE"""),0.0)</f>
        <v>0</v>
      </c>
      <c r="H122" s="12">
        <f>IFERROR(__xludf.DUMMYFUNCTION("""COMPUTED_VALUE"""),344.4)</f>
        <v>344.4</v>
      </c>
    </row>
    <row r="123">
      <c r="A123" s="16" t="str">
        <f>IFERROR(__xludf.DUMMYFUNCTION("""COMPUTED_VALUE"""),"Вегетариански/веган продукти")</f>
        <v>Вегетариански/веган продукти</v>
      </c>
      <c r="B123" s="7" t="str">
        <f>IFERROR(__xludf.DUMMYFUNCTION("""COMPUTED_VALUE"""),"Веган млечен шоколад")</f>
        <v>Веган млечен шоколад</v>
      </c>
      <c r="C123" s="12">
        <f>IFERROR(__xludf.DUMMYFUNCTION("""COMPUTED_VALUE"""),100.0)</f>
        <v>100</v>
      </c>
      <c r="D123" s="22">
        <f>IFERROR(__xludf.DUMMYFUNCTION("""COMPUTED_VALUE"""),4.5)</f>
        <v>4.5</v>
      </c>
      <c r="E123" s="19">
        <f>IFERROR(__xludf.DUMMYFUNCTION("""COMPUTED_VALUE"""),42.0)</f>
        <v>42</v>
      </c>
      <c r="F123" s="19">
        <f>IFERROR(__xludf.DUMMYFUNCTION("""COMPUTED_VALUE"""),51.0)</f>
        <v>51</v>
      </c>
      <c r="G123" s="19">
        <f>IFERROR(__xludf.DUMMYFUNCTION("""COMPUTED_VALUE"""),0.0)</f>
        <v>0</v>
      </c>
      <c r="H123" s="12">
        <f>IFERROR(__xludf.DUMMYFUNCTION("""COMPUTED_VALUE"""),645.0)</f>
        <v>645</v>
      </c>
    </row>
    <row r="124">
      <c r="A124" s="16" t="str">
        <f>IFERROR(__xludf.DUMMYFUNCTION("""COMPUTED_VALUE"""),"Вегетариански/веган продукти")</f>
        <v>Вегетариански/веган продукти</v>
      </c>
      <c r="B124" s="7" t="str">
        <f>IFERROR(__xludf.DUMMYFUNCTION("""COMPUTED_VALUE"""),"Тофу (меко/копринено)- за десерти, кремове, напитки и супи")</f>
        <v>Тофу (меко/копринено)- за десерти, кремове, напитки и супи</v>
      </c>
      <c r="C124" s="12">
        <f>IFERROR(__xludf.DUMMYFUNCTION("""COMPUTED_VALUE"""),100.0)</f>
        <v>100</v>
      </c>
      <c r="D124" s="22">
        <f>IFERROR(__xludf.DUMMYFUNCTION("""COMPUTED_VALUE"""),8.0)</f>
        <v>8</v>
      </c>
      <c r="E124" s="19">
        <f>IFERROR(__xludf.DUMMYFUNCTION("""COMPUTED_VALUE"""),1.5)</f>
        <v>1.5</v>
      </c>
      <c r="F124" s="19">
        <f>IFERROR(__xludf.DUMMYFUNCTION("""COMPUTED_VALUE"""),4.0)</f>
        <v>4</v>
      </c>
      <c r="G124" s="19">
        <f>IFERROR(__xludf.DUMMYFUNCTION("""COMPUTED_VALUE"""),1.0)</f>
        <v>1</v>
      </c>
      <c r="H124" s="12">
        <f>IFERROR(__xludf.DUMMYFUNCTION("""COMPUTED_VALUE"""),74.0)</f>
        <v>74</v>
      </c>
    </row>
    <row r="125">
      <c r="A125" s="16" t="str">
        <f>IFERROR(__xludf.DUMMYFUNCTION("""COMPUTED_VALUE"""),"Вегетариански/веган продукти")</f>
        <v>Вегетариански/веган продукти</v>
      </c>
      <c r="B125" s="7" t="str">
        <f>IFERROR(__xludf.DUMMYFUNCTION("""COMPUTED_VALUE"""),"Бадемово мляко")</f>
        <v>Бадемово мляко</v>
      </c>
      <c r="C125" s="12">
        <f>IFERROR(__xludf.DUMMYFUNCTION("""COMPUTED_VALUE"""),100.0)</f>
        <v>100</v>
      </c>
      <c r="D125" s="22">
        <f>IFERROR(__xludf.DUMMYFUNCTION("""COMPUTED_VALUE"""),0.5)</f>
        <v>0.5</v>
      </c>
      <c r="E125" s="19">
        <f>IFERROR(__xludf.DUMMYFUNCTION("""COMPUTED_VALUE"""),3.0)</f>
        <v>3</v>
      </c>
      <c r="F125" s="19">
        <f>IFERROR(__xludf.DUMMYFUNCTION("""COMPUTED_VALUE"""),1.0)</f>
        <v>1</v>
      </c>
      <c r="G125" s="19">
        <f>IFERROR(__xludf.DUMMYFUNCTION("""COMPUTED_VALUE"""),0.0)</f>
        <v>0</v>
      </c>
      <c r="H125" s="12">
        <f>IFERROR(__xludf.DUMMYFUNCTION("""COMPUTED_VALUE"""),23.0)</f>
        <v>23</v>
      </c>
    </row>
    <row r="126">
      <c r="A126" s="16" t="str">
        <f>IFERROR(__xludf.DUMMYFUNCTION("""COMPUTED_VALUE"""),"Вегетариански/веган продукти")</f>
        <v>Вегетариански/веган продукти</v>
      </c>
      <c r="B126" s="7" t="str">
        <f>IFERROR(__xludf.DUMMYFUNCTION("""COMPUTED_VALUE"""),"Веган кори за лазаня")</f>
        <v>Веган кори за лазаня</v>
      </c>
      <c r="C126" s="12">
        <f>IFERROR(__xludf.DUMMYFUNCTION("""COMPUTED_VALUE"""),100.0)</f>
        <v>100</v>
      </c>
      <c r="D126" s="22">
        <f>IFERROR(__xludf.DUMMYFUNCTION("""COMPUTED_VALUE"""),6.0)</f>
        <v>6</v>
      </c>
      <c r="E126" s="19">
        <f>IFERROR(__xludf.DUMMYFUNCTION("""COMPUTED_VALUE"""),79.0)</f>
        <v>79</v>
      </c>
      <c r="F126" s="19">
        <f>IFERROR(__xludf.DUMMYFUNCTION("""COMPUTED_VALUE"""),1.0)</f>
        <v>1</v>
      </c>
      <c r="G126" s="19">
        <f>IFERROR(__xludf.DUMMYFUNCTION("""COMPUTED_VALUE"""),1.0)</f>
        <v>1</v>
      </c>
      <c r="H126" s="12">
        <f>IFERROR(__xludf.DUMMYFUNCTION("""COMPUTED_VALUE"""),349.0)</f>
        <v>349</v>
      </c>
    </row>
    <row r="127">
      <c r="A127" s="16" t="str">
        <f>IFERROR(__xludf.DUMMYFUNCTION("""COMPUTED_VALUE"""),"Вегетариански/веган продукти")</f>
        <v>Вегетариански/веган продукти</v>
      </c>
      <c r="B127" s="7" t="str">
        <f>IFERROR(__xludf.DUMMYFUNCTION("""COMPUTED_VALUE"""),"Текстуриран растителен протеин")</f>
        <v>Текстуриран растителен протеин</v>
      </c>
      <c r="C127" s="12">
        <f>IFERROR(__xludf.DUMMYFUNCTION("""COMPUTED_VALUE"""),100.0)</f>
        <v>100</v>
      </c>
      <c r="D127" s="22">
        <f>IFERROR(__xludf.DUMMYFUNCTION("""COMPUTED_VALUE"""),52.0)</f>
        <v>52</v>
      </c>
      <c r="E127" s="19">
        <f>IFERROR(__xludf.DUMMYFUNCTION("""COMPUTED_VALUE"""),23.0)</f>
        <v>23</v>
      </c>
      <c r="F127" s="19">
        <f>IFERROR(__xludf.DUMMYFUNCTION("""COMPUTED_VALUE"""),1.5)</f>
        <v>1.5</v>
      </c>
      <c r="G127" s="19">
        <f>IFERROR(__xludf.DUMMYFUNCTION("""COMPUTED_VALUE"""),16.0)</f>
        <v>16</v>
      </c>
      <c r="H127" s="12">
        <f>IFERROR(__xludf.DUMMYFUNCTION("""COMPUTED_VALUE"""),313.5)</f>
        <v>313.5</v>
      </c>
    </row>
    <row r="128">
      <c r="A128" s="16" t="str">
        <f>IFERROR(__xludf.DUMMYFUNCTION("""COMPUTED_VALUE"""),"Вегетариански/веган продукти")</f>
        <v>Вегетариански/веган продукти</v>
      </c>
      <c r="B128" s="7" t="str">
        <f>IFERROR(__xludf.DUMMYFUNCTION("""COMPUTED_VALUE"""),"Заместител на яйца (без глутен)")</f>
        <v>Заместител на яйца (без глутен)</v>
      </c>
      <c r="C128" s="12">
        <f>IFERROR(__xludf.DUMMYFUNCTION("""COMPUTED_VALUE"""),100.0)</f>
        <v>100</v>
      </c>
      <c r="D128" s="22">
        <f>IFERROR(__xludf.DUMMYFUNCTION("""COMPUTED_VALUE"""),0.0)</f>
        <v>0</v>
      </c>
      <c r="E128" s="19">
        <f>IFERROR(__xludf.DUMMYFUNCTION("""COMPUTED_VALUE"""),70.0)</f>
        <v>70</v>
      </c>
      <c r="F128" s="19">
        <f>IFERROR(__xludf.DUMMYFUNCTION("""COMPUTED_VALUE"""),0.0)</f>
        <v>0</v>
      </c>
      <c r="G128" s="19">
        <f>IFERROR(__xludf.DUMMYFUNCTION("""COMPUTED_VALUE"""),3.0)</f>
        <v>3</v>
      </c>
      <c r="H128" s="12">
        <f>IFERROR(__xludf.DUMMYFUNCTION("""COMPUTED_VALUE"""),280.0)</f>
        <v>280</v>
      </c>
    </row>
    <row r="129">
      <c r="A129" s="16" t="str">
        <f>IFERROR(__xludf.DUMMYFUNCTION("""COMPUTED_VALUE"""),"Вегетариански/веган продукти")</f>
        <v>Вегетариански/веган продукти</v>
      </c>
      <c r="B129" s="7" t="str">
        <f>IFERROR(__xludf.DUMMYFUNCTION("""COMPUTED_VALUE"""),"Соеви кубчета")</f>
        <v>Соеви кубчета</v>
      </c>
      <c r="C129" s="12">
        <f>IFERROR(__xludf.DUMMYFUNCTION("""COMPUTED_VALUE"""),100.0)</f>
        <v>100</v>
      </c>
      <c r="D129" s="22">
        <f>IFERROR(__xludf.DUMMYFUNCTION("""COMPUTED_VALUE"""),52.0)</f>
        <v>52</v>
      </c>
      <c r="E129" s="19">
        <f>IFERROR(__xludf.DUMMYFUNCTION("""COMPUTED_VALUE"""),20.0)</f>
        <v>20</v>
      </c>
      <c r="F129" s="19">
        <f>IFERROR(__xludf.DUMMYFUNCTION("""COMPUTED_VALUE"""),3.0)</f>
        <v>3</v>
      </c>
      <c r="G129" s="19">
        <f>IFERROR(__xludf.DUMMYFUNCTION("""COMPUTED_VALUE"""),0.0)</f>
        <v>0</v>
      </c>
      <c r="H129" s="12">
        <f>IFERROR(__xludf.DUMMYFUNCTION("""COMPUTED_VALUE"""),315.0)</f>
        <v>315</v>
      </c>
    </row>
    <row r="130">
      <c r="A130" s="16" t="str">
        <f>IFERROR(__xludf.DUMMYFUNCTION("""COMPUTED_VALUE"""),"Вегетариански/веган продукти")</f>
        <v>Вегетариански/веган продукти</v>
      </c>
      <c r="B130" s="7" t="str">
        <f>IFERROR(__xludf.DUMMYFUNCTION("""COMPUTED_VALUE"""),"Веган Моцарела")</f>
        <v>Веган Моцарела</v>
      </c>
      <c r="C130" s="12">
        <f>IFERROR(__xludf.DUMMYFUNCTION("""COMPUTED_VALUE"""),100.0)</f>
        <v>100</v>
      </c>
      <c r="D130" s="22">
        <f>IFERROR(__xludf.DUMMYFUNCTION("""COMPUTED_VALUE"""),1.0)</f>
        <v>1</v>
      </c>
      <c r="E130" s="19">
        <f>IFERROR(__xludf.DUMMYFUNCTION("""COMPUTED_VALUE"""),19.0)</f>
        <v>19</v>
      </c>
      <c r="F130" s="19">
        <f>IFERROR(__xludf.DUMMYFUNCTION("""COMPUTED_VALUE"""),22.0)</f>
        <v>22</v>
      </c>
      <c r="G130" s="19">
        <f>IFERROR(__xludf.DUMMYFUNCTION("""COMPUTED_VALUE"""),0.0)</f>
        <v>0</v>
      </c>
      <c r="H130" s="12">
        <f>IFERROR(__xludf.DUMMYFUNCTION("""COMPUTED_VALUE"""),278.0)</f>
        <v>278</v>
      </c>
    </row>
    <row r="131">
      <c r="A131" s="16" t="str">
        <f>IFERROR(__xludf.DUMMYFUNCTION("""COMPUTED_VALUE"""),"Вегетариански/веган продукти")</f>
        <v>Вегетариански/веган продукти</v>
      </c>
      <c r="B131" s="7" t="str">
        <f>IFERROR(__xludf.DUMMYFUNCTION("""COMPUTED_VALUE"""),"Веган микс за палачинки (без глутен)")</f>
        <v>Веган микс за палачинки (без глутен)</v>
      </c>
      <c r="C131" s="12">
        <f>IFERROR(__xludf.DUMMYFUNCTION("""COMPUTED_VALUE"""),100.0)</f>
        <v>100</v>
      </c>
      <c r="D131" s="22">
        <f>IFERROR(__xludf.DUMMYFUNCTION("""COMPUTED_VALUE"""),8.3)</f>
        <v>8.3</v>
      </c>
      <c r="E131" s="19">
        <f>IFERROR(__xludf.DUMMYFUNCTION("""COMPUTED_VALUE"""),72.8)</f>
        <v>72.8</v>
      </c>
      <c r="F131" s="19">
        <f>IFERROR(__xludf.DUMMYFUNCTION("""COMPUTED_VALUE"""),2.9)</f>
        <v>2.9</v>
      </c>
      <c r="G131" s="19">
        <f>IFERROR(__xludf.DUMMYFUNCTION("""COMPUTED_VALUE"""),0.0)</f>
        <v>0</v>
      </c>
      <c r="H131" s="12">
        <f>IFERROR(__xludf.DUMMYFUNCTION("""COMPUTED_VALUE"""),350.5)</f>
        <v>350.5</v>
      </c>
    </row>
    <row r="132">
      <c r="A132" s="16" t="str">
        <f>IFERROR(__xludf.DUMMYFUNCTION("""COMPUTED_VALUE"""),"Вегетариански/веган продукти")</f>
        <v>Вегетариански/веган продукти</v>
      </c>
      <c r="B132" s="7" t="str">
        <f>IFERROR(__xludf.DUMMYFUNCTION("""COMPUTED_VALUE"""),"Веган яйца")</f>
        <v>Веган яйца</v>
      </c>
      <c r="C132" s="12">
        <f>IFERROR(__xludf.DUMMYFUNCTION("""COMPUTED_VALUE"""),100.0)</f>
        <v>100</v>
      </c>
      <c r="D132" s="22">
        <f>IFERROR(__xludf.DUMMYFUNCTION("""COMPUTED_VALUE"""),15.0)</f>
        <v>15</v>
      </c>
      <c r="E132" s="19">
        <f>IFERROR(__xludf.DUMMYFUNCTION("""COMPUTED_VALUE"""),47.0)</f>
        <v>47</v>
      </c>
      <c r="F132" s="19">
        <f>IFERROR(__xludf.DUMMYFUNCTION("""COMPUTED_VALUE"""),3.0)</f>
        <v>3</v>
      </c>
      <c r="G132" s="19">
        <f>IFERROR(__xludf.DUMMYFUNCTION("""COMPUTED_VALUE"""),4.0)</f>
        <v>4</v>
      </c>
      <c r="H132" s="12">
        <f>IFERROR(__xludf.DUMMYFUNCTION("""COMPUTED_VALUE"""),275.0)</f>
        <v>275</v>
      </c>
    </row>
    <row r="133">
      <c r="A133" s="16" t="str">
        <f>IFERROR(__xludf.DUMMYFUNCTION("""COMPUTED_VALUE"""),"Вегетариански/веган продукти")</f>
        <v>Вегетариански/веган продукти</v>
      </c>
      <c r="B133" s="7" t="str">
        <f>IFERROR(__xludf.DUMMYFUNCTION("""COMPUTED_VALUE"""),"Веган готварска сметана (Оризова)")</f>
        <v>Веган готварска сметана (Оризова)</v>
      </c>
      <c r="C133" s="12">
        <f>IFERROR(__xludf.DUMMYFUNCTION("""COMPUTED_VALUE"""),100.0)</f>
        <v>100</v>
      </c>
      <c r="D133" s="22">
        <f>IFERROR(__xludf.DUMMYFUNCTION("""COMPUTED_VALUE"""),0.5)</f>
        <v>0.5</v>
      </c>
      <c r="E133" s="19">
        <f>IFERROR(__xludf.DUMMYFUNCTION("""COMPUTED_VALUE"""),5.4)</f>
        <v>5.4</v>
      </c>
      <c r="F133" s="19">
        <f>IFERROR(__xludf.DUMMYFUNCTION("""COMPUTED_VALUE"""),8.0)</f>
        <v>8</v>
      </c>
      <c r="G133" s="19">
        <f>IFERROR(__xludf.DUMMYFUNCTION("""COMPUTED_VALUE"""),0.0)</f>
        <v>0</v>
      </c>
      <c r="H133" s="12">
        <f>IFERROR(__xludf.DUMMYFUNCTION("""COMPUTED_VALUE"""),95.6)</f>
        <v>95.6</v>
      </c>
    </row>
    <row r="134">
      <c r="A134" s="16" t="str">
        <f>IFERROR(__xludf.DUMMYFUNCTION("""COMPUTED_VALUE"""),"Вегетариански/веган продукти")</f>
        <v>Вегетариански/веган продукти</v>
      </c>
      <c r="B134" s="7" t="str">
        <f>IFERROR(__xludf.DUMMYFUNCTION("""COMPUTED_VALUE"""),"Веган микс за тесто за пица")</f>
        <v>Веган микс за тесто за пица</v>
      </c>
      <c r="C134" s="12">
        <f>IFERROR(__xludf.DUMMYFUNCTION("""COMPUTED_VALUE"""),100.0)</f>
        <v>100</v>
      </c>
      <c r="D134" s="22">
        <f>IFERROR(__xludf.DUMMYFUNCTION("""COMPUTED_VALUE"""),4.7)</f>
        <v>4.7</v>
      </c>
      <c r="E134" s="19">
        <f>IFERROR(__xludf.DUMMYFUNCTION("""COMPUTED_VALUE"""),42.0)</f>
        <v>42</v>
      </c>
      <c r="F134" s="19">
        <f>IFERROR(__xludf.DUMMYFUNCTION("""COMPUTED_VALUE"""),5.1)</f>
        <v>5.1</v>
      </c>
      <c r="G134" s="19">
        <f>IFERROR(__xludf.DUMMYFUNCTION("""COMPUTED_VALUE"""),4.7)</f>
        <v>4.7</v>
      </c>
      <c r="H134" s="12">
        <f>IFERROR(__xludf.DUMMYFUNCTION("""COMPUTED_VALUE"""),232.70000000000002)</f>
        <v>232.7</v>
      </c>
    </row>
    <row r="135">
      <c r="A135" s="16" t="str">
        <f>IFERROR(__xludf.DUMMYFUNCTION("""COMPUTED_VALUE"""),"Вегетариански/веган продукти")</f>
        <v>Вегетариански/веган продукти</v>
      </c>
      <c r="B135" s="7" t="str">
        <f>IFERROR(__xludf.DUMMYFUNCTION("""COMPUTED_VALUE"""),"Био веган кетчуп")</f>
        <v>Био веган кетчуп</v>
      </c>
      <c r="C135" s="12">
        <f>IFERROR(__xludf.DUMMYFUNCTION("""COMPUTED_VALUE"""),100.0)</f>
        <v>100</v>
      </c>
      <c r="D135" s="22">
        <f>IFERROR(__xludf.DUMMYFUNCTION("""COMPUTED_VALUE"""),1.0)</f>
        <v>1</v>
      </c>
      <c r="E135" s="19">
        <f>IFERROR(__xludf.DUMMYFUNCTION("""COMPUTED_VALUE"""),23.0)</f>
        <v>23</v>
      </c>
      <c r="F135" s="19">
        <f>IFERROR(__xludf.DUMMYFUNCTION("""COMPUTED_VALUE"""),0.0)</f>
        <v>0</v>
      </c>
      <c r="G135" s="19">
        <f>IFERROR(__xludf.DUMMYFUNCTION("""COMPUTED_VALUE"""),0.0)</f>
        <v>0</v>
      </c>
      <c r="H135" s="12">
        <f>IFERROR(__xludf.DUMMYFUNCTION("""COMPUTED_VALUE"""),96.0)</f>
        <v>96</v>
      </c>
    </row>
    <row r="136">
      <c r="A136" s="16" t="str">
        <f>IFERROR(__xludf.DUMMYFUNCTION("""COMPUTED_VALUE"""),"Вегетариански/веган продукти")</f>
        <v>Вегетариански/веган продукти</v>
      </c>
      <c r="B136" s="7" t="str">
        <f>IFERROR(__xludf.DUMMYFUNCTION("""COMPUTED_VALUE"""),"Майонеза (Веган)")</f>
        <v>Майонеза (Веган)</v>
      </c>
      <c r="C136" s="12">
        <f>IFERROR(__xludf.DUMMYFUNCTION("""COMPUTED_VALUE"""),100.0)</f>
        <v>100</v>
      </c>
      <c r="D136" s="22">
        <f>IFERROR(__xludf.DUMMYFUNCTION("""COMPUTED_VALUE"""),1.7)</f>
        <v>1.7</v>
      </c>
      <c r="E136" s="19">
        <f>IFERROR(__xludf.DUMMYFUNCTION("""COMPUTED_VALUE"""),5.5)</f>
        <v>5.5</v>
      </c>
      <c r="F136" s="19">
        <f>IFERROR(__xludf.DUMMYFUNCTION("""COMPUTED_VALUE"""),50.0)</f>
        <v>50</v>
      </c>
      <c r="G136" s="19">
        <f>IFERROR(__xludf.DUMMYFUNCTION("""COMPUTED_VALUE"""),0.0)</f>
        <v>0</v>
      </c>
      <c r="H136" s="12">
        <f>IFERROR(__xludf.DUMMYFUNCTION("""COMPUTED_VALUE"""),478.8)</f>
        <v>478.8</v>
      </c>
    </row>
    <row r="137">
      <c r="A137" s="16" t="str">
        <f>IFERROR(__xludf.DUMMYFUNCTION("""COMPUTED_VALUE"""),"Вегетариански/веган продукти")</f>
        <v>Вегетариански/веган продукти</v>
      </c>
      <c r="B137" s="7" t="str">
        <f>IFERROR(__xludf.DUMMYFUNCTION("""COMPUTED_VALUE"""),"Веган Галета (Панко)")</f>
        <v>Веган Галета (Панко)</v>
      </c>
      <c r="C137" s="12">
        <f>IFERROR(__xludf.DUMMYFUNCTION("""COMPUTED_VALUE"""),100.0)</f>
        <v>100</v>
      </c>
      <c r="D137" s="22">
        <f>IFERROR(__xludf.DUMMYFUNCTION("""COMPUTED_VALUE"""),10.0)</f>
        <v>10</v>
      </c>
      <c r="E137" s="19">
        <f>IFERROR(__xludf.DUMMYFUNCTION("""COMPUTED_VALUE"""),70.0)</f>
        <v>70</v>
      </c>
      <c r="F137" s="19">
        <f>IFERROR(__xludf.DUMMYFUNCTION("""COMPUTED_VALUE"""),5.0)</f>
        <v>5</v>
      </c>
      <c r="G137" s="19">
        <f>IFERROR(__xludf.DUMMYFUNCTION("""COMPUTED_VALUE"""),0.0)</f>
        <v>0</v>
      </c>
      <c r="H137" s="12">
        <f>IFERROR(__xludf.DUMMYFUNCTION("""COMPUTED_VALUE"""),365.0)</f>
        <v>365</v>
      </c>
    </row>
    <row r="138">
      <c r="A138" s="16" t="str">
        <f>IFERROR(__xludf.DUMMYFUNCTION("""COMPUTED_VALUE"""),"Вегетариански/веган продукти")</f>
        <v>Вегетариански/веган продукти</v>
      </c>
      <c r="B138" s="7" t="str">
        <f>IFERROR(__xludf.DUMMYFUNCTION("""COMPUTED_VALUE"""),"Веган микс за хляб (Витал)")</f>
        <v>Веган микс за хляб (Витал)</v>
      </c>
      <c r="C138" s="12">
        <f>IFERROR(__xludf.DUMMYFUNCTION("""COMPUTED_VALUE"""),100.0)</f>
        <v>100</v>
      </c>
      <c r="D138" s="22">
        <f>IFERROR(__xludf.DUMMYFUNCTION("""COMPUTED_VALUE"""),4.0)</f>
        <v>4</v>
      </c>
      <c r="E138" s="19">
        <f>IFERROR(__xludf.DUMMYFUNCTION("""COMPUTED_VALUE"""),40.0)</f>
        <v>40</v>
      </c>
      <c r="F138" s="19">
        <f>IFERROR(__xludf.DUMMYFUNCTION("""COMPUTED_VALUE"""),6.0)</f>
        <v>6</v>
      </c>
      <c r="G138" s="19">
        <f>IFERROR(__xludf.DUMMYFUNCTION("""COMPUTED_VALUE"""),5.0)</f>
        <v>5</v>
      </c>
      <c r="H138" s="12">
        <f>IFERROR(__xludf.DUMMYFUNCTION("""COMPUTED_VALUE"""),230.0)</f>
        <v>230</v>
      </c>
    </row>
    <row r="139">
      <c r="A139" s="16" t="str">
        <f>IFERROR(__xludf.DUMMYFUNCTION("""COMPUTED_VALUE"""),"Вегетариански/веган продукти")</f>
        <v>Вегетариански/веган продукти</v>
      </c>
      <c r="B139" s="7" t="str">
        <f>IFERROR(__xludf.DUMMYFUNCTION("""COMPUTED_VALUE"""),"Веган брашно без глутен и пшеница")</f>
        <v>Веган брашно без глутен и пшеница</v>
      </c>
      <c r="C139" s="12">
        <f>IFERROR(__xludf.DUMMYFUNCTION("""COMPUTED_VALUE"""),100.0)</f>
        <v>100</v>
      </c>
      <c r="D139" s="7">
        <f>IFERROR(__xludf.DUMMYFUNCTION("""COMPUTED_VALUE"""),5.5)</f>
        <v>5.5</v>
      </c>
      <c r="E139" s="5">
        <f>IFERROR(__xludf.DUMMYFUNCTION("""COMPUTED_VALUE"""),76.0)</f>
        <v>76</v>
      </c>
      <c r="F139" s="5">
        <f>IFERROR(__xludf.DUMMYFUNCTION("""COMPUTED_VALUE"""),1.7)</f>
        <v>1.7</v>
      </c>
      <c r="G139" s="5">
        <f>IFERROR(__xludf.DUMMYFUNCTION("""COMPUTED_VALUE"""),2.0)</f>
        <v>2</v>
      </c>
      <c r="H139" s="12">
        <f>IFERROR(__xludf.DUMMYFUNCTION("""COMPUTED_VALUE"""),341.3)</f>
        <v>341.3</v>
      </c>
    </row>
    <row r="140">
      <c r="A140" s="16" t="str">
        <f>IFERROR(__xludf.DUMMYFUNCTION("""COMPUTED_VALUE"""),"Вегетариански/веган продукти")</f>
        <v>Вегетариански/веган продукти</v>
      </c>
      <c r="B140" s="7" t="str">
        <f>IFERROR(__xludf.DUMMYFUNCTION("""COMPUTED_VALUE"""),"Веган пълнозърнести кори за баница")</f>
        <v>Веган пълнозърнести кори за баница</v>
      </c>
      <c r="C140" s="12">
        <f>IFERROR(__xludf.DUMMYFUNCTION("""COMPUTED_VALUE"""),100.0)</f>
        <v>100</v>
      </c>
      <c r="D140" s="7">
        <f>IFERROR(__xludf.DUMMYFUNCTION("""COMPUTED_VALUE"""),9.7)</f>
        <v>9.7</v>
      </c>
      <c r="E140" s="5">
        <f>IFERROR(__xludf.DUMMYFUNCTION("""COMPUTED_VALUE"""),53.0)</f>
        <v>53</v>
      </c>
      <c r="F140" s="5">
        <f>IFERROR(__xludf.DUMMYFUNCTION("""COMPUTED_VALUE"""),2.5)</f>
        <v>2.5</v>
      </c>
      <c r="G140" s="5">
        <f>IFERROR(__xludf.DUMMYFUNCTION("""COMPUTED_VALUE"""),3.0)</f>
        <v>3</v>
      </c>
      <c r="H140" s="12">
        <f>IFERROR(__xludf.DUMMYFUNCTION("""COMPUTED_VALUE"""),273.3)</f>
        <v>273.3</v>
      </c>
    </row>
    <row r="141">
      <c r="A141" s="16" t="str">
        <f>IFERROR(__xludf.DUMMYFUNCTION("""COMPUTED_VALUE"""),"Вегетариански/веган продукти")</f>
        <v>Вегетариански/веган продукти</v>
      </c>
      <c r="B141" s="7" t="str">
        <f>IFERROR(__xludf.DUMMYFUNCTION("""COMPUTED_VALUE"""),"Соево Млеко - оргинал")</f>
        <v>Соево Млеко - оргинал</v>
      </c>
      <c r="C141" s="12">
        <f>IFERROR(__xludf.DUMMYFUNCTION("""COMPUTED_VALUE"""),100.0)</f>
        <v>100</v>
      </c>
      <c r="D141" s="7">
        <f>IFERROR(__xludf.DUMMYFUNCTION("""COMPUTED_VALUE"""),3.2)</f>
        <v>3.2</v>
      </c>
      <c r="E141" s="5">
        <f>IFERROR(__xludf.DUMMYFUNCTION("""COMPUTED_VALUE"""),2.8)</f>
        <v>2.8</v>
      </c>
      <c r="F141" s="5">
        <f>IFERROR(__xludf.DUMMYFUNCTION("""COMPUTED_VALUE"""),2.2)</f>
        <v>2.2</v>
      </c>
      <c r="G141" s="5">
        <f>IFERROR(__xludf.DUMMYFUNCTION("""COMPUTED_VALUE"""),0.5)</f>
        <v>0.5</v>
      </c>
      <c r="H141" s="12">
        <f>IFERROR(__xludf.DUMMYFUNCTION("""COMPUTED_VALUE"""),43.8)</f>
        <v>43.8</v>
      </c>
    </row>
    <row r="142">
      <c r="A142" s="16" t="str">
        <f>IFERROR(__xludf.DUMMYFUNCTION("""COMPUTED_VALUE"""),"Вегетариански/веган продукти")</f>
        <v>Вегетариански/веган продукти</v>
      </c>
      <c r="B142" s="7" t="str">
        <f>IFERROR(__xludf.DUMMYFUNCTION("""COMPUTED_VALUE"""),"Oat Drink Vemondo")</f>
        <v>Oat Drink Vemondo</v>
      </c>
      <c r="C142" s="12">
        <f>IFERROR(__xludf.DUMMYFUNCTION("""COMPUTED_VALUE"""),100.0)</f>
        <v>100</v>
      </c>
      <c r="D142" s="7">
        <f>IFERROR(__xludf.DUMMYFUNCTION("""COMPUTED_VALUE"""),0.4)</f>
        <v>0.4</v>
      </c>
      <c r="E142" s="5">
        <f>IFERROR(__xludf.DUMMYFUNCTION("""COMPUTED_VALUE"""),9.7)</f>
        <v>9.7</v>
      </c>
      <c r="F142" s="5">
        <f>IFERROR(__xludf.DUMMYFUNCTION("""COMPUTED_VALUE"""),0.5)</f>
        <v>0.5</v>
      </c>
      <c r="G142" s="5">
        <f>IFERROR(__xludf.DUMMYFUNCTION("""COMPUTED_VALUE"""),0.0)</f>
        <v>0</v>
      </c>
      <c r="H142" s="12">
        <f>IFERROR(__xludf.DUMMYFUNCTION("""COMPUTED_VALUE"""),44.9)</f>
        <v>44.9</v>
      </c>
    </row>
    <row r="143">
      <c r="A143" s="16" t="str">
        <f>IFERROR(__xludf.DUMMYFUNCTION("""COMPUTED_VALUE"""),"Вегетариански/веган продукти")</f>
        <v>Вегетариански/веган продукти</v>
      </c>
      <c r="B143" s="7" t="str">
        <f>IFERROR(__xludf.DUMMYFUNCTION("""COMPUTED_VALUE"""),"Кокосово мляко")</f>
        <v>Кокосово мляко</v>
      </c>
      <c r="C143" s="12">
        <f>IFERROR(__xludf.DUMMYFUNCTION("""COMPUTED_VALUE"""),100.0)</f>
        <v>100</v>
      </c>
      <c r="D143" s="22">
        <f>IFERROR(__xludf.DUMMYFUNCTION("""COMPUTED_VALUE"""),0.5)</f>
        <v>0.5</v>
      </c>
      <c r="E143" s="5">
        <f>IFERROR(__xludf.DUMMYFUNCTION("""COMPUTED_VALUE"""),1.3)</f>
        <v>1.3</v>
      </c>
      <c r="F143" s="5">
        <f>IFERROR(__xludf.DUMMYFUNCTION("""COMPUTED_VALUE"""),6.0)</f>
        <v>6</v>
      </c>
      <c r="G143" s="5">
        <f>IFERROR(__xludf.DUMMYFUNCTION("""COMPUTED_VALUE"""),1.4)</f>
        <v>1.4</v>
      </c>
      <c r="H143" s="12">
        <f>IFERROR(__xludf.DUMMYFUNCTION("""COMPUTED_VALUE"""),61.2)</f>
        <v>61.2</v>
      </c>
    </row>
    <row r="144">
      <c r="A144" s="16" t="str">
        <f>IFERROR(__xludf.DUMMYFUNCTION("""COMPUTED_VALUE"""),"Вегетариански/веган продукти")</f>
        <v>Вегетариански/веган продукти</v>
      </c>
      <c r="B144" s="7" t="str">
        <f>IFERROR(__xludf.DUMMYFUNCTION("""COMPUTED_VALUE"""),"Кокосово мляко")</f>
        <v>Кокосово мляко</v>
      </c>
      <c r="C144" s="12">
        <f>IFERROR(__xludf.DUMMYFUNCTION("""COMPUTED_VALUE"""),100.0)</f>
        <v>100</v>
      </c>
      <c r="D144" s="22">
        <f>IFERROR(__xludf.DUMMYFUNCTION("""COMPUTED_VALUE"""),0.5)</f>
        <v>0.5</v>
      </c>
      <c r="E144" s="5">
        <f>IFERROR(__xludf.DUMMYFUNCTION("""COMPUTED_VALUE"""),1.3)</f>
        <v>1.3</v>
      </c>
      <c r="F144" s="5">
        <f>IFERROR(__xludf.DUMMYFUNCTION("""COMPUTED_VALUE"""),6.0)</f>
        <v>6</v>
      </c>
      <c r="G144" s="5">
        <f>IFERROR(__xludf.DUMMYFUNCTION("""COMPUTED_VALUE"""),1.4)</f>
        <v>1.4</v>
      </c>
      <c r="H144" s="12">
        <f>IFERROR(__xludf.DUMMYFUNCTION("""COMPUTED_VALUE"""),61.2)</f>
        <v>61.2</v>
      </c>
    </row>
    <row r="145">
      <c r="A145" s="16" t="str">
        <f>IFERROR(__xludf.DUMMYFUNCTION("""COMPUTED_VALUE"""),"Вегетариански/веган продукти")</f>
        <v>Вегетариански/веган продукти</v>
      </c>
      <c r="B145" s="7" t="str">
        <f>IFERROR(__xludf.DUMMYFUNCTION("""COMPUTED_VALUE"""),"Овесена сметана")</f>
        <v>Овесена сметана</v>
      </c>
      <c r="C145" s="12">
        <f>IFERROR(__xludf.DUMMYFUNCTION("""COMPUTED_VALUE"""),100.0)</f>
        <v>100</v>
      </c>
      <c r="D145" s="22">
        <f>IFERROR(__xludf.DUMMYFUNCTION("""COMPUTED_VALUE"""),0.5)</f>
        <v>0.5</v>
      </c>
      <c r="E145" s="5">
        <f>IFERROR(__xludf.DUMMYFUNCTION("""COMPUTED_VALUE"""),7.1)</f>
        <v>7.1</v>
      </c>
      <c r="F145" s="5">
        <f>IFERROR(__xludf.DUMMYFUNCTION("""COMPUTED_VALUE"""),4.1)</f>
        <v>4.1</v>
      </c>
      <c r="G145" s="5">
        <f>IFERROR(__xludf.DUMMYFUNCTION("""COMPUTED_VALUE"""),0.0)</f>
        <v>0</v>
      </c>
      <c r="H145" s="12">
        <f>IFERROR(__xludf.DUMMYFUNCTION("""COMPUTED_VALUE"""),67.3)</f>
        <v>67.3</v>
      </c>
    </row>
    <row r="146">
      <c r="A146" s="16" t="str">
        <f>IFERROR(__xludf.DUMMYFUNCTION("""COMPUTED_VALUE"""),"Вегетариански/веган продукти")</f>
        <v>Вегетариански/веган продукти</v>
      </c>
      <c r="B146" s="7" t="str">
        <f>IFERROR(__xludf.DUMMYFUNCTION("""COMPUTED_VALUE"""),"Бадемова безглутенова напитка")</f>
        <v>Бадемова безглутенова напитка</v>
      </c>
      <c r="C146" s="12">
        <f>IFERROR(__xludf.DUMMYFUNCTION("""COMPUTED_VALUE"""),100.0)</f>
        <v>100</v>
      </c>
      <c r="D146" s="22">
        <f>IFERROR(__xludf.DUMMYFUNCTION("""COMPUTED_VALUE"""),0.7)</f>
        <v>0.7</v>
      </c>
      <c r="E146" s="5">
        <f>IFERROR(__xludf.DUMMYFUNCTION("""COMPUTED_VALUE"""),0.6)</f>
        <v>0.6</v>
      </c>
      <c r="F146" s="5">
        <f>IFERROR(__xludf.DUMMYFUNCTION("""COMPUTED_VALUE"""),1.7)</f>
        <v>1.7</v>
      </c>
      <c r="G146" s="5">
        <f>IFERROR(__xludf.DUMMYFUNCTION("""COMPUTED_VALUE"""),0.0)</f>
        <v>0</v>
      </c>
      <c r="H146" s="12">
        <f>IFERROR(__xludf.DUMMYFUNCTION("""COMPUTED_VALUE"""),20.5)</f>
        <v>20.5</v>
      </c>
    </row>
    <row r="147">
      <c r="A147" s="16" t="str">
        <f>IFERROR(__xludf.DUMMYFUNCTION("""COMPUTED_VALUE"""),"Вегетариански/веган продукти")</f>
        <v>Вегетариански/веган продукти</v>
      </c>
      <c r="B147" s="7" t="str">
        <f>IFERROR(__xludf.DUMMYFUNCTION("""COMPUTED_VALUE"""),"Кокосово мляко X.O (консерва)")</f>
        <v>Кокосово мляко X.O (консерва)</v>
      </c>
      <c r="C147" s="12">
        <f>IFERROR(__xludf.DUMMYFUNCTION("""COMPUTED_VALUE"""),100.0)</f>
        <v>100</v>
      </c>
      <c r="D147" s="22">
        <f>IFERROR(__xludf.DUMMYFUNCTION("""COMPUTED_VALUE"""),0.5)</f>
        <v>0.5</v>
      </c>
      <c r="E147" s="5">
        <f>IFERROR(__xludf.DUMMYFUNCTION("""COMPUTED_VALUE"""),3.9)</f>
        <v>3.9</v>
      </c>
      <c r="F147" s="5">
        <f>IFERROR(__xludf.DUMMYFUNCTION("""COMPUTED_VALUE"""),6.5)</f>
        <v>6.5</v>
      </c>
      <c r="G147" s="5">
        <f>IFERROR(__xludf.DUMMYFUNCTION("""COMPUTED_VALUE"""),0.5)</f>
        <v>0.5</v>
      </c>
      <c r="H147" s="12">
        <f>IFERROR(__xludf.DUMMYFUNCTION("""COMPUTED_VALUE"""),76.1)</f>
        <v>76.1</v>
      </c>
    </row>
    <row r="148">
      <c r="A148" s="16" t="str">
        <f>IFERROR(__xludf.DUMMYFUNCTION("""COMPUTED_VALUE"""),"Вегетариански/веган продукти")</f>
        <v>Вегетариански/веган продукти</v>
      </c>
      <c r="B148" s="7" t="str">
        <f>IFERROR(__xludf.DUMMYFUNCTION("""COMPUTED_VALUE"""),"Соево мляко с бадем")</f>
        <v>Соево мляко с бадем</v>
      </c>
      <c r="C148" s="12">
        <f>IFERROR(__xludf.DUMMYFUNCTION("""COMPUTED_VALUE"""),100.0)</f>
        <v>100</v>
      </c>
      <c r="D148" s="22">
        <f>IFERROR(__xludf.DUMMYFUNCTION("""COMPUTED_VALUE"""),3.2)</f>
        <v>3.2</v>
      </c>
      <c r="E148" s="5">
        <f>IFERROR(__xludf.DUMMYFUNCTION("""COMPUTED_VALUE"""),0.7)</f>
        <v>0.7</v>
      </c>
      <c r="F148" s="5">
        <f>IFERROR(__xludf.DUMMYFUNCTION("""COMPUTED_VALUE"""),3.0)</f>
        <v>3</v>
      </c>
      <c r="G148" s="5">
        <f>IFERROR(__xludf.DUMMYFUNCTION("""COMPUTED_VALUE"""),0.7)</f>
        <v>0.7</v>
      </c>
      <c r="H148" s="12">
        <f>IFERROR(__xludf.DUMMYFUNCTION("""COMPUTED_VALUE"""),42.6)</f>
        <v>42.6</v>
      </c>
    </row>
    <row r="149">
      <c r="A149" s="16" t="str">
        <f>IFERROR(__xludf.DUMMYFUNCTION("""COMPUTED_VALUE"""),"Вегетариански/веган продукти")</f>
        <v>Вегетариански/веган продукти</v>
      </c>
      <c r="B149" s="7" t="str">
        <f>IFERROR(__xludf.DUMMYFUNCTION("""COMPUTED_VALUE"""),"Кокосово мляко")</f>
        <v>Кокосово мляко</v>
      </c>
      <c r="C149" s="12">
        <f>IFERROR(__xludf.DUMMYFUNCTION("""COMPUTED_VALUE"""),100.0)</f>
        <v>100</v>
      </c>
      <c r="D149" s="7">
        <f>IFERROR(__xludf.DUMMYFUNCTION("""COMPUTED_VALUE"""),1.0)</f>
        <v>1</v>
      </c>
      <c r="E149" s="5">
        <f>IFERROR(__xludf.DUMMYFUNCTION("""COMPUTED_VALUE"""),1.0)</f>
        <v>1</v>
      </c>
      <c r="F149" s="5">
        <f>IFERROR(__xludf.DUMMYFUNCTION("""COMPUTED_VALUE"""),1.0)</f>
        <v>1</v>
      </c>
      <c r="G149" s="5">
        <f>IFERROR(__xludf.DUMMYFUNCTION("""COMPUTED_VALUE"""),1.0)</f>
        <v>1</v>
      </c>
      <c r="H149" s="12">
        <f>IFERROR(__xludf.DUMMYFUNCTION("""COMPUTED_VALUE"""),17.0)</f>
        <v>17</v>
      </c>
    </row>
    <row r="150">
      <c r="A150" s="16" t="str">
        <f>IFERROR(__xludf.DUMMYFUNCTION("""COMPUTED_VALUE"""),"Вегетариански/веган продукти")</f>
        <v>Вегетариански/веган продукти</v>
      </c>
      <c r="B150" s="7" t="str">
        <f>IFERROR(__xludf.DUMMYFUNCTION("""COMPUTED_VALUE"""),"Кокосова Сметана")</f>
        <v>Кокосова Сметана</v>
      </c>
      <c r="C150" s="12">
        <f>IFERROR(__xludf.DUMMYFUNCTION("""COMPUTED_VALUE"""),100.0)</f>
        <v>100</v>
      </c>
      <c r="D150" s="7">
        <f>IFERROR(__xludf.DUMMYFUNCTION("""COMPUTED_VALUE"""),3.5999999999999996)</f>
        <v>3.6</v>
      </c>
      <c r="E150" s="5">
        <f>IFERROR(__xludf.DUMMYFUNCTION("""COMPUTED_VALUE"""),6.4)</f>
        <v>6.4</v>
      </c>
      <c r="F150" s="5">
        <f>IFERROR(__xludf.DUMMYFUNCTION("""COMPUTED_VALUE"""),34.0)</f>
        <v>34</v>
      </c>
      <c r="G150" s="5" t="str">
        <f>IFERROR(__xludf.DUMMYFUNCTION("""COMPUTED_VALUE"""),"0")</f>
        <v>0</v>
      </c>
      <c r="H150" s="12">
        <f>IFERROR(__xludf.DUMMYFUNCTION("""COMPUTED_VALUE"""),346.0)</f>
        <v>346</v>
      </c>
    </row>
    <row r="151">
      <c r="A151" s="16" t="str">
        <f>IFERROR(__xludf.DUMMYFUNCTION("""COMPUTED_VALUE"""),"Вегетариански/веган продукти")</f>
        <v>Вегетариански/веган продукти</v>
      </c>
      <c r="B151" s="7" t="str">
        <f>IFERROR(__xludf.DUMMYFUNCTION("""COMPUTED_VALUE"""),"Кокосово мляко лайт")</f>
        <v>Кокосово мляко лайт</v>
      </c>
      <c r="C151" s="12">
        <f>IFERROR(__xludf.DUMMYFUNCTION("""COMPUTED_VALUE"""),100.0)</f>
        <v>100</v>
      </c>
      <c r="D151" s="7">
        <f>IFERROR(__xludf.DUMMYFUNCTION("""COMPUTED_VALUE"""),1.0)</f>
        <v>1</v>
      </c>
      <c r="E151" s="5">
        <f>IFERROR(__xludf.DUMMYFUNCTION("""COMPUTED_VALUE"""),1.1)</f>
        <v>1.1</v>
      </c>
      <c r="F151" s="5">
        <f>IFERROR(__xludf.DUMMYFUNCTION("""COMPUTED_VALUE"""),13.2)</f>
        <v>13.2</v>
      </c>
      <c r="G151" s="5" t="str">
        <f>IFERROR(__xludf.DUMMYFUNCTION("""COMPUTED_VALUE"""),"0")</f>
        <v>0</v>
      </c>
      <c r="H151" s="12">
        <f>IFERROR(__xludf.DUMMYFUNCTION("""COMPUTED_VALUE"""),127.2)</f>
        <v>127.2</v>
      </c>
    </row>
    <row r="152">
      <c r="A152" s="16" t="str">
        <f>IFERROR(__xludf.DUMMYFUNCTION("""COMPUTED_VALUE"""),"Вегетариански/веган продукти")</f>
        <v>Вегетариански/веган продукти</v>
      </c>
      <c r="B152" s="7" t="str">
        <f>IFERROR(__xludf.DUMMYFUNCTION("""COMPUTED_VALUE"""),"Кокосово мляко (обикновено)")</f>
        <v>Кокосово мляко (обикновено)</v>
      </c>
      <c r="C152" s="12">
        <f>IFERROR(__xludf.DUMMYFUNCTION("""COMPUTED_VALUE"""),100.0)</f>
        <v>100</v>
      </c>
      <c r="D152" s="7">
        <f>IFERROR(__xludf.DUMMYFUNCTION("""COMPUTED_VALUE"""),2.3)</f>
        <v>2.3</v>
      </c>
      <c r="E152" s="5">
        <f>IFERROR(__xludf.DUMMYFUNCTION("""COMPUTED_VALUE"""),2.2)</f>
        <v>2.2</v>
      </c>
      <c r="F152" s="5">
        <f>IFERROR(__xludf.DUMMYFUNCTION("""COMPUTED_VALUE"""),20.1)</f>
        <v>20.1</v>
      </c>
      <c r="G152" s="5">
        <f>IFERROR(__xludf.DUMMYFUNCTION("""COMPUTED_VALUE"""),0.0)</f>
        <v>0</v>
      </c>
      <c r="H152" s="12">
        <f>IFERROR(__xludf.DUMMYFUNCTION("""COMPUTED_VALUE"""),198.9)</f>
        <v>198.9</v>
      </c>
    </row>
    <row r="153">
      <c r="A153" s="16" t="str">
        <f>IFERROR(__xludf.DUMMYFUNCTION("""COMPUTED_VALUE"""),"Вегетариански/веган продукти")</f>
        <v>Вегетариански/веган продукти</v>
      </c>
      <c r="B153" s="7" t="str">
        <f>IFERROR(__xludf.DUMMYFUNCTION("""COMPUTED_VALUE"""),"Кокосова напитка с ориз (AdeZ)")</f>
        <v>Кокосова напитка с ориз (AdeZ)</v>
      </c>
      <c r="C153" s="12">
        <f>IFERROR(__xludf.DUMMYFUNCTION("""COMPUTED_VALUE"""),100.0)</f>
        <v>100</v>
      </c>
      <c r="D153" s="7">
        <f>IFERROR(__xludf.DUMMYFUNCTION("""COMPUTED_VALUE"""),0.0)</f>
        <v>0</v>
      </c>
      <c r="E153" s="5">
        <f>IFERROR(__xludf.DUMMYFUNCTION("""COMPUTED_VALUE"""),3.3)</f>
        <v>3.3</v>
      </c>
      <c r="F153" s="5">
        <f>IFERROR(__xludf.DUMMYFUNCTION("""COMPUTED_VALUE"""),0.9)</f>
        <v>0.9</v>
      </c>
      <c r="G153" s="5">
        <f>IFERROR(__xludf.DUMMYFUNCTION("""COMPUTED_VALUE"""),0.0)</f>
        <v>0</v>
      </c>
      <c r="H153" s="12">
        <f>IFERROR(__xludf.DUMMYFUNCTION("""COMPUTED_VALUE"""),21.299999999999997)</f>
        <v>21.3</v>
      </c>
    </row>
    <row r="154">
      <c r="A154" s="16" t="str">
        <f>IFERROR(__xludf.DUMMYFUNCTION("""COMPUTED_VALUE"""),"Вегетариански/веган продукти")</f>
        <v>Вегетариански/веган продукти</v>
      </c>
      <c r="B154" s="7" t="str">
        <f>IFERROR(__xludf.DUMMYFUNCTION("""COMPUTED_VALUE"""),"Бадемово Мляко unsweetened")</f>
        <v>Бадемово Мляко unsweetened</v>
      </c>
      <c r="C154" s="12">
        <f>IFERROR(__xludf.DUMMYFUNCTION("""COMPUTED_VALUE"""),100.0)</f>
        <v>100</v>
      </c>
      <c r="D154" s="7">
        <f>IFERROR(__xludf.DUMMYFUNCTION("""COMPUTED_VALUE"""),0.4)</f>
        <v>0.4</v>
      </c>
      <c r="E154" s="5">
        <f>IFERROR(__xludf.DUMMYFUNCTION("""COMPUTED_VALUE"""),0.4)</f>
        <v>0.4</v>
      </c>
      <c r="F154" s="5">
        <f>IFERROR(__xludf.DUMMYFUNCTION("""COMPUTED_VALUE"""),1.2)</f>
        <v>1.2</v>
      </c>
      <c r="G154" s="5">
        <f>IFERROR(__xludf.DUMMYFUNCTION("""COMPUTED_VALUE"""),0.4)</f>
        <v>0.4</v>
      </c>
      <c r="H154" s="12">
        <f>IFERROR(__xludf.DUMMYFUNCTION("""COMPUTED_VALUE"""),14.0)</f>
        <v>14</v>
      </c>
    </row>
    <row r="155">
      <c r="A155" s="16" t="str">
        <f>IFERROR(__xludf.DUMMYFUNCTION("""COMPUTED_VALUE"""),"Вегетариански/веган продукти")</f>
        <v>Вегетариански/веган продукти</v>
      </c>
      <c r="B155" s="7" t="str">
        <f>IFERROR(__xludf.DUMMYFUNCTION("""COMPUTED_VALUE"""),"Соево Мляко")</f>
        <v>Соево Мляко</v>
      </c>
      <c r="C155" s="12">
        <f>IFERROR(__xludf.DUMMYFUNCTION("""COMPUTED_VALUE"""),100.0)</f>
        <v>100</v>
      </c>
      <c r="D155" s="7">
        <f>IFERROR(__xludf.DUMMYFUNCTION("""COMPUTED_VALUE"""),3.0)</f>
        <v>3</v>
      </c>
      <c r="E155" s="5">
        <f>IFERROR(__xludf.DUMMYFUNCTION("""COMPUTED_VALUE"""),1.0)</f>
        <v>1</v>
      </c>
      <c r="F155" s="5">
        <f>IFERROR(__xludf.DUMMYFUNCTION("""COMPUTED_VALUE"""),1.5)</f>
        <v>1.5</v>
      </c>
      <c r="G155" s="5">
        <f>IFERROR(__xludf.DUMMYFUNCTION("""COMPUTED_VALUE"""),0.7)</f>
        <v>0.7</v>
      </c>
      <c r="H155" s="12">
        <f>IFERROR(__xludf.DUMMYFUNCTION("""COMPUTED_VALUE"""),29.5)</f>
        <v>29.5</v>
      </c>
    </row>
    <row r="156">
      <c r="A156" s="16" t="str">
        <f>IFERROR(__xludf.DUMMYFUNCTION("""COMPUTED_VALUE"""),"Вегетариански/веган продукти")</f>
        <v>Вегетариански/веган продукти</v>
      </c>
      <c r="B156" s="7" t="str">
        <f>IFERROR(__xludf.DUMMYFUNCTION("""COMPUTED_VALUE"""),"Кокосова напитка с ориз (vega Milk)")</f>
        <v>Кокосова напитка с ориз (vega Milk)</v>
      </c>
      <c r="C156" s="7">
        <f>IFERROR(__xludf.DUMMYFUNCTION("""COMPUTED_VALUE"""),100.0)</f>
        <v>100</v>
      </c>
      <c r="D156" s="7">
        <f>IFERROR(__xludf.DUMMYFUNCTION("""COMPUTED_VALUE"""),0.83)</f>
        <v>0.83</v>
      </c>
      <c r="E156" s="5">
        <f>IFERROR(__xludf.DUMMYFUNCTION("""COMPUTED_VALUE"""),10.0)</f>
        <v>10</v>
      </c>
      <c r="F156" s="5">
        <f>IFERROR(__xludf.DUMMYFUNCTION("""COMPUTED_VALUE"""),1.45)</f>
        <v>1.45</v>
      </c>
      <c r="G156" s="5">
        <f>IFERROR(__xludf.DUMMYFUNCTION("""COMPUTED_VALUE"""),0.4)</f>
        <v>0.4</v>
      </c>
      <c r="H156" s="12">
        <f>IFERROR(__xludf.DUMMYFUNCTION("""COMPUTED_VALUE"""),56.37)</f>
        <v>56.37</v>
      </c>
    </row>
    <row r="157">
      <c r="A157" s="16" t="str">
        <f>IFERROR(__xludf.DUMMYFUNCTION("""COMPUTED_VALUE"""),"Вегетариански/веган продукти")</f>
        <v>Вегетариански/веган продукти</v>
      </c>
      <c r="B157" s="7" t="str">
        <f>IFERROR(__xludf.DUMMYFUNCTION("""COMPUTED_VALUE"""),"Бадемово Мляко")</f>
        <v>Бадемово Мляко</v>
      </c>
      <c r="C157" s="12">
        <f>IFERROR(__xludf.DUMMYFUNCTION("""COMPUTED_VALUE"""),100.0)</f>
        <v>100</v>
      </c>
      <c r="D157" s="7">
        <f>IFERROR(__xludf.DUMMYFUNCTION("""COMPUTED_VALUE"""),0.4)</f>
        <v>0.4</v>
      </c>
      <c r="E157" s="5">
        <f>IFERROR(__xludf.DUMMYFUNCTION("""COMPUTED_VALUE"""),0.4)</f>
        <v>0.4</v>
      </c>
      <c r="F157" s="5">
        <f>IFERROR(__xludf.DUMMYFUNCTION("""COMPUTED_VALUE"""),1.1)</f>
        <v>1.1</v>
      </c>
      <c r="G157" s="5">
        <f>IFERROR(__xludf.DUMMYFUNCTION("""COMPUTED_VALUE"""),0.4)</f>
        <v>0.4</v>
      </c>
      <c r="H157" s="12">
        <f>IFERROR(__xludf.DUMMYFUNCTION("""COMPUTED_VALUE"""),13.100000000000001)</f>
        <v>13.1</v>
      </c>
    </row>
    <row r="158">
      <c r="A158" s="16" t="str">
        <f>IFERROR(__xludf.DUMMYFUNCTION("""COMPUTED_VALUE"""),"Готвено")</f>
        <v>Готвено</v>
      </c>
      <c r="B158" s="7" t="str">
        <f>IFERROR(__xludf.DUMMYFUNCTION("""COMPUTED_VALUE"""),"Пилешки Жулиен 100гр")</f>
        <v>Пилешки Жулиен 100гр</v>
      </c>
      <c r="C158" s="7">
        <f>IFERROR(__xludf.DUMMYFUNCTION("""COMPUTED_VALUE"""),100.0)</f>
        <v>100</v>
      </c>
      <c r="D158" s="7">
        <f>IFERROR(__xludf.DUMMYFUNCTION("""COMPUTED_VALUE"""),7.0)</f>
        <v>7</v>
      </c>
      <c r="E158" s="5">
        <f>IFERROR(__xludf.DUMMYFUNCTION("""COMPUTED_VALUE"""),2.0)</f>
        <v>2</v>
      </c>
      <c r="F158" s="5">
        <f>IFERROR(__xludf.DUMMYFUNCTION("""COMPUTED_VALUE"""),8.0)</f>
        <v>8</v>
      </c>
      <c r="G158" s="5">
        <f>IFERROR(__xludf.DUMMYFUNCTION("""COMPUTED_VALUE"""),0.0)</f>
        <v>0</v>
      </c>
      <c r="H158" s="12">
        <f>IFERROR(__xludf.DUMMYFUNCTION("""COMPUTED_VALUE"""),108.0)</f>
        <v>108</v>
      </c>
    </row>
    <row r="159">
      <c r="A159" s="16" t="str">
        <f>IFERROR(__xludf.DUMMYFUNCTION("""COMPUTED_VALUE"""),"Десерти (всякакви видове)")</f>
        <v>Десерти (всякакви видове)</v>
      </c>
      <c r="B159" s="7" t="str">
        <f>IFERROR(__xludf.DUMMYFUNCTION("""COMPUTED_VALUE"""),"Kookie Cat - какао и ядки")</f>
        <v>Kookie Cat - какао и ядки</v>
      </c>
      <c r="C159" s="12">
        <f>IFERROR(__xludf.DUMMYFUNCTION("""COMPUTED_VALUE"""),100.0)</f>
        <v>100</v>
      </c>
      <c r="D159" s="7">
        <f>IFERROR(__xludf.DUMMYFUNCTION("""COMPUTED_VALUE"""),11.0)</f>
        <v>11</v>
      </c>
      <c r="E159" s="5">
        <f>IFERROR(__xludf.DUMMYFUNCTION("""COMPUTED_VALUE"""),41.0)</f>
        <v>41</v>
      </c>
      <c r="F159" s="5">
        <f>IFERROR(__xludf.DUMMYFUNCTION("""COMPUTED_VALUE"""),29.0)</f>
        <v>29</v>
      </c>
      <c r="G159" s="5">
        <f>IFERROR(__xludf.DUMMYFUNCTION("""COMPUTED_VALUE"""),9.7)</f>
        <v>9.7</v>
      </c>
      <c r="H159" s="12">
        <f>IFERROR(__xludf.DUMMYFUNCTION("""COMPUTED_VALUE"""),469.0)</f>
        <v>469</v>
      </c>
    </row>
    <row r="160">
      <c r="A160" s="16" t="str">
        <f>IFERROR(__xludf.DUMMYFUNCTION("""COMPUTED_VALUE"""),"Десерти (всякакви видове)")</f>
        <v>Десерти (всякакви видове)</v>
      </c>
      <c r="B160" s="7" t="str">
        <f>IFERROR(__xludf.DUMMYFUNCTION("""COMPUTED_VALUE"""),"Плодова курабийка с шоколад и лешници")</f>
        <v>Плодова курабийка с шоколад и лешници</v>
      </c>
      <c r="C160" s="12">
        <f>IFERROR(__xludf.DUMMYFUNCTION("""COMPUTED_VALUE"""),100.0)</f>
        <v>100</v>
      </c>
      <c r="D160" s="7">
        <f>IFERROR(__xludf.DUMMYFUNCTION("""COMPUTED_VALUE"""),6.6)</f>
        <v>6.6</v>
      </c>
      <c r="E160" s="5">
        <f>IFERROR(__xludf.DUMMYFUNCTION("""COMPUTED_VALUE"""),47.0)</f>
        <v>47</v>
      </c>
      <c r="F160" s="11">
        <f>IFERROR(__xludf.DUMMYFUNCTION("""COMPUTED_VALUE"""),24.0)</f>
        <v>24</v>
      </c>
      <c r="G160" s="11">
        <f>IFERROR(__xludf.DUMMYFUNCTION("""COMPUTED_VALUE"""),11.0)</f>
        <v>11</v>
      </c>
      <c r="H160" s="12">
        <f>IFERROR(__xludf.DUMMYFUNCTION("""COMPUTED_VALUE"""),430.4)</f>
        <v>430.4</v>
      </c>
    </row>
    <row r="161">
      <c r="A161" s="16" t="str">
        <f>IFERROR(__xludf.DUMMYFUNCTION("""COMPUTED_VALUE"""),"Десерти (всякакви видове)")</f>
        <v>Десерти (всякакви видове)</v>
      </c>
      <c r="B161" s="7" t="str">
        <f>IFERROR(__xludf.DUMMYFUNCTION("""COMPUTED_VALUE"""),"Kookie Cat - карамел и бадем")</f>
        <v>Kookie Cat - карамел и бадем</v>
      </c>
      <c r="C161" s="12">
        <f>IFERROR(__xludf.DUMMYFUNCTION("""COMPUTED_VALUE"""),100.0)</f>
        <v>100</v>
      </c>
      <c r="D161" s="7">
        <f>IFERROR(__xludf.DUMMYFUNCTION("""COMPUTED_VALUE"""),10.0)</f>
        <v>10</v>
      </c>
      <c r="E161" s="5">
        <f>IFERROR(__xludf.DUMMYFUNCTION("""COMPUTED_VALUE"""),46.0)</f>
        <v>46</v>
      </c>
      <c r="F161" s="11">
        <f>IFERROR(__xludf.DUMMYFUNCTION("""COMPUTED_VALUE"""),28.0)</f>
        <v>28</v>
      </c>
      <c r="G161" s="11">
        <f>IFERROR(__xludf.DUMMYFUNCTION("""COMPUTED_VALUE"""),6.5)</f>
        <v>6.5</v>
      </c>
      <c r="H161" s="12">
        <f>IFERROR(__xludf.DUMMYFUNCTION("""COMPUTED_VALUE"""),476.0)</f>
        <v>476</v>
      </c>
    </row>
    <row r="162">
      <c r="A162" s="16" t="str">
        <f>IFERROR(__xludf.DUMMYFUNCTION("""COMPUTED_VALUE"""),"Десерти (всякакви видове)")</f>
        <v>Десерти (всякакви видове)</v>
      </c>
      <c r="B162" s="7" t="str">
        <f>IFERROR(__xludf.DUMMYFUNCTION("""COMPUTED_VALUE"""),"Белвита с пълнеж-шоколад и ядки")</f>
        <v>Белвита с пълнеж-шоколад и ядки</v>
      </c>
      <c r="C162" s="12">
        <f>IFERROR(__xludf.DUMMYFUNCTION("""COMPUTED_VALUE"""),100.0)</f>
        <v>100</v>
      </c>
      <c r="D162" s="7">
        <f>IFERROR(__xludf.DUMMYFUNCTION("""COMPUTED_VALUE"""),5.3)</f>
        <v>5.3</v>
      </c>
      <c r="E162" s="5">
        <f>IFERROR(__xludf.DUMMYFUNCTION("""COMPUTED_VALUE"""),62.0)</f>
        <v>62</v>
      </c>
      <c r="F162" s="11">
        <f>IFERROR(__xludf.DUMMYFUNCTION("""COMPUTED_VALUE"""),15.0)</f>
        <v>15</v>
      </c>
      <c r="G162" s="11">
        <f>IFERROR(__xludf.DUMMYFUNCTION("""COMPUTED_VALUE"""),6.9)</f>
        <v>6.9</v>
      </c>
      <c r="H162" s="12">
        <f>IFERROR(__xludf.DUMMYFUNCTION("""COMPUTED_VALUE"""),404.2)</f>
        <v>404.2</v>
      </c>
    </row>
    <row r="163">
      <c r="A163" s="16" t="str">
        <f>IFERROR(__xludf.DUMMYFUNCTION("""COMPUTED_VALUE"""),"Десерти (всякакви видове)")</f>
        <v>Десерти (всякакви видове)</v>
      </c>
      <c r="B163" s="7" t="str">
        <f>IFERROR(__xludf.DUMMYFUNCTION("""COMPUTED_VALUE"""),"Белвита мед, лешници,  пърченца шоколад")</f>
        <v>Белвита мед, лешници,  пърченца шоколад</v>
      </c>
      <c r="C163" s="12">
        <f>IFERROR(__xludf.DUMMYFUNCTION("""COMPUTED_VALUE"""),100.0)</f>
        <v>100</v>
      </c>
      <c r="D163" s="7">
        <f>IFERROR(__xludf.DUMMYFUNCTION("""COMPUTED_VALUE"""),7.5)</f>
        <v>7.5</v>
      </c>
      <c r="E163" s="5">
        <f>IFERROR(__xludf.DUMMYFUNCTION("""COMPUTED_VALUE"""),67.0)</f>
        <v>67</v>
      </c>
      <c r="F163" s="11">
        <f>IFERROR(__xludf.DUMMYFUNCTION("""COMPUTED_VALUE"""),15.0)</f>
        <v>15</v>
      </c>
      <c r="G163" s="11">
        <f>IFERROR(__xludf.DUMMYFUNCTION("""COMPUTED_VALUE"""),4.3)</f>
        <v>4.3</v>
      </c>
      <c r="H163" s="12">
        <f>IFERROR(__xludf.DUMMYFUNCTION("""COMPUTED_VALUE"""),433.0)</f>
        <v>433</v>
      </c>
    </row>
    <row r="164">
      <c r="A164" s="16" t="str">
        <f>IFERROR(__xludf.DUMMYFUNCTION("""COMPUTED_VALUE"""),"Десерти (всякакви видове)")</f>
        <v>Десерти (всякакви видове)</v>
      </c>
      <c r="B164" s="7" t="str">
        <f>IFERROR(__xludf.DUMMYFUNCTION("""COMPUTED_VALUE"""),"Бисквити Hogarenas (овес и стафиди)")</f>
        <v>Бисквити Hogarenas (овес и стафиди)</v>
      </c>
      <c r="C164" s="12">
        <f>IFERROR(__xludf.DUMMYFUNCTION("""COMPUTED_VALUE"""),100.0)</f>
        <v>100</v>
      </c>
      <c r="D164" s="7">
        <f>IFERROR(__xludf.DUMMYFUNCTION("""COMPUTED_VALUE"""),8.1)</f>
        <v>8.1</v>
      </c>
      <c r="E164" s="5">
        <f>IFERROR(__xludf.DUMMYFUNCTION("""COMPUTED_VALUE"""),65.0)</f>
        <v>65</v>
      </c>
      <c r="F164" s="5">
        <f>IFERROR(__xludf.DUMMYFUNCTION("""COMPUTED_VALUE"""),16.0)</f>
        <v>16</v>
      </c>
      <c r="G164" s="5">
        <f>IFERROR(__xludf.DUMMYFUNCTION("""COMPUTED_VALUE"""),4.4)</f>
        <v>4.4</v>
      </c>
      <c r="H164" s="12">
        <f>IFERROR(__xludf.DUMMYFUNCTION("""COMPUTED_VALUE"""),436.4)</f>
        <v>436.4</v>
      </c>
    </row>
    <row r="165">
      <c r="A165" s="16" t="str">
        <f>IFERROR(__xludf.DUMMYFUNCTION("""COMPUTED_VALUE"""),"Десерти (всякакви видове)")</f>
        <v>Десерти (всякакви видове)</v>
      </c>
      <c r="B165" s="7" t="str">
        <f>IFERROR(__xludf.DUMMYFUNCTION("""COMPUTED_VALUE"""),"Бисквити с овесен флейкс и ябълка San")</f>
        <v>Бисквити с овесен флейкс и ябълка San</v>
      </c>
      <c r="C165" s="12">
        <f>IFERROR(__xludf.DUMMYFUNCTION("""COMPUTED_VALUE"""),100.0)</f>
        <v>100</v>
      </c>
      <c r="D165" s="7">
        <f>IFERROR(__xludf.DUMMYFUNCTION("""COMPUTED_VALUE"""),7.6)</f>
        <v>7.6</v>
      </c>
      <c r="E165" s="5">
        <f>IFERROR(__xludf.DUMMYFUNCTION("""COMPUTED_VALUE"""),66.0)</f>
        <v>66</v>
      </c>
      <c r="F165" s="5">
        <f>IFERROR(__xludf.DUMMYFUNCTION("""COMPUTED_VALUE"""),17.0)</f>
        <v>17</v>
      </c>
      <c r="G165" s="5">
        <f>IFERROR(__xludf.DUMMYFUNCTION("""COMPUTED_VALUE"""),5.2)</f>
        <v>5.2</v>
      </c>
      <c r="H165" s="12">
        <f>IFERROR(__xludf.DUMMYFUNCTION("""COMPUTED_VALUE"""),447.4)</f>
        <v>447.4</v>
      </c>
    </row>
    <row r="166">
      <c r="A166" s="16" t="str">
        <f>IFERROR(__xludf.DUMMYFUNCTION("""COMPUTED_VALUE"""),"Десерти (всякакви видове)")</f>
        <v>Десерти (всякакви видове)</v>
      </c>
      <c r="B166" s="7" t="str">
        <f>IFERROR(__xludf.DUMMYFUNCTION("""COMPUTED_VALUE"""),"Боровец пълнозърнести бисквити с тъмен шоколад")</f>
        <v>Боровец пълнозърнести бисквити с тъмен шоколад</v>
      </c>
      <c r="C166" s="12">
        <f>IFERROR(__xludf.DUMMYFUNCTION("""COMPUTED_VALUE"""),100.0)</f>
        <v>100</v>
      </c>
      <c r="D166" s="7">
        <f>IFERROR(__xludf.DUMMYFUNCTION("""COMPUTED_VALUE"""),7.2)</f>
        <v>7.2</v>
      </c>
      <c r="E166" s="5">
        <f>IFERROR(__xludf.DUMMYFUNCTION("""COMPUTED_VALUE"""),61.0)</f>
        <v>61</v>
      </c>
      <c r="F166" s="5">
        <f>IFERROR(__xludf.DUMMYFUNCTION("""COMPUTED_VALUE"""),18.0)</f>
        <v>18</v>
      </c>
      <c r="G166" s="5">
        <f>IFERROR(__xludf.DUMMYFUNCTION("""COMPUTED_VALUE"""),6.4)</f>
        <v>6.4</v>
      </c>
      <c r="H166" s="12">
        <f>IFERROR(__xludf.DUMMYFUNCTION("""COMPUTED_VALUE"""),434.8)</f>
        <v>434.8</v>
      </c>
    </row>
    <row r="167">
      <c r="A167" s="16" t="str">
        <f>IFERROR(__xludf.DUMMYFUNCTION("""COMPUTED_VALUE"""),"Десерти (всякакви видове)")</f>
        <v>Десерти (всякакви видове)</v>
      </c>
      <c r="B167" s="7" t="str">
        <f>IFERROR(__xludf.DUMMYFUNCTION("""COMPUTED_VALUE"""),"Бисквити със сланчогледово брашно")</f>
        <v>Бисквити със сланчогледово брашно</v>
      </c>
      <c r="C167" s="12">
        <f>IFERROR(__xludf.DUMMYFUNCTION("""COMPUTED_VALUE"""),100.0)</f>
        <v>100</v>
      </c>
      <c r="D167" s="7">
        <f>IFERROR(__xludf.DUMMYFUNCTION("""COMPUTED_VALUE"""),16.0)</f>
        <v>16</v>
      </c>
      <c r="E167" s="5">
        <f>IFERROR(__xludf.DUMMYFUNCTION("""COMPUTED_VALUE"""),64.0)</f>
        <v>64</v>
      </c>
      <c r="F167" s="5">
        <f>IFERROR(__xludf.DUMMYFUNCTION("""COMPUTED_VALUE"""),14.0)</f>
        <v>14</v>
      </c>
      <c r="G167" s="5">
        <f>IFERROR(__xludf.DUMMYFUNCTION("""COMPUTED_VALUE"""),4.9)</f>
        <v>4.9</v>
      </c>
      <c r="H167" s="12">
        <f>IFERROR(__xludf.DUMMYFUNCTION("""COMPUTED_VALUE"""),446.0)</f>
        <v>446</v>
      </c>
    </row>
    <row r="168">
      <c r="A168" s="16" t="str">
        <f>IFERROR(__xludf.DUMMYFUNCTION("""COMPUTED_VALUE"""),"Десерти (всякакви видове)")</f>
        <v>Десерти (всякакви видове)</v>
      </c>
      <c r="B168" s="7" t="str">
        <f>IFERROR(__xludf.DUMMYFUNCTION("""COMPUTED_VALUE"""),"Gullón - зърнени бисквити с шоколад")</f>
        <v>Gullón - зърнени бисквити с шоколад</v>
      </c>
      <c r="C168" s="12">
        <f>IFERROR(__xludf.DUMMYFUNCTION("""COMPUTED_VALUE"""),100.0)</f>
        <v>100</v>
      </c>
      <c r="D168" s="7">
        <f>IFERROR(__xludf.DUMMYFUNCTION("""COMPUTED_VALUE"""),7.8)</f>
        <v>7.8</v>
      </c>
      <c r="E168" s="5">
        <f>IFERROR(__xludf.DUMMYFUNCTION("""COMPUTED_VALUE"""),63.0)</f>
        <v>63</v>
      </c>
      <c r="F168" s="5">
        <f>IFERROR(__xludf.DUMMYFUNCTION("""COMPUTED_VALUE"""),15.0)</f>
        <v>15</v>
      </c>
      <c r="G168" s="5">
        <f>IFERROR(__xludf.DUMMYFUNCTION("""COMPUTED_VALUE"""),10.0)</f>
        <v>10</v>
      </c>
      <c r="H168" s="12">
        <f>IFERROR(__xludf.DUMMYFUNCTION("""COMPUTED_VALUE"""),418.2)</f>
        <v>418.2</v>
      </c>
    </row>
    <row r="169">
      <c r="A169" s="16" t="str">
        <f>IFERROR(__xludf.DUMMYFUNCTION("""COMPUTED_VALUE"""),"Десерти (всякакви видове)")</f>
        <v>Десерти (всякакви видове)</v>
      </c>
      <c r="B169" s="7" t="str">
        <f>IFERROR(__xludf.DUMMYFUNCTION("""COMPUTED_VALUE"""),"Gullón - бисквити с овес и стафиди")</f>
        <v>Gullón - бисквити с овес и стафиди</v>
      </c>
      <c r="C169" s="12">
        <f>IFERROR(__xludf.DUMMYFUNCTION("""COMPUTED_VALUE"""),100.0)</f>
        <v>100</v>
      </c>
      <c r="D169" s="7">
        <f>IFERROR(__xludf.DUMMYFUNCTION("""COMPUTED_VALUE"""),7.2)</f>
        <v>7.2</v>
      </c>
      <c r="E169" s="5">
        <f>IFERROR(__xludf.DUMMYFUNCTION("""COMPUTED_VALUE"""),59.0)</f>
        <v>59</v>
      </c>
      <c r="F169" s="19">
        <f>IFERROR(__xludf.DUMMYFUNCTION("""COMPUTED_VALUE"""),19.0)</f>
        <v>19</v>
      </c>
      <c r="G169" s="19">
        <f>IFERROR(__xludf.DUMMYFUNCTION("""COMPUTED_VALUE"""),11.0)</f>
        <v>11</v>
      </c>
      <c r="H169" s="12">
        <f>IFERROR(__xludf.DUMMYFUNCTION("""COMPUTED_VALUE"""),435.8)</f>
        <v>435.8</v>
      </c>
    </row>
    <row r="170">
      <c r="A170" s="16" t="str">
        <f>IFERROR(__xludf.DUMMYFUNCTION("""COMPUTED_VALUE"""),"Десерти (всякакви видове)")</f>
        <v>Десерти (всякакви видове)</v>
      </c>
      <c r="B170" s="7" t="str">
        <f>IFERROR(__xludf.DUMMYFUNCTION("""COMPUTED_VALUE"""),"Oreo Crumbs")</f>
        <v>Oreo Crumbs</v>
      </c>
      <c r="C170" s="12">
        <f>IFERROR(__xludf.DUMMYFUNCTION("""COMPUTED_VALUE"""),100.0)</f>
        <v>100</v>
      </c>
      <c r="D170" s="7">
        <f>IFERROR(__xludf.DUMMYFUNCTION("""COMPUTED_VALUE"""),6.3)</f>
        <v>6.3</v>
      </c>
      <c r="E170" s="5">
        <f>IFERROR(__xludf.DUMMYFUNCTION("""COMPUTED_VALUE"""),71.0)</f>
        <v>71</v>
      </c>
      <c r="F170" s="5">
        <f>IFERROR(__xludf.DUMMYFUNCTION("""COMPUTED_VALUE"""),14.0)</f>
        <v>14</v>
      </c>
      <c r="G170" s="20">
        <f>IFERROR(__xludf.DUMMYFUNCTION("""COMPUTED_VALUE"""),3.7)</f>
        <v>3.7</v>
      </c>
      <c r="H170" s="12">
        <f>IFERROR(__xludf.DUMMYFUNCTION("""COMPUTED_VALUE"""),435.2)</f>
        <v>435.2</v>
      </c>
    </row>
    <row r="171">
      <c r="A171" s="16" t="str">
        <f>IFERROR(__xludf.DUMMYFUNCTION("""COMPUTED_VALUE"""),"Десерти (всякакви видове)")</f>
        <v>Десерти (всякакви видове)</v>
      </c>
      <c r="B171" s="7" t="str">
        <f>IFERROR(__xludf.DUMMYFUNCTION("""COMPUTED_VALUE"""),"Ferrero rocher бонбони")</f>
        <v>Ferrero rocher бонбони</v>
      </c>
      <c r="C171" s="7">
        <f>IFERROR(__xludf.DUMMYFUNCTION("""COMPUTED_VALUE"""),100.0)</f>
        <v>100</v>
      </c>
      <c r="D171" s="7">
        <f>IFERROR(__xludf.DUMMYFUNCTION("""COMPUTED_VALUE"""),8.8)</f>
        <v>8.8</v>
      </c>
      <c r="E171" s="5">
        <f>IFERROR(__xludf.DUMMYFUNCTION("""COMPUTED_VALUE"""),43.2)</f>
        <v>43.2</v>
      </c>
      <c r="F171" s="5">
        <f>IFERROR(__xludf.DUMMYFUNCTION("""COMPUTED_VALUE"""),41.3)</f>
        <v>41.3</v>
      </c>
      <c r="G171" s="5">
        <f>IFERROR(__xludf.DUMMYFUNCTION("""COMPUTED_VALUE"""),0.0)</f>
        <v>0</v>
      </c>
      <c r="H171" s="12">
        <f>IFERROR(__xludf.DUMMYFUNCTION("""COMPUTED_VALUE"""),579.7)</f>
        <v>579.7</v>
      </c>
    </row>
    <row r="172">
      <c r="A172" s="16" t="str">
        <f>IFERROR(__xludf.DUMMYFUNCTION("""COMPUTED_VALUE"""),"Десерти (всякакви видове)")</f>
        <v>Десерти (всякакви видове)</v>
      </c>
      <c r="B172" s="7" t="str">
        <f>IFERROR(__xludf.DUMMYFUNCTION("""COMPUTED_VALUE"""),"Roobar Cacao Nibs")</f>
        <v>Roobar Cacao Nibs</v>
      </c>
      <c r="C172" s="12">
        <f>IFERROR(__xludf.DUMMYFUNCTION("""COMPUTED_VALUE"""),100.0)</f>
        <v>100</v>
      </c>
      <c r="D172" s="22">
        <f>IFERROR(__xludf.DUMMYFUNCTION("""COMPUTED_VALUE"""),11.0)</f>
        <v>11</v>
      </c>
      <c r="E172" s="5">
        <f>IFERROR(__xludf.DUMMYFUNCTION("""COMPUTED_VALUE"""),37.0)</f>
        <v>37</v>
      </c>
      <c r="F172" s="5">
        <f>IFERROR(__xludf.DUMMYFUNCTION("""COMPUTED_VALUE"""),25.0)</f>
        <v>25</v>
      </c>
      <c r="G172" s="5">
        <f>IFERROR(__xludf.DUMMYFUNCTION("""COMPUTED_VALUE"""),15.0)</f>
        <v>15</v>
      </c>
      <c r="H172" s="12">
        <f>IFERROR(__xludf.DUMMYFUNCTION("""COMPUTED_VALUE"""),417.0)</f>
        <v>417</v>
      </c>
    </row>
    <row r="173">
      <c r="A173" s="16" t="str">
        <f>IFERROR(__xludf.DUMMYFUNCTION("""COMPUTED_VALUE"""),"Десерти (всякакви видове)")</f>
        <v>Десерти (всякакви видове)</v>
      </c>
      <c r="B173" s="7" t="str">
        <f>IFERROR(__xludf.DUMMYFUNCTION("""COMPUTED_VALUE"""),"Roobar Coconut")</f>
        <v>Roobar Coconut</v>
      </c>
      <c r="C173" s="12">
        <f>IFERROR(__xludf.DUMMYFUNCTION("""COMPUTED_VALUE"""),100.0)</f>
        <v>100</v>
      </c>
      <c r="D173" s="22">
        <f>IFERROR(__xludf.DUMMYFUNCTION("""COMPUTED_VALUE"""),5.8)</f>
        <v>5.8</v>
      </c>
      <c r="E173" s="5">
        <f>IFERROR(__xludf.DUMMYFUNCTION("""COMPUTED_VALUE"""),48.0)</f>
        <v>48</v>
      </c>
      <c r="F173" s="5">
        <f>IFERROR(__xludf.DUMMYFUNCTION("""COMPUTED_VALUE"""),34.0)</f>
        <v>34</v>
      </c>
      <c r="G173" s="5">
        <f>IFERROR(__xludf.DUMMYFUNCTION("""COMPUTED_VALUE"""),11.0)</f>
        <v>11</v>
      </c>
      <c r="H173" s="12">
        <f>IFERROR(__xludf.DUMMYFUNCTION("""COMPUTED_VALUE"""),521.2)</f>
        <v>521.2</v>
      </c>
    </row>
    <row r="174">
      <c r="A174" s="16" t="str">
        <f>IFERROR(__xludf.DUMMYFUNCTION("""COMPUTED_VALUE"""),"Десерти (всякакви видове)")</f>
        <v>Десерти (всякакви видове)</v>
      </c>
      <c r="B174" s="7" t="str">
        <f>IFERROR(__xludf.DUMMYFUNCTION("""COMPUTED_VALUE"""),"Roobar Goji berry")</f>
        <v>Roobar Goji berry</v>
      </c>
      <c r="C174" s="12">
        <f>IFERROR(__xludf.DUMMYFUNCTION("""COMPUTED_VALUE"""),100.0)</f>
        <v>100</v>
      </c>
      <c r="D174" s="22">
        <f>IFERROR(__xludf.DUMMYFUNCTION("""COMPUTED_VALUE"""),7.9)</f>
        <v>7.9</v>
      </c>
      <c r="E174" s="5">
        <f>IFERROR(__xludf.DUMMYFUNCTION("""COMPUTED_VALUE"""),53.0)</f>
        <v>53</v>
      </c>
      <c r="F174" s="5">
        <f>IFERROR(__xludf.DUMMYFUNCTION("""COMPUTED_VALUE"""),12.0)</f>
        <v>12</v>
      </c>
      <c r="G174" s="5">
        <f>IFERROR(__xludf.DUMMYFUNCTION("""COMPUTED_VALUE"""),10.0)</f>
        <v>10</v>
      </c>
      <c r="H174" s="12">
        <f>IFERROR(__xludf.DUMMYFUNCTION("""COMPUTED_VALUE"""),351.6)</f>
        <v>351.6</v>
      </c>
    </row>
    <row r="175">
      <c r="A175" s="16" t="str">
        <f>IFERROR(__xludf.DUMMYFUNCTION("""COMPUTED_VALUE"""),"Десерти (всякакви видове)")</f>
        <v>Десерти (всякакви видове)</v>
      </c>
      <c r="B175" s="7" t="str">
        <f>IFERROR(__xludf.DUMMYFUNCTION("""COMPUTED_VALUE"""),"Roobar Almonds")</f>
        <v>Roobar Almonds</v>
      </c>
      <c r="C175" s="12">
        <f>IFERROR(__xludf.DUMMYFUNCTION("""COMPUTED_VALUE"""),100.0)</f>
        <v>100</v>
      </c>
      <c r="D175" s="7">
        <f>IFERROR(__xludf.DUMMYFUNCTION("""COMPUTED_VALUE"""),21.0)</f>
        <v>21</v>
      </c>
      <c r="E175" s="16">
        <f>IFERROR(__xludf.DUMMYFUNCTION("""COMPUTED_VALUE"""),32.0)</f>
        <v>32</v>
      </c>
      <c r="F175" s="16">
        <f>IFERROR(__xludf.DUMMYFUNCTION("""COMPUTED_VALUE"""),31.0)</f>
        <v>31</v>
      </c>
      <c r="G175" s="16">
        <f>IFERROR(__xludf.DUMMYFUNCTION("""COMPUTED_VALUE"""),4.4)</f>
        <v>4.4</v>
      </c>
      <c r="H175" s="16">
        <f>IFERROR(__xludf.DUMMYFUNCTION("""COMPUTED_VALUE"""),491.0)</f>
        <v>491</v>
      </c>
    </row>
    <row r="176">
      <c r="A176" s="16" t="str">
        <f>IFERROR(__xludf.DUMMYFUNCTION("""COMPUTED_VALUE"""),"Десерти (всякакви видове)")</f>
        <v>Десерти (всякакви видове)</v>
      </c>
      <c r="B176" s="7" t="str">
        <f>IFERROR(__xludf.DUMMYFUNCTION("""COMPUTED_VALUE"""),"Roobar Caco Nibs")</f>
        <v>Roobar Caco Nibs</v>
      </c>
      <c r="C176" s="12">
        <f>IFERROR(__xludf.DUMMYFUNCTION("""COMPUTED_VALUE"""),100.0)</f>
        <v>100</v>
      </c>
      <c r="D176" s="7">
        <f>IFERROR(__xludf.DUMMYFUNCTION("""COMPUTED_VALUE"""),11.0)</f>
        <v>11</v>
      </c>
      <c r="E176" s="16">
        <f>IFERROR(__xludf.DUMMYFUNCTION("""COMPUTED_VALUE"""),37.0)</f>
        <v>37</v>
      </c>
      <c r="F176" s="16">
        <f>IFERROR(__xludf.DUMMYFUNCTION("""COMPUTED_VALUE"""),25.0)</f>
        <v>25</v>
      </c>
      <c r="G176" s="16">
        <f>IFERROR(__xludf.DUMMYFUNCTION("""COMPUTED_VALUE"""),0.0)</f>
        <v>0</v>
      </c>
      <c r="H176" s="16">
        <f>IFERROR(__xludf.DUMMYFUNCTION("""COMPUTED_VALUE"""),417.0)</f>
        <v>417</v>
      </c>
    </row>
    <row r="177">
      <c r="A177" s="16" t="str">
        <f>IFERROR(__xludf.DUMMYFUNCTION("""COMPUTED_VALUE"""),"Десерти (всякакви видове)")</f>
        <v>Десерти (всякакви видове)</v>
      </c>
      <c r="B177" s="7" t="str">
        <f>IFERROR(__xludf.DUMMYFUNCTION("""COMPUTED_VALUE"""),"Roobar Goji Berry")</f>
        <v>Roobar Goji Berry</v>
      </c>
      <c r="C177" s="12">
        <f>IFERROR(__xludf.DUMMYFUNCTION("""COMPUTED_VALUE"""),100.0)</f>
        <v>100</v>
      </c>
      <c r="D177" s="7">
        <f>IFERROR(__xludf.DUMMYFUNCTION("""COMPUTED_VALUE"""),7.9)</f>
        <v>7.9</v>
      </c>
      <c r="E177" s="16">
        <f>IFERROR(__xludf.DUMMYFUNCTION("""COMPUTED_VALUE"""),53.0)</f>
        <v>53</v>
      </c>
      <c r="F177" s="16">
        <f>IFERROR(__xludf.DUMMYFUNCTION("""COMPUTED_VALUE"""),12.0)</f>
        <v>12</v>
      </c>
      <c r="G177" s="16">
        <f>IFERROR(__xludf.DUMMYFUNCTION("""COMPUTED_VALUE"""),0.0)</f>
        <v>0</v>
      </c>
      <c r="H177" s="16">
        <f>IFERROR(__xludf.DUMMYFUNCTION("""COMPUTED_VALUE"""),351.6)</f>
        <v>351.6</v>
      </c>
    </row>
    <row r="178">
      <c r="A178" s="16" t="str">
        <f>IFERROR(__xludf.DUMMYFUNCTION("""COMPUTED_VALUE"""),"Десерти (всякакви видове)")</f>
        <v>Десерти (всякакви видове)</v>
      </c>
      <c r="B178" s="7" t="str">
        <f>IFERROR(__xludf.DUMMYFUNCTION("""COMPUTED_VALUE"""),"Haribo (жилирани бонбони)")</f>
        <v>Haribo (жилирани бонбони)</v>
      </c>
      <c r="C178" s="12">
        <f>IFERROR(__xludf.DUMMYFUNCTION("""COMPUTED_VALUE"""),100.0)</f>
        <v>100</v>
      </c>
      <c r="D178" s="22">
        <f>IFERROR(__xludf.DUMMYFUNCTION("""COMPUTED_VALUE"""),0.0)</f>
        <v>0</v>
      </c>
      <c r="E178" s="16">
        <f>IFERROR(__xludf.DUMMYFUNCTION("""COMPUTED_VALUE"""),80.0)</f>
        <v>80</v>
      </c>
      <c r="F178" s="16">
        <f>IFERROR(__xludf.DUMMYFUNCTION("""COMPUTED_VALUE"""),0.0)</f>
        <v>0</v>
      </c>
      <c r="G178" s="16">
        <f>IFERROR(__xludf.DUMMYFUNCTION("""COMPUTED_VALUE"""),0.0)</f>
        <v>0</v>
      </c>
      <c r="H178" s="23">
        <f>IFERROR(__xludf.DUMMYFUNCTION("""COMPUTED_VALUE"""),320.0)</f>
        <v>320</v>
      </c>
    </row>
    <row r="179">
      <c r="A179" s="16" t="str">
        <f>IFERROR(__xludf.DUMMYFUNCTION("""COMPUTED_VALUE"""),"Десерти (всякакви видове)")</f>
        <v>Десерти (всякакви видове)</v>
      </c>
      <c r="B179" s="7" t="str">
        <f>IFERROR(__xludf.DUMMYFUNCTION("""COMPUTED_VALUE"""),"Вафла Тахан / Николина")</f>
        <v>Вафла Тахан / Николина</v>
      </c>
      <c r="C179" s="12">
        <f>IFERROR(__xludf.DUMMYFUNCTION("""COMPUTED_VALUE"""),100.0)</f>
        <v>100</v>
      </c>
      <c r="D179" s="22">
        <f>IFERROR(__xludf.DUMMYFUNCTION("""COMPUTED_VALUE"""),9.82)</f>
        <v>9.82</v>
      </c>
      <c r="E179" s="16">
        <f>IFERROR(__xludf.DUMMYFUNCTION("""COMPUTED_VALUE"""),36.25)</f>
        <v>36.25</v>
      </c>
      <c r="F179" s="16">
        <f>IFERROR(__xludf.DUMMYFUNCTION("""COMPUTED_VALUE"""),29.85)</f>
        <v>29.85</v>
      </c>
      <c r="G179" s="16"/>
      <c r="H179" s="23">
        <f>IFERROR(__xludf.DUMMYFUNCTION("""COMPUTED_VALUE"""),452.93000000000006)</f>
        <v>452.93</v>
      </c>
    </row>
    <row r="180">
      <c r="A180" s="16" t="str">
        <f>IFERROR(__xludf.DUMMYFUNCTION("""COMPUTED_VALUE"""),"Десерти (всякакви видове)")</f>
        <v>Десерти (всякакви видове)</v>
      </c>
      <c r="B180" s="7" t="str">
        <f>IFERROR(__xludf.DUMMYFUNCTION("""COMPUTED_VALUE"""),"Оризов бар с шоколад")</f>
        <v>Оризов бар с шоколад</v>
      </c>
      <c r="C180" s="12">
        <f>IFERROR(__xludf.DUMMYFUNCTION("""COMPUTED_VALUE"""),100.0)</f>
        <v>100</v>
      </c>
      <c r="D180" s="22">
        <f>IFERROR(__xludf.DUMMYFUNCTION("""COMPUTED_VALUE"""),7.4)</f>
        <v>7.4</v>
      </c>
      <c r="E180" s="16">
        <f>IFERROR(__xludf.DUMMYFUNCTION("""COMPUTED_VALUE"""),58.8)</f>
        <v>58.8</v>
      </c>
      <c r="F180" s="16">
        <f>IFERROR(__xludf.DUMMYFUNCTION("""COMPUTED_VALUE"""),26.7)</f>
        <v>26.7</v>
      </c>
      <c r="G180" s="16">
        <f>IFERROR(__xludf.DUMMYFUNCTION("""COMPUTED_VALUE"""),4.2)</f>
        <v>4.2</v>
      </c>
      <c r="H180" s="23">
        <f>IFERROR(__xludf.DUMMYFUNCTION("""COMPUTED_VALUE"""),505.1)</f>
        <v>505.1</v>
      </c>
    </row>
    <row r="181">
      <c r="A181" s="16" t="str">
        <f>IFERROR(__xludf.DUMMYFUNCTION("""COMPUTED_VALUE"""),"Десерти (всякакви видове)")</f>
        <v>Десерти (всякакви видове)</v>
      </c>
      <c r="B181" s="7" t="str">
        <f>IFERROR(__xludf.DUMMYFUNCTION("""COMPUTED_VALUE"""),"Оризов бар с портокал")</f>
        <v>Оризов бар с портокал</v>
      </c>
      <c r="C181" s="12">
        <f>IFERROR(__xludf.DUMMYFUNCTION("""COMPUTED_VALUE"""),100.0)</f>
        <v>100</v>
      </c>
      <c r="D181" s="22">
        <f>IFERROR(__xludf.DUMMYFUNCTION("""COMPUTED_VALUE"""),6.0)</f>
        <v>6</v>
      </c>
      <c r="E181" s="24">
        <f>IFERROR(__xludf.DUMMYFUNCTION("""COMPUTED_VALUE"""),58.5)</f>
        <v>58.5</v>
      </c>
      <c r="F181" s="24">
        <f>IFERROR(__xludf.DUMMYFUNCTION("""COMPUTED_VALUE"""),27.8)</f>
        <v>27.8</v>
      </c>
      <c r="G181" s="24">
        <f>IFERROR(__xludf.DUMMYFUNCTION("""COMPUTED_VALUE"""),4.1)</f>
        <v>4.1</v>
      </c>
      <c r="H181" s="23">
        <f>IFERROR(__xludf.DUMMYFUNCTION("""COMPUTED_VALUE"""),508.20000000000005)</f>
        <v>508.2</v>
      </c>
    </row>
    <row r="182">
      <c r="A182" s="16" t="str">
        <f>IFERROR(__xludf.DUMMYFUNCTION("""COMPUTED_VALUE"""),"Десерти (всякакви видове)")</f>
        <v>Десерти (всякакви видове)</v>
      </c>
      <c r="B182" s="7" t="str">
        <f>IFERROR(__xludf.DUMMYFUNCTION("""COMPUTED_VALUE"""),"Kookie Cat - almond&amp;oat")</f>
        <v>Kookie Cat - almond&amp;oat</v>
      </c>
      <c r="C182" s="12">
        <f>IFERROR(__xludf.DUMMYFUNCTION("""COMPUTED_VALUE"""),100.0)</f>
        <v>100</v>
      </c>
      <c r="D182" s="22">
        <f>IFERROR(__xludf.DUMMYFUNCTION("""COMPUTED_VALUE"""),10.0)</f>
        <v>10</v>
      </c>
      <c r="E182" s="24">
        <f>IFERROR(__xludf.DUMMYFUNCTION("""COMPUTED_VALUE"""),46.0)</f>
        <v>46</v>
      </c>
      <c r="F182" s="24">
        <f>IFERROR(__xludf.DUMMYFUNCTION("""COMPUTED_VALUE"""),28.0)</f>
        <v>28</v>
      </c>
      <c r="G182" s="24">
        <f>IFERROR(__xludf.DUMMYFUNCTION("""COMPUTED_VALUE"""),6.5)</f>
        <v>6.5</v>
      </c>
      <c r="H182" s="23">
        <f>IFERROR(__xludf.DUMMYFUNCTION("""COMPUTED_VALUE"""),476.0)</f>
        <v>476</v>
      </c>
    </row>
    <row r="183">
      <c r="A183" s="16" t="str">
        <f>IFERROR(__xludf.DUMMYFUNCTION("""COMPUTED_VALUE"""),"Десерти (всякакви видове)")</f>
        <v>Десерти (всякакви видове)</v>
      </c>
      <c r="B183" s="7" t="str">
        <f>IFERROR(__xludf.DUMMYFUNCTION("""COMPUTED_VALUE"""),"Киндер пингуи")</f>
        <v>Киндер пингуи</v>
      </c>
      <c r="C183" s="12">
        <f>IFERROR(__xludf.DUMMYFUNCTION("""COMPUTED_VALUE"""),100.0)</f>
        <v>100</v>
      </c>
      <c r="D183" s="7">
        <f>IFERROR(__xludf.DUMMYFUNCTION("""COMPUTED_VALUE"""),7.0)</f>
        <v>7</v>
      </c>
      <c r="E183" s="16">
        <f>IFERROR(__xludf.DUMMYFUNCTION("""COMPUTED_VALUE"""),37.8)</f>
        <v>37.8</v>
      </c>
      <c r="F183" s="16">
        <f>IFERROR(__xludf.DUMMYFUNCTION("""COMPUTED_VALUE"""),29.7)</f>
        <v>29.7</v>
      </c>
      <c r="G183" s="16">
        <f>IFERROR(__xludf.DUMMYFUNCTION("""COMPUTED_VALUE"""),0.0)</f>
        <v>0</v>
      </c>
      <c r="H183" s="23">
        <f>IFERROR(__xludf.DUMMYFUNCTION("""COMPUTED_VALUE"""),446.5)</f>
        <v>446.5</v>
      </c>
    </row>
    <row r="184">
      <c r="A184" s="16" t="str">
        <f>IFERROR(__xludf.DUMMYFUNCTION("""COMPUTED_VALUE"""),"Десерти (всякакви видове)")</f>
        <v>Десерти (всякакви видове)</v>
      </c>
      <c r="B184" s="7" t="str">
        <f>IFERROR(__xludf.DUMMYFUNCTION("""COMPUTED_VALUE"""),"Чоризо")</f>
        <v>Чоризо</v>
      </c>
      <c r="C184" s="12">
        <f>IFERROR(__xludf.DUMMYFUNCTION("""COMPUTED_VALUE"""),100.0)</f>
        <v>100</v>
      </c>
      <c r="D184" s="7">
        <f>IFERROR(__xludf.DUMMYFUNCTION("""COMPUTED_VALUE"""),21.0)</f>
        <v>21</v>
      </c>
      <c r="E184" s="16">
        <f>IFERROR(__xludf.DUMMYFUNCTION("""COMPUTED_VALUE"""),3.2)</f>
        <v>3.2</v>
      </c>
      <c r="F184" s="16">
        <f>IFERROR(__xludf.DUMMYFUNCTION("""COMPUTED_VALUE"""),29.0)</f>
        <v>29</v>
      </c>
      <c r="G184" s="16">
        <f>IFERROR(__xludf.DUMMYFUNCTION("""COMPUTED_VALUE"""),0.0)</f>
        <v>0</v>
      </c>
      <c r="H184" s="23">
        <f>IFERROR(__xludf.DUMMYFUNCTION("""COMPUTED_VALUE"""),357.8)</f>
        <v>357.8</v>
      </c>
    </row>
    <row r="185">
      <c r="A185" s="16" t="str">
        <f>IFERROR(__xludf.DUMMYFUNCTION("""COMPUTED_VALUE"""),"Десерти (всякакви видове)")</f>
        <v>Десерти (всякакви видове)</v>
      </c>
      <c r="B185" s="7" t="str">
        <f>IFERROR(__xludf.DUMMYFUNCTION("""COMPUTED_VALUE"""),"Бисквити с овесен флейкс и ябълка San")</f>
        <v>Бисквити с овесен флейкс и ябълка San</v>
      </c>
      <c r="C185" s="7">
        <f>IFERROR(__xludf.DUMMYFUNCTION("""COMPUTED_VALUE"""),100.0)</f>
        <v>100</v>
      </c>
      <c r="D185" s="7">
        <f>IFERROR(__xludf.DUMMYFUNCTION("""COMPUTED_VALUE"""),7.6)</f>
        <v>7.6</v>
      </c>
      <c r="E185" s="16">
        <f>IFERROR(__xludf.DUMMYFUNCTION("""COMPUTED_VALUE"""),4.5)</f>
        <v>4.5</v>
      </c>
      <c r="F185" s="16">
        <f>IFERROR(__xludf.DUMMYFUNCTION("""COMPUTED_VALUE"""),17.0)</f>
        <v>17</v>
      </c>
      <c r="G185" s="16">
        <f>IFERROR(__xludf.DUMMYFUNCTION("""COMPUTED_VALUE"""),28.0)</f>
        <v>28</v>
      </c>
      <c r="H185" s="23">
        <f>IFERROR(__xludf.DUMMYFUNCTION("""COMPUTED_VALUE"""),201.4)</f>
        <v>201.4</v>
      </c>
    </row>
    <row r="186">
      <c r="A186" s="16" t="str">
        <f>IFERROR(__xludf.DUMMYFUNCTION("""COMPUTED_VALUE"""),"Десерти (всякакви видове)")</f>
        <v>Десерти (всякакви видове)</v>
      </c>
      <c r="B186" s="7" t="str">
        <f>IFERROR(__xludf.DUMMYFUNCTION("""COMPUTED_VALUE"""),"Локум обикновен")</f>
        <v>Локум обикновен</v>
      </c>
      <c r="C186" s="7">
        <f>IFERROR(__xludf.DUMMYFUNCTION("""COMPUTED_VALUE"""),100.0)</f>
        <v>100</v>
      </c>
      <c r="D186" s="7">
        <f>IFERROR(__xludf.DUMMYFUNCTION("""COMPUTED_VALUE"""),0.04)</f>
        <v>0.04</v>
      </c>
      <c r="E186" s="16">
        <f>IFERROR(__xludf.DUMMYFUNCTION("""COMPUTED_VALUE"""),83.8)</f>
        <v>83.8</v>
      </c>
      <c r="F186" s="16">
        <f>IFERROR(__xludf.DUMMYFUNCTION("""COMPUTED_VALUE"""),0.01)</f>
        <v>0.01</v>
      </c>
      <c r="G186" s="16">
        <f>IFERROR(__xludf.DUMMYFUNCTION("""COMPUTED_VALUE"""),0.0)</f>
        <v>0</v>
      </c>
      <c r="H186" s="23">
        <f>IFERROR(__xludf.DUMMYFUNCTION("""COMPUTED_VALUE"""),335.45)</f>
        <v>335.45</v>
      </c>
    </row>
    <row r="187">
      <c r="A187" s="16" t="str">
        <f>IFERROR(__xludf.DUMMYFUNCTION("""COMPUTED_VALUE"""),"Десерти (всякакви видове)")</f>
        <v>Десерти (всякакви видове)</v>
      </c>
      <c r="B187" s="7" t="str">
        <f>IFERROR(__xludf.DUMMYFUNCTION("""COMPUTED_VALUE"""),"Сладолед Фамилия")</f>
        <v>Сладолед Фамилия</v>
      </c>
      <c r="C187" s="7">
        <f>IFERROR(__xludf.DUMMYFUNCTION("""COMPUTED_VALUE"""),100.0)</f>
        <v>100</v>
      </c>
      <c r="D187" s="7">
        <f>IFERROR(__xludf.DUMMYFUNCTION("""COMPUTED_VALUE"""),2.1)</f>
        <v>2.1</v>
      </c>
      <c r="E187" s="16">
        <f>IFERROR(__xludf.DUMMYFUNCTION("""COMPUTED_VALUE"""),26.0)</f>
        <v>26</v>
      </c>
      <c r="F187" s="16">
        <f>IFERROR(__xludf.DUMMYFUNCTION("""COMPUTED_VALUE"""),7.4)</f>
        <v>7.4</v>
      </c>
      <c r="G187" s="16">
        <f>IFERROR(__xludf.DUMMYFUNCTION("""COMPUTED_VALUE"""),0.0)</f>
        <v>0</v>
      </c>
      <c r="H187" s="23">
        <f>IFERROR(__xludf.DUMMYFUNCTION("""COMPUTED_VALUE"""),179.0)</f>
        <v>179</v>
      </c>
    </row>
    <row r="188">
      <c r="A188" s="16" t="str">
        <f>IFERROR(__xludf.DUMMYFUNCTION("""COMPUTED_VALUE"""),"Десерти (всякакви видове)")</f>
        <v>Десерти (всякакви видове)</v>
      </c>
      <c r="B188" s="7" t="str">
        <f>IFERROR(__xludf.DUMMYFUNCTION("""COMPUTED_VALUE"""),"Торта Гараш")</f>
        <v>Торта Гараш</v>
      </c>
      <c r="C188" s="7">
        <f>IFERROR(__xludf.DUMMYFUNCTION("""COMPUTED_VALUE"""),100.0)</f>
        <v>100</v>
      </c>
      <c r="D188" s="7">
        <f>IFERROR(__xludf.DUMMYFUNCTION("""COMPUTED_VALUE"""),7.4)</f>
        <v>7.4</v>
      </c>
      <c r="E188" s="16">
        <f>IFERROR(__xludf.DUMMYFUNCTION("""COMPUTED_VALUE"""),57.4)</f>
        <v>57.4</v>
      </c>
      <c r="F188" s="16">
        <f>IFERROR(__xludf.DUMMYFUNCTION("""COMPUTED_VALUE"""),24.4)</f>
        <v>24.4</v>
      </c>
      <c r="G188" s="16">
        <f>IFERROR(__xludf.DUMMYFUNCTION("""COMPUTED_VALUE"""),0.0)</f>
        <v>0</v>
      </c>
      <c r="H188" s="23">
        <f>IFERROR(__xludf.DUMMYFUNCTION("""COMPUTED_VALUE"""),478.79999999999995)</f>
        <v>478.8</v>
      </c>
    </row>
    <row r="189">
      <c r="A189" s="16" t="str">
        <f>IFERROR(__xludf.DUMMYFUNCTION("""COMPUTED_VALUE"""),"Десерти (всякакви видове)")</f>
        <v>Десерти (всякакви видове)</v>
      </c>
      <c r="B189" s="7" t="str">
        <f>IFERROR(__xludf.DUMMYFUNCTION("""COMPUTED_VALUE"""),"Протеинов Бар Flat Jack Лукойл")</f>
        <v>Протеинов Бар Flat Jack Лукойл</v>
      </c>
      <c r="C189" s="7">
        <f>IFERROR(__xludf.DUMMYFUNCTION("""COMPUTED_VALUE"""),100.0)</f>
        <v>100</v>
      </c>
      <c r="D189" s="7">
        <f>IFERROR(__xludf.DUMMYFUNCTION("""COMPUTED_VALUE"""),6.1)</f>
        <v>6.1</v>
      </c>
      <c r="E189" s="16">
        <f>IFERROR(__xludf.DUMMYFUNCTION("""COMPUTED_VALUE"""),55.0)</f>
        <v>55</v>
      </c>
      <c r="F189" s="16">
        <f>IFERROR(__xludf.DUMMYFUNCTION("""COMPUTED_VALUE"""),24.0)</f>
        <v>24</v>
      </c>
      <c r="G189" s="16">
        <f>IFERROR(__xludf.DUMMYFUNCTION("""COMPUTED_VALUE"""),0.0)</f>
        <v>0</v>
      </c>
      <c r="H189" s="23">
        <f>IFERROR(__xludf.DUMMYFUNCTION("""COMPUTED_VALUE"""),460.4)</f>
        <v>460.4</v>
      </c>
    </row>
    <row r="190">
      <c r="A190" s="16" t="str">
        <f>IFERROR(__xludf.DUMMYFUNCTION("""COMPUTED_VALUE"""),"Десерти (всякакви видове)")</f>
        <v>Десерти (всякакви видове)</v>
      </c>
      <c r="B190" s="7" t="str">
        <f>IFERROR(__xludf.DUMMYFUNCTION("""COMPUTED_VALUE"""),"Вафли Ная")</f>
        <v>Вафли Ная</v>
      </c>
      <c r="C190" s="7">
        <f>IFERROR(__xludf.DUMMYFUNCTION("""COMPUTED_VALUE"""),100.0)</f>
        <v>100</v>
      </c>
      <c r="D190" s="7">
        <f>IFERROR(__xludf.DUMMYFUNCTION("""COMPUTED_VALUE"""),5.8)</f>
        <v>5.8</v>
      </c>
      <c r="E190" s="16">
        <f>IFERROR(__xludf.DUMMYFUNCTION("""COMPUTED_VALUE"""),62.7)</f>
        <v>62.7</v>
      </c>
      <c r="F190" s="16">
        <f>IFERROR(__xludf.DUMMYFUNCTION("""COMPUTED_VALUE"""),28.3)</f>
        <v>28.3</v>
      </c>
      <c r="G190" s="16">
        <f>IFERROR(__xludf.DUMMYFUNCTION("""COMPUTED_VALUE"""),0.0)</f>
        <v>0</v>
      </c>
      <c r="H190" s="23">
        <f>IFERROR(__xludf.DUMMYFUNCTION("""COMPUTED_VALUE"""),528.7)</f>
        <v>528.7</v>
      </c>
    </row>
    <row r="191">
      <c r="A191" s="16" t="str">
        <f>IFERROR(__xludf.DUMMYFUNCTION("""COMPUTED_VALUE"""),"Десерти (всякакви видове)")</f>
        <v>Десерти (всякакви видове)</v>
      </c>
      <c r="B191" s="7" t="str">
        <f>IFERROR(__xludf.DUMMYFUNCTION("""COMPUTED_VALUE"""),"Локумена вафла Maria")</f>
        <v>Локумена вафла Maria</v>
      </c>
      <c r="C191" s="7">
        <f>IFERROR(__xludf.DUMMYFUNCTION("""COMPUTED_VALUE"""),100.0)</f>
        <v>100</v>
      </c>
      <c r="D191" s="7">
        <f>IFERROR(__xludf.DUMMYFUNCTION("""COMPUTED_VALUE"""),1.0)</f>
        <v>1</v>
      </c>
      <c r="E191" s="16">
        <f>IFERROR(__xludf.DUMMYFUNCTION("""COMPUTED_VALUE"""),69.4)</f>
        <v>69.4</v>
      </c>
      <c r="F191" s="16">
        <f>IFERROR(__xludf.DUMMYFUNCTION("""COMPUTED_VALUE"""),2.0)</f>
        <v>2</v>
      </c>
      <c r="G191" s="16">
        <f>IFERROR(__xludf.DUMMYFUNCTION("""COMPUTED_VALUE"""),0.0)</f>
        <v>0</v>
      </c>
      <c r="H191" s="23">
        <f>IFERROR(__xludf.DUMMYFUNCTION("""COMPUTED_VALUE"""),299.6)</f>
        <v>299.6</v>
      </c>
    </row>
    <row r="192">
      <c r="A192" s="16" t="str">
        <f>IFERROR(__xludf.DUMMYFUNCTION("""COMPUTED_VALUE"""),"Десерти (всякакви видове)")</f>
        <v>Десерти (всякакви видове)</v>
      </c>
      <c r="B192" s="7" t="str">
        <f>IFERROR(__xludf.DUMMYFUNCTION("""COMPUTED_VALUE"""),"Локумени вафли  ЛИДЛ")</f>
        <v>Локумени вафли  ЛИДЛ</v>
      </c>
      <c r="C192" s="7">
        <f>IFERROR(__xludf.DUMMYFUNCTION("""COMPUTED_VALUE"""),100.0)</f>
        <v>100</v>
      </c>
      <c r="D192" s="7">
        <f>IFERROR(__xludf.DUMMYFUNCTION("""COMPUTED_VALUE"""),2.3)</f>
        <v>2.3</v>
      </c>
      <c r="E192" s="16">
        <f>IFERROR(__xludf.DUMMYFUNCTION("""COMPUTED_VALUE"""),75.0)</f>
        <v>75</v>
      </c>
      <c r="F192" s="16">
        <f>IFERROR(__xludf.DUMMYFUNCTION("""COMPUTED_VALUE"""),0.9)</f>
        <v>0.9</v>
      </c>
      <c r="G192" s="16">
        <f>IFERROR(__xludf.DUMMYFUNCTION("""COMPUTED_VALUE"""),0.0)</f>
        <v>0</v>
      </c>
      <c r="H192" s="23">
        <f>IFERROR(__xludf.DUMMYFUNCTION("""COMPUTED_VALUE"""),317.3)</f>
        <v>317.3</v>
      </c>
    </row>
    <row r="193">
      <c r="A193" s="16" t="str">
        <f>IFERROR(__xludf.DUMMYFUNCTION("""COMPUTED_VALUE"""),"Десерти (всякакви видове)")</f>
        <v>Десерти (всякакви видове)</v>
      </c>
      <c r="B193" s="7" t="str">
        <f>IFERROR(__xludf.DUMMYFUNCTION("""COMPUTED_VALUE"""),"Панакота")</f>
        <v>Панакота</v>
      </c>
      <c r="C193" s="7">
        <f>IFERROR(__xludf.DUMMYFUNCTION("""COMPUTED_VALUE"""),100.0)</f>
        <v>100</v>
      </c>
      <c r="D193" s="7">
        <f>IFERROR(__xludf.DUMMYFUNCTION("""COMPUTED_VALUE"""),2.46)</f>
        <v>2.46</v>
      </c>
      <c r="E193" s="16">
        <f>IFERROR(__xludf.DUMMYFUNCTION("""COMPUTED_VALUE"""),17.68)</f>
        <v>17.68</v>
      </c>
      <c r="F193" s="16">
        <f>IFERROR(__xludf.DUMMYFUNCTION("""COMPUTED_VALUE"""),17.74)</f>
        <v>17.74</v>
      </c>
      <c r="G193" s="16">
        <f>IFERROR(__xludf.DUMMYFUNCTION("""COMPUTED_VALUE"""),0.0)</f>
        <v>0</v>
      </c>
      <c r="H193" s="23">
        <f>IFERROR(__xludf.DUMMYFUNCTION("""COMPUTED_VALUE"""),240.22)</f>
        <v>240.22</v>
      </c>
    </row>
    <row r="194">
      <c r="A194" s="16" t="str">
        <f>IFERROR(__xludf.DUMMYFUNCTION("""COMPUTED_VALUE"""),"Десерти (всякакви видове)")</f>
        <v>Десерти (всякакви видове)</v>
      </c>
      <c r="B194" s="7" t="str">
        <f>IFERROR(__xludf.DUMMYFUNCTION("""COMPUTED_VALUE"""),"Крем Брюле")</f>
        <v>Крем Брюле</v>
      </c>
      <c r="C194" s="7">
        <f>IFERROR(__xludf.DUMMYFUNCTION("""COMPUTED_VALUE"""),100.0)</f>
        <v>100</v>
      </c>
      <c r="D194" s="7">
        <f>IFERROR(__xludf.DUMMYFUNCTION("""COMPUTED_VALUE"""),3.6)</f>
        <v>3.6</v>
      </c>
      <c r="E194" s="16">
        <f>IFERROR(__xludf.DUMMYFUNCTION("""COMPUTED_VALUE"""),17.7)</f>
        <v>17.7</v>
      </c>
      <c r="F194" s="16">
        <f>IFERROR(__xludf.DUMMYFUNCTION("""COMPUTED_VALUE"""),21.7)</f>
        <v>21.7</v>
      </c>
      <c r="G194" s="16">
        <f>IFERROR(__xludf.DUMMYFUNCTION("""COMPUTED_VALUE"""),0.2)</f>
        <v>0.2</v>
      </c>
      <c r="H194" s="23">
        <f>IFERROR(__xludf.DUMMYFUNCTION("""COMPUTED_VALUE"""),280.5)</f>
        <v>280.5</v>
      </c>
    </row>
    <row r="195">
      <c r="A195" s="16" t="str">
        <f>IFERROR(__xludf.DUMMYFUNCTION("""COMPUTED_VALUE"""),"Десерти (всякакви видове)")</f>
        <v>Десерти (всякакви видове)</v>
      </c>
      <c r="B195" s="7" t="str">
        <f>IFERROR(__xludf.DUMMYFUNCTION("""COMPUTED_VALUE"""),"Република кокос")</f>
        <v>Република кокос</v>
      </c>
      <c r="C195" s="7">
        <f>IFERROR(__xludf.DUMMYFUNCTION("""COMPUTED_VALUE"""),100.0)</f>
        <v>100</v>
      </c>
      <c r="D195" s="7">
        <f>IFERROR(__xludf.DUMMYFUNCTION("""COMPUTED_VALUE"""),2.7)</f>
        <v>2.7</v>
      </c>
      <c r="E195" s="16">
        <f>IFERROR(__xludf.DUMMYFUNCTION("""COMPUTED_VALUE"""),72.0)</f>
        <v>72</v>
      </c>
      <c r="F195" s="16">
        <f>IFERROR(__xludf.DUMMYFUNCTION("""COMPUTED_VALUE"""),19.0)</f>
        <v>19</v>
      </c>
      <c r="G195" s="16">
        <f>IFERROR(__xludf.DUMMYFUNCTION("""COMPUTED_VALUE"""),0.0)</f>
        <v>0</v>
      </c>
      <c r="H195" s="23">
        <f>IFERROR(__xludf.DUMMYFUNCTION("""COMPUTED_VALUE"""),469.8)</f>
        <v>469.8</v>
      </c>
    </row>
    <row r="196">
      <c r="A196" s="16" t="str">
        <f>IFERROR(__xludf.DUMMYFUNCTION("""COMPUTED_VALUE"""),"Десерти (всякакви видове)")</f>
        <v>Десерти (всякакви видове)</v>
      </c>
      <c r="B196" s="7" t="str">
        <f>IFERROR(__xludf.DUMMYFUNCTION("""COMPUTED_VALUE"""),"Черноморец бонбони")</f>
        <v>Черноморец бонбони</v>
      </c>
      <c r="C196" s="7">
        <f>IFERROR(__xludf.DUMMYFUNCTION("""COMPUTED_VALUE"""),100.0)</f>
        <v>100</v>
      </c>
      <c r="D196" s="7">
        <f>IFERROR(__xludf.DUMMYFUNCTION("""COMPUTED_VALUE"""),9.3)</f>
        <v>9.3</v>
      </c>
      <c r="E196" s="16">
        <f>IFERROR(__xludf.DUMMYFUNCTION("""COMPUTED_VALUE"""),50.0)</f>
        <v>50</v>
      </c>
      <c r="F196" s="16">
        <f>IFERROR(__xludf.DUMMYFUNCTION("""COMPUTED_VALUE"""),33.0)</f>
        <v>33</v>
      </c>
      <c r="G196" s="16">
        <f>IFERROR(__xludf.DUMMYFUNCTION("""COMPUTED_VALUE"""),0.0)</f>
        <v>0</v>
      </c>
      <c r="H196" s="23">
        <f>IFERROR(__xludf.DUMMYFUNCTION("""COMPUTED_VALUE"""),534.2)</f>
        <v>534.2</v>
      </c>
    </row>
    <row r="197">
      <c r="A197" s="16" t="str">
        <f>IFERROR(__xludf.DUMMYFUNCTION("""COMPUTED_VALUE"""),"Десерти (всякакви видове)")</f>
        <v>Десерти (всякакви видове)</v>
      </c>
      <c r="B197" s="7" t="str">
        <f>IFERROR(__xludf.DUMMYFUNCTION("""COMPUTED_VALUE"""),"Бисквитена торта")</f>
        <v>Бисквитена торта</v>
      </c>
      <c r="C197" s="7">
        <f>IFERROR(__xludf.DUMMYFUNCTION("""COMPUTED_VALUE"""),100.0)</f>
        <v>100</v>
      </c>
      <c r="D197" s="7">
        <f>IFERROR(__xludf.DUMMYFUNCTION("""COMPUTED_VALUE"""),5.6)</f>
        <v>5.6</v>
      </c>
      <c r="E197" s="16">
        <f>IFERROR(__xludf.DUMMYFUNCTION("""COMPUTED_VALUE"""),58.8)</f>
        <v>58.8</v>
      </c>
      <c r="F197" s="16">
        <f>IFERROR(__xludf.DUMMYFUNCTION("""COMPUTED_VALUE"""),20.0)</f>
        <v>20</v>
      </c>
      <c r="G197" s="16">
        <f>IFERROR(__xludf.DUMMYFUNCTION("""COMPUTED_VALUE"""),0.0)</f>
        <v>0</v>
      </c>
      <c r="H197" s="23">
        <f>IFERROR(__xludf.DUMMYFUNCTION("""COMPUTED_VALUE"""),437.59999999999997)</f>
        <v>437.6</v>
      </c>
    </row>
    <row r="198">
      <c r="A198" s="16" t="str">
        <f>IFERROR(__xludf.DUMMYFUNCTION("""COMPUTED_VALUE"""),"Десерти (всякакви видове)")</f>
        <v>Десерти (всякакви видове)</v>
      </c>
      <c r="B198" s="7" t="str">
        <f>IFERROR(__xludf.DUMMYFUNCTION("""COMPUTED_VALUE"""),"Вафла Чудо")</f>
        <v>Вафла Чудо</v>
      </c>
      <c r="C198" s="7">
        <f>IFERROR(__xludf.DUMMYFUNCTION("""COMPUTED_VALUE"""),100.0)</f>
        <v>100</v>
      </c>
      <c r="D198" s="7">
        <f>IFERROR(__xludf.DUMMYFUNCTION("""COMPUTED_VALUE"""),8.1)</f>
        <v>8.1</v>
      </c>
      <c r="E198" s="16">
        <f>IFERROR(__xludf.DUMMYFUNCTION("""COMPUTED_VALUE"""),54.0)</f>
        <v>54</v>
      </c>
      <c r="F198" s="16">
        <f>IFERROR(__xludf.DUMMYFUNCTION("""COMPUTED_VALUE"""),35.0)</f>
        <v>35</v>
      </c>
      <c r="G198" s="16">
        <f>IFERROR(__xludf.DUMMYFUNCTION("""COMPUTED_VALUE"""),0.0)</f>
        <v>0</v>
      </c>
      <c r="H198" s="23">
        <f>IFERROR(__xludf.DUMMYFUNCTION("""COMPUTED_VALUE"""),563.4)</f>
        <v>563.4</v>
      </c>
    </row>
    <row r="199">
      <c r="A199" s="16" t="str">
        <f>IFERROR(__xludf.DUMMYFUNCTION("""COMPUTED_VALUE"""),"Десерти (всякакви видове)")</f>
        <v>Десерти (всякакви видове)</v>
      </c>
      <c r="B199" s="7" t="str">
        <f>IFERROR(__xludf.DUMMYFUNCTION("""COMPUTED_VALUE"""),"Шоколад млечен ЛИДЛ")</f>
        <v>Шоколад млечен ЛИДЛ</v>
      </c>
      <c r="C199" s="7">
        <f>IFERROR(__xludf.DUMMYFUNCTION("""COMPUTED_VALUE"""),100.0)</f>
        <v>100</v>
      </c>
      <c r="D199" s="7">
        <f>IFERROR(__xludf.DUMMYFUNCTION("""COMPUTED_VALUE"""),6.8)</f>
        <v>6.8</v>
      </c>
      <c r="E199" s="16">
        <f>IFERROR(__xludf.DUMMYFUNCTION("""COMPUTED_VALUE"""),57.2)</f>
        <v>57.2</v>
      </c>
      <c r="F199" s="16">
        <f>IFERROR(__xludf.DUMMYFUNCTION("""COMPUTED_VALUE"""),29.7)</f>
        <v>29.7</v>
      </c>
      <c r="G199" s="16">
        <f>IFERROR(__xludf.DUMMYFUNCTION("""COMPUTED_VALUE"""),0.0)</f>
        <v>0</v>
      </c>
      <c r="H199" s="23">
        <f>IFERROR(__xludf.DUMMYFUNCTION("""COMPUTED_VALUE"""),523.3)</f>
        <v>523.3</v>
      </c>
    </row>
    <row r="200">
      <c r="A200" s="16" t="str">
        <f>IFERROR(__xludf.DUMMYFUNCTION("""COMPUTED_VALUE"""),"Десерти (всякакви видове)")</f>
        <v>Десерти (всякакви видове)</v>
      </c>
      <c r="B200" s="7" t="str">
        <f>IFERROR(__xludf.DUMMYFUNCTION("""COMPUTED_VALUE"""),"Вафла Морени MAXX")</f>
        <v>Вафла Морени MAXX</v>
      </c>
      <c r="C200" s="12">
        <f>IFERROR(__xludf.DUMMYFUNCTION("""COMPUTED_VALUE"""),100.0)</f>
        <v>100</v>
      </c>
      <c r="D200" s="7">
        <f>IFERROR(__xludf.DUMMYFUNCTION("""COMPUTED_VALUE"""),7.3)</f>
        <v>7.3</v>
      </c>
      <c r="E200" s="16">
        <f>IFERROR(__xludf.DUMMYFUNCTION("""COMPUTED_VALUE"""),60.0)</f>
        <v>60</v>
      </c>
      <c r="F200" s="16">
        <f>IFERROR(__xludf.DUMMYFUNCTION("""COMPUTED_VALUE"""),28.0)</f>
        <v>28</v>
      </c>
      <c r="G200" s="16">
        <f>IFERROR(__xludf.DUMMYFUNCTION("""COMPUTED_VALUE"""),3.2)</f>
        <v>3.2</v>
      </c>
      <c r="H200" s="16">
        <f>IFERROR(__xludf.DUMMYFUNCTION("""COMPUTED_VALUE"""),521.2)</f>
        <v>521.2</v>
      </c>
    </row>
    <row r="201">
      <c r="A201" s="16" t="str">
        <f>IFERROR(__xludf.DUMMYFUNCTION("""COMPUTED_VALUE"""),"Десерти (всякакви видове)")</f>
        <v>Десерти (всякакви видове)</v>
      </c>
      <c r="B201" s="7" t="str">
        <f>IFERROR(__xludf.DUMMYFUNCTION("""COMPUTED_VALUE"""),"Вафла Споко Maxi")</f>
        <v>Вафла Споко Maxi</v>
      </c>
      <c r="C201" s="12">
        <f>IFERROR(__xludf.DUMMYFUNCTION("""COMPUTED_VALUE"""),100.0)</f>
        <v>100</v>
      </c>
      <c r="D201" s="7">
        <f>IFERROR(__xludf.DUMMYFUNCTION("""COMPUTED_VALUE"""),8.2)</f>
        <v>8.2</v>
      </c>
      <c r="E201" s="16">
        <f>IFERROR(__xludf.DUMMYFUNCTION("""COMPUTED_VALUE"""),56.5)</f>
        <v>56.5</v>
      </c>
      <c r="F201" s="16">
        <f>IFERROR(__xludf.DUMMYFUNCTION("""COMPUTED_VALUE"""),32.1)</f>
        <v>32.1</v>
      </c>
      <c r="G201" s="16">
        <f>IFERROR(__xludf.DUMMYFUNCTION("""COMPUTED_VALUE"""),0.0)</f>
        <v>0</v>
      </c>
      <c r="H201" s="16">
        <f>IFERROR(__xludf.DUMMYFUNCTION("""COMPUTED_VALUE"""),547.7)</f>
        <v>547.7</v>
      </c>
    </row>
    <row r="202">
      <c r="A202" s="16" t="str">
        <f>IFERROR(__xludf.DUMMYFUNCTION("""COMPUTED_VALUE"""),"Десерти (всякакви видове)")</f>
        <v>Десерти (всякакви видове)</v>
      </c>
      <c r="B202" s="7" t="str">
        <f>IFERROR(__xludf.DUMMYFUNCTION("""COMPUTED_VALUE"""),"CHOCODATE Extra Dark")</f>
        <v>CHOCODATE Extra Dark</v>
      </c>
      <c r="C202" s="12">
        <f>IFERROR(__xludf.DUMMYFUNCTION("""COMPUTED_VALUE"""),100.0)</f>
        <v>100</v>
      </c>
      <c r="D202" s="7">
        <f>IFERROR(__xludf.DUMMYFUNCTION("""COMPUTED_VALUE"""),5.0)</f>
        <v>5</v>
      </c>
      <c r="E202" s="16">
        <f>IFERROR(__xludf.DUMMYFUNCTION("""COMPUTED_VALUE"""),69.0)</f>
        <v>69</v>
      </c>
      <c r="F202" s="16">
        <f>IFERROR(__xludf.DUMMYFUNCTION("""COMPUTED_VALUE"""),15.0)</f>
        <v>15</v>
      </c>
      <c r="G202" s="16">
        <f>IFERROR(__xludf.DUMMYFUNCTION("""COMPUTED_VALUE"""),0.0)</f>
        <v>0</v>
      </c>
      <c r="H202" s="16">
        <f>IFERROR(__xludf.DUMMYFUNCTION("""COMPUTED_VALUE"""),431.0)</f>
        <v>431</v>
      </c>
    </row>
    <row r="203">
      <c r="A203" s="16" t="str">
        <f>IFERROR(__xludf.DUMMYFUNCTION("""COMPUTED_VALUE"""),"Десерти (всякакви видове)")</f>
        <v>Десерти (всякакви видове)</v>
      </c>
      <c r="B203" s="7" t="str">
        <f>IFERROR(__xludf.DUMMYFUNCTION("""COMPUTED_VALUE"""),"Натурален десерт Сарина")</f>
        <v>Натурален десерт Сарина</v>
      </c>
      <c r="C203" s="7">
        <f>IFERROR(__xludf.DUMMYFUNCTION("""COMPUTED_VALUE"""),100.0)</f>
        <v>100</v>
      </c>
      <c r="D203" s="7">
        <f>IFERROR(__xludf.DUMMYFUNCTION("""COMPUTED_VALUE"""),2.8)</f>
        <v>2.8</v>
      </c>
      <c r="E203" s="16">
        <f>IFERROR(__xludf.DUMMYFUNCTION("""COMPUTED_VALUE"""),15.2)</f>
        <v>15.2</v>
      </c>
      <c r="F203" s="16">
        <f>IFERROR(__xludf.DUMMYFUNCTION("""COMPUTED_VALUE"""),7.2)</f>
        <v>7.2</v>
      </c>
      <c r="G203" s="16">
        <f>IFERROR(__xludf.DUMMYFUNCTION("""COMPUTED_VALUE"""),0.0)</f>
        <v>0</v>
      </c>
      <c r="H203" s="23">
        <f>IFERROR(__xludf.DUMMYFUNCTION("""COMPUTED_VALUE"""),136.8)</f>
        <v>136.8</v>
      </c>
    </row>
    <row r="204">
      <c r="A204" s="16" t="str">
        <f>IFERROR(__xludf.DUMMYFUNCTION("""COMPUTED_VALUE"""),"Десерти (всякакви видове)")</f>
        <v>Десерти (всякакви видове)</v>
      </c>
      <c r="B204" s="7" t="str">
        <f>IFERROR(__xludf.DUMMYFUNCTION("""COMPUTED_VALUE"""),"Бонбони Fit Spo")</f>
        <v>Бонбони Fit Spo</v>
      </c>
      <c r="C204" s="7">
        <f>IFERROR(__xludf.DUMMYFUNCTION("""COMPUTED_VALUE"""),100.0)</f>
        <v>100</v>
      </c>
      <c r="D204" s="7">
        <f>IFERROR(__xludf.DUMMYFUNCTION("""COMPUTED_VALUE"""),11.0)</f>
        <v>11</v>
      </c>
      <c r="E204" s="16">
        <f>IFERROR(__xludf.DUMMYFUNCTION("""COMPUTED_VALUE"""),50.0)</f>
        <v>50</v>
      </c>
      <c r="F204" s="16">
        <f>IFERROR(__xludf.DUMMYFUNCTION("""COMPUTED_VALUE"""),18.0)</f>
        <v>18</v>
      </c>
      <c r="G204" s="16">
        <f>IFERROR(__xludf.DUMMYFUNCTION("""COMPUTED_VALUE"""),6.0)</f>
        <v>6</v>
      </c>
      <c r="H204" s="23">
        <f>IFERROR(__xludf.DUMMYFUNCTION("""COMPUTED_VALUE"""),406.0)</f>
        <v>406</v>
      </c>
    </row>
    <row r="205">
      <c r="A205" s="16" t="str">
        <f>IFERROR(__xludf.DUMMYFUNCTION("""COMPUTED_VALUE"""),"Десерти (всякакви видове)")</f>
        <v>Десерти (всякакви видове)</v>
      </c>
      <c r="B205" s="7" t="str">
        <f>IFERROR(__xludf.DUMMYFUNCTION("""COMPUTED_VALUE"""),"Шоколадова торта - без захар")</f>
        <v>Шоколадова торта - без захар</v>
      </c>
      <c r="C205" s="12">
        <f>IFERROR(__xludf.DUMMYFUNCTION("""COMPUTED_VALUE"""),100.0)</f>
        <v>100</v>
      </c>
      <c r="D205" s="7">
        <f>IFERROR(__xludf.DUMMYFUNCTION("""COMPUTED_VALUE"""),2.5)</f>
        <v>2.5</v>
      </c>
      <c r="E205" s="16">
        <f>IFERROR(__xludf.DUMMYFUNCTION("""COMPUTED_VALUE"""),29.0)</f>
        <v>29</v>
      </c>
      <c r="F205" s="16">
        <f>IFERROR(__xludf.DUMMYFUNCTION("""COMPUTED_VALUE"""),23.0)</f>
        <v>23</v>
      </c>
      <c r="G205" s="16">
        <f>IFERROR(__xludf.DUMMYFUNCTION("""COMPUTED_VALUE"""),0.0)</f>
        <v>0</v>
      </c>
      <c r="H205" s="16">
        <f>IFERROR(__xludf.DUMMYFUNCTION("""COMPUTED_VALUE"""),333.0)</f>
        <v>333</v>
      </c>
    </row>
    <row r="206">
      <c r="A206" s="16" t="str">
        <f>IFERROR(__xludf.DUMMYFUNCTION("""COMPUTED_VALUE"""),"Десерти (всякакви видове)")</f>
        <v>Десерти (всякакви видове)</v>
      </c>
      <c r="B206" s="7" t="str">
        <f>IFERROR(__xludf.DUMMYFUNCTION("""COMPUTED_VALUE"""),"Обикновени бисквити ""Житен Дар""")</f>
        <v>Обикновени бисквити "Житен Дар"</v>
      </c>
      <c r="C206" s="7">
        <f>IFERROR(__xludf.DUMMYFUNCTION("""COMPUTED_VALUE"""),100.0)</f>
        <v>100</v>
      </c>
      <c r="D206" s="7">
        <f>IFERROR(__xludf.DUMMYFUNCTION("""COMPUTED_VALUE"""),8.1)</f>
        <v>8.1</v>
      </c>
      <c r="E206" s="16">
        <f>IFERROR(__xludf.DUMMYFUNCTION("""COMPUTED_VALUE"""),72.6)</f>
        <v>72.6</v>
      </c>
      <c r="F206" s="16">
        <f>IFERROR(__xludf.DUMMYFUNCTION("""COMPUTED_VALUE"""),10.4)</f>
        <v>10.4</v>
      </c>
      <c r="G206" s="16">
        <f>IFERROR(__xludf.DUMMYFUNCTION("""COMPUTED_VALUE"""),2.6)</f>
        <v>2.6</v>
      </c>
      <c r="H206" s="23">
        <f>IFERROR(__xludf.DUMMYFUNCTION("""COMPUTED_VALUE"""),416.4)</f>
        <v>416.4</v>
      </c>
    </row>
    <row r="207">
      <c r="A207" s="16" t="str">
        <f>IFERROR(__xludf.DUMMYFUNCTION("""COMPUTED_VALUE"""),"Десерти (всякакви видове)")</f>
        <v>Десерти (всякакви видове)</v>
      </c>
      <c r="B207" s="7" t="str">
        <f>IFERROR(__xludf.DUMMYFUNCTION("""COMPUTED_VALUE"""),"Кроасан ""7 days""")</f>
        <v>Кроасан "7 days"</v>
      </c>
      <c r="C207" s="7">
        <f>IFERROR(__xludf.DUMMYFUNCTION("""COMPUTED_VALUE"""),100.0)</f>
        <v>100</v>
      </c>
      <c r="D207" s="7">
        <f>IFERROR(__xludf.DUMMYFUNCTION("""COMPUTED_VALUE"""),6.0)</f>
        <v>6</v>
      </c>
      <c r="E207" s="16">
        <f>IFERROR(__xludf.DUMMYFUNCTION("""COMPUTED_VALUE"""),44.0)</f>
        <v>44</v>
      </c>
      <c r="F207" s="16">
        <f>IFERROR(__xludf.DUMMYFUNCTION("""COMPUTED_VALUE"""),28.0)</f>
        <v>28</v>
      </c>
      <c r="G207" s="16">
        <f>IFERROR(__xludf.DUMMYFUNCTION("""COMPUTED_VALUE"""),0.0)</f>
        <v>0</v>
      </c>
      <c r="H207" s="23">
        <f>IFERROR(__xludf.DUMMYFUNCTION("""COMPUTED_VALUE"""),452.0)</f>
        <v>452</v>
      </c>
    </row>
    <row r="208">
      <c r="A208" s="16" t="str">
        <f>IFERROR(__xludf.DUMMYFUNCTION("""COMPUTED_VALUE"""),"Десерти (всякакви видове)")</f>
        <v>Десерти (всякакви видове)</v>
      </c>
      <c r="B208" s="7" t="str">
        <f>IFERROR(__xludf.DUMMYFUNCTION("""COMPUTED_VALUE"""),"Бисквити закуска - Какао ")</f>
        <v>Бисквити закуска - Какао </v>
      </c>
      <c r="C208" s="7">
        <f>IFERROR(__xludf.DUMMYFUNCTION("""COMPUTED_VALUE"""),100.0)</f>
        <v>100</v>
      </c>
      <c r="D208" s="7">
        <f>IFERROR(__xludf.DUMMYFUNCTION("""COMPUTED_VALUE"""),8.6)</f>
        <v>8.6</v>
      </c>
      <c r="E208" s="16">
        <f>IFERROR(__xludf.DUMMYFUNCTION("""COMPUTED_VALUE"""),65.0)</f>
        <v>65</v>
      </c>
      <c r="F208" s="16">
        <f>IFERROR(__xludf.DUMMYFUNCTION("""COMPUTED_VALUE"""),8.3)</f>
        <v>8.3</v>
      </c>
      <c r="G208" s="16">
        <f>IFERROR(__xludf.DUMMYFUNCTION("""COMPUTED_VALUE"""),11.0)</f>
        <v>11</v>
      </c>
      <c r="H208" s="23">
        <f>IFERROR(__xludf.DUMMYFUNCTION("""COMPUTED_VALUE"""),369.09999999999997)</f>
        <v>369.1</v>
      </c>
    </row>
    <row r="209">
      <c r="A209" s="16" t="str">
        <f>IFERROR(__xludf.DUMMYFUNCTION("""COMPUTED_VALUE"""),"Десерти (всякакви видове)")</f>
        <v>Десерти (всякакви видове)</v>
      </c>
      <c r="B209" s="7" t="str">
        <f>IFERROR(__xludf.DUMMYFUNCTION("""COMPUTED_VALUE"""),"Бисквити закуска бели - Победа")</f>
        <v>Бисквити закуска бели - Победа</v>
      </c>
      <c r="C209" s="7">
        <f>IFERROR(__xludf.DUMMYFUNCTION("""COMPUTED_VALUE"""),100.0)</f>
        <v>100</v>
      </c>
      <c r="D209" s="7">
        <f>IFERROR(__xludf.DUMMYFUNCTION("""COMPUTED_VALUE"""),8.1)</f>
        <v>8.1</v>
      </c>
      <c r="E209" s="16">
        <f>IFERROR(__xludf.DUMMYFUNCTION("""COMPUTED_VALUE"""),68.0)</f>
        <v>68</v>
      </c>
      <c r="F209" s="16">
        <f>IFERROR(__xludf.DUMMYFUNCTION("""COMPUTED_VALUE"""),7.2)</f>
        <v>7.2</v>
      </c>
      <c r="G209" s="16">
        <f>IFERROR(__xludf.DUMMYFUNCTION("""COMPUTED_VALUE"""),11.0)</f>
        <v>11</v>
      </c>
      <c r="H209" s="23">
        <f>IFERROR(__xludf.DUMMYFUNCTION("""COMPUTED_VALUE"""),369.2)</f>
        <v>369.2</v>
      </c>
    </row>
    <row r="210">
      <c r="A210" s="16" t="str">
        <f>IFERROR(__xludf.DUMMYFUNCTION("""COMPUTED_VALUE"""),"Десерти (всякакви видове)")</f>
        <v>Десерти (всякакви видове)</v>
      </c>
      <c r="B210" s="7" t="str">
        <f>IFERROR(__xludf.DUMMYFUNCTION("""COMPUTED_VALUE"""),"Кроасан Bauli Cherry")</f>
        <v>Кроасан Bauli Cherry</v>
      </c>
      <c r="C210" s="7">
        <f>IFERROR(__xludf.DUMMYFUNCTION("""COMPUTED_VALUE"""),100.0)</f>
        <v>100</v>
      </c>
      <c r="D210" s="7">
        <f>IFERROR(__xludf.DUMMYFUNCTION("""COMPUTED_VALUE"""),6.4)</f>
        <v>6.4</v>
      </c>
      <c r="E210" s="16">
        <f>IFERROR(__xludf.DUMMYFUNCTION("""COMPUTED_VALUE"""),53.0)</f>
        <v>53</v>
      </c>
      <c r="F210" s="16">
        <f>IFERROR(__xludf.DUMMYFUNCTION("""COMPUTED_VALUE"""),19.0)</f>
        <v>19</v>
      </c>
      <c r="G210" s="16">
        <f>IFERROR(__xludf.DUMMYFUNCTION("""COMPUTED_VALUE"""),1.7)</f>
        <v>1.7</v>
      </c>
      <c r="H210" s="23">
        <f>IFERROR(__xludf.DUMMYFUNCTION("""COMPUTED_VALUE"""),408.6)</f>
        <v>408.6</v>
      </c>
    </row>
    <row r="211">
      <c r="A211" s="16" t="str">
        <f>IFERROR(__xludf.DUMMYFUNCTION("""COMPUTED_VALUE"""),"Десерти (всякакви видове)")</f>
        <v>Десерти (всякакви видове)</v>
      </c>
      <c r="B211" s="7" t="str">
        <f>IFERROR(__xludf.DUMMYFUNCTION("""COMPUTED_VALUE"""),"Кроасан с масло")</f>
        <v>Кроасан с масло</v>
      </c>
      <c r="C211" s="7">
        <f>IFERROR(__xludf.DUMMYFUNCTION("""COMPUTED_VALUE"""),100.0)</f>
        <v>100</v>
      </c>
      <c r="D211" s="7">
        <f>IFERROR(__xludf.DUMMYFUNCTION("""COMPUTED_VALUE"""),8.2)</f>
        <v>8.2</v>
      </c>
      <c r="E211" s="16">
        <f>IFERROR(__xludf.DUMMYFUNCTION("""COMPUTED_VALUE"""),45.8)</f>
        <v>45.8</v>
      </c>
      <c r="F211" s="16">
        <f>IFERROR(__xludf.DUMMYFUNCTION("""COMPUTED_VALUE"""),21.0)</f>
        <v>21</v>
      </c>
      <c r="G211" s="16">
        <f>IFERROR(__xludf.DUMMYFUNCTION("""COMPUTED_VALUE"""),0.0)</f>
        <v>0</v>
      </c>
      <c r="H211" s="23">
        <f>IFERROR(__xludf.DUMMYFUNCTION("""COMPUTED_VALUE"""),405.0)</f>
        <v>405</v>
      </c>
    </row>
    <row r="212">
      <c r="A212" s="16" t="str">
        <f>IFERROR(__xludf.DUMMYFUNCTION("""COMPUTED_VALUE"""),"Десерти (всякакви видове)")</f>
        <v>Десерти (всякакви видове)</v>
      </c>
      <c r="B212" s="7" t="str">
        <f>IFERROR(__xludf.DUMMYFUNCTION("""COMPUTED_VALUE"""),"Бисквити Cuor di Cereale")</f>
        <v>Бисквити Cuor di Cereale</v>
      </c>
      <c r="C212" s="7">
        <f>IFERROR(__xludf.DUMMYFUNCTION("""COMPUTED_VALUE"""),100.0)</f>
        <v>100</v>
      </c>
      <c r="D212" s="7">
        <f>IFERROR(__xludf.DUMMYFUNCTION("""COMPUTED_VALUE"""),7.0)</f>
        <v>7</v>
      </c>
      <c r="E212" s="16">
        <f>IFERROR(__xludf.DUMMYFUNCTION("""COMPUTED_VALUE"""),68.0)</f>
        <v>68</v>
      </c>
      <c r="F212" s="16">
        <f>IFERROR(__xludf.DUMMYFUNCTION("""COMPUTED_VALUE"""),15.0)</f>
        <v>15</v>
      </c>
      <c r="G212" s="16">
        <f>IFERROR(__xludf.DUMMYFUNCTION("""COMPUTED_VALUE"""),6.5)</f>
        <v>6.5</v>
      </c>
      <c r="H212" s="23">
        <f>IFERROR(__xludf.DUMMYFUNCTION("""COMPUTED_VALUE"""),435.0)</f>
        <v>435</v>
      </c>
    </row>
    <row r="213">
      <c r="A213" s="16" t="str">
        <f>IFERROR(__xludf.DUMMYFUNCTION("""COMPUTED_VALUE"""),"Десерти (всякакви видове)")</f>
        <v>Десерти (всякакви видове)</v>
      </c>
      <c r="B213" s="7" t="str">
        <f>IFERROR(__xludf.DUMMYFUNCTION("""COMPUTED_VALUE"""),"Belvita Honey &amp; Nut")</f>
        <v>Belvita Honey &amp; Nut</v>
      </c>
      <c r="C213" s="7">
        <f>IFERROR(__xludf.DUMMYFUNCTION("""COMPUTED_VALUE"""),100.0)</f>
        <v>100</v>
      </c>
      <c r="D213" s="7">
        <f>IFERROR(__xludf.DUMMYFUNCTION("""COMPUTED_VALUE"""),7.5)</f>
        <v>7.5</v>
      </c>
      <c r="E213" s="16">
        <f>IFERROR(__xludf.DUMMYFUNCTION("""COMPUTED_VALUE"""),67.0)</f>
        <v>67</v>
      </c>
      <c r="F213" s="16">
        <f>IFERROR(__xludf.DUMMYFUNCTION("""COMPUTED_VALUE"""),15.0)</f>
        <v>15</v>
      </c>
      <c r="G213" s="16">
        <f>IFERROR(__xludf.DUMMYFUNCTION("""COMPUTED_VALUE"""),4.3)</f>
        <v>4.3</v>
      </c>
      <c r="H213" s="23">
        <f>IFERROR(__xludf.DUMMYFUNCTION("""COMPUTED_VALUE"""),433.0)</f>
        <v>433</v>
      </c>
    </row>
    <row r="214">
      <c r="A214" s="16" t="str">
        <f>IFERROR(__xludf.DUMMYFUNCTION("""COMPUTED_VALUE"""),"Десерти (всякакви видове)")</f>
        <v>Десерти (всякакви видове)</v>
      </c>
      <c r="B214" s="7" t="str">
        <f>IFERROR(__xludf.DUMMYFUNCTION("""COMPUTED_VALUE"""),"Меденка с рожков ( Курабийница)")</f>
        <v>Меденка с рожков ( Курабийница)</v>
      </c>
      <c r="C214" s="12">
        <f>IFERROR(__xludf.DUMMYFUNCTION("""COMPUTED_VALUE"""),100.0)</f>
        <v>100</v>
      </c>
      <c r="D214" s="7">
        <f>IFERROR(__xludf.DUMMYFUNCTION("""COMPUTED_VALUE"""),6.2)</f>
        <v>6.2</v>
      </c>
      <c r="E214" s="16">
        <f>IFERROR(__xludf.DUMMYFUNCTION("""COMPUTED_VALUE"""),64.0)</f>
        <v>64</v>
      </c>
      <c r="F214" s="16">
        <f>IFERROR(__xludf.DUMMYFUNCTION("""COMPUTED_VALUE"""),14.0)</f>
        <v>14</v>
      </c>
      <c r="G214" s="16">
        <f>IFERROR(__xludf.DUMMYFUNCTION("""COMPUTED_VALUE"""),0.0)</f>
        <v>0</v>
      </c>
      <c r="H214" s="16">
        <f>IFERROR(__xludf.DUMMYFUNCTION("""COMPUTED_VALUE"""),406.8)</f>
        <v>406.8</v>
      </c>
    </row>
    <row r="215">
      <c r="A215" s="16" t="str">
        <f>IFERROR(__xludf.DUMMYFUNCTION("""COMPUTED_VALUE"""),"Десерти (всякакви видове)")</f>
        <v>Десерти (всякакви видове)</v>
      </c>
      <c r="B215" s="7" t="str">
        <f>IFERROR(__xludf.DUMMYFUNCTION("""COMPUTED_VALUE"""),"Кексчета Валансирано и вкусно")</f>
        <v>Кексчета Валансирано и вкусно</v>
      </c>
      <c r="C215" s="12">
        <f>IFERROR(__xludf.DUMMYFUNCTION("""COMPUTED_VALUE"""),100.0)</f>
        <v>100</v>
      </c>
      <c r="D215" s="7">
        <f>IFERROR(__xludf.DUMMYFUNCTION("""COMPUTED_VALUE"""),5.8)</f>
        <v>5.8</v>
      </c>
      <c r="E215" s="16">
        <f>IFERROR(__xludf.DUMMYFUNCTION("""COMPUTED_VALUE"""),10.7)</f>
        <v>10.7</v>
      </c>
      <c r="F215" s="16">
        <f>IFERROR(__xludf.DUMMYFUNCTION("""COMPUTED_VALUE"""),4.0)</f>
        <v>4</v>
      </c>
      <c r="G215" s="16">
        <f>IFERROR(__xludf.DUMMYFUNCTION("""COMPUTED_VALUE"""),0.0)</f>
        <v>0</v>
      </c>
      <c r="H215" s="16">
        <f>IFERROR(__xludf.DUMMYFUNCTION("""COMPUTED_VALUE"""),102.0)</f>
        <v>102</v>
      </c>
    </row>
    <row r="216">
      <c r="A216" s="16" t="str">
        <f>IFERROR(__xludf.DUMMYFUNCTION("""COMPUTED_VALUE"""),"Десерти (всякакви видове)")</f>
        <v>Десерти (всякакви видове)</v>
      </c>
      <c r="B216" s="7" t="str">
        <f>IFERROR(__xludf.DUMMYFUNCTION("""COMPUTED_VALUE"""),"Alive (LIDL)")</f>
        <v>Alive (LIDL)</v>
      </c>
      <c r="C216" s="7">
        <f>IFERROR(__xludf.DUMMYFUNCTION("""COMPUTED_VALUE"""),100.0)</f>
        <v>100</v>
      </c>
      <c r="D216" s="7">
        <f>IFERROR(__xludf.DUMMYFUNCTION("""COMPUTED_VALUE"""),12.0)</f>
        <v>12</v>
      </c>
      <c r="E216" s="16">
        <f>IFERROR(__xludf.DUMMYFUNCTION("""COMPUTED_VALUE"""),13.0)</f>
        <v>13</v>
      </c>
      <c r="F216" s="16">
        <f>IFERROR(__xludf.DUMMYFUNCTION("""COMPUTED_VALUE"""),9.0)</f>
        <v>9</v>
      </c>
      <c r="G216" s="16">
        <f>IFERROR(__xludf.DUMMYFUNCTION("""COMPUTED_VALUE"""),0.0)</f>
        <v>0</v>
      </c>
      <c r="H216" s="23">
        <f>IFERROR(__xludf.DUMMYFUNCTION("""COMPUTED_VALUE"""),181.0)</f>
        <v>181</v>
      </c>
    </row>
    <row r="217">
      <c r="A217" s="16" t="str">
        <f>IFERROR(__xludf.DUMMYFUNCTION("""COMPUTED_VALUE"""),"Десерти (всякакви видове)")</f>
        <v>Десерти (всякакви видове)</v>
      </c>
      <c r="B217" s="7" t="str">
        <f>IFERROR(__xludf.DUMMYFUNCTION("""COMPUTED_VALUE"""),"Тоблерон")</f>
        <v>Тоблерон</v>
      </c>
      <c r="C217" s="7">
        <f>IFERROR(__xludf.DUMMYFUNCTION("""COMPUTED_VALUE"""),100.0)</f>
        <v>100</v>
      </c>
      <c r="D217" s="7">
        <f>IFERROR(__xludf.DUMMYFUNCTION("""COMPUTED_VALUE"""),5.3)</f>
        <v>5.3</v>
      </c>
      <c r="E217" s="16">
        <f>IFERROR(__xludf.DUMMYFUNCTION("""COMPUTED_VALUE"""),62.0)</f>
        <v>62</v>
      </c>
      <c r="F217" s="16">
        <f>IFERROR(__xludf.DUMMYFUNCTION("""COMPUTED_VALUE"""),25.0)</f>
        <v>25</v>
      </c>
      <c r="G217" s="16">
        <f>IFERROR(__xludf.DUMMYFUNCTION("""COMPUTED_VALUE"""),0.0)</f>
        <v>0</v>
      </c>
      <c r="H217" s="23">
        <f>IFERROR(__xludf.DUMMYFUNCTION("""COMPUTED_VALUE"""),494.2)</f>
        <v>494.2</v>
      </c>
    </row>
    <row r="218">
      <c r="A218" s="16" t="str">
        <f>IFERROR(__xludf.DUMMYFUNCTION("""COMPUTED_VALUE"""),"Десерти (всякакви видове)")</f>
        <v>Десерти (всякакви видове)</v>
      </c>
      <c r="B218" s="7" t="str">
        <f>IFERROR(__xludf.DUMMYFUNCTION("""COMPUTED_VALUE"""),"Киндер пингуи")</f>
        <v>Киндер пингуи</v>
      </c>
      <c r="C218" s="7">
        <f>IFERROR(__xludf.DUMMYFUNCTION("""COMPUTED_VALUE"""),100.0)</f>
        <v>100</v>
      </c>
      <c r="D218" s="7">
        <f>IFERROR(__xludf.DUMMYFUNCTION("""COMPUTED_VALUE"""),7.0)</f>
        <v>7</v>
      </c>
      <c r="E218" s="16">
        <f>IFERROR(__xludf.DUMMYFUNCTION("""COMPUTED_VALUE"""),37.8)</f>
        <v>37.8</v>
      </c>
      <c r="F218" s="16">
        <f>IFERROR(__xludf.DUMMYFUNCTION("""COMPUTED_VALUE"""),29.7)</f>
        <v>29.7</v>
      </c>
      <c r="G218" s="16">
        <f>IFERROR(__xludf.DUMMYFUNCTION("""COMPUTED_VALUE"""),0.0)</f>
        <v>0</v>
      </c>
      <c r="H218" s="23">
        <f>IFERROR(__xludf.DUMMYFUNCTION("""COMPUTED_VALUE"""),446.5)</f>
        <v>446.5</v>
      </c>
    </row>
    <row r="219">
      <c r="A219" s="16" t="str">
        <f>IFERROR(__xludf.DUMMYFUNCTION("""COMPUTED_VALUE"""),"Десерти (всякакви видове)")</f>
        <v>Десерти (всякакви видове)</v>
      </c>
      <c r="B219" s="7" t="str">
        <f>IFERROR(__xludf.DUMMYFUNCTION("""COMPUTED_VALUE"""),"Нутела")</f>
        <v>Нутела</v>
      </c>
      <c r="C219" s="7">
        <f>IFERROR(__xludf.DUMMYFUNCTION("""COMPUTED_VALUE"""),100.0)</f>
        <v>100</v>
      </c>
      <c r="D219" s="7">
        <f>IFERROR(__xludf.DUMMYFUNCTION("""COMPUTED_VALUE"""),6.3)</f>
        <v>6.3</v>
      </c>
      <c r="E219" s="16">
        <f>IFERROR(__xludf.DUMMYFUNCTION("""COMPUTED_VALUE"""),57.5)</f>
        <v>57.5</v>
      </c>
      <c r="F219" s="16">
        <f>IFERROR(__xludf.DUMMYFUNCTION("""COMPUTED_VALUE"""),30.9)</f>
        <v>30.9</v>
      </c>
      <c r="G219" s="16">
        <f>IFERROR(__xludf.DUMMYFUNCTION("""COMPUTED_VALUE"""),10.6)</f>
        <v>10.6</v>
      </c>
      <c r="H219" s="23">
        <f>IFERROR(__xludf.DUMMYFUNCTION("""COMPUTED_VALUE"""),533.3)</f>
        <v>533.3</v>
      </c>
    </row>
    <row r="220">
      <c r="A220" s="16" t="str">
        <f>IFERROR(__xludf.DUMMYFUNCTION("""COMPUTED_VALUE"""),"Десерти (всякакви видове)")</f>
        <v>Десерти (всякакви видове)</v>
      </c>
      <c r="B220" s="7" t="str">
        <f>IFERROR(__xludf.DUMMYFUNCTION("""COMPUTED_VALUE"""),"Шоколад LIND Abricot Intense")</f>
        <v>Шоколад LIND Abricot Intense</v>
      </c>
      <c r="C220" s="12">
        <f>IFERROR(__xludf.DUMMYFUNCTION("""COMPUTED_VALUE"""),100.0)</f>
        <v>100</v>
      </c>
      <c r="D220" s="7">
        <f>IFERROR(__xludf.DUMMYFUNCTION("""COMPUTED_VALUE"""),6.0)</f>
        <v>6</v>
      </c>
      <c r="E220" s="16">
        <f>IFERROR(__xludf.DUMMYFUNCTION("""COMPUTED_VALUE"""),49.0)</f>
        <v>49</v>
      </c>
      <c r="F220" s="16">
        <f>IFERROR(__xludf.DUMMYFUNCTION("""COMPUTED_VALUE"""),31.0)</f>
        <v>31</v>
      </c>
      <c r="G220" s="16">
        <f>IFERROR(__xludf.DUMMYFUNCTION("""COMPUTED_VALUE"""),0.0)</f>
        <v>0</v>
      </c>
      <c r="H220" s="16">
        <f>IFERROR(__xludf.DUMMYFUNCTION("""COMPUTED_VALUE"""),499.0)</f>
        <v>499</v>
      </c>
    </row>
    <row r="221">
      <c r="A221" s="16" t="str">
        <f>IFERROR(__xludf.DUMMYFUNCTION("""COMPUTED_VALUE"""),"Десерти (всякакви видове)")</f>
        <v>Десерти (всякакви видове)</v>
      </c>
      <c r="B221" s="7" t="str">
        <f>IFERROR(__xludf.DUMMYFUNCTION("""COMPUTED_VALUE"""),"Черен шоколад Рошен 80%")</f>
        <v>Черен шоколад Рошен 80%</v>
      </c>
      <c r="C221" s="12">
        <f>IFERROR(__xludf.DUMMYFUNCTION("""COMPUTED_VALUE"""),100.0)</f>
        <v>100</v>
      </c>
      <c r="D221" s="7">
        <f>IFERROR(__xludf.DUMMYFUNCTION("""COMPUTED_VALUE"""),10.2)</f>
        <v>10.2</v>
      </c>
      <c r="E221" s="16">
        <f>IFERROR(__xludf.DUMMYFUNCTION("""COMPUTED_VALUE"""),22.8)</f>
        <v>22.8</v>
      </c>
      <c r="F221" s="16">
        <f>IFERROR(__xludf.DUMMYFUNCTION("""COMPUTED_VALUE"""),26.6)</f>
        <v>26.6</v>
      </c>
      <c r="G221" s="16">
        <f>IFERROR(__xludf.DUMMYFUNCTION("""COMPUTED_VALUE"""),0.0)</f>
        <v>0</v>
      </c>
      <c r="H221" s="16">
        <f>IFERROR(__xludf.DUMMYFUNCTION("""COMPUTED_VALUE"""),371.4)</f>
        <v>371.4</v>
      </c>
    </row>
    <row r="222">
      <c r="A222" s="16" t="str">
        <f>IFERROR(__xludf.DUMMYFUNCTION("""COMPUTED_VALUE"""),"Десерти (всякакви видове)")</f>
        <v>Десерти (всякакви видове)</v>
      </c>
      <c r="B222" s="7" t="str">
        <f>IFERROR(__xludf.DUMMYFUNCTION("""COMPUTED_VALUE"""),"Милка (чист) Alpine Milk")</f>
        <v>Милка (чист) Alpine Milk</v>
      </c>
      <c r="C222" s="7">
        <f>IFERROR(__xludf.DUMMYFUNCTION("""COMPUTED_VALUE"""),100.0)</f>
        <v>100</v>
      </c>
      <c r="D222" s="7">
        <f>IFERROR(__xludf.DUMMYFUNCTION("""COMPUTED_VALUE"""),6.3)</f>
        <v>6.3</v>
      </c>
      <c r="E222" s="16">
        <f>IFERROR(__xludf.DUMMYFUNCTION("""COMPUTED_VALUE"""),59.0)</f>
        <v>59</v>
      </c>
      <c r="F222" s="16">
        <f>IFERROR(__xludf.DUMMYFUNCTION("""COMPUTED_VALUE"""),29.0)</f>
        <v>29</v>
      </c>
      <c r="G222" s="16">
        <f>IFERROR(__xludf.DUMMYFUNCTION("""COMPUTED_VALUE"""),1.8)</f>
        <v>1.8</v>
      </c>
      <c r="H222" s="23">
        <f>IFERROR(__xludf.DUMMYFUNCTION("""COMPUTED_VALUE"""),522.2)</f>
        <v>522.2</v>
      </c>
    </row>
    <row r="223">
      <c r="A223" s="16" t="str">
        <f>IFERROR(__xludf.DUMMYFUNCTION("""COMPUTED_VALUE"""),"Десерти (всякакви видове)")</f>
        <v>Десерти (всякакви видове)</v>
      </c>
      <c r="B223" s="7" t="str">
        <f>IFERROR(__xludf.DUMMYFUNCTION("""COMPUTED_VALUE"""),"Milka Noisette ")</f>
        <v>Milka Noisette </v>
      </c>
      <c r="C223" s="7">
        <f>IFERROR(__xludf.DUMMYFUNCTION("""COMPUTED_VALUE"""),100.0)</f>
        <v>100</v>
      </c>
      <c r="D223" s="7">
        <f>IFERROR(__xludf.DUMMYFUNCTION("""COMPUTED_VALUE"""),7.5)</f>
        <v>7.5</v>
      </c>
      <c r="E223" s="16">
        <f>IFERROR(__xludf.DUMMYFUNCTION("""COMPUTED_VALUE"""),53.0)</f>
        <v>53</v>
      </c>
      <c r="F223" s="16">
        <f>IFERROR(__xludf.DUMMYFUNCTION("""COMPUTED_VALUE"""),34.0)</f>
        <v>34</v>
      </c>
      <c r="G223" s="16">
        <f>IFERROR(__xludf.DUMMYFUNCTION("""COMPUTED_VALUE"""),2.8)</f>
        <v>2.8</v>
      </c>
      <c r="H223" s="23">
        <f>IFERROR(__xludf.DUMMYFUNCTION("""COMPUTED_VALUE"""),548.0)</f>
        <v>548</v>
      </c>
    </row>
    <row r="224">
      <c r="A224" s="16" t="str">
        <f>IFERROR(__xludf.DUMMYFUNCTION("""COMPUTED_VALUE"""),"Десерти (всякакви видове)")</f>
        <v>Десерти (всякакви видове)</v>
      </c>
      <c r="B224" s="7" t="str">
        <f>IFERROR(__xludf.DUMMYFUNCTION("""COMPUTED_VALUE"""),"Шоколад ION с бадеми")</f>
        <v>Шоколад ION с бадеми</v>
      </c>
      <c r="C224" s="7">
        <f>IFERROR(__xludf.DUMMYFUNCTION("""COMPUTED_VALUE"""),100.0)</f>
        <v>100</v>
      </c>
      <c r="D224" s="7">
        <f>IFERROR(__xludf.DUMMYFUNCTION("""COMPUTED_VALUE"""),11.4)</f>
        <v>11.4</v>
      </c>
      <c r="E224" s="16">
        <f>IFERROR(__xludf.DUMMYFUNCTION("""COMPUTED_VALUE"""),49.6)</f>
        <v>49.6</v>
      </c>
      <c r="F224" s="16">
        <f>IFERROR(__xludf.DUMMYFUNCTION("""COMPUTED_VALUE"""),35.8)</f>
        <v>35.8</v>
      </c>
      <c r="G224" s="16">
        <f>IFERROR(__xludf.DUMMYFUNCTION("""COMPUTED_VALUE"""),0.0)</f>
        <v>0</v>
      </c>
      <c r="H224" s="23">
        <f>IFERROR(__xludf.DUMMYFUNCTION("""COMPUTED_VALUE"""),566.2)</f>
        <v>566.2</v>
      </c>
    </row>
    <row r="225">
      <c r="A225" s="16" t="str">
        <f>IFERROR(__xludf.DUMMYFUNCTION("""COMPUTED_VALUE"""),"Десерти (всякакви видове)")</f>
        <v>Десерти (всякакви видове)</v>
      </c>
      <c r="B225" s="7" t="str">
        <f>IFERROR(__xludf.DUMMYFUNCTION("""COMPUTED_VALUE"""),"Шоколад млечен Roshen")</f>
        <v>Шоколад млечен Roshen</v>
      </c>
      <c r="C225" s="7">
        <f>IFERROR(__xludf.DUMMYFUNCTION("""COMPUTED_VALUE"""),100.0)</f>
        <v>100</v>
      </c>
      <c r="D225" s="7">
        <f>IFERROR(__xludf.DUMMYFUNCTION("""COMPUTED_VALUE"""),7.7)</f>
        <v>7.7</v>
      </c>
      <c r="E225" s="16">
        <f>IFERROR(__xludf.DUMMYFUNCTION("""COMPUTED_VALUE"""),52.1)</f>
        <v>52.1</v>
      </c>
      <c r="F225" s="16">
        <f>IFERROR(__xludf.DUMMYFUNCTION("""COMPUTED_VALUE"""),33.9)</f>
        <v>33.9</v>
      </c>
      <c r="G225" s="16">
        <f>IFERROR(__xludf.DUMMYFUNCTION("""COMPUTED_VALUE"""),0.0)</f>
        <v>0</v>
      </c>
      <c r="H225" s="23">
        <f>IFERROR(__xludf.DUMMYFUNCTION("""COMPUTED_VALUE"""),544.3)</f>
        <v>544.3</v>
      </c>
    </row>
    <row r="226">
      <c r="A226" s="16" t="str">
        <f>IFERROR(__xludf.DUMMYFUNCTION("""COMPUTED_VALUE"""),"Десерти (всякакви видове)")</f>
        <v>Десерти (всякакви видове)</v>
      </c>
      <c r="B226" s="7" t="str">
        <f>IFERROR(__xludf.DUMMYFUNCTION("""COMPUTED_VALUE"""),"Lindt MILD 85%")</f>
        <v>Lindt MILD 85%</v>
      </c>
      <c r="C226" s="12">
        <f>IFERROR(__xludf.DUMMYFUNCTION("""COMPUTED_VALUE"""),100.0)</f>
        <v>100</v>
      </c>
      <c r="D226" s="7">
        <f>IFERROR(__xludf.DUMMYFUNCTION("""COMPUTED_VALUE"""),8.9)</f>
        <v>8.9</v>
      </c>
      <c r="E226" s="16">
        <f>IFERROR(__xludf.DUMMYFUNCTION("""COMPUTED_VALUE"""),19.0)</f>
        <v>19</v>
      </c>
      <c r="F226" s="16">
        <f>IFERROR(__xludf.DUMMYFUNCTION("""COMPUTED_VALUE"""),55.0)</f>
        <v>55</v>
      </c>
      <c r="G226" s="16">
        <f>IFERROR(__xludf.DUMMYFUNCTION("""COMPUTED_VALUE"""),0.0)</f>
        <v>0</v>
      </c>
      <c r="H226" s="16">
        <f>IFERROR(__xludf.DUMMYFUNCTION("""COMPUTED_VALUE"""),606.6)</f>
        <v>606.6</v>
      </c>
    </row>
    <row r="227">
      <c r="A227" s="16" t="str">
        <f>IFERROR(__xludf.DUMMYFUNCTION("""COMPUTED_VALUE"""),"Десерти (всякакви видове)")</f>
        <v>Десерти (всякакви видове)</v>
      </c>
      <c r="B227" s="7" t="str">
        <f>IFERROR(__xludf.DUMMYFUNCTION("""COMPUTED_VALUE"""),"Ritter SPORT без лактоза")</f>
        <v>Ritter SPORT без лактоза</v>
      </c>
      <c r="C227" s="12">
        <f>IFERROR(__xludf.DUMMYFUNCTION("""COMPUTED_VALUE"""),100.0)</f>
        <v>100</v>
      </c>
      <c r="D227" s="7">
        <f>IFERROR(__xludf.DUMMYFUNCTION("""COMPUTED_VALUE"""),9.7)</f>
        <v>9.7</v>
      </c>
      <c r="E227" s="16">
        <f>IFERROR(__xludf.DUMMYFUNCTION("""COMPUTED_VALUE"""),49.0)</f>
        <v>49</v>
      </c>
      <c r="F227" s="16">
        <f>IFERROR(__xludf.DUMMYFUNCTION("""COMPUTED_VALUE"""),35.0)</f>
        <v>35</v>
      </c>
      <c r="G227" s="16">
        <f>IFERROR(__xludf.DUMMYFUNCTION("""COMPUTED_VALUE"""),0.0)</f>
        <v>0</v>
      </c>
      <c r="H227" s="16">
        <f>IFERROR(__xludf.DUMMYFUNCTION("""COMPUTED_VALUE"""),549.8)</f>
        <v>549.8</v>
      </c>
    </row>
    <row r="228">
      <c r="A228" s="16" t="str">
        <f>IFERROR(__xludf.DUMMYFUNCTION("""COMPUTED_VALUE"""),"Десерти (всякакви видове)")</f>
        <v>Десерти (всякакви видове)</v>
      </c>
      <c r="B228" s="7" t="str">
        <f>IFERROR(__xludf.DUMMYFUNCTION("""COMPUTED_VALUE"""),"Benjamissimo (Hot Nibs)")</f>
        <v>Benjamissimo (Hot Nibs)</v>
      </c>
      <c r="C228" s="12">
        <f>IFERROR(__xludf.DUMMYFUNCTION("""COMPUTED_VALUE"""),100.0)</f>
        <v>100</v>
      </c>
      <c r="D228" s="7">
        <f>IFERROR(__xludf.DUMMYFUNCTION("""COMPUTED_VALUE"""),3.0)</f>
        <v>3</v>
      </c>
      <c r="E228" s="16">
        <f>IFERROR(__xludf.DUMMYFUNCTION("""COMPUTED_VALUE"""),46.0)</f>
        <v>46</v>
      </c>
      <c r="F228" s="16">
        <f>IFERROR(__xludf.DUMMYFUNCTION("""COMPUTED_VALUE"""),44.0)</f>
        <v>44</v>
      </c>
      <c r="G228" s="16">
        <f>IFERROR(__xludf.DUMMYFUNCTION("""COMPUTED_VALUE"""),0.0)</f>
        <v>0</v>
      </c>
      <c r="H228" s="16">
        <f>IFERROR(__xludf.DUMMYFUNCTION("""COMPUTED_VALUE"""),592.0)</f>
        <v>592</v>
      </c>
    </row>
    <row r="229">
      <c r="A229" s="16" t="str">
        <f>IFERROR(__xludf.DUMMYFUNCTION("""COMPUTED_VALUE"""),"Добавки")</f>
        <v>Добавки</v>
      </c>
      <c r="B229" s="7" t="str">
        <f>IFERROR(__xludf.DUMMYFUNCTION("""COMPUTED_VALUE"""),"Бакпулвер")</f>
        <v>Бакпулвер</v>
      </c>
      <c r="C229" s="12">
        <f>IFERROR(__xludf.DUMMYFUNCTION("""COMPUTED_VALUE"""),100.0)</f>
        <v>100</v>
      </c>
      <c r="D229" s="22">
        <f>IFERROR(__xludf.DUMMYFUNCTION("""COMPUTED_VALUE"""),0.1)</f>
        <v>0.1</v>
      </c>
      <c r="E229" s="24">
        <f>IFERROR(__xludf.DUMMYFUNCTION("""COMPUTED_VALUE"""),46.9)</f>
        <v>46.9</v>
      </c>
      <c r="F229" s="24">
        <f>IFERROR(__xludf.DUMMYFUNCTION("""COMPUTED_VALUE"""),0.4)</f>
        <v>0.4</v>
      </c>
      <c r="G229" s="24">
        <f>IFERROR(__xludf.DUMMYFUNCTION("""COMPUTED_VALUE"""),2.2)</f>
        <v>2.2</v>
      </c>
      <c r="H229" s="23">
        <f>IFERROR(__xludf.DUMMYFUNCTION("""COMPUTED_VALUE"""),191.6)</f>
        <v>191.6</v>
      </c>
    </row>
    <row r="230">
      <c r="A230" s="16" t="str">
        <f>IFERROR(__xludf.DUMMYFUNCTION("""COMPUTED_VALUE"""),"Добавки")</f>
        <v>Добавки</v>
      </c>
      <c r="B230" s="7" t="str">
        <f>IFERROR(__xludf.DUMMYFUNCTION("""COMPUTED_VALUE"""),"Ванилия")</f>
        <v>Ванилия</v>
      </c>
      <c r="C230" s="12">
        <f>IFERROR(__xludf.DUMMYFUNCTION("""COMPUTED_VALUE"""),100.0)</f>
        <v>100</v>
      </c>
      <c r="D230" s="22">
        <f>IFERROR(__xludf.DUMMYFUNCTION("""COMPUTED_VALUE"""),0.1)</f>
        <v>0.1</v>
      </c>
      <c r="E230" s="24">
        <f>IFERROR(__xludf.DUMMYFUNCTION("""COMPUTED_VALUE"""),12.7)</f>
        <v>12.7</v>
      </c>
      <c r="F230" s="24">
        <f>IFERROR(__xludf.DUMMYFUNCTION("""COMPUTED_VALUE"""),0.1)</f>
        <v>0.1</v>
      </c>
      <c r="G230" s="24">
        <f>IFERROR(__xludf.DUMMYFUNCTION("""COMPUTED_VALUE"""),0.0)</f>
        <v>0</v>
      </c>
      <c r="H230" s="23">
        <f>IFERROR(__xludf.DUMMYFUNCTION("""COMPUTED_VALUE"""),52.099999999999994)</f>
        <v>52.1</v>
      </c>
    </row>
    <row r="231">
      <c r="A231" s="16" t="str">
        <f>IFERROR(__xludf.DUMMYFUNCTION("""COMPUTED_VALUE"""),"Добавки")</f>
        <v>Добавки</v>
      </c>
      <c r="B231" s="7" t="str">
        <f>IFERROR(__xludf.DUMMYFUNCTION("""COMPUTED_VALUE"""),"Какао")</f>
        <v>Какао</v>
      </c>
      <c r="C231" s="12">
        <f>IFERROR(__xludf.DUMMYFUNCTION("""COMPUTED_VALUE"""),100.0)</f>
        <v>100</v>
      </c>
      <c r="D231" s="22">
        <f>IFERROR(__xludf.DUMMYFUNCTION("""COMPUTED_VALUE"""),19.6)</f>
        <v>19.6</v>
      </c>
      <c r="E231" s="24">
        <f>IFERROR(__xludf.DUMMYFUNCTION("""COMPUTED_VALUE"""),57.9)</f>
        <v>57.9</v>
      </c>
      <c r="F231" s="24">
        <f>IFERROR(__xludf.DUMMYFUNCTION("""COMPUTED_VALUE"""),13.7)</f>
        <v>13.7</v>
      </c>
      <c r="G231" s="24">
        <f>IFERROR(__xludf.DUMMYFUNCTION("""COMPUTED_VALUE"""),33.2)</f>
        <v>33.2</v>
      </c>
      <c r="H231" s="23">
        <f>IFERROR(__xludf.DUMMYFUNCTION("""COMPUTED_VALUE"""),433.3)</f>
        <v>433.3</v>
      </c>
    </row>
    <row r="232">
      <c r="A232" s="16" t="str">
        <f>IFERROR(__xludf.DUMMYFUNCTION("""COMPUTED_VALUE"""),"Добавки")</f>
        <v>Добавки</v>
      </c>
      <c r="B232" s="7" t="str">
        <f>IFERROR(__xludf.DUMMYFUNCTION("""COMPUTED_VALUE"""),"Желатин")</f>
        <v>Желатин</v>
      </c>
      <c r="C232" s="12">
        <f>IFERROR(__xludf.DUMMYFUNCTION("""COMPUTED_VALUE"""),100.0)</f>
        <v>100</v>
      </c>
      <c r="D232" s="22">
        <f>IFERROR(__xludf.DUMMYFUNCTION("""COMPUTED_VALUE"""),87.0)</f>
        <v>87</v>
      </c>
      <c r="E232" s="24">
        <f>IFERROR(__xludf.DUMMYFUNCTION("""COMPUTED_VALUE"""),0.0)</f>
        <v>0</v>
      </c>
      <c r="F232" s="24">
        <f>IFERROR(__xludf.DUMMYFUNCTION("""COMPUTED_VALUE"""),0.0)</f>
        <v>0</v>
      </c>
      <c r="G232" s="24">
        <f>IFERROR(__xludf.DUMMYFUNCTION("""COMPUTED_VALUE"""),0.0)</f>
        <v>0</v>
      </c>
      <c r="H232" s="23">
        <f>IFERROR(__xludf.DUMMYFUNCTION("""COMPUTED_VALUE"""),348.0)</f>
        <v>348</v>
      </c>
    </row>
    <row r="233">
      <c r="A233" s="16" t="str">
        <f>IFERROR(__xludf.DUMMYFUNCTION("""COMPUTED_VALUE"""),"Добавки")</f>
        <v>Добавки</v>
      </c>
      <c r="B233" s="7" t="str">
        <f>IFERROR(__xludf.DUMMYFUNCTION("""COMPUTED_VALUE"""),"Подсладител")</f>
        <v>Подсладител</v>
      </c>
      <c r="C233" s="12">
        <f>IFERROR(__xludf.DUMMYFUNCTION("""COMPUTED_VALUE"""),100.0)</f>
        <v>100</v>
      </c>
      <c r="D233" s="22">
        <f>IFERROR(__xludf.DUMMYFUNCTION("""COMPUTED_VALUE"""),0.0)</f>
        <v>0</v>
      </c>
      <c r="E233" s="24">
        <f>IFERROR(__xludf.DUMMYFUNCTION("""COMPUTED_VALUE"""),0.0)</f>
        <v>0</v>
      </c>
      <c r="F233" s="24">
        <f>IFERROR(__xludf.DUMMYFUNCTION("""COMPUTED_VALUE"""),0.0)</f>
        <v>0</v>
      </c>
      <c r="G233" s="24">
        <f>IFERROR(__xludf.DUMMYFUNCTION("""COMPUTED_VALUE"""),0.0)</f>
        <v>0</v>
      </c>
      <c r="H233" s="23">
        <f>IFERROR(__xludf.DUMMYFUNCTION("""COMPUTED_VALUE"""),0.0)</f>
        <v>0</v>
      </c>
    </row>
    <row r="234">
      <c r="A234" s="16" t="str">
        <f>IFERROR(__xludf.DUMMYFUNCTION("""COMPUTED_VALUE"""),"Добавки")</f>
        <v>Добавки</v>
      </c>
      <c r="B234" s="7" t="str">
        <f>IFERROR(__xludf.DUMMYFUNCTION("""COMPUTED_VALUE"""),"Вода")</f>
        <v>Вода</v>
      </c>
      <c r="C234" s="12">
        <f>IFERROR(__xludf.DUMMYFUNCTION("""COMPUTED_VALUE"""),100.0)</f>
        <v>100</v>
      </c>
      <c r="D234" s="22">
        <f>IFERROR(__xludf.DUMMYFUNCTION("""COMPUTED_VALUE"""),0.0)</f>
        <v>0</v>
      </c>
      <c r="E234" s="24">
        <f>IFERROR(__xludf.DUMMYFUNCTION("""COMPUTED_VALUE"""),0.0)</f>
        <v>0</v>
      </c>
      <c r="F234" s="24">
        <f>IFERROR(__xludf.DUMMYFUNCTION("""COMPUTED_VALUE"""),0.0)</f>
        <v>0</v>
      </c>
      <c r="G234" s="24">
        <f>IFERROR(__xludf.DUMMYFUNCTION("""COMPUTED_VALUE"""),0.0)</f>
        <v>0</v>
      </c>
      <c r="H234" s="23">
        <f>IFERROR(__xludf.DUMMYFUNCTION("""COMPUTED_VALUE"""),0.0)</f>
        <v>0</v>
      </c>
    </row>
    <row r="235">
      <c r="A235" s="16" t="str">
        <f>IFERROR(__xludf.DUMMYFUNCTION("""COMPUTED_VALUE"""),"Добавки")</f>
        <v>Добавки</v>
      </c>
      <c r="B235" s="7" t="str">
        <f>IFERROR(__xludf.DUMMYFUNCTION("""COMPUTED_VALUE"""),"Сода бикарбонат")</f>
        <v>Сода бикарбонат</v>
      </c>
      <c r="C235" s="12">
        <f>IFERROR(__xludf.DUMMYFUNCTION("""COMPUTED_VALUE"""),100.0)</f>
        <v>100</v>
      </c>
      <c r="D235" s="22">
        <f>IFERROR(__xludf.DUMMYFUNCTION("""COMPUTED_VALUE"""),0.0)</f>
        <v>0</v>
      </c>
      <c r="E235" s="24">
        <f>IFERROR(__xludf.DUMMYFUNCTION("""COMPUTED_VALUE"""),0.0)</f>
        <v>0</v>
      </c>
      <c r="F235" s="24">
        <f>IFERROR(__xludf.DUMMYFUNCTION("""COMPUTED_VALUE"""),0.0)</f>
        <v>0</v>
      </c>
      <c r="G235" s="24">
        <f>IFERROR(__xludf.DUMMYFUNCTION("""COMPUTED_VALUE"""),0.0)</f>
        <v>0</v>
      </c>
      <c r="H235" s="23">
        <f>IFERROR(__xludf.DUMMYFUNCTION("""COMPUTED_VALUE"""),0.0)</f>
        <v>0</v>
      </c>
    </row>
    <row r="236">
      <c r="A236" s="16" t="str">
        <f>IFERROR(__xludf.DUMMYFUNCTION("""COMPUTED_VALUE"""),"Добавки")</f>
        <v>Добавки</v>
      </c>
      <c r="B236" s="7" t="str">
        <f>IFERROR(__xludf.DUMMYFUNCTION("""COMPUTED_VALUE"""),"Джинджифил на прах")</f>
        <v>Джинджифил на прах</v>
      </c>
      <c r="C236" s="12">
        <f>IFERROR(__xludf.DUMMYFUNCTION("""COMPUTED_VALUE"""),100.0)</f>
        <v>100</v>
      </c>
      <c r="D236" s="22">
        <f>IFERROR(__xludf.DUMMYFUNCTION("""COMPUTED_VALUE"""),9.1)</f>
        <v>9.1</v>
      </c>
      <c r="E236" s="24">
        <f>IFERROR(__xludf.DUMMYFUNCTION("""COMPUTED_VALUE"""),70.8)</f>
        <v>70.8</v>
      </c>
      <c r="F236" s="24">
        <f>IFERROR(__xludf.DUMMYFUNCTION("""COMPUTED_VALUE"""),5.9)</f>
        <v>5.9</v>
      </c>
      <c r="G236" s="24">
        <f>IFERROR(__xludf.DUMMYFUNCTION("""COMPUTED_VALUE"""),12.5)</f>
        <v>12.5</v>
      </c>
      <c r="H236" s="23">
        <f>IFERROR(__xludf.DUMMYFUNCTION("""COMPUTED_VALUE"""),372.7)</f>
        <v>372.7</v>
      </c>
    </row>
    <row r="237">
      <c r="A237" s="16" t="str">
        <f>IFERROR(__xludf.DUMMYFUNCTION("""COMPUTED_VALUE"""),"Добавки")</f>
        <v>Добавки</v>
      </c>
      <c r="B237" s="7" t="str">
        <f>IFERROR(__xludf.DUMMYFUNCTION("""COMPUTED_VALUE"""),"Босилек (пресен)")</f>
        <v>Босилек (пресен)</v>
      </c>
      <c r="C237" s="12">
        <f>IFERROR(__xludf.DUMMYFUNCTION("""COMPUTED_VALUE"""),100.0)</f>
        <v>100</v>
      </c>
      <c r="D237" s="22">
        <f>IFERROR(__xludf.DUMMYFUNCTION("""COMPUTED_VALUE"""),3.0)</f>
        <v>3</v>
      </c>
      <c r="E237" s="24">
        <f>IFERROR(__xludf.DUMMYFUNCTION("""COMPUTED_VALUE"""),2.5)</f>
        <v>2.5</v>
      </c>
      <c r="F237" s="24">
        <f>IFERROR(__xludf.DUMMYFUNCTION("""COMPUTED_VALUE"""),0.5)</f>
        <v>0.5</v>
      </c>
      <c r="G237" s="24">
        <f>IFERROR(__xludf.DUMMYFUNCTION("""COMPUTED_VALUE"""),2.0)</f>
        <v>2</v>
      </c>
      <c r="H237" s="23">
        <f>IFERROR(__xludf.DUMMYFUNCTION("""COMPUTED_VALUE"""),26.5)</f>
        <v>26.5</v>
      </c>
    </row>
    <row r="238">
      <c r="A238" s="16" t="str">
        <f>IFERROR(__xludf.DUMMYFUNCTION("""COMPUTED_VALUE"""),"Добавки")</f>
        <v>Добавки</v>
      </c>
      <c r="B238" s="7" t="str">
        <f>IFERROR(__xludf.DUMMYFUNCTION("""COMPUTED_VALUE"""),"Лук на прах")</f>
        <v>Лук на прах</v>
      </c>
      <c r="C238" s="12">
        <f>IFERROR(__xludf.DUMMYFUNCTION("""COMPUTED_VALUE"""),100.0)</f>
        <v>100</v>
      </c>
      <c r="D238" s="7"/>
      <c r="E238" s="16"/>
      <c r="F238" s="16"/>
      <c r="G238" s="16"/>
      <c r="H238" s="23">
        <f>IFERROR(__xludf.DUMMYFUNCTION("""COMPUTED_VALUE"""),0.0)</f>
        <v>0</v>
      </c>
    </row>
    <row r="239">
      <c r="A239" s="16" t="str">
        <f>IFERROR(__xludf.DUMMYFUNCTION("""COMPUTED_VALUE"""),"Добавки")</f>
        <v>Добавки</v>
      </c>
      <c r="B239" s="7" t="str">
        <f>IFERROR(__xludf.DUMMYFUNCTION("""COMPUTED_VALUE"""),"Микс от Италиански подправки")</f>
        <v>Микс от Италиански подправки</v>
      </c>
      <c r="C239" s="12">
        <f>IFERROR(__xludf.DUMMYFUNCTION("""COMPUTED_VALUE"""),100.0)</f>
        <v>100</v>
      </c>
      <c r="D239" s="7"/>
      <c r="E239" s="16"/>
      <c r="F239" s="16"/>
      <c r="G239" s="16"/>
      <c r="H239" s="23">
        <f>IFERROR(__xludf.DUMMYFUNCTION("""COMPUTED_VALUE"""),0.0)</f>
        <v>0</v>
      </c>
    </row>
    <row r="240">
      <c r="A240" s="16" t="str">
        <f>IFERROR(__xludf.DUMMYFUNCTION("""COMPUTED_VALUE"""),"Добавки")</f>
        <v>Добавки</v>
      </c>
      <c r="B240" s="7" t="str">
        <f>IFERROR(__xludf.DUMMYFUNCTION("""COMPUTED_VALUE"""),"Сос Салса Верде (магданоз, чесън, зехтин, лимонов сок, сол)")</f>
        <v>Сос Салса Верде (магданоз, чесън, зехтин, лимонов сок, сол)</v>
      </c>
      <c r="C240" s="12">
        <f>IFERROR(__xludf.DUMMYFUNCTION("""COMPUTED_VALUE"""),100.0)</f>
        <v>100</v>
      </c>
      <c r="D240" s="7"/>
      <c r="E240" s="16"/>
      <c r="F240" s="16"/>
      <c r="G240" s="16"/>
      <c r="H240" s="23">
        <f>IFERROR(__xludf.DUMMYFUNCTION("""COMPUTED_VALUE"""),0.0)</f>
        <v>0</v>
      </c>
    </row>
    <row r="241">
      <c r="A241" s="16" t="str">
        <f>IFERROR(__xludf.DUMMYFUNCTION("""COMPUTED_VALUE"""),"Добавки")</f>
        <v>Добавки</v>
      </c>
      <c r="B241" s="7" t="str">
        <f>IFERROR(__xludf.DUMMYFUNCTION("""COMPUTED_VALUE"""),"Домати (сушени)")</f>
        <v>Домати (сушени)</v>
      </c>
      <c r="C241" s="12">
        <f>IFERROR(__xludf.DUMMYFUNCTION("""COMPUTED_VALUE"""),100.0)</f>
        <v>100</v>
      </c>
      <c r="D241" s="22">
        <f>IFERROR(__xludf.DUMMYFUNCTION("""COMPUTED_VALUE"""),14.0)</f>
        <v>14</v>
      </c>
      <c r="E241" s="24">
        <f>IFERROR(__xludf.DUMMYFUNCTION("""COMPUTED_VALUE"""),55.0)</f>
        <v>55</v>
      </c>
      <c r="F241" s="24">
        <f>IFERROR(__xludf.DUMMYFUNCTION("""COMPUTED_VALUE"""),3.0)</f>
        <v>3</v>
      </c>
      <c r="G241" s="24">
        <f>IFERROR(__xludf.DUMMYFUNCTION("""COMPUTED_VALUE"""),12.0)</f>
        <v>12</v>
      </c>
      <c r="H241" s="23">
        <f>IFERROR(__xludf.DUMMYFUNCTION("""COMPUTED_VALUE"""),303.0)</f>
        <v>303</v>
      </c>
    </row>
    <row r="242">
      <c r="A242" s="16" t="str">
        <f>IFERROR(__xludf.DUMMYFUNCTION("""COMPUTED_VALUE"""),"Добавки")</f>
        <v>Добавки</v>
      </c>
      <c r="B242" s="7" t="str">
        <f>IFERROR(__xludf.DUMMYFUNCTION("""COMPUTED_VALUE"""),"Дафинов лист")</f>
        <v>Дафинов лист</v>
      </c>
      <c r="C242" s="12">
        <f>IFERROR(__xludf.DUMMYFUNCTION("""COMPUTED_VALUE"""),100.0)</f>
        <v>100</v>
      </c>
      <c r="D242" s="7"/>
      <c r="E242" s="16"/>
      <c r="F242" s="16"/>
      <c r="G242" s="16"/>
      <c r="H242" s="23">
        <f>IFERROR(__xludf.DUMMYFUNCTION("""COMPUTED_VALUE"""),0.0)</f>
        <v>0</v>
      </c>
    </row>
    <row r="243">
      <c r="A243" s="16" t="str">
        <f>IFERROR(__xludf.DUMMYFUNCTION("""COMPUTED_VALUE"""),"Добавки")</f>
        <v>Добавки</v>
      </c>
      <c r="B243" s="7" t="str">
        <f>IFERROR(__xludf.DUMMYFUNCTION("""COMPUTED_VALUE"""),"Червен пипер")</f>
        <v>Червен пипер</v>
      </c>
      <c r="C243" s="12">
        <f>IFERROR(__xludf.DUMMYFUNCTION("""COMPUTED_VALUE"""),100.0)</f>
        <v>100</v>
      </c>
      <c r="D243" s="7"/>
      <c r="E243" s="16"/>
      <c r="F243" s="16"/>
      <c r="G243" s="16"/>
      <c r="H243" s="23">
        <f>IFERROR(__xludf.DUMMYFUNCTION("""COMPUTED_VALUE"""),0.0)</f>
        <v>0</v>
      </c>
    </row>
    <row r="244">
      <c r="A244" s="16" t="str">
        <f>IFERROR(__xludf.DUMMYFUNCTION("""COMPUTED_VALUE"""),"Добавки")</f>
        <v>Добавки</v>
      </c>
      <c r="B244" s="7" t="str">
        <f>IFERROR(__xludf.DUMMYFUNCTION("""COMPUTED_VALUE"""),"Зеленчуков бульон")</f>
        <v>Зеленчуков бульон</v>
      </c>
      <c r="C244" s="12">
        <f>IFERROR(__xludf.DUMMYFUNCTION("""COMPUTED_VALUE"""),100.0)</f>
        <v>100</v>
      </c>
      <c r="D244" s="7"/>
      <c r="E244" s="16"/>
      <c r="F244" s="16"/>
      <c r="G244" s="16"/>
      <c r="H244" s="23">
        <f>IFERROR(__xludf.DUMMYFUNCTION("""COMPUTED_VALUE"""),0.0)</f>
        <v>0</v>
      </c>
    </row>
    <row r="245">
      <c r="A245" s="16" t="str">
        <f>IFERROR(__xludf.DUMMYFUNCTION("""COMPUTED_VALUE"""),"Добавки")</f>
        <v>Добавки</v>
      </c>
      <c r="B245" s="7" t="str">
        <f>IFERROR(__xludf.DUMMYFUNCTION("""COMPUTED_VALUE"""),"Гъбен бульон")</f>
        <v>Гъбен бульон</v>
      </c>
      <c r="C245" s="12">
        <f>IFERROR(__xludf.DUMMYFUNCTION("""COMPUTED_VALUE"""),100.0)</f>
        <v>100</v>
      </c>
      <c r="D245" s="7"/>
      <c r="E245" s="16"/>
      <c r="F245" s="16"/>
      <c r="G245" s="16"/>
      <c r="H245" s="23">
        <f>IFERROR(__xludf.DUMMYFUNCTION("""COMPUTED_VALUE"""),0.0)</f>
        <v>0</v>
      </c>
    </row>
    <row r="246">
      <c r="A246" s="16" t="str">
        <f>IFERROR(__xludf.DUMMYFUNCTION("""COMPUTED_VALUE"""),"Добавки")</f>
        <v>Добавки</v>
      </c>
      <c r="B246" s="7" t="str">
        <f>IFERROR(__xludf.DUMMYFUNCTION("""COMPUTED_VALUE"""),"Чили (сушено)")</f>
        <v>Чили (сушено)</v>
      </c>
      <c r="C246" s="12">
        <f>IFERROR(__xludf.DUMMYFUNCTION("""COMPUTED_VALUE"""),100.0)</f>
        <v>100</v>
      </c>
      <c r="D246" s="7"/>
      <c r="E246" s="16"/>
      <c r="F246" s="16"/>
      <c r="G246" s="16"/>
      <c r="H246" s="23">
        <f>IFERROR(__xludf.DUMMYFUNCTION("""COMPUTED_VALUE"""),0.0)</f>
        <v>0</v>
      </c>
    </row>
    <row r="247">
      <c r="A247" s="16" t="str">
        <f>IFERROR(__xludf.DUMMYFUNCTION("""COMPUTED_VALUE"""),"Добавки")</f>
        <v>Добавки</v>
      </c>
      <c r="B247" s="7" t="str">
        <f>IFERROR(__xludf.DUMMYFUNCTION("""COMPUTED_VALUE"""),"Босилек (изсушен)")</f>
        <v>Босилек (изсушен)</v>
      </c>
      <c r="C247" s="12">
        <f>IFERROR(__xludf.DUMMYFUNCTION("""COMPUTED_VALUE"""),100.0)</f>
        <v>100</v>
      </c>
      <c r="D247" s="7"/>
      <c r="E247" s="16"/>
      <c r="F247" s="16"/>
      <c r="G247" s="16"/>
      <c r="H247" s="23">
        <f>IFERROR(__xludf.DUMMYFUNCTION("""COMPUTED_VALUE"""),0.0)</f>
        <v>0</v>
      </c>
    </row>
    <row r="248">
      <c r="A248" s="16" t="str">
        <f>IFERROR(__xludf.DUMMYFUNCTION("""COMPUTED_VALUE"""),"Добавки")</f>
        <v>Добавки</v>
      </c>
      <c r="B248" s="7" t="str">
        <f>IFERROR(__xludf.DUMMYFUNCTION("""COMPUTED_VALUE"""),"Риган (изсушен)")</f>
        <v>Риган (изсушен)</v>
      </c>
      <c r="C248" s="12">
        <f>IFERROR(__xludf.DUMMYFUNCTION("""COMPUTED_VALUE"""),100.0)</f>
        <v>100</v>
      </c>
      <c r="D248" s="7"/>
      <c r="E248" s="16"/>
      <c r="F248" s="16"/>
      <c r="G248" s="16"/>
      <c r="H248" s="23">
        <f>IFERROR(__xludf.DUMMYFUNCTION("""COMPUTED_VALUE"""),0.0)</f>
        <v>0</v>
      </c>
    </row>
    <row r="249">
      <c r="A249" s="16" t="str">
        <f>IFERROR(__xludf.DUMMYFUNCTION("""COMPUTED_VALUE"""),"Добавки")</f>
        <v>Добавки</v>
      </c>
      <c r="B249" s="7" t="str">
        <f>IFERROR(__xludf.DUMMYFUNCTION("""COMPUTED_VALUE"""),"Чили сос")</f>
        <v>Чили сос</v>
      </c>
      <c r="C249" s="12">
        <f>IFERROR(__xludf.DUMMYFUNCTION("""COMPUTED_VALUE"""),100.0)</f>
        <v>100</v>
      </c>
      <c r="D249" s="7"/>
      <c r="E249" s="16"/>
      <c r="F249" s="16"/>
      <c r="G249" s="16"/>
      <c r="H249" s="23">
        <f>IFERROR(__xludf.DUMMYFUNCTION("""COMPUTED_VALUE"""),0.0)</f>
        <v>0</v>
      </c>
    </row>
    <row r="250">
      <c r="A250" s="16" t="str">
        <f>IFERROR(__xludf.DUMMYFUNCTION("""COMPUTED_VALUE"""),"Добавки")</f>
        <v>Добавки</v>
      </c>
      <c r="B250" s="7" t="str">
        <f>IFERROR(__xludf.DUMMYFUNCTION("""COMPUTED_VALUE"""),"Чесън на прах")</f>
        <v>Чесън на прах</v>
      </c>
      <c r="C250" s="12">
        <f>IFERROR(__xludf.DUMMYFUNCTION("""COMPUTED_VALUE"""),100.0)</f>
        <v>100</v>
      </c>
      <c r="D250" s="7"/>
      <c r="E250" s="16"/>
      <c r="F250" s="16"/>
      <c r="G250" s="16"/>
      <c r="H250" s="23">
        <f>IFERROR(__xludf.DUMMYFUNCTION("""COMPUTED_VALUE"""),0.0)</f>
        <v>0</v>
      </c>
    </row>
    <row r="251">
      <c r="A251" s="16" t="str">
        <f>IFERROR(__xludf.DUMMYFUNCTION("""COMPUTED_VALUE"""),"Добавки")</f>
        <v>Добавки</v>
      </c>
      <c r="B251" s="7" t="str">
        <f>IFERROR(__xludf.DUMMYFUNCTION("""COMPUTED_VALUE"""),"Кориандър (пресен)")</f>
        <v>Кориандър (пресен)</v>
      </c>
      <c r="C251" s="12">
        <f>IFERROR(__xludf.DUMMYFUNCTION("""COMPUTED_VALUE"""),100.0)</f>
        <v>100</v>
      </c>
      <c r="D251" s="7"/>
      <c r="E251" s="16"/>
      <c r="F251" s="16"/>
      <c r="G251" s="16"/>
      <c r="H251" s="23">
        <f>IFERROR(__xludf.DUMMYFUNCTION("""COMPUTED_VALUE"""),0.0)</f>
        <v>0</v>
      </c>
    </row>
    <row r="252">
      <c r="A252" s="16" t="str">
        <f>IFERROR(__xludf.DUMMYFUNCTION("""COMPUTED_VALUE"""),"Добавки")</f>
        <v>Добавки</v>
      </c>
      <c r="B252" s="7" t="str">
        <f>IFERROR(__xludf.DUMMYFUNCTION("""COMPUTED_VALUE"""),"Кориандър (изсушен)")</f>
        <v>Кориандър (изсушен)</v>
      </c>
      <c r="C252" s="12">
        <f>IFERROR(__xludf.DUMMYFUNCTION("""COMPUTED_VALUE"""),100.0)</f>
        <v>100</v>
      </c>
      <c r="D252" s="7"/>
      <c r="E252" s="16"/>
      <c r="F252" s="16"/>
      <c r="G252" s="16"/>
      <c r="H252" s="23">
        <f>IFERROR(__xludf.DUMMYFUNCTION("""COMPUTED_VALUE"""),0.0)</f>
        <v>0</v>
      </c>
    </row>
    <row r="253">
      <c r="A253" s="16" t="str">
        <f>IFERROR(__xludf.DUMMYFUNCTION("""COMPUTED_VALUE"""),"Добавки")</f>
        <v>Добавки</v>
      </c>
      <c r="B253" s="7" t="str">
        <f>IFERROR(__xludf.DUMMYFUNCTION("""COMPUTED_VALUE"""),"Соев Сос")</f>
        <v>Соев Сос</v>
      </c>
      <c r="C253" s="12">
        <f>IFERROR(__xludf.DUMMYFUNCTION("""COMPUTED_VALUE"""),100.0)</f>
        <v>100</v>
      </c>
      <c r="D253" s="7"/>
      <c r="E253" s="16"/>
      <c r="F253" s="16"/>
      <c r="G253" s="16"/>
      <c r="H253" s="23">
        <f>IFERROR(__xludf.DUMMYFUNCTION("""COMPUTED_VALUE"""),0.0)</f>
        <v>0</v>
      </c>
    </row>
    <row r="254">
      <c r="A254" s="16" t="str">
        <f>IFERROR(__xludf.DUMMYFUNCTION("""COMPUTED_VALUE"""),"Добавки")</f>
        <v>Добавки</v>
      </c>
      <c r="B254" s="7" t="str">
        <f>IFERROR(__xludf.DUMMYFUNCTION("""COMPUTED_VALUE"""),"Кленов сироп")</f>
        <v>Кленов сироп</v>
      </c>
      <c r="C254" s="12">
        <f>IFERROR(__xludf.DUMMYFUNCTION("""COMPUTED_VALUE"""),100.0)</f>
        <v>100</v>
      </c>
      <c r="D254" s="22">
        <f>IFERROR(__xludf.DUMMYFUNCTION("""COMPUTED_VALUE"""),0.0)</f>
        <v>0</v>
      </c>
      <c r="E254" s="24">
        <f>IFERROR(__xludf.DUMMYFUNCTION("""COMPUTED_VALUE"""),54.0)</f>
        <v>54</v>
      </c>
      <c r="F254" s="24">
        <f>IFERROR(__xludf.DUMMYFUNCTION("""COMPUTED_VALUE"""),0.0)</f>
        <v>0</v>
      </c>
      <c r="G254" s="24">
        <f>IFERROR(__xludf.DUMMYFUNCTION("""COMPUTED_VALUE"""),0.0)</f>
        <v>0</v>
      </c>
      <c r="H254" s="23">
        <f>IFERROR(__xludf.DUMMYFUNCTION("""COMPUTED_VALUE"""),216.0)</f>
        <v>216</v>
      </c>
    </row>
    <row r="255">
      <c r="A255" s="16" t="str">
        <f>IFERROR(__xludf.DUMMYFUNCTION("""COMPUTED_VALUE"""),"Добавки")</f>
        <v>Добавки</v>
      </c>
      <c r="B255" s="7" t="str">
        <f>IFERROR(__xludf.DUMMYFUNCTION("""COMPUTED_VALUE"""),"Мащерка (сурова)")</f>
        <v>Мащерка (сурова)</v>
      </c>
      <c r="C255" s="12">
        <f>IFERROR(__xludf.DUMMYFUNCTION("""COMPUTED_VALUE"""),100.0)</f>
        <v>100</v>
      </c>
      <c r="D255" s="7"/>
      <c r="E255" s="16"/>
      <c r="F255" s="16"/>
      <c r="G255" s="16"/>
      <c r="H255" s="23">
        <f>IFERROR(__xludf.DUMMYFUNCTION("""COMPUTED_VALUE"""),0.0)</f>
        <v>0</v>
      </c>
    </row>
    <row r="256">
      <c r="A256" s="16" t="str">
        <f>IFERROR(__xludf.DUMMYFUNCTION("""COMPUTED_VALUE"""),"Добавки")</f>
        <v>Добавки</v>
      </c>
      <c r="B256" s="7" t="str">
        <f>IFERROR(__xludf.DUMMYFUNCTION("""COMPUTED_VALUE"""),"Мащерка (изсушена)")</f>
        <v>Мащерка (изсушена)</v>
      </c>
      <c r="C256" s="12">
        <f>IFERROR(__xludf.DUMMYFUNCTION("""COMPUTED_VALUE"""),100.0)</f>
        <v>100</v>
      </c>
      <c r="D256" s="7"/>
      <c r="E256" s="16"/>
      <c r="F256" s="16"/>
      <c r="G256" s="16"/>
      <c r="H256" s="23">
        <f>IFERROR(__xludf.DUMMYFUNCTION("""COMPUTED_VALUE"""),0.0)</f>
        <v>0</v>
      </c>
    </row>
    <row r="257">
      <c r="A257" s="16" t="str">
        <f>IFERROR(__xludf.DUMMYFUNCTION("""COMPUTED_VALUE"""),"Добавки")</f>
        <v>Добавки</v>
      </c>
      <c r="B257" s="7" t="str">
        <f>IFERROR(__xludf.DUMMYFUNCTION("""COMPUTED_VALUE"""),"Индийско орехче")</f>
        <v>Индийско орехче</v>
      </c>
      <c r="C257" s="12">
        <f>IFERROR(__xludf.DUMMYFUNCTION("""COMPUTED_VALUE"""),100.0)</f>
        <v>100</v>
      </c>
      <c r="D257" s="7"/>
      <c r="E257" s="16"/>
      <c r="F257" s="16"/>
      <c r="G257" s="16"/>
      <c r="H257" s="23">
        <f>IFERROR(__xludf.DUMMYFUNCTION("""COMPUTED_VALUE"""),0.0)</f>
        <v>0</v>
      </c>
    </row>
    <row r="258">
      <c r="A258" s="16" t="str">
        <f>IFERROR(__xludf.DUMMYFUNCTION("""COMPUTED_VALUE"""),"Добавки")</f>
        <v>Добавки</v>
      </c>
      <c r="B258" s="7" t="str">
        <f>IFERROR(__xludf.DUMMYFUNCTION("""COMPUTED_VALUE"""),"Японски Соев Сос ''Тамари''")</f>
        <v>Японски Соев Сос ''Тамари''</v>
      </c>
      <c r="C258" s="12">
        <f>IFERROR(__xludf.DUMMYFUNCTION("""COMPUTED_VALUE"""),100.0)</f>
        <v>100</v>
      </c>
      <c r="D258" s="22">
        <f>IFERROR(__xludf.DUMMYFUNCTION("""COMPUTED_VALUE"""),13.0)</f>
        <v>13</v>
      </c>
      <c r="E258" s="24">
        <f>IFERROR(__xludf.DUMMYFUNCTION("""COMPUTED_VALUE"""),11.0)</f>
        <v>11</v>
      </c>
      <c r="F258" s="24">
        <f>IFERROR(__xludf.DUMMYFUNCTION("""COMPUTED_VALUE"""),0.0)</f>
        <v>0</v>
      </c>
      <c r="G258" s="24">
        <f>IFERROR(__xludf.DUMMYFUNCTION("""COMPUTED_VALUE"""),0.0)</f>
        <v>0</v>
      </c>
      <c r="H258" s="23">
        <f>IFERROR(__xludf.DUMMYFUNCTION("""COMPUTED_VALUE"""),96.0)</f>
        <v>96</v>
      </c>
    </row>
    <row r="259">
      <c r="A259" s="16" t="str">
        <f>IFERROR(__xludf.DUMMYFUNCTION("""COMPUTED_VALUE"""),"Добавки")</f>
        <v>Добавки</v>
      </c>
      <c r="B259" s="7" t="str">
        <f>IFERROR(__xludf.DUMMYFUNCTION("""COMPUTED_VALUE"""),"Сок от Лайм")</f>
        <v>Сок от Лайм</v>
      </c>
      <c r="C259" s="12">
        <f>IFERROR(__xludf.DUMMYFUNCTION("""COMPUTED_VALUE"""),100.0)</f>
        <v>100</v>
      </c>
      <c r="D259" s="7"/>
      <c r="E259" s="16"/>
      <c r="F259" s="16"/>
      <c r="G259" s="16"/>
      <c r="H259" s="23">
        <f>IFERROR(__xludf.DUMMYFUNCTION("""COMPUTED_VALUE"""),0.0)</f>
        <v>0</v>
      </c>
    </row>
    <row r="260">
      <c r="A260" s="16" t="str">
        <f>IFERROR(__xludf.DUMMYFUNCTION("""COMPUTED_VALUE"""),"Добавки")</f>
        <v>Добавки</v>
      </c>
      <c r="B260" s="7" t="str">
        <f>IFERROR(__xludf.DUMMYFUNCTION("""COMPUTED_VALUE"""),"Сок от Лимон")</f>
        <v>Сок от Лимон</v>
      </c>
      <c r="C260" s="12">
        <f>IFERROR(__xludf.DUMMYFUNCTION("""COMPUTED_VALUE"""),100.0)</f>
        <v>100</v>
      </c>
      <c r="D260" s="7"/>
      <c r="E260" s="16"/>
      <c r="F260" s="16"/>
      <c r="G260" s="16"/>
      <c r="H260" s="23">
        <f>IFERROR(__xludf.DUMMYFUNCTION("""COMPUTED_VALUE"""),0.0)</f>
        <v>0</v>
      </c>
    </row>
    <row r="261">
      <c r="A261" s="16" t="str">
        <f>IFERROR(__xludf.DUMMYFUNCTION("""COMPUTED_VALUE"""),"Добавки")</f>
        <v>Добавки</v>
      </c>
      <c r="B261" s="7" t="str">
        <f>IFERROR(__xludf.DUMMYFUNCTION("""COMPUTED_VALUE"""),"Сусамови семена")</f>
        <v>Сусамови семена</v>
      </c>
      <c r="C261" s="12">
        <f>IFERROR(__xludf.DUMMYFUNCTION("""COMPUTED_VALUE"""),100.0)</f>
        <v>100</v>
      </c>
      <c r="D261" s="7">
        <f>IFERROR(__xludf.DUMMYFUNCTION("""COMPUTED_VALUE"""),20.0)</f>
        <v>20</v>
      </c>
      <c r="E261" s="16">
        <f>IFERROR(__xludf.DUMMYFUNCTION("""COMPUTED_VALUE"""),10.0)</f>
        <v>10</v>
      </c>
      <c r="F261" s="16">
        <f>IFERROR(__xludf.DUMMYFUNCTION("""COMPUTED_VALUE"""),50.0)</f>
        <v>50</v>
      </c>
      <c r="G261" s="16">
        <f>IFERROR(__xludf.DUMMYFUNCTION("""COMPUTED_VALUE"""),12.0)</f>
        <v>12</v>
      </c>
      <c r="H261" s="23">
        <f>IFERROR(__xludf.DUMMYFUNCTION("""COMPUTED_VALUE"""),570.0)</f>
        <v>570</v>
      </c>
    </row>
    <row r="262">
      <c r="A262" s="16" t="str">
        <f>IFERROR(__xludf.DUMMYFUNCTION("""COMPUTED_VALUE"""),"Добавки")</f>
        <v>Добавки</v>
      </c>
      <c r="B262" s="7" t="str">
        <f>IFERROR(__xludf.DUMMYFUNCTION("""COMPUTED_VALUE"""),"Кокосови стърготини")</f>
        <v>Кокосови стърготини</v>
      </c>
      <c r="C262" s="12">
        <f>IFERROR(__xludf.DUMMYFUNCTION("""COMPUTED_VALUE"""),100.0)</f>
        <v>100</v>
      </c>
      <c r="D262" s="7">
        <f>IFERROR(__xludf.DUMMYFUNCTION("""COMPUTED_VALUE"""),5.5)</f>
        <v>5.5</v>
      </c>
      <c r="E262" s="16">
        <f>IFERROR(__xludf.DUMMYFUNCTION("""COMPUTED_VALUE"""),6.5)</f>
        <v>6.5</v>
      </c>
      <c r="F262" s="16">
        <f>IFERROR(__xludf.DUMMYFUNCTION("""COMPUTED_VALUE"""),62.0)</f>
        <v>62</v>
      </c>
      <c r="G262" s="16">
        <f>IFERROR(__xludf.DUMMYFUNCTION("""COMPUTED_VALUE"""),14.0)</f>
        <v>14</v>
      </c>
      <c r="H262" s="23">
        <f>IFERROR(__xludf.DUMMYFUNCTION("""COMPUTED_VALUE"""),606.0)</f>
        <v>606</v>
      </c>
    </row>
    <row r="263">
      <c r="A263" s="16" t="str">
        <f>IFERROR(__xludf.DUMMYFUNCTION("""COMPUTED_VALUE"""),"Добавки")</f>
        <v>Добавки</v>
      </c>
      <c r="B263" s="7" t="str">
        <f>IFERROR(__xludf.DUMMYFUNCTION("""COMPUTED_VALUE"""),"Шоколадови парченца")</f>
        <v>Шоколадови парченца</v>
      </c>
      <c r="C263" s="12">
        <f>IFERROR(__xludf.DUMMYFUNCTION("""COMPUTED_VALUE"""),100.0)</f>
        <v>100</v>
      </c>
      <c r="D263" s="7">
        <f>IFERROR(__xludf.DUMMYFUNCTION("""COMPUTED_VALUE"""),4.5)</f>
        <v>4.5</v>
      </c>
      <c r="E263" s="16">
        <f>IFERROR(__xludf.DUMMYFUNCTION("""COMPUTED_VALUE"""),42.0)</f>
        <v>42</v>
      </c>
      <c r="F263" s="16">
        <f>IFERROR(__xludf.DUMMYFUNCTION("""COMPUTED_VALUE"""),51.0)</f>
        <v>51</v>
      </c>
      <c r="G263" s="16">
        <f>IFERROR(__xludf.DUMMYFUNCTION("""COMPUTED_VALUE"""),0.0)</f>
        <v>0</v>
      </c>
      <c r="H263" s="23">
        <f>IFERROR(__xludf.DUMMYFUNCTION("""COMPUTED_VALUE"""),645.0)</f>
        <v>645</v>
      </c>
    </row>
    <row r="264">
      <c r="A264" s="16" t="str">
        <f>IFERROR(__xludf.DUMMYFUNCTION("""COMPUTED_VALUE"""),"Добавки")</f>
        <v>Добавки</v>
      </c>
      <c r="B264" s="7" t="str">
        <f>IFERROR(__xludf.DUMMYFUNCTION("""COMPUTED_VALUE"""),"Пушен червен пипер")</f>
        <v>Пушен червен пипер</v>
      </c>
      <c r="C264" s="12">
        <f>IFERROR(__xludf.DUMMYFUNCTION("""COMPUTED_VALUE"""),100.0)</f>
        <v>100</v>
      </c>
      <c r="D264" s="7"/>
      <c r="E264" s="16"/>
      <c r="F264" s="16"/>
      <c r="G264" s="16"/>
      <c r="H264" s="23">
        <f>IFERROR(__xludf.DUMMYFUNCTION("""COMPUTED_VALUE"""),0.0)</f>
        <v>0</v>
      </c>
    </row>
    <row r="265">
      <c r="A265" s="16" t="str">
        <f>IFERROR(__xludf.DUMMYFUNCTION("""COMPUTED_VALUE"""),"Добавки")</f>
        <v>Добавки</v>
      </c>
      <c r="B265" s="7" t="str">
        <f>IFERROR(__xludf.DUMMYFUNCTION("""COMPUTED_VALUE"""),"Зеленчуков или гъбен бульон (по избор)")</f>
        <v>Зеленчуков или гъбен бульон (по избор)</v>
      </c>
      <c r="C265" s="12">
        <f>IFERROR(__xludf.DUMMYFUNCTION("""COMPUTED_VALUE"""),100.0)</f>
        <v>100</v>
      </c>
      <c r="D265" s="7"/>
      <c r="E265" s="16"/>
      <c r="F265" s="16"/>
      <c r="G265" s="16"/>
      <c r="H265" s="23">
        <f>IFERROR(__xludf.DUMMYFUNCTION("""COMPUTED_VALUE"""),0.0)</f>
        <v>0</v>
      </c>
    </row>
    <row r="266">
      <c r="A266" s="16" t="str">
        <f>IFERROR(__xludf.DUMMYFUNCTION("""COMPUTED_VALUE"""),"Добавки")</f>
        <v>Добавки</v>
      </c>
      <c r="B266" s="7" t="str">
        <f>IFERROR(__xludf.DUMMYFUNCTION("""COMPUTED_VALUE"""),"Копър (Пресен)")</f>
        <v>Копър (Пресен)</v>
      </c>
      <c r="C266" s="12">
        <f>IFERROR(__xludf.DUMMYFUNCTION("""COMPUTED_VALUE"""),100.0)</f>
        <v>100</v>
      </c>
      <c r="D266" s="7"/>
      <c r="E266" s="16"/>
      <c r="F266" s="16"/>
      <c r="G266" s="16"/>
      <c r="H266" s="23">
        <f>IFERROR(__xludf.DUMMYFUNCTION("""COMPUTED_VALUE"""),0.0)</f>
        <v>0</v>
      </c>
    </row>
    <row r="267">
      <c r="A267" s="16" t="str">
        <f>IFERROR(__xludf.DUMMYFUNCTION("""COMPUTED_VALUE"""),"Добавки")</f>
        <v>Добавки</v>
      </c>
      <c r="B267" s="7" t="str">
        <f>IFERROR(__xludf.DUMMYFUNCTION("""COMPUTED_VALUE"""),"Копър (Изсушен)")</f>
        <v>Копър (Изсушен)</v>
      </c>
      <c r="C267" s="12">
        <f>IFERROR(__xludf.DUMMYFUNCTION("""COMPUTED_VALUE"""),100.0)</f>
        <v>100</v>
      </c>
      <c r="D267" s="7"/>
      <c r="E267" s="16"/>
      <c r="F267" s="16"/>
      <c r="G267" s="16"/>
      <c r="H267" s="23">
        <f>IFERROR(__xludf.DUMMYFUNCTION("""COMPUTED_VALUE"""),0.0)</f>
        <v>0</v>
      </c>
    </row>
    <row r="268">
      <c r="A268" s="16" t="str">
        <f>IFERROR(__xludf.DUMMYFUNCTION("""COMPUTED_VALUE"""),"Добавки")</f>
        <v>Добавки</v>
      </c>
      <c r="B268" s="7" t="str">
        <f>IFERROR(__xludf.DUMMYFUNCTION("""COMPUTED_VALUE"""),"Микс от зеленчукови подправки")</f>
        <v>Микс от зеленчукови подправки</v>
      </c>
      <c r="C268" s="12">
        <f>IFERROR(__xludf.DUMMYFUNCTION("""COMPUTED_VALUE"""),100.0)</f>
        <v>100</v>
      </c>
      <c r="D268" s="7"/>
      <c r="E268" s="16"/>
      <c r="F268" s="16"/>
      <c r="G268" s="16"/>
      <c r="H268" s="23">
        <f>IFERROR(__xludf.DUMMYFUNCTION("""COMPUTED_VALUE"""),0.0)</f>
        <v>0</v>
      </c>
    </row>
    <row r="269">
      <c r="A269" s="16" t="str">
        <f>IFERROR(__xludf.DUMMYFUNCTION("""COMPUTED_VALUE"""),"Добавки")</f>
        <v>Добавки</v>
      </c>
      <c r="B269" s="7" t="str">
        <f>IFERROR(__xludf.DUMMYFUNCTION("""COMPUTED_VALUE"""),"Микс от Мексикански подправки (чили-лайм)")</f>
        <v>Микс от Мексикански подправки (чили-лайм)</v>
      </c>
      <c r="C269" s="12">
        <f>IFERROR(__xludf.DUMMYFUNCTION("""COMPUTED_VALUE"""),100.0)</f>
        <v>100</v>
      </c>
      <c r="D269" s="7"/>
      <c r="E269" s="16"/>
      <c r="F269" s="16"/>
      <c r="G269" s="16"/>
      <c r="H269" s="23">
        <f>IFERROR(__xludf.DUMMYFUNCTION("""COMPUTED_VALUE"""),0.0)</f>
        <v>0</v>
      </c>
    </row>
    <row r="270">
      <c r="A270" s="16" t="str">
        <f>IFERROR(__xludf.DUMMYFUNCTION("""COMPUTED_VALUE"""),"Добавки")</f>
        <v>Добавки</v>
      </c>
      <c r="B270" s="7" t="str">
        <f>IFERROR(__xludf.DUMMYFUNCTION("""COMPUTED_VALUE"""),"Микс от подправки за пиле")</f>
        <v>Микс от подправки за пиле</v>
      </c>
      <c r="C270" s="12">
        <f>IFERROR(__xludf.DUMMYFUNCTION("""COMPUTED_VALUE"""),100.0)</f>
        <v>100</v>
      </c>
      <c r="D270" s="7"/>
      <c r="E270" s="16"/>
      <c r="F270" s="16"/>
      <c r="G270" s="16"/>
      <c r="H270" s="23">
        <f>IFERROR(__xludf.DUMMYFUNCTION("""COMPUTED_VALUE"""),0.0)</f>
        <v>0</v>
      </c>
    </row>
    <row r="271">
      <c r="A271" s="16" t="str">
        <f>IFERROR(__xludf.DUMMYFUNCTION("""COMPUTED_VALUE"""),"Добавки")</f>
        <v>Добавки</v>
      </c>
      <c r="B271" s="7" t="str">
        <f>IFERROR(__xludf.DUMMYFUNCTION("""COMPUTED_VALUE"""),"Сос от червена боровинка (за месо)")</f>
        <v>Сос от червена боровинка (за месо)</v>
      </c>
      <c r="C271" s="12">
        <f>IFERROR(__xludf.DUMMYFUNCTION("""COMPUTED_VALUE"""),100.0)</f>
        <v>100</v>
      </c>
      <c r="D271" s="7"/>
      <c r="E271" s="16"/>
      <c r="F271" s="16"/>
      <c r="G271" s="16"/>
      <c r="H271" s="23">
        <f>IFERROR(__xludf.DUMMYFUNCTION("""COMPUTED_VALUE"""),0.0)</f>
        <v>0</v>
      </c>
    </row>
    <row r="272">
      <c r="A272" s="16" t="str">
        <f>IFERROR(__xludf.DUMMYFUNCTION("""COMPUTED_VALUE"""),"Добавки")</f>
        <v>Добавки</v>
      </c>
      <c r="B272" s="7" t="str">
        <f>IFERROR(__xludf.DUMMYFUNCTION("""COMPUTED_VALUE"""),"Подправка за тиква, пайове и мъфини")</f>
        <v>Подправка за тиква, пайове и мъфини</v>
      </c>
      <c r="C272" s="12">
        <f>IFERROR(__xludf.DUMMYFUNCTION("""COMPUTED_VALUE"""),100.0)</f>
        <v>100</v>
      </c>
      <c r="D272" s="7"/>
      <c r="E272" s="16"/>
      <c r="F272" s="16"/>
      <c r="G272" s="16"/>
      <c r="H272" s="23">
        <f>IFERROR(__xludf.DUMMYFUNCTION("""COMPUTED_VALUE"""),0.0)</f>
        <v>0</v>
      </c>
    </row>
    <row r="273">
      <c r="A273" s="16" t="str">
        <f>IFERROR(__xludf.DUMMYFUNCTION("""COMPUTED_VALUE"""),"Добавки")</f>
        <v>Добавки</v>
      </c>
      <c r="B273" s="7" t="str">
        <f>IFERROR(__xludf.DUMMYFUNCTION("""COMPUTED_VALUE"""),"Каджун (подправка)")</f>
        <v>Каджун (подправка)</v>
      </c>
      <c r="C273" s="12">
        <f>IFERROR(__xludf.DUMMYFUNCTION("""COMPUTED_VALUE"""),100.0)</f>
        <v>100</v>
      </c>
      <c r="D273" s="7"/>
      <c r="E273" s="16"/>
      <c r="F273" s="16"/>
      <c r="G273" s="16"/>
      <c r="H273" s="23">
        <f>IFERROR(__xludf.DUMMYFUNCTION("""COMPUTED_VALUE"""),0.0)</f>
        <v>0</v>
      </c>
    </row>
    <row r="274">
      <c r="A274" s="16" t="str">
        <f>IFERROR(__xludf.DUMMYFUNCTION("""COMPUTED_VALUE"""),"Добавки")</f>
        <v>Добавки</v>
      </c>
      <c r="B274" s="7" t="str">
        <f>IFERROR(__xludf.DUMMYFUNCTION("""COMPUTED_VALUE"""),"Розмарин (изсушен)")</f>
        <v>Розмарин (изсушен)</v>
      </c>
      <c r="C274" s="12">
        <f>IFERROR(__xludf.DUMMYFUNCTION("""COMPUTED_VALUE"""),100.0)</f>
        <v>100</v>
      </c>
      <c r="D274" s="7"/>
      <c r="E274" s="16"/>
      <c r="F274" s="16"/>
      <c r="G274" s="16"/>
      <c r="H274" s="23">
        <f>IFERROR(__xludf.DUMMYFUNCTION("""COMPUTED_VALUE"""),0.0)</f>
        <v>0</v>
      </c>
    </row>
    <row r="275">
      <c r="A275" s="16" t="str">
        <f>IFERROR(__xludf.DUMMYFUNCTION("""COMPUTED_VALUE"""),"Добавки")</f>
        <v>Добавки</v>
      </c>
      <c r="B275" s="7" t="str">
        <f>IFERROR(__xludf.DUMMYFUNCTION("""COMPUTED_VALUE"""),"Гъби Манатарки (сушени)")</f>
        <v>Гъби Манатарки (сушени)</v>
      </c>
      <c r="C275" s="12">
        <f>IFERROR(__xludf.DUMMYFUNCTION("""COMPUTED_VALUE"""),100.0)</f>
        <v>100</v>
      </c>
      <c r="D275" s="7">
        <f>IFERROR(__xludf.DUMMYFUNCTION("""COMPUTED_VALUE"""),27.0)</f>
        <v>27</v>
      </c>
      <c r="E275" s="16">
        <f>IFERROR(__xludf.DUMMYFUNCTION("""COMPUTED_VALUE"""),10.0)</f>
        <v>10</v>
      </c>
      <c r="F275" s="16">
        <f>IFERROR(__xludf.DUMMYFUNCTION("""COMPUTED_VALUE"""),7.0)</f>
        <v>7</v>
      </c>
      <c r="G275" s="16">
        <f>IFERROR(__xludf.DUMMYFUNCTION("""COMPUTED_VALUE"""),7.0)</f>
        <v>7</v>
      </c>
      <c r="H275" s="23">
        <f>IFERROR(__xludf.DUMMYFUNCTION("""COMPUTED_VALUE"""),211.0)</f>
        <v>211</v>
      </c>
    </row>
    <row r="276">
      <c r="A276" s="16" t="str">
        <f>IFERROR(__xludf.DUMMYFUNCTION("""COMPUTED_VALUE"""),"Добавки")</f>
        <v>Добавки</v>
      </c>
      <c r="B276" s="7" t="str">
        <f>IFERROR(__xludf.DUMMYFUNCTION("""COMPUTED_VALUE"""),"Сол")</f>
        <v>Сол</v>
      </c>
      <c r="C276" s="12">
        <f>IFERROR(__xludf.DUMMYFUNCTION("""COMPUTED_VALUE"""),100.0)</f>
        <v>100</v>
      </c>
      <c r="D276" s="7">
        <f>IFERROR(__xludf.DUMMYFUNCTION("""COMPUTED_VALUE"""),0.0)</f>
        <v>0</v>
      </c>
      <c r="E276" s="16">
        <f>IFERROR(__xludf.DUMMYFUNCTION("""COMPUTED_VALUE"""),0.0)</f>
        <v>0</v>
      </c>
      <c r="F276" s="16">
        <f>IFERROR(__xludf.DUMMYFUNCTION("""COMPUTED_VALUE"""),0.0)</f>
        <v>0</v>
      </c>
      <c r="G276" s="16">
        <f>IFERROR(__xludf.DUMMYFUNCTION("""COMPUTED_VALUE"""),0.0)</f>
        <v>0</v>
      </c>
      <c r="H276" s="23">
        <f>IFERROR(__xludf.DUMMYFUNCTION("""COMPUTED_VALUE"""),0.0)</f>
        <v>0</v>
      </c>
    </row>
    <row r="277">
      <c r="A277" s="16" t="str">
        <f>IFERROR(__xludf.DUMMYFUNCTION("""COMPUTED_VALUE"""),"Добавки")</f>
        <v>Добавки</v>
      </c>
      <c r="B277" s="7" t="str">
        <f>IFERROR(__xludf.DUMMYFUNCTION("""COMPUTED_VALUE"""),"Канела")</f>
        <v>Канела</v>
      </c>
      <c r="C277" s="12">
        <f>IFERROR(__xludf.DUMMYFUNCTION("""COMPUTED_VALUE"""),100.0)</f>
        <v>100</v>
      </c>
      <c r="D277" s="7">
        <f>IFERROR(__xludf.DUMMYFUNCTION("""COMPUTED_VALUE"""),4.0)</f>
        <v>4</v>
      </c>
      <c r="E277" s="16">
        <f>IFERROR(__xludf.DUMMYFUNCTION("""COMPUTED_VALUE"""),80.6)</f>
        <v>80.6</v>
      </c>
      <c r="F277" s="16">
        <f>IFERROR(__xludf.DUMMYFUNCTION("""COMPUTED_VALUE"""),1.2)</f>
        <v>1.2</v>
      </c>
      <c r="G277" s="16">
        <f>IFERROR(__xludf.DUMMYFUNCTION("""COMPUTED_VALUE"""),53.1)</f>
        <v>53.1</v>
      </c>
      <c r="H277" s="23">
        <f>IFERROR(__xludf.DUMMYFUNCTION("""COMPUTED_VALUE"""),349.2)</f>
        <v>349.2</v>
      </c>
    </row>
    <row r="278">
      <c r="A278" s="16" t="str">
        <f>IFERROR(__xludf.DUMMYFUNCTION("""COMPUTED_VALUE"""),"Добавки")</f>
        <v>Добавки</v>
      </c>
      <c r="B278" s="7" t="str">
        <f>IFERROR(__xludf.DUMMYFUNCTION("""COMPUTED_VALUE"""),"Черен пипер")</f>
        <v>Черен пипер</v>
      </c>
      <c r="C278" s="12">
        <f>IFERROR(__xludf.DUMMYFUNCTION("""COMPUTED_VALUE"""),100.0)</f>
        <v>100</v>
      </c>
      <c r="D278" s="7">
        <f>IFERROR(__xludf.DUMMYFUNCTION("""COMPUTED_VALUE"""),11.0)</f>
        <v>11</v>
      </c>
      <c r="E278" s="16">
        <f>IFERROR(__xludf.DUMMYFUNCTION("""COMPUTED_VALUE"""),64.8)</f>
        <v>64.8</v>
      </c>
      <c r="F278" s="16">
        <f>IFERROR(__xludf.DUMMYFUNCTION("""COMPUTED_VALUE"""),3.3)</f>
        <v>3.3</v>
      </c>
      <c r="G278" s="16">
        <f>IFERROR(__xludf.DUMMYFUNCTION("""COMPUTED_VALUE"""),26.5)</f>
        <v>26.5</v>
      </c>
      <c r="H278" s="23">
        <f>IFERROR(__xludf.DUMMYFUNCTION("""COMPUTED_VALUE"""),332.9)</f>
        <v>332.9</v>
      </c>
    </row>
    <row r="279">
      <c r="A279" s="16" t="str">
        <f>IFERROR(__xludf.DUMMYFUNCTION("""COMPUTED_VALUE"""),"Добавки")</f>
        <v>Добавки</v>
      </c>
      <c r="B279" s="7" t="str">
        <f>IFERROR(__xludf.DUMMYFUNCTION("""COMPUTED_VALUE"""),"Галета")</f>
        <v>Галета</v>
      </c>
      <c r="C279" s="12" t="str">
        <f>IFERROR(__xludf.DUMMYFUNCTION("""COMPUTED_VALUE"""),"100")</f>
        <v>100</v>
      </c>
      <c r="D279" s="7">
        <f>IFERROR(__xludf.DUMMYFUNCTION("""COMPUTED_VALUE"""),10.0)</f>
        <v>10</v>
      </c>
      <c r="E279" s="16">
        <f>IFERROR(__xludf.DUMMYFUNCTION("""COMPUTED_VALUE"""),70.0)</f>
        <v>70</v>
      </c>
      <c r="F279" s="16">
        <f>IFERROR(__xludf.DUMMYFUNCTION("""COMPUTED_VALUE"""),5.0)</f>
        <v>5</v>
      </c>
      <c r="G279" s="16">
        <f>IFERROR(__xludf.DUMMYFUNCTION("""COMPUTED_VALUE"""),0.0)</f>
        <v>0</v>
      </c>
      <c r="H279" s="23">
        <f>IFERROR(__xludf.DUMMYFUNCTION("""COMPUTED_VALUE"""),365.0)</f>
        <v>365</v>
      </c>
    </row>
    <row r="280">
      <c r="A280" s="16" t="str">
        <f>IFERROR(__xludf.DUMMYFUNCTION("""COMPUTED_VALUE"""),"Добавки")</f>
        <v>Добавки</v>
      </c>
      <c r="B280" s="7" t="str">
        <f>IFERROR(__xludf.DUMMYFUNCTION("""COMPUTED_VALUE"""),"Пилешки бульон")</f>
        <v>Пилешки бульон</v>
      </c>
      <c r="C280" s="12">
        <f>IFERROR(__xludf.DUMMYFUNCTION("""COMPUTED_VALUE"""),100.0)</f>
        <v>100</v>
      </c>
      <c r="D280" s="7">
        <f>IFERROR(__xludf.DUMMYFUNCTION("""COMPUTED_VALUE"""),2.5)</f>
        <v>2.5</v>
      </c>
      <c r="E280" s="16">
        <f>IFERROR(__xludf.DUMMYFUNCTION("""COMPUTED_VALUE"""),35.0)</f>
        <v>35</v>
      </c>
      <c r="F280" s="16">
        <f>IFERROR(__xludf.DUMMYFUNCTION("""COMPUTED_VALUE"""),9.6)</f>
        <v>9.6</v>
      </c>
      <c r="G280" s="16">
        <f>IFERROR(__xludf.DUMMYFUNCTION("""COMPUTED_VALUE"""),0.0)</f>
        <v>0</v>
      </c>
      <c r="H280" s="23">
        <f>IFERROR(__xludf.DUMMYFUNCTION("""COMPUTED_VALUE"""),236.39999999999998)</f>
        <v>236.4</v>
      </c>
    </row>
    <row r="281">
      <c r="A281" s="16" t="str">
        <f>IFERROR(__xludf.DUMMYFUNCTION("""COMPUTED_VALUE"""),"Добавки")</f>
        <v>Добавки</v>
      </c>
      <c r="B281" s="7" t="str">
        <f>IFERROR(__xludf.DUMMYFUNCTION("""COMPUTED_VALUE"""),"Захар")</f>
        <v>Захар</v>
      </c>
      <c r="C281" s="12">
        <f>IFERROR(__xludf.DUMMYFUNCTION("""COMPUTED_VALUE"""),100.0)</f>
        <v>100</v>
      </c>
      <c r="D281" s="7">
        <f>IFERROR(__xludf.DUMMYFUNCTION("""COMPUTED_VALUE"""),0.0)</f>
        <v>0</v>
      </c>
      <c r="E281" s="16">
        <f>IFERROR(__xludf.DUMMYFUNCTION("""COMPUTED_VALUE"""),100.0)</f>
        <v>100</v>
      </c>
      <c r="F281" s="16">
        <f>IFERROR(__xludf.DUMMYFUNCTION("""COMPUTED_VALUE"""),0.0)</f>
        <v>0</v>
      </c>
      <c r="G281" s="16">
        <f>IFERROR(__xludf.DUMMYFUNCTION("""COMPUTED_VALUE"""),0.0)</f>
        <v>0</v>
      </c>
      <c r="H281" s="23">
        <f>IFERROR(__xludf.DUMMYFUNCTION("""COMPUTED_VALUE"""),400.0)</f>
        <v>400</v>
      </c>
    </row>
    <row r="282">
      <c r="A282" s="16" t="str">
        <f>IFERROR(__xludf.DUMMYFUNCTION("""COMPUTED_VALUE"""),"Добавки")</f>
        <v>Добавки</v>
      </c>
      <c r="B282" s="7" t="str">
        <f>IFERROR(__xludf.DUMMYFUNCTION("""COMPUTED_VALUE"""),"Риган (изсушен)")</f>
        <v>Риган (изсушен)</v>
      </c>
      <c r="C282" s="12">
        <f>IFERROR(__xludf.DUMMYFUNCTION("""COMPUTED_VALUE"""),100.0)</f>
        <v>100</v>
      </c>
      <c r="D282" s="7">
        <f>IFERROR(__xludf.DUMMYFUNCTION("""COMPUTED_VALUE"""),11.0)</f>
        <v>11</v>
      </c>
      <c r="E282" s="16">
        <f>IFERROR(__xludf.DUMMYFUNCTION("""COMPUTED_VALUE"""),64.4)</f>
        <v>64.4</v>
      </c>
      <c r="F282" s="16">
        <f>IFERROR(__xludf.DUMMYFUNCTION("""COMPUTED_VALUE"""),10.3)</f>
        <v>10.3</v>
      </c>
      <c r="G282" s="16">
        <f>IFERROR(__xludf.DUMMYFUNCTION("""COMPUTED_VALUE"""),42.8)</f>
        <v>42.8</v>
      </c>
      <c r="H282" s="23">
        <f>IFERROR(__xludf.DUMMYFUNCTION("""COMPUTED_VALUE"""),394.3)</f>
        <v>394.3</v>
      </c>
    </row>
    <row r="283">
      <c r="A283" s="16" t="str">
        <f>IFERROR(__xludf.DUMMYFUNCTION("""COMPUTED_VALUE"""),"Добавки")</f>
        <v>Добавки</v>
      </c>
      <c r="B283" s="7" t="str">
        <f>IFERROR(__xludf.DUMMYFUNCTION("""COMPUTED_VALUE"""),"Семена от копър")</f>
        <v>Семена от копър</v>
      </c>
      <c r="C283" s="12">
        <f>IFERROR(__xludf.DUMMYFUNCTION("""COMPUTED_VALUE"""),100.0)</f>
        <v>100</v>
      </c>
      <c r="D283" s="7">
        <f>IFERROR(__xludf.DUMMYFUNCTION("""COMPUTED_VALUE"""),15.8)</f>
        <v>15.8</v>
      </c>
      <c r="E283" s="16">
        <f>IFERROR(__xludf.DUMMYFUNCTION("""COMPUTED_VALUE"""),52.3)</f>
        <v>52.3</v>
      </c>
      <c r="F283" s="16">
        <f>IFERROR(__xludf.DUMMYFUNCTION("""COMPUTED_VALUE"""),14.9)</f>
        <v>14.9</v>
      </c>
      <c r="G283" s="16">
        <f>IFERROR(__xludf.DUMMYFUNCTION("""COMPUTED_VALUE"""),39.8)</f>
        <v>39.8</v>
      </c>
      <c r="H283" s="23">
        <f>IFERROR(__xludf.DUMMYFUNCTION("""COMPUTED_VALUE"""),406.5)</f>
        <v>406.5</v>
      </c>
    </row>
    <row r="284">
      <c r="A284" s="16" t="str">
        <f>IFERROR(__xludf.DUMMYFUNCTION("""COMPUTED_VALUE"""),"Добавки")</f>
        <v>Добавки</v>
      </c>
      <c r="B284" s="7" t="str">
        <f>IFERROR(__xludf.DUMMYFUNCTION("""COMPUTED_VALUE"""),"Мисо")</f>
        <v>Мисо</v>
      </c>
      <c r="C284" s="12">
        <f>IFERROR(__xludf.DUMMYFUNCTION("""COMPUTED_VALUE"""),100.0)</f>
        <v>100</v>
      </c>
      <c r="D284" s="7">
        <f>IFERROR(__xludf.DUMMYFUNCTION("""COMPUTED_VALUE"""),11.7)</f>
        <v>11.7</v>
      </c>
      <c r="E284" s="16">
        <f>IFERROR(__xludf.DUMMYFUNCTION("""COMPUTED_VALUE"""),26.5)</f>
        <v>26.5</v>
      </c>
      <c r="F284" s="16">
        <f>IFERROR(__xludf.DUMMYFUNCTION("""COMPUTED_VALUE"""),6.0)</f>
        <v>6</v>
      </c>
      <c r="G284" s="16">
        <f>IFERROR(__xludf.DUMMYFUNCTION("""COMPUTED_VALUE"""),5.4)</f>
        <v>5.4</v>
      </c>
      <c r="H284" s="23">
        <f>IFERROR(__xludf.DUMMYFUNCTION("""COMPUTED_VALUE"""),206.8)</f>
        <v>206.8</v>
      </c>
    </row>
    <row r="285">
      <c r="A285" s="16" t="str">
        <f>IFERROR(__xludf.DUMMYFUNCTION("""COMPUTED_VALUE"""),"Добавки")</f>
        <v>Добавки</v>
      </c>
      <c r="B285" s="7" t="str">
        <f>IFERROR(__xludf.DUMMYFUNCTION("""COMPUTED_VALUE"""),"Каперси (консерва)")</f>
        <v>Каперси (консерва)</v>
      </c>
      <c r="C285" s="12">
        <f>IFERROR(__xludf.DUMMYFUNCTION("""COMPUTED_VALUE"""),100.0)</f>
        <v>100</v>
      </c>
      <c r="D285" s="7">
        <f>IFERROR(__xludf.DUMMYFUNCTION("""COMPUTED_VALUE"""),2.4)</f>
        <v>2.4</v>
      </c>
      <c r="E285" s="16">
        <f>IFERROR(__xludf.DUMMYFUNCTION("""COMPUTED_VALUE"""),4.9)</f>
        <v>4.9</v>
      </c>
      <c r="F285" s="16">
        <f>IFERROR(__xludf.DUMMYFUNCTION("""COMPUTED_VALUE"""),0.9)</f>
        <v>0.9</v>
      </c>
      <c r="G285" s="16">
        <f>IFERROR(__xludf.DUMMYFUNCTION("""COMPUTED_VALUE"""),3.2)</f>
        <v>3.2</v>
      </c>
      <c r="H285" s="23">
        <f>IFERROR(__xludf.DUMMYFUNCTION("""COMPUTED_VALUE"""),37.300000000000004)</f>
        <v>37.3</v>
      </c>
    </row>
    <row r="286">
      <c r="A286" s="16" t="str">
        <f>IFERROR(__xludf.DUMMYFUNCTION("""COMPUTED_VALUE"""),"Добавки")</f>
        <v>Добавки</v>
      </c>
      <c r="B286" s="7" t="str">
        <f>IFERROR(__xludf.DUMMYFUNCTION("""COMPUTED_VALUE"""),"Люспи от червен пипер")</f>
        <v>Люспи от червен пипер</v>
      </c>
      <c r="C286" s="12">
        <f>IFERROR(__xludf.DUMMYFUNCTION("""COMPUTED_VALUE"""),100.0)</f>
        <v>100</v>
      </c>
      <c r="D286" s="7">
        <f>IFERROR(__xludf.DUMMYFUNCTION("""COMPUTED_VALUE"""),12.0)</f>
        <v>12</v>
      </c>
      <c r="E286" s="16">
        <f>IFERROR(__xludf.DUMMYFUNCTION("""COMPUTED_VALUE"""),56.6)</f>
        <v>56.6</v>
      </c>
      <c r="F286" s="16">
        <f>IFERROR(__xludf.DUMMYFUNCTION("""COMPUTED_VALUE"""),17.3)</f>
        <v>17.3</v>
      </c>
      <c r="G286" s="16">
        <f>IFERROR(__xludf.DUMMYFUNCTION("""COMPUTED_VALUE"""),27.2)</f>
        <v>27.2</v>
      </c>
      <c r="H286" s="23">
        <f>IFERROR(__xludf.DUMMYFUNCTION("""COMPUTED_VALUE"""),430.1)</f>
        <v>430.1</v>
      </c>
    </row>
    <row r="287">
      <c r="A287" s="16" t="str">
        <f>IFERROR(__xludf.DUMMYFUNCTION("""COMPUTED_VALUE"""),"Добавки")</f>
        <v>Добавки</v>
      </c>
      <c r="B287" s="7" t="str">
        <f>IFERROR(__xludf.DUMMYFUNCTION("""COMPUTED_VALUE"""),"Нишесте (царевично)")</f>
        <v>Нишесте (царевично)</v>
      </c>
      <c r="C287" s="12">
        <f>IFERROR(__xludf.DUMMYFUNCTION("""COMPUTED_VALUE"""),100.0)</f>
        <v>100</v>
      </c>
      <c r="D287" s="7">
        <f>IFERROR(__xludf.DUMMYFUNCTION("""COMPUTED_VALUE"""),0.3)</f>
        <v>0.3</v>
      </c>
      <c r="E287" s="16">
        <f>IFERROR(__xludf.DUMMYFUNCTION("""COMPUTED_VALUE"""),91.3)</f>
        <v>91.3</v>
      </c>
      <c r="F287" s="16">
        <f>IFERROR(__xludf.DUMMYFUNCTION("""COMPUTED_VALUE"""),0.1)</f>
        <v>0.1</v>
      </c>
      <c r="G287" s="16">
        <f>IFERROR(__xludf.DUMMYFUNCTION("""COMPUTED_VALUE"""),0.9)</f>
        <v>0.9</v>
      </c>
      <c r="H287" s="23">
        <f>IFERROR(__xludf.DUMMYFUNCTION("""COMPUTED_VALUE"""),367.29999999999995)</f>
        <v>367.3</v>
      </c>
    </row>
    <row r="288">
      <c r="A288" s="16" t="str">
        <f>IFERROR(__xludf.DUMMYFUNCTION("""COMPUTED_VALUE"""),"Добавки")</f>
        <v>Добавки</v>
      </c>
      <c r="B288" s="7" t="str">
        <f>IFERROR(__xludf.DUMMYFUNCTION("""COMPUTED_VALUE"""),"Спирулина")</f>
        <v>Спирулина</v>
      </c>
      <c r="C288" s="12">
        <f>IFERROR(__xludf.DUMMYFUNCTION("""COMPUTED_VALUE"""),100.0)</f>
        <v>100</v>
      </c>
      <c r="D288" s="7">
        <f>IFERROR(__xludf.DUMMYFUNCTION("""COMPUTED_VALUE"""),62.0)</f>
        <v>62</v>
      </c>
      <c r="E288" s="16">
        <f>IFERROR(__xludf.DUMMYFUNCTION("""COMPUTED_VALUE"""),12.0)</f>
        <v>12</v>
      </c>
      <c r="F288" s="16">
        <f>IFERROR(__xludf.DUMMYFUNCTION("""COMPUTED_VALUE"""),8.2)</f>
        <v>8.2</v>
      </c>
      <c r="G288" s="16">
        <f>IFERROR(__xludf.DUMMYFUNCTION("""COMPUTED_VALUE"""),6.0)</f>
        <v>6</v>
      </c>
      <c r="H288" s="23">
        <f>IFERROR(__xludf.DUMMYFUNCTION("""COMPUTED_VALUE"""),369.8)</f>
        <v>369.8</v>
      </c>
    </row>
    <row r="289">
      <c r="A289" s="16" t="str">
        <f>IFERROR(__xludf.DUMMYFUNCTION("""COMPUTED_VALUE"""),"Добавки")</f>
        <v>Добавки</v>
      </c>
      <c r="B289" s="7" t="str">
        <f>IFERROR(__xludf.DUMMYFUNCTION("""COMPUTED_VALUE"""),"Мака на прах")</f>
        <v>Мака на прах</v>
      </c>
      <c r="C289" s="12">
        <f>IFERROR(__xludf.DUMMYFUNCTION("""COMPUTED_VALUE"""),100.0)</f>
        <v>100</v>
      </c>
      <c r="D289" s="7">
        <f>IFERROR(__xludf.DUMMYFUNCTION("""COMPUTED_VALUE"""),12.0)</f>
        <v>12</v>
      </c>
      <c r="E289" s="16">
        <f>IFERROR(__xludf.DUMMYFUNCTION("""COMPUTED_VALUE"""),67.0)</f>
        <v>67</v>
      </c>
      <c r="F289" s="16">
        <f>IFERROR(__xludf.DUMMYFUNCTION("""COMPUTED_VALUE"""),0.6)</f>
        <v>0.6</v>
      </c>
      <c r="G289" s="16">
        <f>IFERROR(__xludf.DUMMYFUNCTION("""COMPUTED_VALUE"""),10.0)</f>
        <v>10</v>
      </c>
      <c r="H289" s="23">
        <f>IFERROR(__xludf.DUMMYFUNCTION("""COMPUTED_VALUE"""),321.4)</f>
        <v>321.4</v>
      </c>
    </row>
    <row r="290">
      <c r="A290" s="16" t="str">
        <f>IFERROR(__xludf.DUMMYFUNCTION("""COMPUTED_VALUE"""),"Добавки")</f>
        <v>Добавки</v>
      </c>
      <c r="B290" s="7" t="str">
        <f>IFERROR(__xludf.DUMMYFUNCTION("""COMPUTED_VALUE"""),"Хранителна мая ")</f>
        <v>Хранителна мая </v>
      </c>
      <c r="C290" s="12">
        <f>IFERROR(__xludf.DUMMYFUNCTION("""COMPUTED_VALUE"""),100.0)</f>
        <v>100</v>
      </c>
      <c r="D290" s="7">
        <f>IFERROR(__xludf.DUMMYFUNCTION("""COMPUTED_VALUE"""),28.0)</f>
        <v>28</v>
      </c>
      <c r="E290" s="16">
        <f>IFERROR(__xludf.DUMMYFUNCTION("""COMPUTED_VALUE"""),32.0)</f>
        <v>32</v>
      </c>
      <c r="F290" s="16">
        <f>IFERROR(__xludf.DUMMYFUNCTION("""COMPUTED_VALUE"""),6.0)</f>
        <v>6</v>
      </c>
      <c r="G290" s="16">
        <f>IFERROR(__xludf.DUMMYFUNCTION("""COMPUTED_VALUE"""),24.0)</f>
        <v>24</v>
      </c>
      <c r="H290" s="23">
        <f>IFERROR(__xludf.DUMMYFUNCTION("""COMPUTED_VALUE"""),294.0)</f>
        <v>294</v>
      </c>
    </row>
    <row r="291">
      <c r="A291" s="16" t="str">
        <f>IFERROR(__xludf.DUMMYFUNCTION("""COMPUTED_VALUE"""),"Добавки")</f>
        <v>Добавки</v>
      </c>
      <c r="B291" s="7" t="str">
        <f>IFERROR(__xludf.DUMMYFUNCTION("""COMPUTED_VALUE"""),"Хуск (Dragon)")</f>
        <v>Хуск (Dragon)</v>
      </c>
      <c r="C291" s="12">
        <f>IFERROR(__xludf.DUMMYFUNCTION("""COMPUTED_VALUE"""),100.0)</f>
        <v>100</v>
      </c>
      <c r="D291" s="7">
        <f>IFERROR(__xludf.DUMMYFUNCTION("""COMPUTED_VALUE"""),0.0)</f>
        <v>0</v>
      </c>
      <c r="E291" s="16">
        <f>IFERROR(__xludf.DUMMYFUNCTION("""COMPUTED_VALUE"""),11.0)</f>
        <v>11</v>
      </c>
      <c r="F291" s="16">
        <f>IFERROR(__xludf.DUMMYFUNCTION("""COMPUTED_VALUE"""),0.0)</f>
        <v>0</v>
      </c>
      <c r="G291" s="16">
        <f>IFERROR(__xludf.DUMMYFUNCTION("""COMPUTED_VALUE"""),78.0)</f>
        <v>78</v>
      </c>
      <c r="H291" s="23">
        <f>IFERROR(__xludf.DUMMYFUNCTION("""COMPUTED_VALUE"""),44.0)</f>
        <v>44</v>
      </c>
    </row>
    <row r="292">
      <c r="A292" s="16" t="str">
        <f>IFERROR(__xludf.DUMMYFUNCTION("""COMPUTED_VALUE"""),"Добавки")</f>
        <v>Добавки</v>
      </c>
      <c r="B292" s="7" t="str">
        <f>IFERROR(__xludf.DUMMYFUNCTION("""COMPUTED_VALUE"""),"Рожков (Dragon)")</f>
        <v>Рожков (Dragon)</v>
      </c>
      <c r="C292" s="12">
        <f>IFERROR(__xludf.DUMMYFUNCTION("""COMPUTED_VALUE"""),100.0)</f>
        <v>100</v>
      </c>
      <c r="D292" s="7">
        <f>IFERROR(__xludf.DUMMYFUNCTION("""COMPUTED_VALUE"""),4.6)</f>
        <v>4.6</v>
      </c>
      <c r="E292" s="16">
        <f>IFERROR(__xludf.DUMMYFUNCTION("""COMPUTED_VALUE"""),49.0)</f>
        <v>49</v>
      </c>
      <c r="F292" s="16">
        <f>IFERROR(__xludf.DUMMYFUNCTION("""COMPUTED_VALUE"""),0.7)</f>
        <v>0.7</v>
      </c>
      <c r="G292" s="16">
        <f>IFERROR(__xludf.DUMMYFUNCTION("""COMPUTED_VALUE"""),40.0)</f>
        <v>40</v>
      </c>
      <c r="H292" s="23">
        <f>IFERROR(__xludf.DUMMYFUNCTION("""COMPUTED_VALUE"""),220.70000000000002)</f>
        <v>220.7</v>
      </c>
    </row>
    <row r="293">
      <c r="A293" s="16" t="str">
        <f>IFERROR(__xludf.DUMMYFUNCTION("""COMPUTED_VALUE"""),"Добавки")</f>
        <v>Добавки</v>
      </c>
      <c r="B293" s="7" t="str">
        <f>IFERROR(__xludf.DUMMYFUNCTION("""COMPUTED_VALUE"""),"Какао на прах (Dr. Oetker)")</f>
        <v>Какао на прах (Dr. Oetker)</v>
      </c>
      <c r="C293" s="12">
        <f>IFERROR(__xludf.DUMMYFUNCTION("""COMPUTED_VALUE"""),100.0)</f>
        <v>100</v>
      </c>
      <c r="D293" s="7">
        <f>IFERROR(__xludf.DUMMYFUNCTION("""COMPUTED_VALUE"""),19.0)</f>
        <v>19</v>
      </c>
      <c r="E293" s="16">
        <f>IFERROR(__xludf.DUMMYFUNCTION("""COMPUTED_VALUE"""),8.7)</f>
        <v>8.7</v>
      </c>
      <c r="F293" s="16">
        <f>IFERROR(__xludf.DUMMYFUNCTION("""COMPUTED_VALUE"""),23.0)</f>
        <v>23</v>
      </c>
      <c r="G293" s="16">
        <f>IFERROR(__xludf.DUMMYFUNCTION("""COMPUTED_VALUE"""),0.0)</f>
        <v>0</v>
      </c>
      <c r="H293" s="23">
        <f>IFERROR(__xludf.DUMMYFUNCTION("""COMPUTED_VALUE"""),317.8)</f>
        <v>317.8</v>
      </c>
    </row>
    <row r="294">
      <c r="A294" s="16" t="str">
        <f>IFERROR(__xludf.DUMMYFUNCTION("""COMPUTED_VALUE"""),"Добавки")</f>
        <v>Добавки</v>
      </c>
      <c r="B294" s="7" t="str">
        <f>IFERROR(__xludf.DUMMYFUNCTION("""COMPUTED_VALUE"""),"Магданоз - пресен")</f>
        <v>Магданоз - пресен</v>
      </c>
      <c r="C294" s="12">
        <f>IFERROR(__xludf.DUMMYFUNCTION("""COMPUTED_VALUE"""),100.0)</f>
        <v>100</v>
      </c>
      <c r="D294" s="7">
        <f>IFERROR(__xludf.DUMMYFUNCTION("""COMPUTED_VALUE"""),2.97)</f>
        <v>2.97</v>
      </c>
      <c r="E294" s="16">
        <f>IFERROR(__xludf.DUMMYFUNCTION("""COMPUTED_VALUE"""),6.33)</f>
        <v>6.33</v>
      </c>
      <c r="F294" s="16">
        <f>IFERROR(__xludf.DUMMYFUNCTION("""COMPUTED_VALUE"""),0.79)</f>
        <v>0.79</v>
      </c>
      <c r="G294" s="16">
        <f>IFERROR(__xludf.DUMMYFUNCTION("""COMPUTED_VALUE"""),3.3)</f>
        <v>3.3</v>
      </c>
      <c r="H294" s="23">
        <f>IFERROR(__xludf.DUMMYFUNCTION("""COMPUTED_VALUE"""),44.31)</f>
        <v>44.31</v>
      </c>
    </row>
    <row r="295">
      <c r="A295" s="16" t="str">
        <f>IFERROR(__xludf.DUMMYFUNCTION("""COMPUTED_VALUE"""),"Добавки")</f>
        <v>Добавки</v>
      </c>
      <c r="B295" s="7" t="str">
        <f>IFERROR(__xludf.DUMMYFUNCTION("""COMPUTED_VALUE"""),"Нискомаслено какао")</f>
        <v>Нискомаслено какао</v>
      </c>
      <c r="C295" s="12">
        <f>IFERROR(__xludf.DUMMYFUNCTION("""COMPUTED_VALUE"""),100.0)</f>
        <v>100</v>
      </c>
      <c r="D295" s="7">
        <f>IFERROR(__xludf.DUMMYFUNCTION("""COMPUTED_VALUE"""),22.0)</f>
        <v>22</v>
      </c>
      <c r="E295" s="16">
        <f>IFERROR(__xludf.DUMMYFUNCTION("""COMPUTED_VALUE"""),11.0)</f>
        <v>11</v>
      </c>
      <c r="F295" s="16">
        <f>IFERROR(__xludf.DUMMYFUNCTION("""COMPUTED_VALUE"""),11.0)</f>
        <v>11</v>
      </c>
      <c r="G295" s="16">
        <f>IFERROR(__xludf.DUMMYFUNCTION("""COMPUTED_VALUE"""),0.0)</f>
        <v>0</v>
      </c>
      <c r="H295" s="23">
        <f>IFERROR(__xludf.DUMMYFUNCTION("""COMPUTED_VALUE"""),231.0)</f>
        <v>231</v>
      </c>
    </row>
    <row r="296">
      <c r="A296" s="16" t="str">
        <f>IFERROR(__xludf.DUMMYFUNCTION("""COMPUTED_VALUE"""),"Добавки")</f>
        <v>Добавки</v>
      </c>
      <c r="B296" s="7" t="str">
        <f>IFERROR(__xludf.DUMMYFUNCTION("""COMPUTED_VALUE"""),"Вегета (микс от потправки)")</f>
        <v>Вегета (микс от потправки)</v>
      </c>
      <c r="C296" s="12">
        <f>IFERROR(__xludf.DUMMYFUNCTION("""COMPUTED_VALUE"""),100.0)</f>
        <v>100</v>
      </c>
      <c r="D296" s="7">
        <f>IFERROR(__xludf.DUMMYFUNCTION("""COMPUTED_VALUE"""),1.8)</f>
        <v>1.8</v>
      </c>
      <c r="E296" s="16">
        <f>IFERROR(__xludf.DUMMYFUNCTION("""COMPUTED_VALUE"""),31.0)</f>
        <v>31</v>
      </c>
      <c r="F296" s="16">
        <f>IFERROR(__xludf.DUMMYFUNCTION("""COMPUTED_VALUE"""),0.5)</f>
        <v>0.5</v>
      </c>
      <c r="G296" s="16">
        <f>IFERROR(__xludf.DUMMYFUNCTION("""COMPUTED_VALUE"""),4.8)</f>
        <v>4.8</v>
      </c>
      <c r="H296" s="23">
        <f>IFERROR(__xludf.DUMMYFUNCTION("""COMPUTED_VALUE"""),135.7)</f>
        <v>135.7</v>
      </c>
    </row>
    <row r="297">
      <c r="A297" s="16" t="str">
        <f>IFERROR(__xludf.DUMMYFUNCTION("""COMPUTED_VALUE"""),"Добавки")</f>
        <v>Добавки</v>
      </c>
      <c r="B297" s="7" t="str">
        <f>IFERROR(__xludf.DUMMYFUNCTION("""COMPUTED_VALUE"""),"Хлебна мая (суха)")</f>
        <v>Хлебна мая (суха)</v>
      </c>
      <c r="C297" s="12">
        <f>IFERROR(__xludf.DUMMYFUNCTION("""COMPUTED_VALUE"""),100.0)</f>
        <v>100</v>
      </c>
      <c r="D297" s="7">
        <f>IFERROR(__xludf.DUMMYFUNCTION("""COMPUTED_VALUE"""),12.7)</f>
        <v>12.7</v>
      </c>
      <c r="E297" s="16">
        <f>IFERROR(__xludf.DUMMYFUNCTION("""COMPUTED_VALUE"""),2.7)</f>
        <v>2.7</v>
      </c>
      <c r="F297" s="16">
        <f>IFERROR(__xludf.DUMMYFUNCTION("""COMPUTED_VALUE"""),8.5)</f>
        <v>8.5</v>
      </c>
      <c r="G297" s="16">
        <f>IFERROR(__xludf.DUMMYFUNCTION("""COMPUTED_VALUE"""),0.0)</f>
        <v>0</v>
      </c>
      <c r="H297" s="23">
        <f>IFERROR(__xludf.DUMMYFUNCTION("""COMPUTED_VALUE"""),138.1)</f>
        <v>138.1</v>
      </c>
    </row>
    <row r="298">
      <c r="A298" s="16" t="str">
        <f>IFERROR(__xludf.DUMMYFUNCTION("""COMPUTED_VALUE"""),"Добавки")</f>
        <v>Добавки</v>
      </c>
      <c r="B298" s="7" t="str">
        <f>IFERROR(__xludf.DUMMYFUNCTION("""COMPUTED_VALUE"""),"Лимонов сок (пресен)")</f>
        <v>Лимонов сок (пресен)</v>
      </c>
      <c r="C298" s="12">
        <f>IFERROR(__xludf.DUMMYFUNCTION("""COMPUTED_VALUE"""),100.0)</f>
        <v>100</v>
      </c>
      <c r="D298" s="7">
        <f>IFERROR(__xludf.DUMMYFUNCTION("""COMPUTED_VALUE"""),0.35)</f>
        <v>0.35</v>
      </c>
      <c r="E298" s="16">
        <f>IFERROR(__xludf.DUMMYFUNCTION("""COMPUTED_VALUE"""),6.9)</f>
        <v>6.9</v>
      </c>
      <c r="F298" s="16">
        <f>IFERROR(__xludf.DUMMYFUNCTION("""COMPUTED_VALUE"""),0.24)</f>
        <v>0.24</v>
      </c>
      <c r="G298" s="16">
        <f>IFERROR(__xludf.DUMMYFUNCTION("""COMPUTED_VALUE"""),0.3)</f>
        <v>0.3</v>
      </c>
      <c r="H298" s="23">
        <f>IFERROR(__xludf.DUMMYFUNCTION("""COMPUTED_VALUE"""),31.16)</f>
        <v>31.16</v>
      </c>
    </row>
    <row r="299">
      <c r="A299" s="16" t="str">
        <f>IFERROR(__xludf.DUMMYFUNCTION("""COMPUTED_VALUE"""),"Добавки")</f>
        <v>Добавки</v>
      </c>
      <c r="B299" s="7" t="str">
        <f>IFERROR(__xludf.DUMMYFUNCTION("""COMPUTED_VALUE"""),"Шоколадови топченца Belbake")</f>
        <v>Шоколадови топченца Belbake</v>
      </c>
      <c r="C299" s="12">
        <f>IFERROR(__xludf.DUMMYFUNCTION("""COMPUTED_VALUE"""),100.0)</f>
        <v>100</v>
      </c>
      <c r="D299" s="7">
        <f>IFERROR(__xludf.DUMMYFUNCTION("""COMPUTED_VALUE"""),6.3)</f>
        <v>6.3</v>
      </c>
      <c r="E299" s="16">
        <f>IFERROR(__xludf.DUMMYFUNCTION("""COMPUTED_VALUE"""),53.5)</f>
        <v>53.5</v>
      </c>
      <c r="F299" s="16">
        <f>IFERROR(__xludf.DUMMYFUNCTION("""COMPUTED_VALUE"""),29.4)</f>
        <v>29.4</v>
      </c>
      <c r="G299" s="16">
        <f>IFERROR(__xludf.DUMMYFUNCTION("""COMPUTED_VALUE"""),0.0)</f>
        <v>0</v>
      </c>
      <c r="H299" s="23">
        <f>IFERROR(__xludf.DUMMYFUNCTION("""COMPUTED_VALUE"""),503.79999999999995)</f>
        <v>503.8</v>
      </c>
    </row>
    <row r="300">
      <c r="A300" s="16" t="str">
        <f>IFERROR(__xludf.DUMMYFUNCTION("""COMPUTED_VALUE"""),"Добавки")</f>
        <v>Добавки</v>
      </c>
      <c r="B300" s="7" t="str">
        <f>IFERROR(__xludf.DUMMYFUNCTION("""COMPUTED_VALUE"""),"Стевиа")</f>
        <v>Стевиа</v>
      </c>
      <c r="C300" s="12">
        <f>IFERROR(__xludf.DUMMYFUNCTION("""COMPUTED_VALUE"""),100.0)</f>
        <v>100</v>
      </c>
      <c r="D300" s="7">
        <f>IFERROR(__xludf.DUMMYFUNCTION("""COMPUTED_VALUE"""),0.0)</f>
        <v>0</v>
      </c>
      <c r="E300" s="16">
        <f>IFERROR(__xludf.DUMMYFUNCTION("""COMPUTED_VALUE"""),95.6)</f>
        <v>95.6</v>
      </c>
      <c r="F300" s="16">
        <f>IFERROR(__xludf.DUMMYFUNCTION("""COMPUTED_VALUE"""),0.0)</f>
        <v>0</v>
      </c>
      <c r="G300" s="16">
        <f>IFERROR(__xludf.DUMMYFUNCTION("""COMPUTED_VALUE"""),0.0)</f>
        <v>0</v>
      </c>
      <c r="H300" s="23">
        <f>IFERROR(__xludf.DUMMYFUNCTION("""COMPUTED_VALUE"""),382.4)</f>
        <v>382.4</v>
      </c>
    </row>
    <row r="301">
      <c r="A301" s="16" t="str">
        <f>IFERROR(__xludf.DUMMYFUNCTION("""COMPUTED_VALUE"""),"Добавки")</f>
        <v>Добавки</v>
      </c>
      <c r="B301" s="7" t="str">
        <f>IFERROR(__xludf.DUMMYFUNCTION("""COMPUTED_VALUE"""),"Сухи чушки")</f>
        <v>Сухи чушки</v>
      </c>
      <c r="C301" s="12">
        <f>IFERROR(__xludf.DUMMYFUNCTION("""COMPUTED_VALUE"""),100.0)</f>
        <v>100</v>
      </c>
      <c r="D301" s="7">
        <f>IFERROR(__xludf.DUMMYFUNCTION("""COMPUTED_VALUE"""),1.87)</f>
        <v>1.87</v>
      </c>
      <c r="E301" s="16">
        <f>IFERROR(__xludf.DUMMYFUNCTION("""COMPUTED_VALUE"""),8.81)</f>
        <v>8.81</v>
      </c>
      <c r="F301" s="16">
        <f>IFERROR(__xludf.DUMMYFUNCTION("""COMPUTED_VALUE"""),0.44)</f>
        <v>0.44</v>
      </c>
      <c r="G301" s="16">
        <f>IFERROR(__xludf.DUMMYFUNCTION("""COMPUTED_VALUE"""),1.5)</f>
        <v>1.5</v>
      </c>
      <c r="H301" s="23">
        <f>IFERROR(__xludf.DUMMYFUNCTION("""COMPUTED_VALUE"""),46.68)</f>
        <v>46.68</v>
      </c>
    </row>
    <row r="302">
      <c r="A302" s="16" t="str">
        <f>IFERROR(__xludf.DUMMYFUNCTION("""COMPUTED_VALUE"""),"Добавки")</f>
        <v>Добавки</v>
      </c>
      <c r="B302" s="7" t="str">
        <f>IFERROR(__xludf.DUMMYFUNCTION("""COMPUTED_VALUE"""),"Еритритол")</f>
        <v>Еритритол</v>
      </c>
      <c r="C302" s="12">
        <f>IFERROR(__xludf.DUMMYFUNCTION("""COMPUTED_VALUE"""),100.0)</f>
        <v>100</v>
      </c>
      <c r="D302" s="7">
        <f>IFERROR(__xludf.DUMMYFUNCTION("""COMPUTED_VALUE"""),0.0)</f>
        <v>0</v>
      </c>
      <c r="E302" s="16">
        <f>IFERROR(__xludf.DUMMYFUNCTION("""COMPUTED_VALUE"""),100.0)</f>
        <v>100</v>
      </c>
      <c r="F302" s="16">
        <f>IFERROR(__xludf.DUMMYFUNCTION("""COMPUTED_VALUE"""),0.0)</f>
        <v>0</v>
      </c>
      <c r="G302" s="16">
        <f>IFERROR(__xludf.DUMMYFUNCTION("""COMPUTED_VALUE"""),0.0)</f>
        <v>0</v>
      </c>
      <c r="H302" s="23">
        <f>IFERROR(__xludf.DUMMYFUNCTION("""COMPUTED_VALUE"""),400.0)</f>
        <v>400</v>
      </c>
    </row>
    <row r="303">
      <c r="A303" s="16" t="str">
        <f>IFERROR(__xludf.DUMMYFUNCTION("""COMPUTED_VALUE"""),"Добавки")</f>
        <v>Добавки</v>
      </c>
      <c r="B303" s="7" t="str">
        <f>IFERROR(__xludf.DUMMYFUNCTION("""COMPUTED_VALUE"""),"Какао Bio (DM)")</f>
        <v>Какао Bio (DM)</v>
      </c>
      <c r="C303" s="12">
        <f>IFERROR(__xludf.DUMMYFUNCTION("""COMPUTED_VALUE"""),100.0)</f>
        <v>100</v>
      </c>
      <c r="D303" s="7">
        <f>IFERROR(__xludf.DUMMYFUNCTION("""COMPUTED_VALUE"""),22.0)</f>
        <v>22</v>
      </c>
      <c r="E303" s="16">
        <f>IFERROR(__xludf.DUMMYFUNCTION("""COMPUTED_VALUE"""),12.0)</f>
        <v>12</v>
      </c>
      <c r="F303" s="16">
        <f>IFERROR(__xludf.DUMMYFUNCTION("""COMPUTED_VALUE"""),21.0)</f>
        <v>21</v>
      </c>
      <c r="G303" s="16">
        <f>IFERROR(__xludf.DUMMYFUNCTION("""COMPUTED_VALUE"""),31.0)</f>
        <v>31</v>
      </c>
      <c r="H303" s="23">
        <f>IFERROR(__xludf.DUMMYFUNCTION("""COMPUTED_VALUE"""),325.0)</f>
        <v>325</v>
      </c>
    </row>
    <row r="304">
      <c r="A304" s="16" t="str">
        <f>IFERROR(__xludf.DUMMYFUNCTION("""COMPUTED_VALUE"""),"Добавки")</f>
        <v>Добавки</v>
      </c>
      <c r="B304" s="7" t="str">
        <f>IFERROR(__xludf.DUMMYFUNCTION("""COMPUTED_VALUE"""),"Кокосови стъготини Био (Смарт Органик)")</f>
        <v>Кокосови стъготини Био (Смарт Органик)</v>
      </c>
      <c r="C304" s="12">
        <f>IFERROR(__xludf.DUMMYFUNCTION("""COMPUTED_VALUE"""),100.0)</f>
        <v>100</v>
      </c>
      <c r="D304" s="7">
        <f>IFERROR(__xludf.DUMMYFUNCTION("""COMPUTED_VALUE"""),7.0)</f>
        <v>7</v>
      </c>
      <c r="E304" s="16">
        <f>IFERROR(__xludf.DUMMYFUNCTION("""COMPUTED_VALUE"""),11.0)</f>
        <v>11</v>
      </c>
      <c r="F304" s="16">
        <f>IFERROR(__xludf.DUMMYFUNCTION("""COMPUTED_VALUE"""),65.0)</f>
        <v>65</v>
      </c>
      <c r="G304" s="16">
        <f>IFERROR(__xludf.DUMMYFUNCTION("""COMPUTED_VALUE"""),14.0)</f>
        <v>14</v>
      </c>
      <c r="H304" s="23">
        <f>IFERROR(__xludf.DUMMYFUNCTION("""COMPUTED_VALUE"""),657.0)</f>
        <v>657</v>
      </c>
    </row>
    <row r="305">
      <c r="A305" s="16" t="str">
        <f>IFERROR(__xludf.DUMMYFUNCTION("""COMPUTED_VALUE"""),"Добавки")</f>
        <v>Добавки</v>
      </c>
      <c r="B305" s="7" t="str">
        <f>IFERROR(__xludf.DUMMYFUNCTION("""COMPUTED_VALUE"""),"Кокосов чипс")</f>
        <v>Кокосов чипс</v>
      </c>
      <c r="C305" s="12">
        <f>IFERROR(__xludf.DUMMYFUNCTION("""COMPUTED_VALUE"""),100.0)</f>
        <v>100</v>
      </c>
      <c r="D305" s="7">
        <f>IFERROR(__xludf.DUMMYFUNCTION("""COMPUTED_VALUE"""),3.6)</f>
        <v>3.6</v>
      </c>
      <c r="E305" s="16">
        <f>IFERROR(__xludf.DUMMYFUNCTION("""COMPUTED_VALUE"""),21.0)</f>
        <v>21</v>
      </c>
      <c r="F305" s="16">
        <f>IFERROR(__xludf.DUMMYFUNCTION("""COMPUTED_VALUE"""),68.0)</f>
        <v>68</v>
      </c>
      <c r="G305" s="16">
        <f>IFERROR(__xludf.DUMMYFUNCTION("""COMPUTED_VALUE"""),13.0)</f>
        <v>13</v>
      </c>
      <c r="H305" s="23">
        <f>IFERROR(__xludf.DUMMYFUNCTION("""COMPUTED_VALUE"""),710.4)</f>
        <v>710.4</v>
      </c>
    </row>
    <row r="306">
      <c r="A306" s="16" t="str">
        <f>IFERROR(__xludf.DUMMYFUNCTION("""COMPUTED_VALUE"""),"Добавки")</f>
        <v>Добавки</v>
      </c>
      <c r="B306" s="7" t="str">
        <f>IFERROR(__xludf.DUMMYFUNCTION("""COMPUTED_VALUE"""),"Шоколад PRO 20 CHOCO")</f>
        <v>Шоколад PRO 20 CHOCO</v>
      </c>
      <c r="C306" s="12">
        <f>IFERROR(__xludf.DUMMYFUNCTION("""COMPUTED_VALUE"""),100.0)</f>
        <v>100</v>
      </c>
      <c r="D306" s="7">
        <f>IFERROR(__xludf.DUMMYFUNCTION("""COMPUTED_VALUE"""),20.0)</f>
        <v>20</v>
      </c>
      <c r="E306" s="16">
        <f>IFERROR(__xludf.DUMMYFUNCTION("""COMPUTED_VALUE"""),36.0)</f>
        <v>36</v>
      </c>
      <c r="F306" s="16">
        <f>IFERROR(__xludf.DUMMYFUNCTION("""COMPUTED_VALUE"""),36.0)</f>
        <v>36</v>
      </c>
      <c r="G306" s="16">
        <f>IFERROR(__xludf.DUMMYFUNCTION("""COMPUTED_VALUE"""),4.7)</f>
        <v>4.7</v>
      </c>
      <c r="H306" s="23">
        <f>IFERROR(__xludf.DUMMYFUNCTION("""COMPUTED_VALUE"""),548.0)</f>
        <v>548</v>
      </c>
    </row>
    <row r="307">
      <c r="A307" s="16" t="str">
        <f>IFERROR(__xludf.DUMMYFUNCTION("""COMPUTED_VALUE"""),"Добавки")</f>
        <v>Добавки</v>
      </c>
      <c r="B307" s="7" t="str">
        <f>IFERROR(__xludf.DUMMYFUNCTION("""COMPUTED_VALUE"""),"Бишкоти")</f>
        <v>Бишкоти</v>
      </c>
      <c r="C307" s="12">
        <f>IFERROR(__xludf.DUMMYFUNCTION("""COMPUTED_VALUE"""),100.0)</f>
        <v>100</v>
      </c>
      <c r="D307" s="7">
        <f>IFERROR(__xludf.DUMMYFUNCTION("""COMPUTED_VALUE"""),7.9)</f>
        <v>7.9</v>
      </c>
      <c r="E307" s="16">
        <f>IFERROR(__xludf.DUMMYFUNCTION("""COMPUTED_VALUE"""),78.3)</f>
        <v>78.3</v>
      </c>
      <c r="F307" s="16">
        <f>IFERROR(__xludf.DUMMYFUNCTION("""COMPUTED_VALUE"""),3.3)</f>
        <v>3.3</v>
      </c>
      <c r="G307" s="16">
        <f>IFERROR(__xludf.DUMMYFUNCTION("""COMPUTED_VALUE"""),0.0)</f>
        <v>0</v>
      </c>
      <c r="H307" s="23">
        <f>IFERROR(__xludf.DUMMYFUNCTION("""COMPUTED_VALUE"""),374.5)</f>
        <v>374.5</v>
      </c>
    </row>
    <row r="308">
      <c r="A308" s="16" t="str">
        <f>IFERROR(__xludf.DUMMYFUNCTION("""COMPUTED_VALUE"""),"Добавки")</f>
        <v>Добавки</v>
      </c>
      <c r="B308" s="7" t="str">
        <f>IFERROR(__xludf.DUMMYFUNCTION("""COMPUTED_VALUE"""),"Песто Дженовезе Barilla")</f>
        <v>Песто Дженовезе Barilla</v>
      </c>
      <c r="C308" s="12">
        <f>IFERROR(__xludf.DUMMYFUNCTION("""COMPUTED_VALUE"""),100.0)</f>
        <v>100</v>
      </c>
      <c r="D308" s="7">
        <f>IFERROR(__xludf.DUMMYFUNCTION("""COMPUTED_VALUE"""),4.7)</f>
        <v>4.7</v>
      </c>
      <c r="E308" s="16">
        <f>IFERROR(__xludf.DUMMYFUNCTION("""COMPUTED_VALUE"""),9.8)</f>
        <v>9.8</v>
      </c>
      <c r="F308" s="16">
        <f>IFERROR(__xludf.DUMMYFUNCTION("""COMPUTED_VALUE"""),46.0)</f>
        <v>46</v>
      </c>
      <c r="G308" s="16">
        <f>IFERROR(__xludf.DUMMYFUNCTION("""COMPUTED_VALUE"""),5.0)</f>
        <v>5</v>
      </c>
      <c r="H308" s="23">
        <f>IFERROR(__xludf.DUMMYFUNCTION("""COMPUTED_VALUE"""),472.0)</f>
        <v>472</v>
      </c>
    </row>
    <row r="309">
      <c r="A309" s="16" t="str">
        <f>IFERROR(__xludf.DUMMYFUNCTION("""COMPUTED_VALUE"""),"Добавки")</f>
        <v>Добавки</v>
      </c>
      <c r="B309" s="7" t="str">
        <f>IFERROR(__xludf.DUMMYFUNCTION("""COMPUTED_VALUE"""),"Спагети Карбонара Maggi")</f>
        <v>Спагети Карбонара Maggi</v>
      </c>
      <c r="C309" s="12">
        <f>IFERROR(__xludf.DUMMYFUNCTION("""COMPUTED_VALUE"""),100.0)</f>
        <v>100</v>
      </c>
      <c r="D309" s="7">
        <f>IFERROR(__xludf.DUMMYFUNCTION("""COMPUTED_VALUE"""),14.8)</f>
        <v>14.8</v>
      </c>
      <c r="E309" s="16">
        <f>IFERROR(__xludf.DUMMYFUNCTION("""COMPUTED_VALUE"""),44.9)</f>
        <v>44.9</v>
      </c>
      <c r="F309" s="16">
        <f>IFERROR(__xludf.DUMMYFUNCTION("""COMPUTED_VALUE"""),13.4)</f>
        <v>13.4</v>
      </c>
      <c r="G309" s="16">
        <f>IFERROR(__xludf.DUMMYFUNCTION("""COMPUTED_VALUE"""),6.0)</f>
        <v>6</v>
      </c>
      <c r="H309" s="23">
        <f>IFERROR(__xludf.DUMMYFUNCTION("""COMPUTED_VALUE"""),359.40000000000003)</f>
        <v>359.4</v>
      </c>
    </row>
    <row r="310">
      <c r="A310" s="16" t="str">
        <f>IFERROR(__xludf.DUMMYFUNCTION("""COMPUTED_VALUE"""),"Добавки")</f>
        <v>Добавки</v>
      </c>
      <c r="B310" s="7" t="str">
        <f>IFERROR(__xludf.DUMMYFUNCTION("""COMPUTED_VALUE"""),"Кокосови стърготини - обезмаслени")</f>
        <v>Кокосови стърготини - обезмаслени</v>
      </c>
      <c r="C310" s="12">
        <f>IFERROR(__xludf.DUMMYFUNCTION("""COMPUTED_VALUE"""),100.0)</f>
        <v>100</v>
      </c>
      <c r="D310" s="7">
        <f>IFERROR(__xludf.DUMMYFUNCTION("""COMPUTED_VALUE"""),7.0)</f>
        <v>7</v>
      </c>
      <c r="E310" s="16">
        <f>IFERROR(__xludf.DUMMYFUNCTION("""COMPUTED_VALUE"""),23.7)</f>
        <v>23.7</v>
      </c>
      <c r="F310" s="16">
        <f>IFERROR(__xludf.DUMMYFUNCTION("""COMPUTED_VALUE"""),48.0)</f>
        <v>48</v>
      </c>
      <c r="G310" s="16">
        <f>IFERROR(__xludf.DUMMYFUNCTION("""COMPUTED_VALUE"""),16.0)</f>
        <v>16</v>
      </c>
      <c r="H310" s="16">
        <f>IFERROR(__xludf.DUMMYFUNCTION("""COMPUTED_VALUE"""),554.8)</f>
        <v>554.8</v>
      </c>
    </row>
    <row r="311">
      <c r="A311" s="16" t="str">
        <f>IFERROR(__xludf.DUMMYFUNCTION("""COMPUTED_VALUE"""),"Добавки")</f>
        <v>Добавки</v>
      </c>
      <c r="B311" s="7" t="str">
        <f>IFERROR(__xludf.DUMMYFUNCTION("""COMPUTED_VALUE"""),"Чубрица мляна")</f>
        <v>Чубрица мляна</v>
      </c>
      <c r="C311" s="12">
        <f>IFERROR(__xludf.DUMMYFUNCTION("""COMPUTED_VALUE"""),100.0)</f>
        <v>100</v>
      </c>
      <c r="D311" s="7">
        <f>IFERROR(__xludf.DUMMYFUNCTION("""COMPUTED_VALUE"""),6.73)</f>
        <v>6.73</v>
      </c>
      <c r="E311" s="16">
        <f>IFERROR(__xludf.DUMMYFUNCTION("""COMPUTED_VALUE"""),68.73)</f>
        <v>68.73</v>
      </c>
      <c r="F311" s="16">
        <f>IFERROR(__xludf.DUMMYFUNCTION("""COMPUTED_VALUE"""),5.91)</f>
        <v>5.91</v>
      </c>
      <c r="G311" s="16">
        <f>IFERROR(__xludf.DUMMYFUNCTION("""COMPUTED_VALUE"""),45.7)</f>
        <v>45.7</v>
      </c>
      <c r="H311" s="16">
        <f>IFERROR(__xludf.DUMMYFUNCTION("""COMPUTED_VALUE"""),355.03000000000003)</f>
        <v>355.03</v>
      </c>
    </row>
    <row r="312">
      <c r="A312" s="16" t="str">
        <f>IFERROR(__xludf.DUMMYFUNCTION("""COMPUTED_VALUE"""),"Домашни манджи")</f>
        <v>Домашни манджи</v>
      </c>
      <c r="B312" s="7" t="str">
        <f>IFERROR(__xludf.DUMMYFUNCTION("""COMPUTED_VALUE"""),"Леща (сварена)")</f>
        <v>Леща (сварена)</v>
      </c>
      <c r="C312" s="12">
        <f>IFERROR(__xludf.DUMMYFUNCTION("""COMPUTED_VALUE"""),100.0)</f>
        <v>100</v>
      </c>
      <c r="D312" s="7">
        <f>IFERROR(__xludf.DUMMYFUNCTION("""COMPUTED_VALUE"""),5.6)</f>
        <v>5.6</v>
      </c>
      <c r="E312" s="16">
        <f>IFERROR(__xludf.DUMMYFUNCTION("""COMPUTED_VALUE"""),11.6)</f>
        <v>11.6</v>
      </c>
      <c r="F312" s="16">
        <f>IFERROR(__xludf.DUMMYFUNCTION("""COMPUTED_VALUE"""),0.5)</f>
        <v>0.5</v>
      </c>
      <c r="G312" s="13">
        <f>IFERROR(__xludf.DUMMYFUNCTION("""COMPUTED_VALUE"""),3.7)</f>
        <v>3.7</v>
      </c>
      <c r="H312" s="23">
        <f>IFERROR(__xludf.DUMMYFUNCTION("""COMPUTED_VALUE"""),73.3)</f>
        <v>73.3</v>
      </c>
    </row>
    <row r="313">
      <c r="A313" s="16" t="str">
        <f>IFERROR(__xludf.DUMMYFUNCTION("""COMPUTED_VALUE"""),"Домашни манджи")</f>
        <v>Домашни манджи</v>
      </c>
      <c r="B313" s="7" t="str">
        <f>IFERROR(__xludf.DUMMYFUNCTION("""COMPUTED_VALUE"""),"Зелен фасул (варен)")</f>
        <v>Зелен фасул (варен)</v>
      </c>
      <c r="C313" s="12">
        <f>IFERROR(__xludf.DUMMYFUNCTION("""COMPUTED_VALUE"""),100.0)</f>
        <v>100</v>
      </c>
      <c r="D313" s="7">
        <f>IFERROR(__xludf.DUMMYFUNCTION("""COMPUTED_VALUE"""),2.0)</f>
        <v>2</v>
      </c>
      <c r="E313" s="16">
        <f>IFERROR(__xludf.DUMMYFUNCTION("""COMPUTED_VALUE"""),8.0)</f>
        <v>8</v>
      </c>
      <c r="F313" s="16">
        <f>IFERROR(__xludf.DUMMYFUNCTION("""COMPUTED_VALUE"""),0.0)</f>
        <v>0</v>
      </c>
      <c r="G313" s="13">
        <f>IFERROR(__xludf.DUMMYFUNCTION("""COMPUTED_VALUE"""),3.0)</f>
        <v>3</v>
      </c>
      <c r="H313" s="23">
        <f>IFERROR(__xludf.DUMMYFUNCTION("""COMPUTED_VALUE"""),40.0)</f>
        <v>40</v>
      </c>
    </row>
    <row r="314">
      <c r="A314" s="16" t="str">
        <f>IFERROR(__xludf.DUMMYFUNCTION("""COMPUTED_VALUE"""),"Домашни манджи")</f>
        <v>Домашни манджи</v>
      </c>
      <c r="B314" s="7" t="str">
        <f>IFERROR(__xludf.DUMMYFUNCTION("""COMPUTED_VALUE"""),"Грах яхния")</f>
        <v>Грах яхния</v>
      </c>
      <c r="C314" s="12">
        <f>IFERROR(__xludf.DUMMYFUNCTION("""COMPUTED_VALUE"""),100.0)</f>
        <v>100</v>
      </c>
      <c r="D314" s="7">
        <f>IFERROR(__xludf.DUMMYFUNCTION("""COMPUTED_VALUE"""),3.73)</f>
        <v>3.73</v>
      </c>
      <c r="E314" s="16">
        <f>IFERROR(__xludf.DUMMYFUNCTION("""COMPUTED_VALUE"""),8.78)</f>
        <v>8.78</v>
      </c>
      <c r="F314" s="16">
        <f>IFERROR(__xludf.DUMMYFUNCTION("""COMPUTED_VALUE"""),1.14)</f>
        <v>1.14</v>
      </c>
      <c r="G314" s="16">
        <f>IFERROR(__xludf.DUMMYFUNCTION("""COMPUTED_VALUE"""),0.0)</f>
        <v>0</v>
      </c>
      <c r="H314" s="23">
        <f>IFERROR(__xludf.DUMMYFUNCTION("""COMPUTED_VALUE"""),60.3)</f>
        <v>60.3</v>
      </c>
    </row>
    <row r="315">
      <c r="A315" s="16" t="str">
        <f>IFERROR(__xludf.DUMMYFUNCTION("""COMPUTED_VALUE"""),"Домашни манджи")</f>
        <v>Домашни манджи</v>
      </c>
      <c r="B315" s="7" t="str">
        <f>IFERROR(__xludf.DUMMYFUNCTION("""COMPUTED_VALUE"""),"Пълнени гъби с кашкавал на фурна")</f>
        <v>Пълнени гъби с кашкавал на фурна</v>
      </c>
      <c r="C315" s="12">
        <f>IFERROR(__xludf.DUMMYFUNCTION("""COMPUTED_VALUE"""),100.0)</f>
        <v>100</v>
      </c>
      <c r="D315" s="7">
        <f>IFERROR(__xludf.DUMMYFUNCTION("""COMPUTED_VALUE"""),2.83)</f>
        <v>2.83</v>
      </c>
      <c r="E315" s="16">
        <f>IFERROR(__xludf.DUMMYFUNCTION("""COMPUTED_VALUE"""),1.85)</f>
        <v>1.85</v>
      </c>
      <c r="F315" s="16">
        <f>IFERROR(__xludf.DUMMYFUNCTION("""COMPUTED_VALUE"""),1.52)</f>
        <v>1.52</v>
      </c>
      <c r="G315" s="16">
        <f>IFERROR(__xludf.DUMMYFUNCTION("""COMPUTED_VALUE"""),0.0)</f>
        <v>0</v>
      </c>
      <c r="H315" s="23">
        <f>IFERROR(__xludf.DUMMYFUNCTION("""COMPUTED_VALUE"""),32.4)</f>
        <v>32.4</v>
      </c>
    </row>
    <row r="316">
      <c r="A316" s="16" t="str">
        <f>IFERROR(__xludf.DUMMYFUNCTION("""COMPUTED_VALUE"""),"Домашни манджи")</f>
        <v>Домашни манджи</v>
      </c>
      <c r="B316" s="7" t="str">
        <f>IFERROR(__xludf.DUMMYFUNCTION("""COMPUTED_VALUE"""),"Леща яхния")</f>
        <v>Леща яхния</v>
      </c>
      <c r="C316" s="12">
        <f>IFERROR(__xludf.DUMMYFUNCTION("""COMPUTED_VALUE"""),100.0)</f>
        <v>100</v>
      </c>
      <c r="D316" s="7">
        <f>IFERROR(__xludf.DUMMYFUNCTION("""COMPUTED_VALUE"""),4.44)</f>
        <v>4.44</v>
      </c>
      <c r="E316" s="16">
        <f>IFERROR(__xludf.DUMMYFUNCTION("""COMPUTED_VALUE"""),11.86)</f>
        <v>11.86</v>
      </c>
      <c r="F316" s="16">
        <f>IFERROR(__xludf.DUMMYFUNCTION("""COMPUTED_VALUE"""),1.11)</f>
        <v>1.11</v>
      </c>
      <c r="G316" s="16">
        <f>IFERROR(__xludf.DUMMYFUNCTION("""COMPUTED_VALUE"""),0.0)</f>
        <v>0</v>
      </c>
      <c r="H316" s="23">
        <f>IFERROR(__xludf.DUMMYFUNCTION("""COMPUTED_VALUE"""),75.19)</f>
        <v>75.19</v>
      </c>
    </row>
    <row r="317">
      <c r="A317" s="16" t="str">
        <f>IFERROR(__xludf.DUMMYFUNCTION("""COMPUTED_VALUE"""),"Домашни манджи")</f>
        <v>Домашни манджи</v>
      </c>
      <c r="B317" s="7" t="str">
        <f>IFERROR(__xludf.DUMMYFUNCTION("""COMPUTED_VALUE"""),"Мусака")</f>
        <v>Мусака</v>
      </c>
      <c r="C317" s="12">
        <f>IFERROR(__xludf.DUMMYFUNCTION("""COMPUTED_VALUE"""),100.0)</f>
        <v>100</v>
      </c>
      <c r="D317" s="7">
        <f>IFERROR(__xludf.DUMMYFUNCTION("""COMPUTED_VALUE"""),6.3)</f>
        <v>6.3</v>
      </c>
      <c r="E317" s="16">
        <f>IFERROR(__xludf.DUMMYFUNCTION("""COMPUTED_VALUE"""),7.78)</f>
        <v>7.78</v>
      </c>
      <c r="F317" s="16">
        <f>IFERROR(__xludf.DUMMYFUNCTION("""COMPUTED_VALUE"""),2.22)</f>
        <v>2.22</v>
      </c>
      <c r="G317" s="16">
        <f>IFERROR(__xludf.DUMMYFUNCTION("""COMPUTED_VALUE"""),0.0)</f>
        <v>0</v>
      </c>
      <c r="H317" s="23">
        <f>IFERROR(__xludf.DUMMYFUNCTION("""COMPUTED_VALUE"""),76.3)</f>
        <v>76.3</v>
      </c>
    </row>
    <row r="318">
      <c r="A318" s="16" t="str">
        <f>IFERROR(__xludf.DUMMYFUNCTION("""COMPUTED_VALUE"""),"Домашни манджи")</f>
        <v>Домашни манджи</v>
      </c>
      <c r="B318" s="7" t="str">
        <f>IFERROR(__xludf.DUMMYFUNCTION("""COMPUTED_VALUE"""),"Тиквички на фурна")</f>
        <v>Тиквички на фурна</v>
      </c>
      <c r="C318" s="12">
        <f>IFERROR(__xludf.DUMMYFUNCTION("""COMPUTED_VALUE"""),100.0)</f>
        <v>100</v>
      </c>
      <c r="D318" s="7">
        <f>IFERROR(__xludf.DUMMYFUNCTION("""COMPUTED_VALUE"""),2.3)</f>
        <v>2.3</v>
      </c>
      <c r="E318" s="16">
        <f>IFERROR(__xludf.DUMMYFUNCTION("""COMPUTED_VALUE"""),3.79)</f>
        <v>3.79</v>
      </c>
      <c r="F318" s="16">
        <f>IFERROR(__xludf.DUMMYFUNCTION("""COMPUTED_VALUE"""),1.64)</f>
        <v>1.64</v>
      </c>
      <c r="G318" s="16">
        <f>IFERROR(__xludf.DUMMYFUNCTION("""COMPUTED_VALUE"""),0.0)</f>
        <v>0</v>
      </c>
      <c r="H318" s="23">
        <f>IFERROR(__xludf.DUMMYFUNCTION("""COMPUTED_VALUE"""),39.12)</f>
        <v>39.12</v>
      </c>
    </row>
    <row r="319">
      <c r="A319" s="16" t="str">
        <f>IFERROR(__xludf.DUMMYFUNCTION("""COMPUTED_VALUE"""),"Домашни манджи")</f>
        <v>Домашни манджи</v>
      </c>
      <c r="B319" s="7" t="str">
        <f>IFERROR(__xludf.DUMMYFUNCTION("""COMPUTED_VALUE"""),"Картофи на фурна")</f>
        <v>Картофи на фурна</v>
      </c>
      <c r="C319" s="12">
        <f>IFERROR(__xludf.DUMMYFUNCTION("""COMPUTED_VALUE"""),100.0)</f>
        <v>100</v>
      </c>
      <c r="D319" s="7">
        <f>IFERROR(__xludf.DUMMYFUNCTION("""COMPUTED_VALUE"""),1.96)</f>
        <v>1.96</v>
      </c>
      <c r="E319" s="16">
        <f>IFERROR(__xludf.DUMMYFUNCTION("""COMPUTED_VALUE"""),21.55)</f>
        <v>21.55</v>
      </c>
      <c r="F319" s="16">
        <f>IFERROR(__xludf.DUMMYFUNCTION("""COMPUTED_VALUE"""),0.1)</f>
        <v>0.1</v>
      </c>
      <c r="G319" s="16">
        <f>IFERROR(__xludf.DUMMYFUNCTION("""COMPUTED_VALUE"""),1.5)</f>
        <v>1.5</v>
      </c>
      <c r="H319" s="23">
        <f>IFERROR(__xludf.DUMMYFUNCTION("""COMPUTED_VALUE"""),94.94000000000001)</f>
        <v>94.94</v>
      </c>
    </row>
    <row r="320">
      <c r="A320" s="16" t="str">
        <f>IFERROR(__xludf.DUMMYFUNCTION("""COMPUTED_VALUE"""),"Домашни манджи")</f>
        <v>Домашни манджи</v>
      </c>
      <c r="B320" s="7" t="str">
        <f>IFERROR(__xludf.DUMMYFUNCTION("""COMPUTED_VALUE"""),"Миш Маш")</f>
        <v>Миш Маш</v>
      </c>
      <c r="C320" s="12">
        <f>IFERROR(__xludf.DUMMYFUNCTION("""COMPUTED_VALUE"""),100.0)</f>
        <v>100</v>
      </c>
      <c r="D320" s="7">
        <f>IFERROR(__xludf.DUMMYFUNCTION("""COMPUTED_VALUE"""),10.4)</f>
        <v>10.4</v>
      </c>
      <c r="E320" s="16">
        <f>IFERROR(__xludf.DUMMYFUNCTION("""COMPUTED_VALUE"""),4.5)</f>
        <v>4.5</v>
      </c>
      <c r="F320" s="16">
        <f>IFERROR(__xludf.DUMMYFUNCTION("""COMPUTED_VALUE"""),11.2)</f>
        <v>11.2</v>
      </c>
      <c r="G320" s="16">
        <f>IFERROR(__xludf.DUMMYFUNCTION("""COMPUTED_VALUE"""),0.0)</f>
        <v>0</v>
      </c>
      <c r="H320" s="16">
        <f>IFERROR(__xludf.DUMMYFUNCTION("""COMPUTED_VALUE"""),160.4)</f>
        <v>160.4</v>
      </c>
    </row>
    <row r="321">
      <c r="A321" s="16" t="str">
        <f>IFERROR(__xludf.DUMMYFUNCTION("""COMPUTED_VALUE"""),"Домашни манджи")</f>
        <v>Домашни манджи</v>
      </c>
      <c r="B321" s="7" t="str">
        <f>IFERROR(__xludf.DUMMYFUNCTION("""COMPUTED_VALUE"""),"Ориз с пиле и чили")</f>
        <v>Ориз с пиле и чили</v>
      </c>
      <c r="C321" s="12">
        <f>IFERROR(__xludf.DUMMYFUNCTION("""COMPUTED_VALUE"""),100.0)</f>
        <v>100</v>
      </c>
      <c r="D321" s="22">
        <f>IFERROR(__xludf.DUMMYFUNCTION("""COMPUTED_VALUE"""),7.6)</f>
        <v>7.6</v>
      </c>
      <c r="E321" s="24">
        <f>IFERROR(__xludf.DUMMYFUNCTION("""COMPUTED_VALUE"""),16.5)</f>
        <v>16.5</v>
      </c>
      <c r="F321" s="24">
        <f>IFERROR(__xludf.DUMMYFUNCTION("""COMPUTED_VALUE"""),4.2)</f>
        <v>4.2</v>
      </c>
      <c r="G321" s="16">
        <f>IFERROR(__xludf.DUMMYFUNCTION("""COMPUTED_VALUE"""),0.0)</f>
        <v>0</v>
      </c>
      <c r="H321" s="23">
        <f>IFERROR(__xludf.DUMMYFUNCTION("""COMPUTED_VALUE"""),134.20000000000002)</f>
        <v>134.2</v>
      </c>
    </row>
    <row r="322">
      <c r="A322" s="16" t="str">
        <f>IFERROR(__xludf.DUMMYFUNCTION("""COMPUTED_VALUE"""),"Домашни манджи")</f>
        <v>Домашни манджи</v>
      </c>
      <c r="B322" s="7" t="str">
        <f>IFERROR(__xludf.DUMMYFUNCTION("""COMPUTED_VALUE"""),"Ризото с шафран")</f>
        <v>Ризото с шафран</v>
      </c>
      <c r="C322" s="12">
        <f>IFERROR(__xludf.DUMMYFUNCTION("""COMPUTED_VALUE"""),100.0)</f>
        <v>100</v>
      </c>
      <c r="D322" s="7">
        <f>IFERROR(__xludf.DUMMYFUNCTION("""COMPUTED_VALUE"""),3.41)</f>
        <v>3.41</v>
      </c>
      <c r="E322" s="16">
        <f>IFERROR(__xludf.DUMMYFUNCTION("""COMPUTED_VALUE"""),19.5)</f>
        <v>19.5</v>
      </c>
      <c r="F322" s="16">
        <f>IFERROR(__xludf.DUMMYFUNCTION("""COMPUTED_VALUE"""),1.95)</f>
        <v>1.95</v>
      </c>
      <c r="G322" s="16">
        <f>IFERROR(__xludf.DUMMYFUNCTION("""COMPUTED_VALUE"""),0.0)</f>
        <v>0</v>
      </c>
      <c r="H322" s="23">
        <f>IFERROR(__xludf.DUMMYFUNCTION("""COMPUTED_VALUE"""),109.19)</f>
        <v>109.19</v>
      </c>
    </row>
    <row r="323">
      <c r="A323" s="16" t="str">
        <f>IFERROR(__xludf.DUMMYFUNCTION("""COMPUTED_VALUE"""),"Домашни манджи")</f>
        <v>Домашни манджи</v>
      </c>
      <c r="B323" s="7" t="str">
        <f>IFERROR(__xludf.DUMMYFUNCTION("""COMPUTED_VALUE"""),"Картофи на фурна")</f>
        <v>Картофи на фурна</v>
      </c>
      <c r="C323" s="12">
        <f>IFERROR(__xludf.DUMMYFUNCTION("""COMPUTED_VALUE"""),100.0)</f>
        <v>100</v>
      </c>
      <c r="D323" s="7">
        <f>IFERROR(__xludf.DUMMYFUNCTION("""COMPUTED_VALUE"""),1.96)</f>
        <v>1.96</v>
      </c>
      <c r="E323" s="16">
        <f>IFERROR(__xludf.DUMMYFUNCTION("""COMPUTED_VALUE"""),16.94)</f>
        <v>16.94</v>
      </c>
      <c r="F323" s="16">
        <f>IFERROR(__xludf.DUMMYFUNCTION("""COMPUTED_VALUE"""),4.2)</f>
        <v>4.2</v>
      </c>
      <c r="G323" s="16">
        <f>IFERROR(__xludf.DUMMYFUNCTION("""COMPUTED_VALUE"""),0.0)</f>
        <v>0</v>
      </c>
      <c r="H323" s="23">
        <f>IFERROR(__xludf.DUMMYFUNCTION("""COMPUTED_VALUE"""),113.4)</f>
        <v>113.4</v>
      </c>
    </row>
    <row r="324">
      <c r="A324" s="16" t="str">
        <f>IFERROR(__xludf.DUMMYFUNCTION("""COMPUTED_VALUE"""),"Домашни манджи")</f>
        <v>Домашни манджи</v>
      </c>
      <c r="B324" s="7" t="str">
        <f>IFERROR(__xludf.DUMMYFUNCTION("""COMPUTED_VALUE"""),"Картофено пюре Домашно приготвено, с мляко и масло")</f>
        <v>Картофено пюре Домашно приготвено, с мляко и масло</v>
      </c>
      <c r="C324" s="12">
        <f>IFERROR(__xludf.DUMMYFUNCTION("""COMPUTED_VALUE"""),100.0)</f>
        <v>100</v>
      </c>
      <c r="D324" s="7">
        <f>IFERROR(__xludf.DUMMYFUNCTION("""COMPUTED_VALUE"""),1.85)</f>
        <v>1.85</v>
      </c>
      <c r="E324" s="16">
        <f>IFERROR(__xludf.DUMMYFUNCTION("""COMPUTED_VALUE"""),16.8)</f>
        <v>16.8</v>
      </c>
      <c r="F324" s="16">
        <f>IFERROR(__xludf.DUMMYFUNCTION("""COMPUTED_VALUE"""),4.2)</f>
        <v>4.2</v>
      </c>
      <c r="G324" s="16">
        <f>IFERROR(__xludf.DUMMYFUNCTION("""COMPUTED_VALUE"""),0.0)</f>
        <v>0</v>
      </c>
      <c r="H324" s="16">
        <f>IFERROR(__xludf.DUMMYFUNCTION("""COMPUTED_VALUE"""),112.4)</f>
        <v>112.4</v>
      </c>
    </row>
    <row r="325">
      <c r="A325" s="16" t="str">
        <f>IFERROR(__xludf.DUMMYFUNCTION("""COMPUTED_VALUE"""),"Домашни манджи")</f>
        <v>Домашни манджи</v>
      </c>
      <c r="B325" s="7" t="str">
        <f>IFERROR(__xludf.DUMMYFUNCTION("""COMPUTED_VALUE"""),"Картофено пюре Pfanni")</f>
        <v>Картофено пюре Pfanni</v>
      </c>
      <c r="C325" s="12">
        <f>IFERROR(__xludf.DUMMYFUNCTION("""COMPUTED_VALUE"""),100.0)</f>
        <v>100</v>
      </c>
      <c r="D325" s="7">
        <f>IFERROR(__xludf.DUMMYFUNCTION("""COMPUTED_VALUE"""),1.5)</f>
        <v>1.5</v>
      </c>
      <c r="E325" s="16">
        <f>IFERROR(__xludf.DUMMYFUNCTION("""COMPUTED_VALUE"""),11.0)</f>
        <v>11</v>
      </c>
      <c r="F325" s="16">
        <f>IFERROR(__xludf.DUMMYFUNCTION("""COMPUTED_VALUE"""),1.0)</f>
        <v>1</v>
      </c>
      <c r="G325" s="16">
        <f>IFERROR(__xludf.DUMMYFUNCTION("""COMPUTED_VALUE"""),1.4)</f>
        <v>1.4</v>
      </c>
      <c r="H325" s="16">
        <f>IFERROR(__xludf.DUMMYFUNCTION("""COMPUTED_VALUE"""),59.0)</f>
        <v>59</v>
      </c>
    </row>
    <row r="326">
      <c r="A326" s="16" t="str">
        <f>IFERROR(__xludf.DUMMYFUNCTION("""COMPUTED_VALUE"""),"Домашни манджи")</f>
        <v>Домашни манджи</v>
      </c>
      <c r="B326" s="7" t="str">
        <f>IFERROR(__xludf.DUMMYFUNCTION("""COMPUTED_VALUE"""),"Телешки ребра на фурна")</f>
        <v>Телешки ребра на фурна</v>
      </c>
      <c r="C326" s="12">
        <f>IFERROR(__xludf.DUMMYFUNCTION("""COMPUTED_VALUE"""),100.0)</f>
        <v>100</v>
      </c>
      <c r="D326" s="7">
        <f>IFERROR(__xludf.DUMMYFUNCTION("""COMPUTED_VALUE"""),23.96)</f>
        <v>23.96</v>
      </c>
      <c r="E326" s="16">
        <f>IFERROR(__xludf.DUMMYFUNCTION("""COMPUTED_VALUE"""),0.0)</f>
        <v>0</v>
      </c>
      <c r="F326" s="16">
        <f>IFERROR(__xludf.DUMMYFUNCTION("""COMPUTED_VALUE"""),13.96)</f>
        <v>13.96</v>
      </c>
      <c r="G326" s="16">
        <f>IFERROR(__xludf.DUMMYFUNCTION("""COMPUTED_VALUE"""),0.0)</f>
        <v>0</v>
      </c>
      <c r="H326" s="23">
        <f>IFERROR(__xludf.DUMMYFUNCTION("""COMPUTED_VALUE"""),221.48000000000002)</f>
        <v>221.48</v>
      </c>
    </row>
    <row r="327">
      <c r="A327" s="16" t="str">
        <f>IFERROR(__xludf.DUMMYFUNCTION("""COMPUTED_VALUE"""),"Домашни манджи")</f>
        <v>Домашни манджи</v>
      </c>
      <c r="B327" s="7" t="str">
        <f>IFERROR(__xludf.DUMMYFUNCTION("""COMPUTED_VALUE"""),"Телешко филе на фурна")</f>
        <v>Телешко филе на фурна</v>
      </c>
      <c r="C327" s="12">
        <f>IFERROR(__xludf.DUMMYFUNCTION("""COMPUTED_VALUE"""),100.0)</f>
        <v>100</v>
      </c>
      <c r="D327" s="7">
        <f>IFERROR(__xludf.DUMMYFUNCTION("""COMPUTED_VALUE"""),26.32)</f>
        <v>26.32</v>
      </c>
      <c r="E327" s="16">
        <f>IFERROR(__xludf.DUMMYFUNCTION("""COMPUTED_VALUE"""),0.0)</f>
        <v>0</v>
      </c>
      <c r="F327" s="16">
        <f>IFERROR(__xludf.DUMMYFUNCTION("""COMPUTED_VALUE"""),6.94)</f>
        <v>6.94</v>
      </c>
      <c r="G327" s="16">
        <f>IFERROR(__xludf.DUMMYFUNCTION("""COMPUTED_VALUE"""),0.0)</f>
        <v>0</v>
      </c>
      <c r="H327" s="23">
        <f>IFERROR(__xludf.DUMMYFUNCTION("""COMPUTED_VALUE"""),167.74)</f>
        <v>167.74</v>
      </c>
    </row>
    <row r="328">
      <c r="A328" s="16" t="str">
        <f>IFERROR(__xludf.DUMMYFUNCTION("""COMPUTED_VALUE"""),"Домашни манджи")</f>
        <v>Домашни манджи</v>
      </c>
      <c r="B328" s="7" t="str">
        <f>IFERROR(__xludf.DUMMYFUNCTION("""COMPUTED_VALUE"""),"Свински врат на фурна")</f>
        <v>Свински врат на фурна</v>
      </c>
      <c r="C328" s="12">
        <f>IFERROR(__xludf.DUMMYFUNCTION("""COMPUTED_VALUE"""),100.0)</f>
        <v>100</v>
      </c>
      <c r="D328" s="7">
        <f>IFERROR(__xludf.DUMMYFUNCTION("""COMPUTED_VALUE"""),25.7)</f>
        <v>25.7</v>
      </c>
      <c r="E328" s="16">
        <f>IFERROR(__xludf.DUMMYFUNCTION("""COMPUTED_VALUE"""),0.0)</f>
        <v>0</v>
      </c>
      <c r="F328" s="16">
        <f>IFERROR(__xludf.DUMMYFUNCTION("""COMPUTED_VALUE"""),11.8)</f>
        <v>11.8</v>
      </c>
      <c r="G328" s="16">
        <f>IFERROR(__xludf.DUMMYFUNCTION("""COMPUTED_VALUE"""),0.0)</f>
        <v>0</v>
      </c>
      <c r="H328" s="23">
        <f>IFERROR(__xludf.DUMMYFUNCTION("""COMPUTED_VALUE"""),209.0)</f>
        <v>209</v>
      </c>
    </row>
    <row r="329">
      <c r="A329" s="16" t="str">
        <f>IFERROR(__xludf.DUMMYFUNCTION("""COMPUTED_VALUE"""),"Домашни манджи")</f>
        <v>Домашни манджи</v>
      </c>
      <c r="B329" s="7" t="str">
        <f>IFERROR(__xludf.DUMMYFUNCTION("""COMPUTED_VALUE"""),"Агнешки ребра на фурна")</f>
        <v>Агнешки ребра на фурна</v>
      </c>
      <c r="C329" s="12">
        <f>IFERROR(__xludf.DUMMYFUNCTION("""COMPUTED_VALUE"""),100.0)</f>
        <v>100</v>
      </c>
      <c r="D329" s="7">
        <f>IFERROR(__xludf.DUMMYFUNCTION("""COMPUTED_VALUE"""),26.16)</f>
        <v>26.16</v>
      </c>
      <c r="E329" s="16">
        <f>IFERROR(__xludf.DUMMYFUNCTION("""COMPUTED_VALUE"""),0.0)</f>
        <v>0</v>
      </c>
      <c r="F329" s="16">
        <f>IFERROR(__xludf.DUMMYFUNCTION("""COMPUTED_VALUE"""),13.31)</f>
        <v>13.31</v>
      </c>
      <c r="G329" s="16">
        <f>IFERROR(__xludf.DUMMYFUNCTION("""COMPUTED_VALUE"""),0.0)</f>
        <v>0</v>
      </c>
      <c r="H329" s="23">
        <f>IFERROR(__xludf.DUMMYFUNCTION("""COMPUTED_VALUE"""),224.43)</f>
        <v>224.43</v>
      </c>
    </row>
    <row r="330">
      <c r="A330" s="16" t="str">
        <f>IFERROR(__xludf.DUMMYFUNCTION("""COMPUTED_VALUE"""),"Домашни манджи")</f>
        <v>Домашни манджи</v>
      </c>
      <c r="B330" s="7" t="str">
        <f>IFERROR(__xludf.DUMMYFUNCTION("""COMPUTED_VALUE"""),"Пиле на фурна")</f>
        <v>Пиле на фурна</v>
      </c>
      <c r="C330" s="12">
        <f>IFERROR(__xludf.DUMMYFUNCTION("""COMPUTED_VALUE"""),100.0)</f>
        <v>100</v>
      </c>
      <c r="D330" s="7">
        <f>IFERROR(__xludf.DUMMYFUNCTION("""COMPUTED_VALUE"""),16.4)</f>
        <v>16.4</v>
      </c>
      <c r="E330" s="16">
        <f>IFERROR(__xludf.DUMMYFUNCTION("""COMPUTED_VALUE"""),0.1)</f>
        <v>0.1</v>
      </c>
      <c r="F330" s="16">
        <f>IFERROR(__xludf.DUMMYFUNCTION("""COMPUTED_VALUE"""),12.7)</f>
        <v>12.7</v>
      </c>
      <c r="G330" s="16">
        <f>IFERROR(__xludf.DUMMYFUNCTION("""COMPUTED_VALUE"""),0.0)</f>
        <v>0</v>
      </c>
      <c r="H330" s="23">
        <f>IFERROR(__xludf.DUMMYFUNCTION("""COMPUTED_VALUE"""),180.3)</f>
        <v>180.3</v>
      </c>
    </row>
    <row r="331">
      <c r="A331" s="16" t="str">
        <f>IFERROR(__xludf.DUMMYFUNCTION("""COMPUTED_VALUE"""),"Домашни манджи")</f>
        <v>Домашни манджи</v>
      </c>
      <c r="B331" s="7" t="str">
        <f>IFERROR(__xludf.DUMMYFUNCTION("""COMPUTED_VALUE"""),"спагети -нудели супа с говеждо")</f>
        <v>спагети -нудели супа с говеждо</v>
      </c>
      <c r="C331" s="7">
        <f>IFERROR(__xludf.DUMMYFUNCTION("""COMPUTED_VALUE"""),100.0)</f>
        <v>100</v>
      </c>
      <c r="D331" s="7">
        <f>IFERROR(__xludf.DUMMYFUNCTION("""COMPUTED_VALUE"""),10.0)</f>
        <v>10</v>
      </c>
      <c r="E331" s="16">
        <f>IFERROR(__xludf.DUMMYFUNCTION("""COMPUTED_VALUE"""),65.0)</f>
        <v>65</v>
      </c>
      <c r="F331" s="16">
        <f>IFERROR(__xludf.DUMMYFUNCTION("""COMPUTED_VALUE"""),15.0)</f>
        <v>15</v>
      </c>
      <c r="G331" s="16">
        <f>IFERROR(__xludf.DUMMYFUNCTION("""COMPUTED_VALUE"""),3.0)</f>
        <v>3</v>
      </c>
      <c r="H331" s="23">
        <f>IFERROR(__xludf.DUMMYFUNCTION("""COMPUTED_VALUE"""),435.0)</f>
        <v>435</v>
      </c>
    </row>
    <row r="332">
      <c r="A332" s="16" t="str">
        <f>IFERROR(__xludf.DUMMYFUNCTION("""COMPUTED_VALUE"""),"Домашни манджи")</f>
        <v>Домашни манджи</v>
      </c>
      <c r="B332" s="7" t="str">
        <f>IFERROR(__xludf.DUMMYFUNCTION("""COMPUTED_VALUE"""),"Лазаня")</f>
        <v>Лазаня</v>
      </c>
      <c r="C332" s="7">
        <f>IFERROR(__xludf.DUMMYFUNCTION("""COMPUTED_VALUE"""),100.0)</f>
        <v>100</v>
      </c>
      <c r="D332" s="7">
        <f>IFERROR(__xludf.DUMMYFUNCTION("""COMPUTED_VALUE"""),3.0)</f>
        <v>3</v>
      </c>
      <c r="E332" s="16">
        <f>IFERROR(__xludf.DUMMYFUNCTION("""COMPUTED_VALUE"""),10.0)</f>
        <v>10</v>
      </c>
      <c r="F332" s="16">
        <f>IFERROR(__xludf.DUMMYFUNCTION("""COMPUTED_VALUE"""),10.0)</f>
        <v>10</v>
      </c>
      <c r="G332" s="16">
        <f>IFERROR(__xludf.DUMMYFUNCTION("""COMPUTED_VALUE"""),0.0)</f>
        <v>0</v>
      </c>
      <c r="H332" s="23">
        <f>IFERROR(__xludf.DUMMYFUNCTION("""COMPUTED_VALUE"""),142.0)</f>
        <v>142</v>
      </c>
    </row>
    <row r="333">
      <c r="A333" s="16" t="str">
        <f>IFERROR(__xludf.DUMMYFUNCTION("""COMPUTED_VALUE"""),"Домашни манджи")</f>
        <v>Домашни манджи</v>
      </c>
      <c r="B333" s="7" t="str">
        <f>IFERROR(__xludf.DUMMYFUNCTION("""COMPUTED_VALUE"""),"Шпецли с аспержи")</f>
        <v>Шпецли с аспержи</v>
      </c>
      <c r="C333" s="7">
        <f>IFERROR(__xludf.DUMMYFUNCTION("""COMPUTED_VALUE"""),100.0)</f>
        <v>100</v>
      </c>
      <c r="D333" s="7">
        <f>IFERROR(__xludf.DUMMYFUNCTION("""COMPUTED_VALUE"""),6.1)</f>
        <v>6.1</v>
      </c>
      <c r="E333" s="16">
        <f>IFERROR(__xludf.DUMMYFUNCTION("""COMPUTED_VALUE"""),28.0)</f>
        <v>28</v>
      </c>
      <c r="F333" s="16">
        <f>IFERROR(__xludf.DUMMYFUNCTION("""COMPUTED_VALUE"""),2.0)</f>
        <v>2</v>
      </c>
      <c r="G333" s="16">
        <f>IFERROR(__xludf.DUMMYFUNCTION("""COMPUTED_VALUE"""),0.0)</f>
        <v>0</v>
      </c>
      <c r="H333" s="23">
        <f>IFERROR(__xludf.DUMMYFUNCTION("""COMPUTED_VALUE"""),154.4)</f>
        <v>154.4</v>
      </c>
    </row>
    <row r="334">
      <c r="A334" s="16" t="str">
        <f>IFERROR(__xludf.DUMMYFUNCTION("""COMPUTED_VALUE"""),"Домашни манджи")</f>
        <v>Домашни манджи</v>
      </c>
      <c r="B334" s="7" t="str">
        <f>IFERROR(__xludf.DUMMYFUNCTION("""COMPUTED_VALUE"""),"Мекици")</f>
        <v>Мекици</v>
      </c>
      <c r="C334" s="12">
        <f>IFERROR(__xludf.DUMMYFUNCTION("""COMPUTED_VALUE"""),100.0)</f>
        <v>100</v>
      </c>
      <c r="D334" s="7">
        <f>IFERROR(__xludf.DUMMYFUNCTION("""COMPUTED_VALUE"""),5.8)</f>
        <v>5.8</v>
      </c>
      <c r="E334" s="16">
        <f>IFERROR(__xludf.DUMMYFUNCTION("""COMPUTED_VALUE"""),42.0)</f>
        <v>42</v>
      </c>
      <c r="F334" s="16">
        <f>IFERROR(__xludf.DUMMYFUNCTION("""COMPUTED_VALUE"""),20.7)</f>
        <v>20.7</v>
      </c>
      <c r="G334" s="16">
        <f>IFERROR(__xludf.DUMMYFUNCTION("""COMPUTED_VALUE"""),0.0)</f>
        <v>0</v>
      </c>
      <c r="H334" s="16">
        <f>IFERROR(__xludf.DUMMYFUNCTION("""COMPUTED_VALUE"""),377.5)</f>
        <v>377.5</v>
      </c>
    </row>
    <row r="335">
      <c r="A335" s="16" t="str">
        <f>IFERROR(__xludf.DUMMYFUNCTION("""COMPUTED_VALUE"""),"Домашни манджи")</f>
        <v>Домашни манджи</v>
      </c>
      <c r="B335" s="7" t="str">
        <f>IFERROR(__xludf.DUMMYFUNCTION("""COMPUTED_VALUE"""),"Яйца по панагюрски")</f>
        <v>Яйца по панагюрски</v>
      </c>
      <c r="C335" s="7">
        <f>IFERROR(__xludf.DUMMYFUNCTION("""COMPUTED_VALUE"""),100.0)</f>
        <v>100</v>
      </c>
      <c r="D335" s="7">
        <f>IFERROR(__xludf.DUMMYFUNCTION("""COMPUTED_VALUE"""),25.0)</f>
        <v>25</v>
      </c>
      <c r="E335" s="16">
        <f>IFERROR(__xludf.DUMMYFUNCTION("""COMPUTED_VALUE"""),10.0)</f>
        <v>10</v>
      </c>
      <c r="F335" s="16">
        <f>IFERROR(__xludf.DUMMYFUNCTION("""COMPUTED_VALUE"""),25.0)</f>
        <v>25</v>
      </c>
      <c r="G335" s="16">
        <f>IFERROR(__xludf.DUMMYFUNCTION("""COMPUTED_VALUE"""),0.0)</f>
        <v>0</v>
      </c>
      <c r="H335" s="23">
        <f>IFERROR(__xludf.DUMMYFUNCTION("""COMPUTED_VALUE"""),365.0)</f>
        <v>365</v>
      </c>
    </row>
    <row r="336">
      <c r="A336" s="16" t="str">
        <f>IFERROR(__xludf.DUMMYFUNCTION("""COMPUTED_VALUE"""),"Животинска карантия")</f>
        <v>Животинска карантия</v>
      </c>
      <c r="B336" s="7" t="str">
        <f>IFERROR(__xludf.DUMMYFUNCTION("""COMPUTED_VALUE"""),"Пилешки дробчета (сурово състояние)")</f>
        <v>Пилешки дробчета (сурово състояние)</v>
      </c>
      <c r="C336" s="12" t="str">
        <f>IFERROR(__xludf.DUMMYFUNCTION("""COMPUTED_VALUE"""),"100")</f>
        <v>100</v>
      </c>
      <c r="D336" s="7">
        <f>IFERROR(__xludf.DUMMYFUNCTION("""COMPUTED_VALUE"""),17.0)</f>
        <v>17</v>
      </c>
      <c r="E336" s="16">
        <f>IFERROR(__xludf.DUMMYFUNCTION("""COMPUTED_VALUE"""),0.0)</f>
        <v>0</v>
      </c>
      <c r="F336" s="16">
        <f>IFERROR(__xludf.DUMMYFUNCTION("""COMPUTED_VALUE"""),5.0)</f>
        <v>5</v>
      </c>
      <c r="G336" s="16">
        <f>IFERROR(__xludf.DUMMYFUNCTION("""COMPUTED_VALUE"""),0.0)</f>
        <v>0</v>
      </c>
      <c r="H336" s="23">
        <f>IFERROR(__xludf.DUMMYFUNCTION("""COMPUTED_VALUE"""),113.0)</f>
        <v>113</v>
      </c>
    </row>
    <row r="337">
      <c r="A337" s="16" t="str">
        <f>IFERROR(__xludf.DUMMYFUNCTION("""COMPUTED_VALUE"""),"Животинска карантия")</f>
        <v>Животинска карантия</v>
      </c>
      <c r="B337" s="7" t="str">
        <f>IFERROR(__xludf.DUMMYFUNCTION("""COMPUTED_VALUE"""),"Пилешки воденички (сурово състояние)")</f>
        <v>Пилешки воденички (сурово състояние)</v>
      </c>
      <c r="C337" s="12" t="str">
        <f>IFERROR(__xludf.DUMMYFUNCTION("""COMPUTED_VALUE"""),"100")</f>
        <v>100</v>
      </c>
      <c r="D337" s="7">
        <f>IFERROR(__xludf.DUMMYFUNCTION("""COMPUTED_VALUE"""),17.0)</f>
        <v>17</v>
      </c>
      <c r="E337" s="16">
        <f>IFERROR(__xludf.DUMMYFUNCTION("""COMPUTED_VALUE"""),0.0)</f>
        <v>0</v>
      </c>
      <c r="F337" s="16">
        <f>IFERROR(__xludf.DUMMYFUNCTION("""COMPUTED_VALUE"""),2.0)</f>
        <v>2</v>
      </c>
      <c r="G337" s="16">
        <f>IFERROR(__xludf.DUMMYFUNCTION("""COMPUTED_VALUE"""),0.0)</f>
        <v>0</v>
      </c>
      <c r="H337" s="23">
        <f>IFERROR(__xludf.DUMMYFUNCTION("""COMPUTED_VALUE"""),86.0)</f>
        <v>86</v>
      </c>
    </row>
    <row r="338">
      <c r="A338" s="16" t="str">
        <f>IFERROR(__xludf.DUMMYFUNCTION("""COMPUTED_VALUE"""),"Животинска карантия")</f>
        <v>Животинска карантия</v>
      </c>
      <c r="B338" s="7" t="str">
        <f>IFERROR(__xludf.DUMMYFUNCTION("""COMPUTED_VALUE"""),"Свински дроб (сурово състояние)")</f>
        <v>Свински дроб (сурово състояние)</v>
      </c>
      <c r="C338" s="12" t="str">
        <f>IFERROR(__xludf.DUMMYFUNCTION("""COMPUTED_VALUE"""),"100")</f>
        <v>100</v>
      </c>
      <c r="D338" s="7">
        <f>IFERROR(__xludf.DUMMYFUNCTION("""COMPUTED_VALUE"""),20.0)</f>
        <v>20</v>
      </c>
      <c r="E338" s="16">
        <f>IFERROR(__xludf.DUMMYFUNCTION("""COMPUTED_VALUE"""),2.0)</f>
        <v>2</v>
      </c>
      <c r="F338" s="16">
        <f>IFERROR(__xludf.DUMMYFUNCTION("""COMPUTED_VALUE"""),3.5)</f>
        <v>3.5</v>
      </c>
      <c r="G338" s="16">
        <f>IFERROR(__xludf.DUMMYFUNCTION("""COMPUTED_VALUE"""),0.0)</f>
        <v>0</v>
      </c>
      <c r="H338" s="23">
        <f>IFERROR(__xludf.DUMMYFUNCTION("""COMPUTED_VALUE"""),119.5)</f>
        <v>119.5</v>
      </c>
    </row>
    <row r="339">
      <c r="A339" s="16" t="str">
        <f>IFERROR(__xludf.DUMMYFUNCTION("""COMPUTED_VALUE"""),"Животинска карантия")</f>
        <v>Животинска карантия</v>
      </c>
      <c r="B339" s="7" t="str">
        <f>IFERROR(__xludf.DUMMYFUNCTION("""COMPUTED_VALUE"""),"Телешки дроб (сурово състояние)")</f>
        <v>Телешки дроб (сурово състояние)</v>
      </c>
      <c r="C339" s="12" t="str">
        <f>IFERROR(__xludf.DUMMYFUNCTION("""COMPUTED_VALUE"""),"100")</f>
        <v>100</v>
      </c>
      <c r="D339" s="7">
        <f>IFERROR(__xludf.DUMMYFUNCTION("""COMPUTED_VALUE"""),20.0)</f>
        <v>20</v>
      </c>
      <c r="E339" s="16">
        <f>IFERROR(__xludf.DUMMYFUNCTION("""COMPUTED_VALUE"""),2.0)</f>
        <v>2</v>
      </c>
      <c r="F339" s="16">
        <f>IFERROR(__xludf.DUMMYFUNCTION("""COMPUTED_VALUE"""),3.5)</f>
        <v>3.5</v>
      </c>
      <c r="G339" s="16">
        <f>IFERROR(__xludf.DUMMYFUNCTION("""COMPUTED_VALUE"""),0.0)</f>
        <v>0</v>
      </c>
      <c r="H339" s="23">
        <f>IFERROR(__xludf.DUMMYFUNCTION("""COMPUTED_VALUE"""),119.5)</f>
        <v>119.5</v>
      </c>
    </row>
    <row r="340">
      <c r="A340" s="16" t="str">
        <f>IFERROR(__xludf.DUMMYFUNCTION("""COMPUTED_VALUE"""),"Животинска карантия")</f>
        <v>Животинска карантия</v>
      </c>
      <c r="B340" s="7" t="str">
        <f>IFERROR(__xludf.DUMMYFUNCTION("""COMPUTED_VALUE"""),"Телешки черен дроб(пържен)")</f>
        <v>Телешки черен дроб(пържен)</v>
      </c>
      <c r="C340" s="12">
        <f>IFERROR(__xludf.DUMMYFUNCTION("""COMPUTED_VALUE"""),100.0)</f>
        <v>100</v>
      </c>
      <c r="D340" s="7">
        <f>IFERROR(__xludf.DUMMYFUNCTION("""COMPUTED_VALUE"""),28.42)</f>
        <v>28.42</v>
      </c>
      <c r="E340" s="16">
        <f>IFERROR(__xludf.DUMMYFUNCTION("""COMPUTED_VALUE"""),3.77)</f>
        <v>3.77</v>
      </c>
      <c r="F340" s="16">
        <f>IFERROR(__xludf.DUMMYFUNCTION("""COMPUTED_VALUE"""),6.26)</f>
        <v>6.26</v>
      </c>
      <c r="G340" s="16">
        <f>IFERROR(__xludf.DUMMYFUNCTION("""COMPUTED_VALUE"""),0.0)</f>
        <v>0</v>
      </c>
      <c r="H340" s="23">
        <f>IFERROR(__xludf.DUMMYFUNCTION("""COMPUTED_VALUE"""),185.10000000000002)</f>
        <v>185.1</v>
      </c>
    </row>
    <row r="341">
      <c r="A341" s="16" t="str">
        <f>IFERROR(__xludf.DUMMYFUNCTION("""COMPUTED_VALUE"""),"Животинска карантия")</f>
        <v>Животинска карантия</v>
      </c>
      <c r="B341" s="7" t="str">
        <f>IFERROR(__xludf.DUMMYFUNCTION("""COMPUTED_VALUE"""),"Телешки черен дроб- пържен")</f>
        <v>Телешки черен дроб- пържен</v>
      </c>
      <c r="C341" s="12">
        <f>IFERROR(__xludf.DUMMYFUNCTION("""COMPUTED_VALUE"""),100.0)</f>
        <v>100</v>
      </c>
      <c r="D341" s="7">
        <f>IFERROR(__xludf.DUMMYFUNCTION("""COMPUTED_VALUE"""),28.42)</f>
        <v>28.42</v>
      </c>
      <c r="E341" s="16">
        <f>IFERROR(__xludf.DUMMYFUNCTION("""COMPUTED_VALUE"""),3.77)</f>
        <v>3.77</v>
      </c>
      <c r="F341" s="16">
        <f>IFERROR(__xludf.DUMMYFUNCTION("""COMPUTED_VALUE"""),6.26)</f>
        <v>6.26</v>
      </c>
      <c r="G341" s="16">
        <f>IFERROR(__xludf.DUMMYFUNCTION("""COMPUTED_VALUE"""),0.0)</f>
        <v>0</v>
      </c>
      <c r="H341" s="23">
        <f>IFERROR(__xludf.DUMMYFUNCTION("""COMPUTED_VALUE"""),185.10000000000002)</f>
        <v>185.1</v>
      </c>
    </row>
    <row r="342">
      <c r="A342" s="16" t="str">
        <f>IFERROR(__xludf.DUMMYFUNCTION("""COMPUTED_VALUE"""),"Животинска карантия")</f>
        <v>Животинска карантия</v>
      </c>
      <c r="B342" s="7" t="str">
        <f>IFERROR(__xludf.DUMMYFUNCTION("""COMPUTED_VALUE"""),"Свински черен дроб")</f>
        <v>Свински черен дроб</v>
      </c>
      <c r="C342" s="12">
        <f>IFERROR(__xludf.DUMMYFUNCTION("""COMPUTED_VALUE"""),100.0)</f>
        <v>100</v>
      </c>
      <c r="D342" s="7">
        <f>IFERROR(__xludf.DUMMYFUNCTION("""COMPUTED_VALUE"""),26.8)</f>
        <v>26.8</v>
      </c>
      <c r="E342" s="16">
        <f>IFERROR(__xludf.DUMMYFUNCTION("""COMPUTED_VALUE"""),3.1)</f>
        <v>3.1</v>
      </c>
      <c r="F342" s="16">
        <f>IFERROR(__xludf.DUMMYFUNCTION("""COMPUTED_VALUE"""),4.5)</f>
        <v>4.5</v>
      </c>
      <c r="G342" s="16">
        <f>IFERROR(__xludf.DUMMYFUNCTION("""COMPUTED_VALUE"""),0.0)</f>
        <v>0</v>
      </c>
      <c r="H342" s="23">
        <f>IFERROR(__xludf.DUMMYFUNCTION("""COMPUTED_VALUE"""),160.10000000000002)</f>
        <v>160.1</v>
      </c>
    </row>
    <row r="343">
      <c r="A343" s="16" t="str">
        <f>IFERROR(__xludf.DUMMYFUNCTION("""COMPUTED_VALUE"""),"Животинска карантия")</f>
        <v>Животинска карантия</v>
      </c>
      <c r="B343" s="7" t="str">
        <f>IFERROR(__xludf.DUMMYFUNCTION("""COMPUTED_VALUE"""),"Пилешки дробчета (сурови)")</f>
        <v>Пилешки дробчета (сурови)</v>
      </c>
      <c r="C343" s="12">
        <f>IFERROR(__xludf.DUMMYFUNCTION("""COMPUTED_VALUE"""),100.0)</f>
        <v>100</v>
      </c>
      <c r="D343" s="7">
        <f>IFERROR(__xludf.DUMMYFUNCTION("""COMPUTED_VALUE"""),15.9)</f>
        <v>15.9</v>
      </c>
      <c r="E343" s="16">
        <f>IFERROR(__xludf.DUMMYFUNCTION("""COMPUTED_VALUE"""),0.3)</f>
        <v>0.3</v>
      </c>
      <c r="F343" s="16">
        <f>IFERROR(__xludf.DUMMYFUNCTION("""COMPUTED_VALUE"""),4.6)</f>
        <v>4.6</v>
      </c>
      <c r="G343" s="16">
        <f>IFERROR(__xludf.DUMMYFUNCTION("""COMPUTED_VALUE"""),0.1)</f>
        <v>0.1</v>
      </c>
      <c r="H343" s="23">
        <f>IFERROR(__xludf.DUMMYFUNCTION("""COMPUTED_VALUE"""),106.19999999999999)</f>
        <v>106.2</v>
      </c>
    </row>
    <row r="344">
      <c r="A344" s="16" t="str">
        <f>IFERROR(__xludf.DUMMYFUNCTION("""COMPUTED_VALUE"""),"Животинска карантия")</f>
        <v>Животинска карантия</v>
      </c>
      <c r="B344" s="7" t="str">
        <f>IFERROR(__xludf.DUMMYFUNCTION("""COMPUTED_VALUE"""),"Пилешки дробчета (сготвено състояние)")</f>
        <v>Пилешки дробчета (сготвено състояние)</v>
      </c>
      <c r="C344" s="12">
        <f>IFERROR(__xludf.DUMMYFUNCTION("""COMPUTED_VALUE"""),100.0)</f>
        <v>100</v>
      </c>
      <c r="D344" s="7">
        <f>IFERROR(__xludf.DUMMYFUNCTION("""COMPUTED_VALUE"""),25.78)</f>
        <v>25.78</v>
      </c>
      <c r="E344" s="16">
        <f>IFERROR(__xludf.DUMMYFUNCTION("""COMPUTED_VALUE"""),1.11)</f>
        <v>1.11</v>
      </c>
      <c r="F344" s="16">
        <f>IFERROR(__xludf.DUMMYFUNCTION("""COMPUTED_VALUE"""),6.43)</f>
        <v>6.43</v>
      </c>
      <c r="G344" s="16">
        <f>IFERROR(__xludf.DUMMYFUNCTION("""COMPUTED_VALUE"""),0.0)</f>
        <v>0</v>
      </c>
      <c r="H344" s="23">
        <f>IFERROR(__xludf.DUMMYFUNCTION("""COMPUTED_VALUE"""),165.43)</f>
        <v>165.43</v>
      </c>
    </row>
    <row r="345">
      <c r="A345" s="16" t="str">
        <f>IFERROR(__xludf.DUMMYFUNCTION("""COMPUTED_VALUE"""),"Животинска карантия")</f>
        <v>Животинска карантия</v>
      </c>
      <c r="B345" s="7" t="str">
        <f>IFERROR(__xludf.DUMMYFUNCTION("""COMPUTED_VALUE"""),"Телешки език (сурово състояние)")</f>
        <v>Телешки език (сурово състояние)</v>
      </c>
      <c r="C345" s="12">
        <f>IFERROR(__xludf.DUMMYFUNCTION("""COMPUTED_VALUE"""),100.0)</f>
        <v>100</v>
      </c>
      <c r="D345" s="7">
        <f>IFERROR(__xludf.DUMMYFUNCTION("""COMPUTED_VALUE"""),17.2)</f>
        <v>17.2</v>
      </c>
      <c r="E345" s="16">
        <f>IFERROR(__xludf.DUMMYFUNCTION("""COMPUTED_VALUE"""),1.9)</f>
        <v>1.9</v>
      </c>
      <c r="F345" s="16">
        <f>IFERROR(__xludf.DUMMYFUNCTION("""COMPUTED_VALUE"""),5.5)</f>
        <v>5.5</v>
      </c>
      <c r="G345" s="16">
        <f>IFERROR(__xludf.DUMMYFUNCTION("""COMPUTED_VALUE"""),0.0)</f>
        <v>0</v>
      </c>
      <c r="H345" s="23">
        <f>IFERROR(__xludf.DUMMYFUNCTION("""COMPUTED_VALUE"""),125.89999999999999)</f>
        <v>125.9</v>
      </c>
    </row>
    <row r="346">
      <c r="A346" s="16" t="str">
        <f>IFERROR(__xludf.DUMMYFUNCTION("""COMPUTED_VALUE"""),"Животинска карантия")</f>
        <v>Животинска карантия</v>
      </c>
      <c r="B346" s="7" t="str">
        <f>IFERROR(__xludf.DUMMYFUNCTION("""COMPUTED_VALUE"""),"Пилешки сърца (готово състояние)")</f>
        <v>Пилешки сърца (готово състояние)</v>
      </c>
      <c r="C346" s="12">
        <f>IFERROR(__xludf.DUMMYFUNCTION("""COMPUTED_VALUE"""),100.0)</f>
        <v>100</v>
      </c>
      <c r="D346" s="7">
        <f>IFERROR(__xludf.DUMMYFUNCTION("""COMPUTED_VALUE"""),26.4)</f>
        <v>26.4</v>
      </c>
      <c r="E346" s="16">
        <f>IFERROR(__xludf.DUMMYFUNCTION("""COMPUTED_VALUE"""),0.0)</f>
        <v>0</v>
      </c>
      <c r="F346" s="16">
        <f>IFERROR(__xludf.DUMMYFUNCTION("""COMPUTED_VALUE"""),8.0)</f>
        <v>8</v>
      </c>
      <c r="G346" s="16">
        <f>IFERROR(__xludf.DUMMYFUNCTION("""COMPUTED_VALUE"""),0.0)</f>
        <v>0</v>
      </c>
      <c r="H346" s="23">
        <f>IFERROR(__xludf.DUMMYFUNCTION("""COMPUTED_VALUE"""),177.6)</f>
        <v>177.6</v>
      </c>
    </row>
    <row r="347">
      <c r="A347" s="16" t="str">
        <f>IFERROR(__xludf.DUMMYFUNCTION("""COMPUTED_VALUE"""),"Животинска карантия")</f>
        <v>Животинска карантия</v>
      </c>
      <c r="B347" s="7" t="str">
        <f>IFERROR(__xludf.DUMMYFUNCTION("""COMPUTED_VALUE"""),"Агнешки дроб-пържен в тиган")</f>
        <v>Агнешки дроб-пържен в тиган</v>
      </c>
      <c r="C347" s="12">
        <f>IFERROR(__xludf.DUMMYFUNCTION("""COMPUTED_VALUE"""),100.0)</f>
        <v>100</v>
      </c>
      <c r="D347" s="7">
        <f>IFERROR(__xludf.DUMMYFUNCTION("""COMPUTED_VALUE"""),25.53)</f>
        <v>25.53</v>
      </c>
      <c r="E347" s="16">
        <f>IFERROR(__xludf.DUMMYFUNCTION("""COMPUTED_VALUE"""),3.78)</f>
        <v>3.78</v>
      </c>
      <c r="F347" s="16">
        <f>IFERROR(__xludf.DUMMYFUNCTION("""COMPUTED_VALUE"""),12.65)</f>
        <v>12.65</v>
      </c>
      <c r="G347" s="16">
        <f>IFERROR(__xludf.DUMMYFUNCTION("""COMPUTED_VALUE"""),0.0)</f>
        <v>0</v>
      </c>
      <c r="H347" s="23">
        <f>IFERROR(__xludf.DUMMYFUNCTION("""COMPUTED_VALUE"""),231.09000000000003)</f>
        <v>231.09</v>
      </c>
    </row>
    <row r="348">
      <c r="A348" s="16" t="str">
        <f>IFERROR(__xludf.DUMMYFUNCTION("""COMPUTED_VALUE"""),"Животинска карантия")</f>
        <v>Животинска карантия</v>
      </c>
      <c r="B348" s="7" t="str">
        <f>IFERROR(__xludf.DUMMYFUNCTION("""COMPUTED_VALUE"""),"Телешко шкембе (сурово)")</f>
        <v>Телешко шкембе (сурово)</v>
      </c>
      <c r="C348" s="12">
        <f>IFERROR(__xludf.DUMMYFUNCTION("""COMPUTED_VALUE"""),100.0)</f>
        <v>100</v>
      </c>
      <c r="D348" s="7">
        <f>IFERROR(__xludf.DUMMYFUNCTION("""COMPUTED_VALUE"""),12.0)</f>
        <v>12</v>
      </c>
      <c r="E348" s="16">
        <f>IFERROR(__xludf.DUMMYFUNCTION("""COMPUTED_VALUE"""),0.0)</f>
        <v>0</v>
      </c>
      <c r="F348" s="16">
        <f>IFERROR(__xludf.DUMMYFUNCTION("""COMPUTED_VALUE"""),4.0)</f>
        <v>4</v>
      </c>
      <c r="G348" s="16">
        <f>IFERROR(__xludf.DUMMYFUNCTION("""COMPUTED_VALUE"""),0.0)</f>
        <v>0</v>
      </c>
      <c r="H348" s="16">
        <f>IFERROR(__xludf.DUMMYFUNCTION("""COMPUTED_VALUE"""),84.0)</f>
        <v>84</v>
      </c>
    </row>
    <row r="349">
      <c r="A349" s="16" t="str">
        <f>IFERROR(__xludf.DUMMYFUNCTION("""COMPUTED_VALUE"""),"Замразени плодове/зеленчуци")</f>
        <v>Замразени плодове/зеленчуци</v>
      </c>
      <c r="B349" s="7" t="str">
        <f>IFERROR(__xludf.DUMMYFUNCTION("""COMPUTED_VALUE"""),"Броколи (замразени)")</f>
        <v>Броколи (замразени)</v>
      </c>
      <c r="C349" s="12">
        <f>IFERROR(__xludf.DUMMYFUNCTION("""COMPUTED_VALUE"""),100.0)</f>
        <v>100</v>
      </c>
      <c r="D349" s="7">
        <f>IFERROR(__xludf.DUMMYFUNCTION("""COMPUTED_VALUE"""),2.8)</f>
        <v>2.8</v>
      </c>
      <c r="E349" s="16">
        <f>IFERROR(__xludf.DUMMYFUNCTION("""COMPUTED_VALUE"""),4.8)</f>
        <v>4.8</v>
      </c>
      <c r="F349" s="16">
        <f>IFERROR(__xludf.DUMMYFUNCTION("""COMPUTED_VALUE"""),0.3)</f>
        <v>0.3</v>
      </c>
      <c r="G349" s="16" t="str">
        <f>IFERROR(__xludf.DUMMYFUNCTION("""COMPUTED_VALUE"""),"3.0")</f>
        <v>3.0</v>
      </c>
      <c r="H349" s="23">
        <f>IFERROR(__xludf.DUMMYFUNCTION("""COMPUTED_VALUE"""),33.1)</f>
        <v>33.1</v>
      </c>
    </row>
    <row r="350">
      <c r="A350" s="16" t="str">
        <f>IFERROR(__xludf.DUMMYFUNCTION("""COMPUTED_VALUE"""),"Замразени плодове/зеленчуци")</f>
        <v>Замразени плодове/зеленчуци</v>
      </c>
      <c r="B350" s="7" t="str">
        <f>IFERROR(__xludf.DUMMYFUNCTION("""COMPUTED_VALUE"""),"Брюкселско зеле (замразено)")</f>
        <v>Брюкселско зеле (замразено)</v>
      </c>
      <c r="C350" s="12">
        <f>IFERROR(__xludf.DUMMYFUNCTION("""COMPUTED_VALUE"""),100.0)</f>
        <v>100</v>
      </c>
      <c r="D350" s="7">
        <f>IFERROR(__xludf.DUMMYFUNCTION("""COMPUTED_VALUE"""),3.8)</f>
        <v>3.8</v>
      </c>
      <c r="E350" s="16">
        <f>IFERROR(__xludf.DUMMYFUNCTION("""COMPUTED_VALUE"""),7.9)</f>
        <v>7.9</v>
      </c>
      <c r="F350" s="16">
        <f>IFERROR(__xludf.DUMMYFUNCTION("""COMPUTED_VALUE"""),0.4)</f>
        <v>0.4</v>
      </c>
      <c r="G350" s="16" t="str">
        <f>IFERROR(__xludf.DUMMYFUNCTION("""COMPUTED_VALUE"""),"3.8")</f>
        <v>3.8</v>
      </c>
      <c r="H350" s="23">
        <f>IFERROR(__xludf.DUMMYFUNCTION("""COMPUTED_VALUE"""),50.4)</f>
        <v>50.4</v>
      </c>
    </row>
    <row r="351">
      <c r="A351" s="16" t="str">
        <f>IFERROR(__xludf.DUMMYFUNCTION("""COMPUTED_VALUE"""),"Замразени плодове/зеленчуци")</f>
        <v>Замразени плодове/зеленчуци</v>
      </c>
      <c r="B351" s="7" t="str">
        <f>IFERROR(__xludf.DUMMYFUNCTION("""COMPUTED_VALUE"""),"Горски плодове (замразени)")</f>
        <v>Горски плодове (замразени)</v>
      </c>
      <c r="C351" s="12">
        <f>IFERROR(__xludf.DUMMYFUNCTION("""COMPUTED_VALUE"""),100.0)</f>
        <v>100</v>
      </c>
      <c r="D351" s="7">
        <f>IFERROR(__xludf.DUMMYFUNCTION("""COMPUTED_VALUE"""),0.0)</f>
        <v>0</v>
      </c>
      <c r="E351" s="16">
        <f>IFERROR(__xludf.DUMMYFUNCTION("""COMPUTED_VALUE"""),12.0)</f>
        <v>12</v>
      </c>
      <c r="F351" s="16">
        <f>IFERROR(__xludf.DUMMYFUNCTION("""COMPUTED_VALUE"""),0.0)</f>
        <v>0</v>
      </c>
      <c r="G351" s="16">
        <f>IFERROR(__xludf.DUMMYFUNCTION("""COMPUTED_VALUE"""),2.5)</f>
        <v>2.5</v>
      </c>
      <c r="H351" s="23">
        <f>IFERROR(__xludf.DUMMYFUNCTION("""COMPUTED_VALUE"""),48.0)</f>
        <v>48</v>
      </c>
    </row>
    <row r="352">
      <c r="A352" s="16" t="str">
        <f>IFERROR(__xludf.DUMMYFUNCTION("""COMPUTED_VALUE"""),"Замразени плодове/зеленчуци")</f>
        <v>Замразени плодове/зеленчуци</v>
      </c>
      <c r="B352" s="7" t="str">
        <f>IFERROR(__xludf.DUMMYFUNCTION("""COMPUTED_VALUE"""),"Замразени зеленчуци - Мексико микс")</f>
        <v>Замразени зеленчуци - Мексико микс</v>
      </c>
      <c r="C352" s="12">
        <f>IFERROR(__xludf.DUMMYFUNCTION("""COMPUTED_VALUE"""),100.0)</f>
        <v>100</v>
      </c>
      <c r="D352" s="7">
        <f>IFERROR(__xludf.DUMMYFUNCTION("""COMPUTED_VALUE"""),3.0)</f>
        <v>3</v>
      </c>
      <c r="E352" s="16">
        <f>IFERROR(__xludf.DUMMYFUNCTION("""COMPUTED_VALUE"""),12.0)</f>
        <v>12</v>
      </c>
      <c r="F352" s="16">
        <f>IFERROR(__xludf.DUMMYFUNCTION("""COMPUTED_VALUE"""),1.0)</f>
        <v>1</v>
      </c>
      <c r="G352" s="16">
        <f>IFERROR(__xludf.DUMMYFUNCTION("""COMPUTED_VALUE"""),3.0)</f>
        <v>3</v>
      </c>
      <c r="H352" s="23">
        <f>IFERROR(__xludf.DUMMYFUNCTION("""COMPUTED_VALUE"""),69.0)</f>
        <v>69</v>
      </c>
    </row>
    <row r="353">
      <c r="A353" s="16" t="str">
        <f>IFERROR(__xludf.DUMMYFUNCTION("""COMPUTED_VALUE"""),"Замразени плодове/зеленчуци")</f>
        <v>Замразени плодове/зеленчуци</v>
      </c>
      <c r="B353" s="7" t="str">
        <f>IFERROR(__xludf.DUMMYFUNCTION("""COMPUTED_VALUE"""),"Карфиол (замразен)")</f>
        <v>Карфиол (замразен)</v>
      </c>
      <c r="C353" s="12">
        <f>IFERROR(__xludf.DUMMYFUNCTION("""COMPUTED_VALUE"""),100.0)</f>
        <v>100</v>
      </c>
      <c r="D353" s="7">
        <f>IFERROR(__xludf.DUMMYFUNCTION("""COMPUTED_VALUE"""),2.0)</f>
        <v>2</v>
      </c>
      <c r="E353" s="16">
        <f>IFERROR(__xludf.DUMMYFUNCTION("""COMPUTED_VALUE"""),4.7)</f>
        <v>4.7</v>
      </c>
      <c r="F353" s="16">
        <f>IFERROR(__xludf.DUMMYFUNCTION("""COMPUTED_VALUE"""),0.3)</f>
        <v>0.3</v>
      </c>
      <c r="G353" s="16">
        <f>IFERROR(__xludf.DUMMYFUNCTION("""COMPUTED_VALUE"""),2.3)</f>
        <v>2.3</v>
      </c>
      <c r="H353" s="23">
        <f>IFERROR(__xludf.DUMMYFUNCTION("""COMPUTED_VALUE"""),29.5)</f>
        <v>29.5</v>
      </c>
    </row>
    <row r="354">
      <c r="A354" s="16" t="str">
        <f>IFERROR(__xludf.DUMMYFUNCTION("""COMPUTED_VALUE"""),"Замразени плодове/зеленчуци")</f>
        <v>Замразени плодове/зеленчуци</v>
      </c>
      <c r="B354" s="7" t="str">
        <f>IFERROR(__xludf.DUMMYFUNCTION("""COMPUTED_VALUE"""),"Къпини (замразени)")</f>
        <v>Къпини (замразени)</v>
      </c>
      <c r="C354" s="12">
        <f>IFERROR(__xludf.DUMMYFUNCTION("""COMPUTED_VALUE"""),100.0)</f>
        <v>100</v>
      </c>
      <c r="D354" s="7">
        <f>IFERROR(__xludf.DUMMYFUNCTION("""COMPUTED_VALUE"""),1.2)</f>
        <v>1.2</v>
      </c>
      <c r="E354" s="16">
        <f>IFERROR(__xludf.DUMMYFUNCTION("""COMPUTED_VALUE"""),15.7)</f>
        <v>15.7</v>
      </c>
      <c r="F354" s="16">
        <f>IFERROR(__xludf.DUMMYFUNCTION("""COMPUTED_VALUE"""),0.4)</f>
        <v>0.4</v>
      </c>
      <c r="G354" s="16" t="str">
        <f>IFERROR(__xludf.DUMMYFUNCTION("""COMPUTED_VALUE"""),"5")</f>
        <v>5</v>
      </c>
      <c r="H354" s="23">
        <f>IFERROR(__xludf.DUMMYFUNCTION("""COMPUTED_VALUE"""),71.19999999999999)</f>
        <v>71.2</v>
      </c>
    </row>
    <row r="355">
      <c r="A355" s="16" t="str">
        <f>IFERROR(__xludf.DUMMYFUNCTION("""COMPUTED_VALUE"""),"Замразени плодове/зеленчуци")</f>
        <v>Замразени плодове/зеленчуци</v>
      </c>
      <c r="B355" s="7" t="str">
        <f>IFERROR(__xludf.DUMMYFUNCTION("""COMPUTED_VALUE"""),"Микс зеленчуци- броколи, карфиол, морков (замразени)")</f>
        <v>Микс зеленчуци- броколи, карфиол, морков (замразени)</v>
      </c>
      <c r="C355" s="12">
        <f>IFERROR(__xludf.DUMMYFUNCTION("""COMPUTED_VALUE"""),100.0)</f>
        <v>100</v>
      </c>
      <c r="D355" s="7">
        <f>IFERROR(__xludf.DUMMYFUNCTION("""COMPUTED_VALUE"""),2.0)</f>
        <v>2</v>
      </c>
      <c r="E355" s="16">
        <f>IFERROR(__xludf.DUMMYFUNCTION("""COMPUTED_VALUE"""),3.0)</f>
        <v>3</v>
      </c>
      <c r="F355" s="16">
        <f>IFERROR(__xludf.DUMMYFUNCTION("""COMPUTED_VALUE"""),1.0)</f>
        <v>1</v>
      </c>
      <c r="G355" s="16">
        <f>IFERROR(__xludf.DUMMYFUNCTION("""COMPUTED_VALUE"""),2.5)</f>
        <v>2.5</v>
      </c>
      <c r="H355" s="23">
        <f>IFERROR(__xludf.DUMMYFUNCTION("""COMPUTED_VALUE"""),29.0)</f>
        <v>29</v>
      </c>
    </row>
    <row r="356">
      <c r="A356" s="16" t="str">
        <f>IFERROR(__xludf.DUMMYFUNCTION("""COMPUTED_VALUE"""),"Замразени плодове/зеленчуци")</f>
        <v>Замразени плодове/зеленчуци</v>
      </c>
      <c r="B356" s="7" t="str">
        <f>IFERROR(__xludf.DUMMYFUNCTION("""COMPUTED_VALUE"""),"Фасул (замразен)")</f>
        <v>Фасул (замразен)</v>
      </c>
      <c r="C356" s="12">
        <f>IFERROR(__xludf.DUMMYFUNCTION("""COMPUTED_VALUE"""),100.0)</f>
        <v>100</v>
      </c>
      <c r="D356" s="7">
        <f>IFERROR(__xludf.DUMMYFUNCTION("""COMPUTED_VALUE"""),2.2)</f>
        <v>2.2</v>
      </c>
      <c r="E356" s="16">
        <f>IFERROR(__xludf.DUMMYFUNCTION("""COMPUTED_VALUE"""),9.1)</f>
        <v>9.1</v>
      </c>
      <c r="F356" s="16">
        <f>IFERROR(__xludf.DUMMYFUNCTION("""COMPUTED_VALUE"""),0.3)</f>
        <v>0.3</v>
      </c>
      <c r="G356" s="16">
        <f>IFERROR(__xludf.DUMMYFUNCTION("""COMPUTED_VALUE"""),3.1)</f>
        <v>3.1</v>
      </c>
      <c r="H356" s="23">
        <f>IFERROR(__xludf.DUMMYFUNCTION("""COMPUTED_VALUE"""),47.900000000000006)</f>
        <v>47.9</v>
      </c>
    </row>
    <row r="357">
      <c r="A357" s="16" t="str">
        <f>IFERROR(__xludf.DUMMYFUNCTION("""COMPUTED_VALUE"""),"Замразени плодове/зеленчуци")</f>
        <v>Замразени плодове/зеленчуци</v>
      </c>
      <c r="B357" s="7" t="str">
        <f>IFERROR(__xludf.DUMMYFUNCTION("""COMPUTED_VALUE"""),"Череши (замразени)")</f>
        <v>Череши (замразени)</v>
      </c>
      <c r="C357" s="12">
        <f>IFERROR(__xludf.DUMMYFUNCTION("""COMPUTED_VALUE"""),100.0)</f>
        <v>100</v>
      </c>
      <c r="D357" s="7">
        <f>IFERROR(__xludf.DUMMYFUNCTION("""COMPUTED_VALUE"""),0.9)</f>
        <v>0.9</v>
      </c>
      <c r="E357" s="16">
        <f>IFERROR(__xludf.DUMMYFUNCTION("""COMPUTED_VALUE"""),11.2)</f>
        <v>11.2</v>
      </c>
      <c r="F357" s="16">
        <f>IFERROR(__xludf.DUMMYFUNCTION("""COMPUTED_VALUE"""),0.4)</f>
        <v>0.4</v>
      </c>
      <c r="G357" s="16" t="str">
        <f>IFERROR(__xludf.DUMMYFUNCTION("""COMPUTED_VALUE"""),"1.6")</f>
        <v>1.6</v>
      </c>
      <c r="H357" s="23">
        <f>IFERROR(__xludf.DUMMYFUNCTION("""COMPUTED_VALUE"""),52.0)</f>
        <v>52</v>
      </c>
    </row>
    <row r="358">
      <c r="A358" s="16" t="str">
        <f>IFERROR(__xludf.DUMMYFUNCTION("""COMPUTED_VALUE"""),"Замразени плодове/зеленчуци")</f>
        <v>Замразени плодове/зеленчуци</v>
      </c>
      <c r="B358" s="7" t="str">
        <f>IFERROR(__xludf.DUMMYFUNCTION("""COMPUTED_VALUE"""),"Ягоди (замразени)")</f>
        <v>Ягоди (замразени)</v>
      </c>
      <c r="C358" s="12">
        <f>IFERROR(__xludf.DUMMYFUNCTION("""COMPUTED_VALUE"""),100.0)</f>
        <v>100</v>
      </c>
      <c r="D358" s="7">
        <f>IFERROR(__xludf.DUMMYFUNCTION("""COMPUTED_VALUE"""),0.4)</f>
        <v>0.4</v>
      </c>
      <c r="E358" s="16">
        <f>IFERROR(__xludf.DUMMYFUNCTION("""COMPUTED_VALUE"""),9.1)</f>
        <v>9.1</v>
      </c>
      <c r="F358" s="16">
        <f>IFERROR(__xludf.DUMMYFUNCTION("""COMPUTED_VALUE"""),0.1)</f>
        <v>0.1</v>
      </c>
      <c r="G358" s="16" t="str">
        <f>IFERROR(__xludf.DUMMYFUNCTION("""COMPUTED_VALUE"""),"2.1")</f>
        <v>2.1</v>
      </c>
      <c r="H358" s="23">
        <f>IFERROR(__xludf.DUMMYFUNCTION("""COMPUTED_VALUE"""),38.9)</f>
        <v>38.9</v>
      </c>
    </row>
    <row r="359">
      <c r="A359" s="16" t="str">
        <f>IFERROR(__xludf.DUMMYFUNCTION("""COMPUTED_VALUE"""),"Замразени плодове/зеленчуци")</f>
        <v>Замразени плодове/зеленчуци</v>
      </c>
      <c r="B359" s="7" t="str">
        <f>IFERROR(__xludf.DUMMYFUNCTION("""COMPUTED_VALUE"""),"Боровинки (замразени)")</f>
        <v>Боровинки (замразени)</v>
      </c>
      <c r="C359" s="12">
        <f>IFERROR(__xludf.DUMMYFUNCTION("""COMPUTED_VALUE"""),100.0)</f>
        <v>100</v>
      </c>
      <c r="D359" s="7">
        <f>IFERROR(__xludf.DUMMYFUNCTION("""COMPUTED_VALUE"""),0.4)</f>
        <v>0.4</v>
      </c>
      <c r="E359" s="16">
        <f>IFERROR(__xludf.DUMMYFUNCTION("""COMPUTED_VALUE"""),12.2)</f>
        <v>12.2</v>
      </c>
      <c r="F359" s="16">
        <f>IFERROR(__xludf.DUMMYFUNCTION("""COMPUTED_VALUE"""),0.6)</f>
        <v>0.6</v>
      </c>
      <c r="G359" s="16">
        <f>IFERROR(__xludf.DUMMYFUNCTION("""COMPUTED_VALUE"""),2.7)</f>
        <v>2.7</v>
      </c>
      <c r="H359" s="23">
        <f>IFERROR(__xludf.DUMMYFUNCTION("""COMPUTED_VALUE"""),55.8)</f>
        <v>55.8</v>
      </c>
    </row>
    <row r="360">
      <c r="A360" s="16" t="str">
        <f>IFERROR(__xludf.DUMMYFUNCTION("""COMPUTED_VALUE"""),"Замразени плодове/зеленчуци")</f>
        <v>Замразени плодове/зеленчуци</v>
      </c>
      <c r="B360" s="7" t="str">
        <f>IFERROR(__xludf.DUMMYFUNCTION("""COMPUTED_VALUE"""),"Малини (замразени)")</f>
        <v>Малини (замразени)</v>
      </c>
      <c r="C360" s="12">
        <f>IFERROR(__xludf.DUMMYFUNCTION("""COMPUTED_VALUE"""),100.0)</f>
        <v>100</v>
      </c>
      <c r="D360" s="7">
        <f>IFERROR(__xludf.DUMMYFUNCTION("""COMPUTED_VALUE"""),1.3)</f>
        <v>1.3</v>
      </c>
      <c r="E360" s="16">
        <f>IFERROR(__xludf.DUMMYFUNCTION("""COMPUTED_VALUE"""),5.3)</f>
        <v>5.3</v>
      </c>
      <c r="F360" s="16">
        <f>IFERROR(__xludf.DUMMYFUNCTION("""COMPUTED_VALUE"""),0.3)</f>
        <v>0.3</v>
      </c>
      <c r="G360" s="16">
        <f>IFERROR(__xludf.DUMMYFUNCTION("""COMPUTED_VALUE"""),6.0)</f>
        <v>6</v>
      </c>
      <c r="H360" s="23">
        <f>IFERROR(__xludf.DUMMYFUNCTION("""COMPUTED_VALUE"""),29.099999999999998)</f>
        <v>29.1</v>
      </c>
    </row>
    <row r="361">
      <c r="A361" s="16" t="str">
        <f>IFERROR(__xludf.DUMMYFUNCTION("""COMPUTED_VALUE"""),"Замразени плодове/зеленчуци")</f>
        <v>Замразени плодове/зеленчуци</v>
      </c>
      <c r="B361" s="7" t="str">
        <f>IFERROR(__xludf.DUMMYFUNCTION("""COMPUTED_VALUE"""),"Микс Сторко Зеленчукова супа")</f>
        <v>Микс Сторко Зеленчукова супа</v>
      </c>
      <c r="C361" s="12">
        <f>IFERROR(__xludf.DUMMYFUNCTION("""COMPUTED_VALUE"""),100.0)</f>
        <v>100</v>
      </c>
      <c r="D361" s="7">
        <f>IFERROR(__xludf.DUMMYFUNCTION("""COMPUTED_VALUE"""),2.4)</f>
        <v>2.4</v>
      </c>
      <c r="E361" s="16">
        <f>IFERROR(__xludf.DUMMYFUNCTION("""COMPUTED_VALUE"""),8.8)</f>
        <v>8.8</v>
      </c>
      <c r="F361" s="16">
        <f>IFERROR(__xludf.DUMMYFUNCTION("""COMPUTED_VALUE"""),0.2)</f>
        <v>0.2</v>
      </c>
      <c r="G361" s="16">
        <f>IFERROR(__xludf.DUMMYFUNCTION("""COMPUTED_VALUE"""),0.0)</f>
        <v>0</v>
      </c>
      <c r="H361" s="23">
        <f>IFERROR(__xludf.DUMMYFUNCTION("""COMPUTED_VALUE"""),46.6)</f>
        <v>46.6</v>
      </c>
    </row>
    <row r="362">
      <c r="A362" s="16" t="str">
        <f>IFERROR(__xludf.DUMMYFUNCTION("""COMPUTED_VALUE"""),"Замразени плодове/зеленчуци")</f>
        <v>Замразени плодове/зеленчуци</v>
      </c>
      <c r="B362" s="7" t="str">
        <f>IFERROR(__xludf.DUMMYFUNCTION("""COMPUTED_VALUE"""),"Микс грах, царевица и моркови")</f>
        <v>Микс грах, царевица и моркови</v>
      </c>
      <c r="C362" s="12">
        <f>IFERROR(__xludf.DUMMYFUNCTION("""COMPUTED_VALUE"""),100.0)</f>
        <v>100</v>
      </c>
      <c r="D362" s="7">
        <f>IFERROR(__xludf.DUMMYFUNCTION("""COMPUTED_VALUE"""),2.5)</f>
        <v>2.5</v>
      </c>
      <c r="E362" s="16">
        <f>IFERROR(__xludf.DUMMYFUNCTION("""COMPUTED_VALUE"""),11.0)</f>
        <v>11</v>
      </c>
      <c r="F362" s="16">
        <f>IFERROR(__xludf.DUMMYFUNCTION("""COMPUTED_VALUE"""),0.5)</f>
        <v>0.5</v>
      </c>
      <c r="G362" s="16">
        <f>IFERROR(__xludf.DUMMYFUNCTION("""COMPUTED_VALUE"""),3.6)</f>
        <v>3.6</v>
      </c>
      <c r="H362" s="23">
        <f>IFERROR(__xludf.DUMMYFUNCTION("""COMPUTED_VALUE"""),58.5)</f>
        <v>58.5</v>
      </c>
    </row>
    <row r="363">
      <c r="A363" s="16" t="str">
        <f>IFERROR(__xludf.DUMMYFUNCTION("""COMPUTED_VALUE"""),"Замразени плодове/зеленчуци")</f>
        <v>Замразени плодове/зеленчуци</v>
      </c>
      <c r="B363" s="7" t="str">
        <f>IFERROR(__xludf.DUMMYFUNCTION("""COMPUTED_VALUE"""),"Mexican mix (микс зеленчуци)")</f>
        <v>Mexican mix (микс зеленчуци)</v>
      </c>
      <c r="C363" s="12">
        <f>IFERROR(__xludf.DUMMYFUNCTION("""COMPUTED_VALUE"""),100.0)</f>
        <v>100</v>
      </c>
      <c r="D363" s="7">
        <f>IFERROR(__xludf.DUMMYFUNCTION("""COMPUTED_VALUE"""),2.5)</f>
        <v>2.5</v>
      </c>
      <c r="E363" s="16">
        <f>IFERROR(__xludf.DUMMYFUNCTION("""COMPUTED_VALUE"""),11.0)</f>
        <v>11</v>
      </c>
      <c r="F363" s="16">
        <f>IFERROR(__xludf.DUMMYFUNCTION("""COMPUTED_VALUE"""),0.5)</f>
        <v>0.5</v>
      </c>
      <c r="G363" s="16">
        <f>IFERROR(__xludf.DUMMYFUNCTION("""COMPUTED_VALUE"""),3.6)</f>
        <v>3.6</v>
      </c>
      <c r="H363" s="23">
        <f>IFERROR(__xludf.DUMMYFUNCTION("""COMPUTED_VALUE"""),58.5)</f>
        <v>58.5</v>
      </c>
    </row>
    <row r="364">
      <c r="A364" s="16" t="str">
        <f>IFERROR(__xludf.DUMMYFUNCTION("""COMPUTED_VALUE"""),"Замразени плодове/зеленчуци")</f>
        <v>Замразени плодове/зеленчуци</v>
      </c>
      <c r="B364" s="7" t="str">
        <f>IFERROR(__xludf.DUMMYFUNCTION("""COMPUTED_VALUE"""),"Замразени вишни")</f>
        <v>Замразени вишни</v>
      </c>
      <c r="C364" s="12">
        <f>IFERROR(__xludf.DUMMYFUNCTION("""COMPUTED_VALUE"""),100.0)</f>
        <v>100</v>
      </c>
      <c r="D364" s="7">
        <f>IFERROR(__xludf.DUMMYFUNCTION("""COMPUTED_VALUE"""),1.0)</f>
        <v>1</v>
      </c>
      <c r="E364" s="16">
        <f>IFERROR(__xludf.DUMMYFUNCTION("""COMPUTED_VALUE"""),11.0)</f>
        <v>11</v>
      </c>
      <c r="F364" s="16">
        <f>IFERROR(__xludf.DUMMYFUNCTION("""COMPUTED_VALUE"""),0.0)</f>
        <v>0</v>
      </c>
      <c r="G364" s="16">
        <f>IFERROR(__xludf.DUMMYFUNCTION("""COMPUTED_VALUE"""),0.0)</f>
        <v>0</v>
      </c>
      <c r="H364" s="23">
        <f>IFERROR(__xludf.DUMMYFUNCTION("""COMPUTED_VALUE"""),48.0)</f>
        <v>48</v>
      </c>
    </row>
    <row r="365">
      <c r="A365" s="16" t="str">
        <f>IFERROR(__xludf.DUMMYFUNCTION("""COMPUTED_VALUE"""),"Замразени плодове/зеленчуци")</f>
        <v>Замразени плодове/зеленчуци</v>
      </c>
      <c r="B365" s="7" t="str">
        <f>IFERROR(__xludf.DUMMYFUNCTION("""COMPUTED_VALUE"""),"Вишни Лидл (замразени)")</f>
        <v>Вишни Лидл (замразени)</v>
      </c>
      <c r="C365" s="12">
        <f>IFERROR(__xludf.DUMMYFUNCTION("""COMPUTED_VALUE"""),100.0)</f>
        <v>100</v>
      </c>
      <c r="D365" s="7">
        <f>IFERROR(__xludf.DUMMYFUNCTION("""COMPUTED_VALUE"""),1.0)</f>
        <v>1</v>
      </c>
      <c r="E365" s="16">
        <f>IFERROR(__xludf.DUMMYFUNCTION("""COMPUTED_VALUE"""),11.0)</f>
        <v>11</v>
      </c>
      <c r="F365" s="16">
        <f>IFERROR(__xludf.DUMMYFUNCTION("""COMPUTED_VALUE"""),0.3)</f>
        <v>0.3</v>
      </c>
      <c r="G365" s="16">
        <f>IFERROR(__xludf.DUMMYFUNCTION("""COMPUTED_VALUE"""),0.0)</f>
        <v>0</v>
      </c>
      <c r="H365" s="23">
        <f>IFERROR(__xludf.DUMMYFUNCTION("""COMPUTED_VALUE"""),50.7)</f>
        <v>50.7</v>
      </c>
    </row>
    <row r="366">
      <c r="A366" s="16" t="str">
        <f>IFERROR(__xludf.DUMMYFUNCTION("""COMPUTED_VALUE"""),"Замразени плодове/зеленчуци")</f>
        <v>Замразени плодове/зеленчуци</v>
      </c>
      <c r="B366" s="7" t="str">
        <f>IFERROR(__xludf.DUMMYFUNCTION("""COMPUTED_VALUE"""),"Плодово-зеленчукова смес ( оранж.) за смути моркови, ябълка, праскови")</f>
        <v>Плодово-зеленчукова смес ( оранж.) за смути моркови, ябълка, праскови</v>
      </c>
      <c r="C366" s="12">
        <f>IFERROR(__xludf.DUMMYFUNCTION("""COMPUTED_VALUE"""),100.0)</f>
        <v>100</v>
      </c>
      <c r="D366" s="7">
        <f>IFERROR(__xludf.DUMMYFUNCTION("""COMPUTED_VALUE"""),1.0)</f>
        <v>1</v>
      </c>
      <c r="E366" s="16">
        <f>IFERROR(__xludf.DUMMYFUNCTION("""COMPUTED_VALUE"""),8.1)</f>
        <v>8.1</v>
      </c>
      <c r="F366" s="16">
        <f>IFERROR(__xludf.DUMMYFUNCTION("""COMPUTED_VALUE"""),0.2)</f>
        <v>0.2</v>
      </c>
      <c r="G366" s="16">
        <f>IFERROR(__xludf.DUMMYFUNCTION("""COMPUTED_VALUE"""),0.0)</f>
        <v>0</v>
      </c>
      <c r="H366" s="23">
        <f>IFERROR(__xludf.DUMMYFUNCTION("""COMPUTED_VALUE"""),38.199999999999996)</f>
        <v>38.2</v>
      </c>
    </row>
    <row r="367">
      <c r="A367" s="16" t="str">
        <f>IFERROR(__xludf.DUMMYFUNCTION("""COMPUTED_VALUE"""),"Замразени плодове/зеленчуци")</f>
        <v>Замразени плодове/зеленчуци</v>
      </c>
      <c r="B367" s="7" t="str">
        <f>IFERROR(__xludf.DUMMYFUNCTION("""COMPUTED_VALUE"""),"Плодове за смути от ананас, папая, манго")</f>
        <v>Плодове за смути от ананас, папая, манго</v>
      </c>
      <c r="C367" s="12">
        <f>IFERROR(__xludf.DUMMYFUNCTION("""COMPUTED_VALUE"""),100.0)</f>
        <v>100</v>
      </c>
      <c r="D367" s="7">
        <f>IFERROR(__xludf.DUMMYFUNCTION("""COMPUTED_VALUE"""),0.5)</f>
        <v>0.5</v>
      </c>
      <c r="E367" s="16">
        <f>IFERROR(__xludf.DUMMYFUNCTION("""COMPUTED_VALUE"""),11.4)</f>
        <v>11.4</v>
      </c>
      <c r="F367" s="16">
        <f>IFERROR(__xludf.DUMMYFUNCTION("""COMPUTED_VALUE"""),0.2)</f>
        <v>0.2</v>
      </c>
      <c r="G367" s="16">
        <f>IFERROR(__xludf.DUMMYFUNCTION("""COMPUTED_VALUE"""),0.0)</f>
        <v>0</v>
      </c>
      <c r="H367" s="23">
        <f>IFERROR(__xludf.DUMMYFUNCTION("""COMPUTED_VALUE"""),49.4)</f>
        <v>49.4</v>
      </c>
    </row>
    <row r="368">
      <c r="A368" s="16" t="str">
        <f>IFERROR(__xludf.DUMMYFUNCTION("""COMPUTED_VALUE"""),"Замразени плодове/зеленчуци")</f>
        <v>Замразени плодове/зеленчуци</v>
      </c>
      <c r="B368" s="7" t="str">
        <f>IFERROR(__xludf.DUMMYFUNCTION("""COMPUTED_VALUE"""),"Грах и Моркови")</f>
        <v>Грах и Моркови</v>
      </c>
      <c r="C368" s="12">
        <f>IFERROR(__xludf.DUMMYFUNCTION("""COMPUTED_VALUE"""),100.0)</f>
        <v>100</v>
      </c>
      <c r="D368" s="7">
        <f>IFERROR(__xludf.DUMMYFUNCTION("""COMPUTED_VALUE"""),3.7)</f>
        <v>3.7</v>
      </c>
      <c r="E368" s="16">
        <f>IFERROR(__xludf.DUMMYFUNCTION("""COMPUTED_VALUE"""),11.0)</f>
        <v>11</v>
      </c>
      <c r="F368" s="16">
        <f>IFERROR(__xludf.DUMMYFUNCTION("""COMPUTED_VALUE"""),0.3)</f>
        <v>0.3</v>
      </c>
      <c r="G368" s="16">
        <f>IFERROR(__xludf.DUMMYFUNCTION("""COMPUTED_VALUE"""),0.0)</f>
        <v>0</v>
      </c>
      <c r="H368" s="23">
        <f>IFERROR(__xludf.DUMMYFUNCTION("""COMPUTED_VALUE"""),61.5)</f>
        <v>61.5</v>
      </c>
    </row>
    <row r="369">
      <c r="A369" s="16" t="str">
        <f>IFERROR(__xludf.DUMMYFUNCTION("""COMPUTED_VALUE"""),"Замразени плодове/зеленчуци")</f>
        <v>Замразени плодове/зеленчуци</v>
      </c>
      <c r="B369" s="7" t="str">
        <f>IFERROR(__xludf.DUMMYFUNCTION("""COMPUTED_VALUE"""),"Спанак (замразен) - Bonduelle")</f>
        <v>Спанак (замразен) - Bonduelle</v>
      </c>
      <c r="C369" s="12">
        <f>IFERROR(__xludf.DUMMYFUNCTION("""COMPUTED_VALUE"""),100.0)</f>
        <v>100</v>
      </c>
      <c r="D369" s="7">
        <f>IFERROR(__xludf.DUMMYFUNCTION("""COMPUTED_VALUE"""),1.8)</f>
        <v>1.8</v>
      </c>
      <c r="E369" s="16">
        <f>IFERROR(__xludf.DUMMYFUNCTION("""COMPUTED_VALUE"""),1.6)</f>
        <v>1.6</v>
      </c>
      <c r="F369" s="16">
        <f>IFERROR(__xludf.DUMMYFUNCTION("""COMPUTED_VALUE"""),0.2)</f>
        <v>0.2</v>
      </c>
      <c r="G369" s="16">
        <f>IFERROR(__xludf.DUMMYFUNCTION("""COMPUTED_VALUE"""),1.9)</f>
        <v>1.9</v>
      </c>
      <c r="H369" s="23">
        <f>IFERROR(__xludf.DUMMYFUNCTION("""COMPUTED_VALUE"""),15.400000000000002)</f>
        <v>15.4</v>
      </c>
    </row>
    <row r="370">
      <c r="A370" s="16" t="str">
        <f>IFERROR(__xludf.DUMMYFUNCTION("""COMPUTED_VALUE"""),"Замразени плодове/зеленчуци")</f>
        <v>Замразени плодове/зеленчуци</v>
      </c>
      <c r="B370" s="7" t="str">
        <f>IFERROR(__xludf.DUMMYFUNCTION("""COMPUTED_VALUE"""),"Замразен Хавайски микс Сторко")</f>
        <v>Замразен Хавайски микс Сторко</v>
      </c>
      <c r="C370" s="12">
        <f>IFERROR(__xludf.DUMMYFUNCTION("""COMPUTED_VALUE"""),100.0)</f>
        <v>100</v>
      </c>
      <c r="D370" s="7">
        <f>IFERROR(__xludf.DUMMYFUNCTION("""COMPUTED_VALUE"""),3.7)</f>
        <v>3.7</v>
      </c>
      <c r="E370" s="16">
        <f>IFERROR(__xludf.DUMMYFUNCTION("""COMPUTED_VALUE"""),21.2)</f>
        <v>21.2</v>
      </c>
      <c r="F370" s="16">
        <f>IFERROR(__xludf.DUMMYFUNCTION("""COMPUTED_VALUE"""),0.4)</f>
        <v>0.4</v>
      </c>
      <c r="G370" s="16">
        <f>IFERROR(__xludf.DUMMYFUNCTION("""COMPUTED_VALUE"""),0.0)</f>
        <v>0</v>
      </c>
      <c r="H370" s="23">
        <f>IFERROR(__xludf.DUMMYFUNCTION("""COMPUTED_VALUE"""),103.19999999999999)</f>
        <v>103.2</v>
      </c>
    </row>
    <row r="371">
      <c r="A371" s="16" t="str">
        <f>IFERROR(__xludf.DUMMYFUNCTION("""COMPUTED_VALUE"""),"Замразени плодове/зеленчуци")</f>
        <v>Замразени плодове/зеленчуци</v>
      </c>
      <c r="B371" s="7" t="str">
        <f>IFERROR(__xludf.DUMMYFUNCTION("""COMPUTED_VALUE"""),"Vegetable Mix with bamboo shoots and Mun mushrooms - Freshona")</f>
        <v>Vegetable Mix with bamboo shoots and Mun mushrooms - Freshona</v>
      </c>
      <c r="C371" s="12">
        <f>IFERROR(__xludf.DUMMYFUNCTION("""COMPUTED_VALUE"""),100.0)</f>
        <v>100</v>
      </c>
      <c r="D371" s="7">
        <f>IFERROR(__xludf.DUMMYFUNCTION("""COMPUTED_VALUE"""),1.5)</f>
        <v>1.5</v>
      </c>
      <c r="E371" s="16">
        <f>IFERROR(__xludf.DUMMYFUNCTION("""COMPUTED_VALUE"""),3.4)</f>
        <v>3.4</v>
      </c>
      <c r="F371" s="16">
        <f>IFERROR(__xludf.DUMMYFUNCTION("""COMPUTED_VALUE"""),0.5)</f>
        <v>0.5</v>
      </c>
      <c r="G371" s="16">
        <f>IFERROR(__xludf.DUMMYFUNCTION("""COMPUTED_VALUE"""),0.0)</f>
        <v>0</v>
      </c>
      <c r="H371" s="23">
        <f>IFERROR(__xludf.DUMMYFUNCTION("""COMPUTED_VALUE"""),24.1)</f>
        <v>24.1</v>
      </c>
    </row>
    <row r="372">
      <c r="A372" s="16" t="str">
        <f>IFERROR(__xludf.DUMMYFUNCTION("""COMPUTED_VALUE"""),"Замразени плодове/зеленчуци")</f>
        <v>Замразени плодове/зеленчуци</v>
      </c>
      <c r="B372" s="7" t="str">
        <f>IFERROR(__xludf.DUMMYFUNCTION("""COMPUTED_VALUE"""),"Средизмноморски микс Frikom")</f>
        <v>Средизмноморски микс Frikom</v>
      </c>
      <c r="C372" s="7">
        <f>IFERROR(__xludf.DUMMYFUNCTION("""COMPUTED_VALUE"""),100.0)</f>
        <v>100</v>
      </c>
      <c r="D372" s="7">
        <f>IFERROR(__xludf.DUMMYFUNCTION("""COMPUTED_VALUE"""),2.6)</f>
        <v>2.6</v>
      </c>
      <c r="E372" s="16">
        <f>IFERROR(__xludf.DUMMYFUNCTION("""COMPUTED_VALUE"""),7.4)</f>
        <v>7.4</v>
      </c>
      <c r="F372" s="16">
        <f>IFERROR(__xludf.DUMMYFUNCTION("""COMPUTED_VALUE"""),1.3)</f>
        <v>1.3</v>
      </c>
      <c r="G372" s="16">
        <f>IFERROR(__xludf.DUMMYFUNCTION("""COMPUTED_VALUE"""),2.7)</f>
        <v>2.7</v>
      </c>
      <c r="H372" s="16">
        <f>IFERROR(__xludf.DUMMYFUNCTION("""COMPUTED_VALUE"""),51.7)</f>
        <v>51.7</v>
      </c>
    </row>
    <row r="373">
      <c r="A373" s="16" t="str">
        <f>IFERROR(__xludf.DUMMYFUNCTION("""COMPUTED_VALUE"""),"Замразени плодове/зеленчуци")</f>
        <v>Замразени плодове/зеленчуци</v>
      </c>
      <c r="B373" s="7" t="str">
        <f>IFERROR(__xludf.DUMMYFUNCTION("""COMPUTED_VALUE"""),"Замразен Фасул Родна стряха")</f>
        <v>Замразен Фасул Родна стряха</v>
      </c>
      <c r="C373" s="7">
        <f>IFERROR(__xludf.DUMMYFUNCTION("""COMPUTED_VALUE"""),100.0)</f>
        <v>100</v>
      </c>
      <c r="D373" s="7">
        <f>IFERROR(__xludf.DUMMYFUNCTION("""COMPUTED_VALUE"""),2.0)</f>
        <v>2</v>
      </c>
      <c r="E373" s="16">
        <f>IFERROR(__xludf.DUMMYFUNCTION("""COMPUTED_VALUE"""),6.1)</f>
        <v>6.1</v>
      </c>
      <c r="F373" s="16">
        <f>IFERROR(__xludf.DUMMYFUNCTION("""COMPUTED_VALUE"""),0.1)</f>
        <v>0.1</v>
      </c>
      <c r="G373" s="16">
        <f>IFERROR(__xludf.DUMMYFUNCTION("""COMPUTED_VALUE"""),0.0)</f>
        <v>0</v>
      </c>
      <c r="H373" s="16">
        <f>IFERROR(__xludf.DUMMYFUNCTION("""COMPUTED_VALUE"""),33.3)</f>
        <v>33.3</v>
      </c>
    </row>
    <row r="374">
      <c r="A374" s="16" t="str">
        <f>IFERROR(__xludf.DUMMYFUNCTION("""COMPUTED_VALUE"""),"Замразени плодове/зеленчуци")</f>
        <v>Замразени плодове/зеленчуци</v>
      </c>
      <c r="B374" s="7" t="str">
        <f>IFERROR(__xludf.DUMMYFUNCTION("""COMPUTED_VALUE"""),"Bonduelle Зеленчуков микс ""4 сезона"" (сурово състояние)")</f>
        <v>Bonduelle Зеленчуков микс "4 сезона" (сурово състояние)</v>
      </c>
      <c r="C374" s="12">
        <f>IFERROR(__xludf.DUMMYFUNCTION("""COMPUTED_VALUE"""),100.0)</f>
        <v>100</v>
      </c>
      <c r="D374" s="7">
        <f>IFERROR(__xludf.DUMMYFUNCTION("""COMPUTED_VALUE"""),2.5)</f>
        <v>2.5</v>
      </c>
      <c r="E374" s="16">
        <f>IFERROR(__xludf.DUMMYFUNCTION("""COMPUTED_VALUE"""),4.4)</f>
        <v>4.4</v>
      </c>
      <c r="F374" s="16">
        <f>IFERROR(__xludf.DUMMYFUNCTION("""COMPUTED_VALUE"""),0.4)</f>
        <v>0.4</v>
      </c>
      <c r="G374" s="16">
        <f>IFERROR(__xludf.DUMMYFUNCTION("""COMPUTED_VALUE"""),3.5)</f>
        <v>3.5</v>
      </c>
      <c r="H374" s="16">
        <f>IFERROR(__xludf.DUMMYFUNCTION("""COMPUTED_VALUE"""),31.200000000000003)</f>
        <v>31.2</v>
      </c>
    </row>
    <row r="375">
      <c r="A375" s="16" t="str">
        <f>IFERROR(__xludf.DUMMYFUNCTION("""COMPUTED_VALUE"""),"Замразени плодове/зеленчуци")</f>
        <v>Замразени плодове/зеленчуци</v>
      </c>
      <c r="B375" s="7" t="str">
        <f>IFERROR(__xludf.DUMMYFUNCTION("""COMPUTED_VALUE"""),"Bonduelle Мексикан Микс (сурово състояние)")</f>
        <v>Bonduelle Мексикан Микс (сурово състояние)</v>
      </c>
      <c r="C375" s="12">
        <f>IFERROR(__xludf.DUMMYFUNCTION("""COMPUTED_VALUE"""),100.0)</f>
        <v>100</v>
      </c>
      <c r="D375" s="7">
        <f>IFERROR(__xludf.DUMMYFUNCTION("""COMPUTED_VALUE"""),3.2)</f>
        <v>3.2</v>
      </c>
      <c r="E375" s="16">
        <f>IFERROR(__xludf.DUMMYFUNCTION("""COMPUTED_VALUE"""),7.5)</f>
        <v>7.5</v>
      </c>
      <c r="F375" s="16">
        <f>IFERROR(__xludf.DUMMYFUNCTION("""COMPUTED_VALUE"""),0.7)</f>
        <v>0.7</v>
      </c>
      <c r="G375" s="16">
        <f>IFERROR(__xludf.DUMMYFUNCTION("""COMPUTED_VALUE"""),4.5)</f>
        <v>4.5</v>
      </c>
      <c r="H375" s="16">
        <f>IFERROR(__xludf.DUMMYFUNCTION("""COMPUTED_VALUE"""),49.099999999999994)</f>
        <v>49.1</v>
      </c>
    </row>
    <row r="376">
      <c r="A376" s="16" t="str">
        <f>IFERROR(__xludf.DUMMYFUNCTION("""COMPUTED_VALUE"""),"Замразени плодове/зеленчуци")</f>
        <v>Замразени плодове/зеленчуци</v>
      </c>
      <c r="B376" s="7" t="str">
        <f>IFERROR(__xludf.DUMMYFUNCTION("""COMPUTED_VALUE"""),"Bonduelle Императорски микс (сурово състояние)")</f>
        <v>Bonduelle Императорски микс (сурово състояние)</v>
      </c>
      <c r="C376" s="12">
        <f>IFERROR(__xludf.DUMMYFUNCTION("""COMPUTED_VALUE"""),100.0)</f>
        <v>100</v>
      </c>
      <c r="D376" s="7">
        <f>IFERROR(__xludf.DUMMYFUNCTION("""COMPUTED_VALUE"""),1.5)</f>
        <v>1.5</v>
      </c>
      <c r="E376" s="16">
        <f>IFERROR(__xludf.DUMMYFUNCTION("""COMPUTED_VALUE"""),3.3)</f>
        <v>3.3</v>
      </c>
      <c r="F376" s="16">
        <f>IFERROR(__xludf.DUMMYFUNCTION("""COMPUTED_VALUE"""),0.3)</f>
        <v>0.3</v>
      </c>
      <c r="G376" s="16">
        <f>IFERROR(__xludf.DUMMYFUNCTION("""COMPUTED_VALUE"""),2.5)</f>
        <v>2.5</v>
      </c>
      <c r="H376" s="16">
        <f>IFERROR(__xludf.DUMMYFUNCTION("""COMPUTED_VALUE"""),21.9)</f>
        <v>21.9</v>
      </c>
    </row>
    <row r="377">
      <c r="A377" s="16" t="str">
        <f>IFERROR(__xludf.DUMMYFUNCTION("""COMPUTED_VALUE"""),"Замразени плодове/зеленчуци")</f>
        <v>Замразени плодове/зеленчуци</v>
      </c>
      <c r="B377" s="7" t="str">
        <f>IFERROR(__xludf.DUMMYFUNCTION("""COMPUTED_VALUE"""),"Bonduelle Пролетен Микс (сурово състояние)")</f>
        <v>Bonduelle Пролетен Микс (сурово състояние)</v>
      </c>
      <c r="C377" s="12">
        <f>IFERROR(__xludf.DUMMYFUNCTION("""COMPUTED_VALUE"""),100.0)</f>
        <v>100</v>
      </c>
      <c r="D377" s="7">
        <f>IFERROR(__xludf.DUMMYFUNCTION("""COMPUTED_VALUE"""),1.5)</f>
        <v>1.5</v>
      </c>
      <c r="E377" s="16">
        <f>IFERROR(__xludf.DUMMYFUNCTION("""COMPUTED_VALUE"""),3.8)</f>
        <v>3.8</v>
      </c>
      <c r="F377" s="16">
        <f>IFERROR(__xludf.DUMMYFUNCTION("""COMPUTED_VALUE"""),0.2)</f>
        <v>0.2</v>
      </c>
      <c r="G377" s="16">
        <f>IFERROR(__xludf.DUMMYFUNCTION("""COMPUTED_VALUE"""),2.6)</f>
        <v>2.6</v>
      </c>
      <c r="H377" s="16">
        <f>IFERROR(__xludf.DUMMYFUNCTION("""COMPUTED_VALUE"""),23.0)</f>
        <v>23</v>
      </c>
    </row>
    <row r="378">
      <c r="A378" s="16" t="str">
        <f>IFERROR(__xludf.DUMMYFUNCTION("""COMPUTED_VALUE"""),"Зеленчуци")</f>
        <v>Зеленчуци</v>
      </c>
      <c r="B378" s="7" t="str">
        <f>IFERROR(__xludf.DUMMYFUNCTION("""COMPUTED_VALUE"""),"Айсберг")</f>
        <v>Айсберг</v>
      </c>
      <c r="C378" s="12">
        <f>IFERROR(__xludf.DUMMYFUNCTION("""COMPUTED_VALUE"""),100.0)</f>
        <v>100</v>
      </c>
      <c r="D378" s="7">
        <f>IFERROR(__xludf.DUMMYFUNCTION("""COMPUTED_VALUE"""),0.9)</f>
        <v>0.9</v>
      </c>
      <c r="E378" s="16">
        <f>IFERROR(__xludf.DUMMYFUNCTION("""COMPUTED_VALUE"""),3.2)</f>
        <v>3.2</v>
      </c>
      <c r="F378" s="16">
        <f>IFERROR(__xludf.DUMMYFUNCTION("""COMPUTED_VALUE"""),0.1)</f>
        <v>0.1</v>
      </c>
      <c r="G378" s="16" t="str">
        <f>IFERROR(__xludf.DUMMYFUNCTION("""COMPUTED_VALUE"""),"1.2")</f>
        <v>1.2</v>
      </c>
      <c r="H378" s="23">
        <f>IFERROR(__xludf.DUMMYFUNCTION("""COMPUTED_VALUE"""),17.3)</f>
        <v>17.3</v>
      </c>
    </row>
    <row r="379">
      <c r="A379" s="16" t="str">
        <f>IFERROR(__xludf.DUMMYFUNCTION("""COMPUTED_VALUE"""),"Зеленчуци")</f>
        <v>Зеленчуци</v>
      </c>
      <c r="B379" s="7" t="str">
        <f>IFERROR(__xludf.DUMMYFUNCTION("""COMPUTED_VALUE"""),"Аспержи (сурово състояние)")</f>
        <v>Аспержи (сурово състояние)</v>
      </c>
      <c r="C379" s="12" t="str">
        <f>IFERROR(__xludf.DUMMYFUNCTION("""COMPUTED_VALUE"""),"100")</f>
        <v>100</v>
      </c>
      <c r="D379" s="7">
        <f>IFERROR(__xludf.DUMMYFUNCTION("""COMPUTED_VALUE"""),2.2)</f>
        <v>2.2</v>
      </c>
      <c r="E379" s="16">
        <f>IFERROR(__xludf.DUMMYFUNCTION("""COMPUTED_VALUE"""),4.0)</f>
        <v>4</v>
      </c>
      <c r="F379" s="16">
        <f>IFERROR(__xludf.DUMMYFUNCTION("""COMPUTED_VALUE"""),0.1)</f>
        <v>0.1</v>
      </c>
      <c r="G379" s="16">
        <f>IFERROR(__xludf.DUMMYFUNCTION("""COMPUTED_VALUE"""),2.1)</f>
        <v>2.1</v>
      </c>
      <c r="H379" s="23">
        <f>IFERROR(__xludf.DUMMYFUNCTION("""COMPUTED_VALUE"""),25.7)</f>
        <v>25.7</v>
      </c>
    </row>
    <row r="380">
      <c r="A380" s="16" t="str">
        <f>IFERROR(__xludf.DUMMYFUNCTION("""COMPUTED_VALUE"""),"Зеленчуци")</f>
        <v>Зеленчуци</v>
      </c>
      <c r="B380" s="7" t="str">
        <f>IFERROR(__xludf.DUMMYFUNCTION("""COMPUTED_VALUE"""),"Белени домати")</f>
        <v>Белени домати</v>
      </c>
      <c r="C380" s="12">
        <f>IFERROR(__xludf.DUMMYFUNCTION("""COMPUTED_VALUE"""),100.0)</f>
        <v>100</v>
      </c>
      <c r="D380" s="7">
        <f>IFERROR(__xludf.DUMMYFUNCTION("""COMPUTED_VALUE"""),0.9)</f>
        <v>0.9</v>
      </c>
      <c r="E380" s="16">
        <f>IFERROR(__xludf.DUMMYFUNCTION("""COMPUTED_VALUE"""),4.9)</f>
        <v>4.9</v>
      </c>
      <c r="F380" s="16">
        <f>IFERROR(__xludf.DUMMYFUNCTION("""COMPUTED_VALUE"""),0.0)</f>
        <v>0</v>
      </c>
      <c r="G380" s="16">
        <f>IFERROR(__xludf.DUMMYFUNCTION("""COMPUTED_VALUE"""),0.0)</f>
        <v>0</v>
      </c>
      <c r="H380" s="23">
        <f>IFERROR(__xludf.DUMMYFUNCTION("""COMPUTED_VALUE"""),23.200000000000003)</f>
        <v>23.2</v>
      </c>
    </row>
    <row r="381">
      <c r="A381" s="16" t="str">
        <f>IFERROR(__xludf.DUMMYFUNCTION("""COMPUTED_VALUE"""),"Зеленчуци")</f>
        <v>Зеленчуци</v>
      </c>
      <c r="B381" s="7" t="str">
        <f>IFERROR(__xludf.DUMMYFUNCTION("""COMPUTED_VALUE"""),"Броколи (сурово състояние)")</f>
        <v>Броколи (сурово състояние)</v>
      </c>
      <c r="C381" s="12" t="str">
        <f>IFERROR(__xludf.DUMMYFUNCTION("""COMPUTED_VALUE"""),"100")</f>
        <v>100</v>
      </c>
      <c r="D381" s="7">
        <f>IFERROR(__xludf.DUMMYFUNCTION("""COMPUTED_VALUE"""),2.8)</f>
        <v>2.8</v>
      </c>
      <c r="E381" s="16">
        <f>IFERROR(__xludf.DUMMYFUNCTION("""COMPUTED_VALUE"""),6.6)</f>
        <v>6.6</v>
      </c>
      <c r="F381" s="16">
        <f>IFERROR(__xludf.DUMMYFUNCTION("""COMPUTED_VALUE"""),0.4)</f>
        <v>0.4</v>
      </c>
      <c r="G381" s="16">
        <f>IFERROR(__xludf.DUMMYFUNCTION("""COMPUTED_VALUE"""),2.6)</f>
        <v>2.6</v>
      </c>
      <c r="H381" s="23">
        <f>IFERROR(__xludf.DUMMYFUNCTION("""COMPUTED_VALUE"""),41.199999999999996)</f>
        <v>41.2</v>
      </c>
    </row>
    <row r="382">
      <c r="A382" s="16" t="str">
        <f>IFERROR(__xludf.DUMMYFUNCTION("""COMPUTED_VALUE"""),"Зеленчуци")</f>
        <v>Зеленчуци</v>
      </c>
      <c r="B382" s="7" t="str">
        <f>IFERROR(__xludf.DUMMYFUNCTION("""COMPUTED_VALUE"""),"Брюкселско зеле (сурово състояние)")</f>
        <v>Брюкселско зеле (сурово състояние)</v>
      </c>
      <c r="C382" s="12" t="str">
        <f>IFERROR(__xludf.DUMMYFUNCTION("""COMPUTED_VALUE"""),"100")</f>
        <v>100</v>
      </c>
      <c r="D382" s="7">
        <f>IFERROR(__xludf.DUMMYFUNCTION("""COMPUTED_VALUE"""),3.4)</f>
        <v>3.4</v>
      </c>
      <c r="E382" s="16">
        <f>IFERROR(__xludf.DUMMYFUNCTION("""COMPUTED_VALUE"""),9.0)</f>
        <v>9</v>
      </c>
      <c r="F382" s="16">
        <f>IFERROR(__xludf.DUMMYFUNCTION("""COMPUTED_VALUE"""),0.3)</f>
        <v>0.3</v>
      </c>
      <c r="G382" s="16">
        <f>IFERROR(__xludf.DUMMYFUNCTION("""COMPUTED_VALUE"""),3.8)</f>
        <v>3.8</v>
      </c>
      <c r="H382" s="23">
        <f>IFERROR(__xludf.DUMMYFUNCTION("""COMPUTED_VALUE"""),52.300000000000004)</f>
        <v>52.3</v>
      </c>
    </row>
    <row r="383">
      <c r="A383" s="16" t="str">
        <f>IFERROR(__xludf.DUMMYFUNCTION("""COMPUTED_VALUE"""),"Зеленчуци")</f>
        <v>Зеленчуци</v>
      </c>
      <c r="B383" s="7" t="str">
        <f>IFERROR(__xludf.DUMMYFUNCTION("""COMPUTED_VALUE"""),"Гъби (сурово състояние)")</f>
        <v>Гъби (сурово състояние)</v>
      </c>
      <c r="C383" s="12">
        <f>IFERROR(__xludf.DUMMYFUNCTION("""COMPUTED_VALUE"""),100.0)</f>
        <v>100</v>
      </c>
      <c r="D383" s="7">
        <f>IFERROR(__xludf.DUMMYFUNCTION("""COMPUTED_VALUE"""),2.2)</f>
        <v>2.2</v>
      </c>
      <c r="E383" s="16">
        <f>IFERROR(__xludf.DUMMYFUNCTION("""COMPUTED_VALUE"""),2.3)</f>
        <v>2.3</v>
      </c>
      <c r="F383" s="16">
        <f>IFERROR(__xludf.DUMMYFUNCTION("""COMPUTED_VALUE"""),0.2)</f>
        <v>0.2</v>
      </c>
      <c r="G383" s="16">
        <f>IFERROR(__xludf.DUMMYFUNCTION("""COMPUTED_VALUE"""),0.7)</f>
        <v>0.7</v>
      </c>
      <c r="H383" s="23">
        <f>IFERROR(__xludf.DUMMYFUNCTION("""COMPUTED_VALUE"""),19.8)</f>
        <v>19.8</v>
      </c>
    </row>
    <row r="384">
      <c r="A384" s="16" t="str">
        <f>IFERROR(__xludf.DUMMYFUNCTION("""COMPUTED_VALUE"""),"Зеленчуци")</f>
        <v>Зеленчуци</v>
      </c>
      <c r="B384" s="7" t="str">
        <f>IFERROR(__xludf.DUMMYFUNCTION("""COMPUTED_VALUE"""),"Салата ''Денито''- Зеле, Морков, Фенел")</f>
        <v>Салата ''Денито''- Зеле, Морков, Фенел</v>
      </c>
      <c r="C384" s="12">
        <f>IFERROR(__xludf.DUMMYFUNCTION("""COMPUTED_VALUE"""),100.0)</f>
        <v>100</v>
      </c>
      <c r="D384" s="7">
        <f>IFERROR(__xludf.DUMMYFUNCTION("""COMPUTED_VALUE"""),1.0)</f>
        <v>1</v>
      </c>
      <c r="E384" s="16">
        <f>IFERROR(__xludf.DUMMYFUNCTION("""COMPUTED_VALUE"""),4.0)</f>
        <v>4</v>
      </c>
      <c r="F384" s="16">
        <f>IFERROR(__xludf.DUMMYFUNCTION("""COMPUTED_VALUE"""),0.0)</f>
        <v>0</v>
      </c>
      <c r="G384" s="16">
        <f>IFERROR(__xludf.DUMMYFUNCTION("""COMPUTED_VALUE"""),2.8)</f>
        <v>2.8</v>
      </c>
      <c r="H384" s="23">
        <f>IFERROR(__xludf.DUMMYFUNCTION("""COMPUTED_VALUE"""),20.0)</f>
        <v>20</v>
      </c>
    </row>
    <row r="385">
      <c r="A385" s="16" t="str">
        <f>IFERROR(__xludf.DUMMYFUNCTION("""COMPUTED_VALUE"""),"Зеленчуци")</f>
        <v>Зеленчуци</v>
      </c>
      <c r="B385" s="7" t="str">
        <f>IFERROR(__xludf.DUMMYFUNCTION("""COMPUTED_VALUE"""),"Домати (сурово състояние)")</f>
        <v>Домати (сурово състояние)</v>
      </c>
      <c r="C385" s="12">
        <f>IFERROR(__xludf.DUMMYFUNCTION("""COMPUTED_VALUE"""),100.0)</f>
        <v>100</v>
      </c>
      <c r="D385" s="7">
        <f>IFERROR(__xludf.DUMMYFUNCTION("""COMPUTED_VALUE"""),0.88)</f>
        <v>0.88</v>
      </c>
      <c r="E385" s="16">
        <f>IFERROR(__xludf.DUMMYFUNCTION("""COMPUTED_VALUE"""),3.9)</f>
        <v>3.9</v>
      </c>
      <c r="F385" s="16">
        <f>IFERROR(__xludf.DUMMYFUNCTION("""COMPUTED_VALUE"""),0.2)</f>
        <v>0.2</v>
      </c>
      <c r="G385" s="16">
        <f>IFERROR(__xludf.DUMMYFUNCTION("""COMPUTED_VALUE"""),1.2)</f>
        <v>1.2</v>
      </c>
      <c r="H385" s="23">
        <f>IFERROR(__xludf.DUMMYFUNCTION("""COMPUTED_VALUE"""),20.92)</f>
        <v>20.92</v>
      </c>
    </row>
    <row r="386">
      <c r="A386" s="16" t="str">
        <f>IFERROR(__xludf.DUMMYFUNCTION("""COMPUTED_VALUE"""),"Зеленчуци")</f>
        <v>Зеленчуци</v>
      </c>
      <c r="B386" s="7" t="str">
        <f>IFERROR(__xludf.DUMMYFUNCTION("""COMPUTED_VALUE"""),"Зеле (сурово състояние)")</f>
        <v>Зеле (сурово състояние)</v>
      </c>
      <c r="C386" s="12">
        <f>IFERROR(__xludf.DUMMYFUNCTION("""COMPUTED_VALUE"""),100.0)</f>
        <v>100</v>
      </c>
      <c r="D386" s="7">
        <f>IFERROR(__xludf.DUMMYFUNCTION("""COMPUTED_VALUE"""),1.28)</f>
        <v>1.28</v>
      </c>
      <c r="E386" s="16">
        <f>IFERROR(__xludf.DUMMYFUNCTION("""COMPUTED_VALUE"""),5.800000000000001)</f>
        <v>5.8</v>
      </c>
      <c r="F386" s="16">
        <f>IFERROR(__xludf.DUMMYFUNCTION("""COMPUTED_VALUE"""),0.1)</f>
        <v>0.1</v>
      </c>
      <c r="G386" s="16">
        <f>IFERROR(__xludf.DUMMYFUNCTION("""COMPUTED_VALUE"""),2.5)</f>
        <v>2.5</v>
      </c>
      <c r="H386" s="23">
        <f>IFERROR(__xludf.DUMMYFUNCTION("""COMPUTED_VALUE"""),29.220000000000002)</f>
        <v>29.22</v>
      </c>
    </row>
    <row r="387">
      <c r="A387" s="16" t="str">
        <f>IFERROR(__xludf.DUMMYFUNCTION("""COMPUTED_VALUE"""),"Зеленчуци")</f>
        <v>Зеленчуци</v>
      </c>
      <c r="B387" s="7" t="str">
        <f>IFERROR(__xludf.DUMMYFUNCTION("""COMPUTED_VALUE"""),"Зелен Фасул (сурово състояние)")</f>
        <v>Зелен Фасул (сурово състояние)</v>
      </c>
      <c r="C387" s="12">
        <f>IFERROR(__xludf.DUMMYFUNCTION("""COMPUTED_VALUE"""),100.0)</f>
        <v>100</v>
      </c>
      <c r="D387" s="7">
        <f>IFERROR(__xludf.DUMMYFUNCTION("""COMPUTED_VALUE"""),1.83)</f>
        <v>1.83</v>
      </c>
      <c r="E387" s="16">
        <f>IFERROR(__xludf.DUMMYFUNCTION("""COMPUTED_VALUE"""),7.1)</f>
        <v>7.1</v>
      </c>
      <c r="F387" s="16">
        <f>IFERROR(__xludf.DUMMYFUNCTION("""COMPUTED_VALUE"""),0.1)</f>
        <v>0.1</v>
      </c>
      <c r="G387" s="16">
        <f>IFERROR(__xludf.DUMMYFUNCTION("""COMPUTED_VALUE"""),3.4)</f>
        <v>3.4</v>
      </c>
      <c r="H387" s="23">
        <f>IFERROR(__xludf.DUMMYFUNCTION("""COMPUTED_VALUE"""),36.62)</f>
        <v>36.62</v>
      </c>
    </row>
    <row r="388">
      <c r="A388" s="16" t="str">
        <f>IFERROR(__xludf.DUMMYFUNCTION("""COMPUTED_VALUE"""),"Зеленчуци")</f>
        <v>Зеленчуци</v>
      </c>
      <c r="B388" s="7" t="str">
        <f>IFERROR(__xludf.DUMMYFUNCTION("""COMPUTED_VALUE"""),"Карфиол (сурово състояние)")</f>
        <v>Карфиол (сурово състояние)</v>
      </c>
      <c r="C388" s="12">
        <f>IFERROR(__xludf.DUMMYFUNCTION("""COMPUTED_VALUE"""),100.0)</f>
        <v>100</v>
      </c>
      <c r="D388" s="7">
        <f>IFERROR(__xludf.DUMMYFUNCTION("""COMPUTED_VALUE"""),2.0)</f>
        <v>2</v>
      </c>
      <c r="E388" s="16">
        <f>IFERROR(__xludf.DUMMYFUNCTION("""COMPUTED_VALUE"""),5.3)</f>
        <v>5.3</v>
      </c>
      <c r="F388" s="16">
        <f>IFERROR(__xludf.DUMMYFUNCTION("""COMPUTED_VALUE"""),0.1)</f>
        <v>0.1</v>
      </c>
      <c r="G388" s="16">
        <f>IFERROR(__xludf.DUMMYFUNCTION("""COMPUTED_VALUE"""),2.5)</f>
        <v>2.5</v>
      </c>
      <c r="H388" s="23">
        <f>IFERROR(__xludf.DUMMYFUNCTION("""COMPUTED_VALUE"""),30.099999999999998)</f>
        <v>30.1</v>
      </c>
    </row>
    <row r="389">
      <c r="A389" s="16" t="str">
        <f>IFERROR(__xludf.DUMMYFUNCTION("""COMPUTED_VALUE"""),"Зеленчуци")</f>
        <v>Зеленчуци</v>
      </c>
      <c r="B389" s="7" t="str">
        <f>IFERROR(__xludf.DUMMYFUNCTION("""COMPUTED_VALUE"""),"Кейл (сурово състояние)")</f>
        <v>Кейл (сурово състояние)</v>
      </c>
      <c r="C389" s="12" t="str">
        <f>IFERROR(__xludf.DUMMYFUNCTION("""COMPUTED_VALUE"""),"100")</f>
        <v>100</v>
      </c>
      <c r="D389" s="7">
        <f>IFERROR(__xludf.DUMMYFUNCTION("""COMPUTED_VALUE"""),3.3)</f>
        <v>3.3</v>
      </c>
      <c r="E389" s="16">
        <f>IFERROR(__xludf.DUMMYFUNCTION("""COMPUTED_VALUE"""),10.0)</f>
        <v>10</v>
      </c>
      <c r="F389" s="16">
        <f>IFERROR(__xludf.DUMMYFUNCTION("""COMPUTED_VALUE"""),0.7)</f>
        <v>0.7</v>
      </c>
      <c r="G389" s="16">
        <f>IFERROR(__xludf.DUMMYFUNCTION("""COMPUTED_VALUE"""),2.0)</f>
        <v>2</v>
      </c>
      <c r="H389" s="23">
        <f>IFERROR(__xludf.DUMMYFUNCTION("""COMPUTED_VALUE"""),59.5)</f>
        <v>59.5</v>
      </c>
    </row>
    <row r="390">
      <c r="A390" s="16" t="str">
        <f>IFERROR(__xludf.DUMMYFUNCTION("""COMPUTED_VALUE"""),"Зеленчуци")</f>
        <v>Зеленчуци</v>
      </c>
      <c r="B390" s="7" t="str">
        <f>IFERROR(__xludf.DUMMYFUNCTION("""COMPUTED_VALUE"""),"Китайско зеле")</f>
        <v>Китайско зеле</v>
      </c>
      <c r="C390" s="12">
        <f>IFERROR(__xludf.DUMMYFUNCTION("""COMPUTED_VALUE"""),100.0)</f>
        <v>100</v>
      </c>
      <c r="D390" s="7">
        <f>IFERROR(__xludf.DUMMYFUNCTION("""COMPUTED_VALUE"""),1.5)</f>
        <v>1.5</v>
      </c>
      <c r="E390" s="16">
        <f>IFERROR(__xludf.DUMMYFUNCTION("""COMPUTED_VALUE"""),2.2)</f>
        <v>2.2</v>
      </c>
      <c r="F390" s="16">
        <f>IFERROR(__xludf.DUMMYFUNCTION("""COMPUTED_VALUE"""),0.2)</f>
        <v>0.2</v>
      </c>
      <c r="G390" s="16">
        <f>IFERROR(__xludf.DUMMYFUNCTION("""COMPUTED_VALUE"""),1.0)</f>
        <v>1</v>
      </c>
      <c r="H390" s="23">
        <f>IFERROR(__xludf.DUMMYFUNCTION("""COMPUTED_VALUE"""),16.6)</f>
        <v>16.6</v>
      </c>
    </row>
    <row r="391">
      <c r="A391" s="16" t="str">
        <f>IFERROR(__xludf.DUMMYFUNCTION("""COMPUTED_VALUE"""),"Зеленчуци")</f>
        <v>Зеленчуци</v>
      </c>
      <c r="B391" s="7" t="str">
        <f>IFERROR(__xludf.DUMMYFUNCTION("""COMPUTED_VALUE"""),"Краставици")</f>
        <v>Краставици</v>
      </c>
      <c r="C391" s="12">
        <f>IFERROR(__xludf.DUMMYFUNCTION("""COMPUTED_VALUE"""),100.0)</f>
        <v>100</v>
      </c>
      <c r="D391" s="7">
        <f>IFERROR(__xludf.DUMMYFUNCTION("""COMPUTED_VALUE"""),0.7)</f>
        <v>0.7</v>
      </c>
      <c r="E391" s="16">
        <f>IFERROR(__xludf.DUMMYFUNCTION("""COMPUTED_VALUE"""),3.6)</f>
        <v>3.6</v>
      </c>
      <c r="F391" s="16">
        <f>IFERROR(__xludf.DUMMYFUNCTION("""COMPUTED_VALUE"""),0.1)</f>
        <v>0.1</v>
      </c>
      <c r="G391" s="16">
        <f>IFERROR(__xludf.DUMMYFUNCTION("""COMPUTED_VALUE"""),0.5)</f>
        <v>0.5</v>
      </c>
      <c r="H391" s="23">
        <f>IFERROR(__xludf.DUMMYFUNCTION("""COMPUTED_VALUE"""),18.099999999999998)</f>
        <v>18.1</v>
      </c>
    </row>
    <row r="392">
      <c r="A392" s="16" t="str">
        <f>IFERROR(__xludf.DUMMYFUNCTION("""COMPUTED_VALUE"""),"Зеленчуци")</f>
        <v>Зеленчуци</v>
      </c>
      <c r="B392" s="7" t="str">
        <f>IFERROR(__xludf.DUMMYFUNCTION("""COMPUTED_VALUE"""),"Лук (кромид)")</f>
        <v>Лук (кромид)</v>
      </c>
      <c r="C392" s="12">
        <f>IFERROR(__xludf.DUMMYFUNCTION("""COMPUTED_VALUE"""),100.0)</f>
        <v>100</v>
      </c>
      <c r="D392" s="7">
        <f>IFERROR(__xludf.DUMMYFUNCTION("""COMPUTED_VALUE"""),1.0999999999999999)</f>
        <v>1.1</v>
      </c>
      <c r="E392" s="16">
        <f>IFERROR(__xludf.DUMMYFUNCTION("""COMPUTED_VALUE"""),9.34)</f>
        <v>9.34</v>
      </c>
      <c r="F392" s="16">
        <f>IFERROR(__xludf.DUMMYFUNCTION("""COMPUTED_VALUE"""),0.1)</f>
        <v>0.1</v>
      </c>
      <c r="G392" s="16">
        <f>IFERROR(__xludf.DUMMYFUNCTION("""COMPUTED_VALUE"""),1.7)</f>
        <v>1.7</v>
      </c>
      <c r="H392" s="23">
        <f>IFERROR(__xludf.DUMMYFUNCTION("""COMPUTED_VALUE"""),42.66)</f>
        <v>42.66</v>
      </c>
    </row>
    <row r="393">
      <c r="A393" s="16" t="str">
        <f>IFERROR(__xludf.DUMMYFUNCTION("""COMPUTED_VALUE"""),"Зеленчуци")</f>
        <v>Зеленчуци</v>
      </c>
      <c r="B393" s="7" t="str">
        <f>IFERROR(__xludf.DUMMYFUNCTION("""COMPUTED_VALUE"""),"Лук-пресен (сурово състояние)")</f>
        <v>Лук-пресен (сурово състояние)</v>
      </c>
      <c r="C393" s="12" t="str">
        <f>IFERROR(__xludf.DUMMYFUNCTION("""COMPUTED_VALUE"""),"100")</f>
        <v>100</v>
      </c>
      <c r="D393" s="7">
        <f>IFERROR(__xludf.DUMMYFUNCTION("""COMPUTED_VALUE"""),1.0)</f>
        <v>1</v>
      </c>
      <c r="E393" s="16">
        <f>IFERROR(__xludf.DUMMYFUNCTION("""COMPUTED_VALUE"""),7.0)</f>
        <v>7</v>
      </c>
      <c r="F393" s="16">
        <f>IFERROR(__xludf.DUMMYFUNCTION("""COMPUTED_VALUE"""),0.0)</f>
        <v>0</v>
      </c>
      <c r="G393" s="16">
        <f>IFERROR(__xludf.DUMMYFUNCTION("""COMPUTED_VALUE"""),2.5)</f>
        <v>2.5</v>
      </c>
      <c r="H393" s="23">
        <f>IFERROR(__xludf.DUMMYFUNCTION("""COMPUTED_VALUE"""),32.0)</f>
        <v>32</v>
      </c>
    </row>
    <row r="394">
      <c r="A394" s="16" t="str">
        <f>IFERROR(__xludf.DUMMYFUNCTION("""COMPUTED_VALUE"""),"Зеленчуци")</f>
        <v>Зеленчуци</v>
      </c>
      <c r="B394" s="7" t="str">
        <f>IFERROR(__xludf.DUMMYFUNCTION("""COMPUTED_VALUE"""),"Лук-стар (сурово състояние)")</f>
        <v>Лук-стар (сурово състояние)</v>
      </c>
      <c r="C394" s="12" t="str">
        <f>IFERROR(__xludf.DUMMYFUNCTION("""COMPUTED_VALUE"""),"100")</f>
        <v>100</v>
      </c>
      <c r="D394" s="7">
        <f>IFERROR(__xludf.DUMMYFUNCTION("""COMPUTED_VALUE"""),1.0)</f>
        <v>1</v>
      </c>
      <c r="E394" s="16">
        <f>IFERROR(__xludf.DUMMYFUNCTION("""COMPUTED_VALUE"""),9.0)</f>
        <v>9</v>
      </c>
      <c r="F394" s="16">
        <f>IFERROR(__xludf.DUMMYFUNCTION("""COMPUTED_VALUE"""),0.0)</f>
        <v>0</v>
      </c>
      <c r="G394" s="16">
        <f>IFERROR(__xludf.DUMMYFUNCTION("""COMPUTED_VALUE"""),1.5)</f>
        <v>1.5</v>
      </c>
      <c r="H394" s="23">
        <f>IFERROR(__xludf.DUMMYFUNCTION("""COMPUTED_VALUE"""),40.0)</f>
        <v>40</v>
      </c>
    </row>
    <row r="395">
      <c r="A395" s="16" t="str">
        <f>IFERROR(__xludf.DUMMYFUNCTION("""COMPUTED_VALUE"""),"Зеленчуци")</f>
        <v>Зеленчуци</v>
      </c>
      <c r="B395" s="7" t="str">
        <f>IFERROR(__xludf.DUMMYFUNCTION("""COMPUTED_VALUE"""),"Маруля")</f>
        <v>Маруля</v>
      </c>
      <c r="C395" s="12">
        <f>IFERROR(__xludf.DUMMYFUNCTION("""COMPUTED_VALUE"""),100.0)</f>
        <v>100</v>
      </c>
      <c r="D395" s="7">
        <f>IFERROR(__xludf.DUMMYFUNCTION("""COMPUTED_VALUE"""),1.3599999999999999)</f>
        <v>1.36</v>
      </c>
      <c r="E395" s="16">
        <f>IFERROR(__xludf.DUMMYFUNCTION("""COMPUTED_VALUE"""),2.8)</f>
        <v>2.8</v>
      </c>
      <c r="F395" s="16">
        <f>IFERROR(__xludf.DUMMYFUNCTION("""COMPUTED_VALUE"""),0.2)</f>
        <v>0.2</v>
      </c>
      <c r="G395" s="16">
        <f>IFERROR(__xludf.DUMMYFUNCTION("""COMPUTED_VALUE"""),1.3)</f>
        <v>1.3</v>
      </c>
      <c r="H395" s="23">
        <f>IFERROR(__xludf.DUMMYFUNCTION("""COMPUTED_VALUE"""),18.44)</f>
        <v>18.44</v>
      </c>
    </row>
    <row r="396">
      <c r="A396" s="16" t="str">
        <f>IFERROR(__xludf.DUMMYFUNCTION("""COMPUTED_VALUE"""),"Зеленчуци")</f>
        <v>Зеленчуци</v>
      </c>
      <c r="B396" s="7" t="str">
        <f>IFERROR(__xludf.DUMMYFUNCTION("""COMPUTED_VALUE"""),"Пак Чой (сурово състояние)")</f>
        <v>Пак Чой (сурово състояние)</v>
      </c>
      <c r="C396" s="12">
        <f>IFERROR(__xludf.DUMMYFUNCTION("""COMPUTED_VALUE"""),100.0)</f>
        <v>100</v>
      </c>
      <c r="D396" s="7">
        <f>IFERROR(__xludf.DUMMYFUNCTION("""COMPUTED_VALUE"""),1.5)</f>
        <v>1.5</v>
      </c>
      <c r="E396" s="16">
        <f>IFERROR(__xludf.DUMMYFUNCTION("""COMPUTED_VALUE"""),2.18)</f>
        <v>2.18</v>
      </c>
      <c r="F396" s="16">
        <f>IFERROR(__xludf.DUMMYFUNCTION("""COMPUTED_VALUE"""),0.2)</f>
        <v>0.2</v>
      </c>
      <c r="G396" s="16">
        <f>IFERROR(__xludf.DUMMYFUNCTION("""COMPUTED_VALUE"""),1.0)</f>
        <v>1</v>
      </c>
      <c r="H396" s="23">
        <f>IFERROR(__xludf.DUMMYFUNCTION("""COMPUTED_VALUE"""),16.52)</f>
        <v>16.52</v>
      </c>
    </row>
    <row r="397">
      <c r="A397" s="16" t="str">
        <f>IFERROR(__xludf.DUMMYFUNCTION("""COMPUTED_VALUE"""),"Зеленчуци")</f>
        <v>Зеленчуци</v>
      </c>
      <c r="B397" s="7" t="str">
        <f>IFERROR(__xludf.DUMMYFUNCTION("""COMPUTED_VALUE"""),"Патладжан (сурово състояние)")</f>
        <v>Патладжан (сурово състояние)</v>
      </c>
      <c r="C397" s="12">
        <f>IFERROR(__xludf.DUMMYFUNCTION("""COMPUTED_VALUE"""),100.0)</f>
        <v>100</v>
      </c>
      <c r="D397" s="7">
        <f>IFERROR(__xludf.DUMMYFUNCTION("""COMPUTED_VALUE"""),1.0)</f>
        <v>1</v>
      </c>
      <c r="E397" s="16">
        <f>IFERROR(__xludf.DUMMYFUNCTION("""COMPUTED_VALUE"""),5.7)</f>
        <v>5.7</v>
      </c>
      <c r="F397" s="16">
        <f>IFERROR(__xludf.DUMMYFUNCTION("""COMPUTED_VALUE"""),0.2)</f>
        <v>0.2</v>
      </c>
      <c r="G397" s="16">
        <f>IFERROR(__xludf.DUMMYFUNCTION("""COMPUTED_VALUE"""),3.4)</f>
        <v>3.4</v>
      </c>
      <c r="H397" s="23">
        <f>IFERROR(__xludf.DUMMYFUNCTION("""COMPUTED_VALUE"""),28.6)</f>
        <v>28.6</v>
      </c>
    </row>
    <row r="398">
      <c r="A398" s="16" t="str">
        <f>IFERROR(__xludf.DUMMYFUNCTION("""COMPUTED_VALUE"""),"Зеленчуци")</f>
        <v>Зеленчуци</v>
      </c>
      <c r="B398" s="7" t="str">
        <f>IFERROR(__xludf.DUMMYFUNCTION("""COMPUTED_VALUE"""),"Пащърнак")</f>
        <v>Пащърнак</v>
      </c>
      <c r="C398" s="12">
        <f>IFERROR(__xludf.DUMMYFUNCTION("""COMPUTED_VALUE"""),100.0)</f>
        <v>100</v>
      </c>
      <c r="D398" s="7">
        <f>IFERROR(__xludf.DUMMYFUNCTION("""COMPUTED_VALUE"""),1.2)</f>
        <v>1.2</v>
      </c>
      <c r="E398" s="16">
        <f>IFERROR(__xludf.DUMMYFUNCTION("""COMPUTED_VALUE"""),18.0)</f>
        <v>18</v>
      </c>
      <c r="F398" s="16">
        <f>IFERROR(__xludf.DUMMYFUNCTION("""COMPUTED_VALUE"""),0.3)</f>
        <v>0.3</v>
      </c>
      <c r="G398" s="16">
        <f>IFERROR(__xludf.DUMMYFUNCTION("""COMPUTED_VALUE"""),4.9)</f>
        <v>4.9</v>
      </c>
      <c r="H398" s="23">
        <f>IFERROR(__xludf.DUMMYFUNCTION("""COMPUTED_VALUE"""),79.5)</f>
        <v>79.5</v>
      </c>
    </row>
    <row r="399">
      <c r="A399" s="16" t="str">
        <f>IFERROR(__xludf.DUMMYFUNCTION("""COMPUTED_VALUE"""),"Зеленчуци")</f>
        <v>Зеленчуци</v>
      </c>
      <c r="B399" s="7" t="str">
        <f>IFERROR(__xludf.DUMMYFUNCTION("""COMPUTED_VALUE"""),"Пипер- зелен/червен/жълт (печен/маринован)")</f>
        <v>Пипер- зелен/червен/жълт (печен/маринован)</v>
      </c>
      <c r="C399" s="12" t="str">
        <f>IFERROR(__xludf.DUMMYFUNCTION("""COMPUTED_VALUE"""),"100")</f>
        <v>100</v>
      </c>
      <c r="D399" s="7">
        <f>IFERROR(__xludf.DUMMYFUNCTION("""COMPUTED_VALUE"""),0.0)</f>
        <v>0</v>
      </c>
      <c r="E399" s="16">
        <f>IFERROR(__xludf.DUMMYFUNCTION("""COMPUTED_VALUE"""),9.0)</f>
        <v>9</v>
      </c>
      <c r="F399" s="16">
        <f>IFERROR(__xludf.DUMMYFUNCTION("""COMPUTED_VALUE"""),0.0)</f>
        <v>0</v>
      </c>
      <c r="G399" s="16">
        <f>IFERROR(__xludf.DUMMYFUNCTION("""COMPUTED_VALUE"""),2.0)</f>
        <v>2</v>
      </c>
      <c r="H399" s="23">
        <f>IFERROR(__xludf.DUMMYFUNCTION("""COMPUTED_VALUE"""),36.0)</f>
        <v>36</v>
      </c>
    </row>
    <row r="400">
      <c r="A400" s="16" t="str">
        <f>IFERROR(__xludf.DUMMYFUNCTION("""COMPUTED_VALUE"""),"Зеленчуци")</f>
        <v>Зеленчуци</v>
      </c>
      <c r="B400" s="7" t="str">
        <f>IFERROR(__xludf.DUMMYFUNCTION("""COMPUTED_VALUE"""),"Пипер- зелен/червен/жълт (сурово състояние)")</f>
        <v>Пипер- зелен/червен/жълт (сурово състояние)</v>
      </c>
      <c r="C400" s="12" t="str">
        <f>IFERROR(__xludf.DUMMYFUNCTION("""COMPUTED_VALUE"""),"100")</f>
        <v>100</v>
      </c>
      <c r="D400" s="7">
        <f>IFERROR(__xludf.DUMMYFUNCTION("""COMPUTED_VALUE"""),0.0)</f>
        <v>0</v>
      </c>
      <c r="E400" s="16">
        <f>IFERROR(__xludf.DUMMYFUNCTION("""COMPUTED_VALUE"""),5.0)</f>
        <v>5</v>
      </c>
      <c r="F400" s="16">
        <f>IFERROR(__xludf.DUMMYFUNCTION("""COMPUTED_VALUE"""),0.0)</f>
        <v>0</v>
      </c>
      <c r="G400" s="16">
        <f>IFERROR(__xludf.DUMMYFUNCTION("""COMPUTED_VALUE"""),1.5)</f>
        <v>1.5</v>
      </c>
      <c r="H400" s="23">
        <f>IFERROR(__xludf.DUMMYFUNCTION("""COMPUTED_VALUE"""),20.0)</f>
        <v>20</v>
      </c>
    </row>
    <row r="401">
      <c r="A401" s="16" t="str">
        <f>IFERROR(__xludf.DUMMYFUNCTION("""COMPUTED_VALUE"""),"Зеленчуци")</f>
        <v>Зеленчуци</v>
      </c>
      <c r="B401" s="7" t="str">
        <f>IFERROR(__xludf.DUMMYFUNCTION("""COMPUTED_VALUE"""),"Праз лук (сурово състояние)")</f>
        <v>Праз лук (сурово състояние)</v>
      </c>
      <c r="C401" s="12">
        <f>IFERROR(__xludf.DUMMYFUNCTION("""COMPUTED_VALUE"""),100.0)</f>
        <v>100</v>
      </c>
      <c r="D401" s="7">
        <f>IFERROR(__xludf.DUMMYFUNCTION("""COMPUTED_VALUE"""),1.5)</f>
        <v>1.5</v>
      </c>
      <c r="E401" s="16">
        <f>IFERROR(__xludf.DUMMYFUNCTION("""COMPUTED_VALUE"""),14.149999999999999)</f>
        <v>14.15</v>
      </c>
      <c r="F401" s="16">
        <f>IFERROR(__xludf.DUMMYFUNCTION("""COMPUTED_VALUE"""),0.3)</f>
        <v>0.3</v>
      </c>
      <c r="G401" s="16">
        <f>IFERROR(__xludf.DUMMYFUNCTION("""COMPUTED_VALUE"""),1.8)</f>
        <v>1.8</v>
      </c>
      <c r="H401" s="23">
        <f>IFERROR(__xludf.DUMMYFUNCTION("""COMPUTED_VALUE"""),65.3)</f>
        <v>65.3</v>
      </c>
    </row>
    <row r="402">
      <c r="A402" s="16" t="str">
        <f>IFERROR(__xludf.DUMMYFUNCTION("""COMPUTED_VALUE"""),"Зеленчуци")</f>
        <v>Зеленчуци</v>
      </c>
      <c r="B402" s="7" t="str">
        <f>IFERROR(__xludf.DUMMYFUNCTION("""COMPUTED_VALUE"""),"Рукола")</f>
        <v>Рукола</v>
      </c>
      <c r="C402" s="12">
        <f>IFERROR(__xludf.DUMMYFUNCTION("""COMPUTED_VALUE"""),100.0)</f>
        <v>100</v>
      </c>
      <c r="D402" s="7">
        <f>IFERROR(__xludf.DUMMYFUNCTION("""COMPUTED_VALUE"""),2.58)</f>
        <v>2.58</v>
      </c>
      <c r="E402" s="16">
        <f>IFERROR(__xludf.DUMMYFUNCTION("""COMPUTED_VALUE"""),3.65)</f>
        <v>3.65</v>
      </c>
      <c r="F402" s="16">
        <f>IFERROR(__xludf.DUMMYFUNCTION("""COMPUTED_VALUE"""),0.7)</f>
        <v>0.7</v>
      </c>
      <c r="G402" s="16">
        <f>IFERROR(__xludf.DUMMYFUNCTION("""COMPUTED_VALUE"""),1.6)</f>
        <v>1.6</v>
      </c>
      <c r="H402" s="23">
        <f>IFERROR(__xludf.DUMMYFUNCTION("""COMPUTED_VALUE"""),31.220000000000002)</f>
        <v>31.22</v>
      </c>
    </row>
    <row r="403">
      <c r="A403" s="16" t="str">
        <f>IFERROR(__xludf.DUMMYFUNCTION("""COMPUTED_VALUE"""),"Зеленчуци")</f>
        <v>Зеленчуци</v>
      </c>
      <c r="B403" s="7" t="str">
        <f>IFERROR(__xludf.DUMMYFUNCTION("""COMPUTED_VALUE"""),"Спанак (сурово състояние)")</f>
        <v>Спанак (сурово състояние)</v>
      </c>
      <c r="C403" s="12">
        <f>IFERROR(__xludf.DUMMYFUNCTION("""COMPUTED_VALUE"""),100.0)</f>
        <v>100</v>
      </c>
      <c r="D403" s="7">
        <f>IFERROR(__xludf.DUMMYFUNCTION("""COMPUTED_VALUE"""),2.86)</f>
        <v>2.86</v>
      </c>
      <c r="E403" s="16">
        <f>IFERROR(__xludf.DUMMYFUNCTION("""COMPUTED_VALUE"""),3.63)</f>
        <v>3.63</v>
      </c>
      <c r="F403" s="16">
        <f>IFERROR(__xludf.DUMMYFUNCTION("""COMPUTED_VALUE"""),0.4)</f>
        <v>0.4</v>
      </c>
      <c r="G403" s="16">
        <f>IFERROR(__xludf.DUMMYFUNCTION("""COMPUTED_VALUE"""),2.2)</f>
        <v>2.2</v>
      </c>
      <c r="H403" s="23">
        <f>IFERROR(__xludf.DUMMYFUNCTION("""COMPUTED_VALUE"""),29.560000000000002)</f>
        <v>29.56</v>
      </c>
    </row>
    <row r="404">
      <c r="A404" s="16" t="str">
        <f>IFERROR(__xludf.DUMMYFUNCTION("""COMPUTED_VALUE"""),"Зеленчуци")</f>
        <v>Зеленчуци</v>
      </c>
      <c r="B404" s="7" t="str">
        <f>IFERROR(__xludf.DUMMYFUNCTION("""COMPUTED_VALUE"""),"Тиква (сурово състояние)")</f>
        <v>Тиква (сурово състояние)</v>
      </c>
      <c r="C404" s="12" t="str">
        <f>IFERROR(__xludf.DUMMYFUNCTION("""COMPUTED_VALUE"""),"100")</f>
        <v>100</v>
      </c>
      <c r="D404" s="7">
        <f>IFERROR(__xludf.DUMMYFUNCTION("""COMPUTED_VALUE"""),1.0)</f>
        <v>1</v>
      </c>
      <c r="E404" s="16">
        <f>IFERROR(__xludf.DUMMYFUNCTION("""COMPUTED_VALUE"""),6.5)</f>
        <v>6.5</v>
      </c>
      <c r="F404" s="16">
        <f>IFERROR(__xludf.DUMMYFUNCTION("""COMPUTED_VALUE"""),0.1)</f>
        <v>0.1</v>
      </c>
      <c r="G404" s="16">
        <f>IFERROR(__xludf.DUMMYFUNCTION("""COMPUTED_VALUE"""),0.5)</f>
        <v>0.5</v>
      </c>
      <c r="H404" s="23">
        <f>IFERROR(__xludf.DUMMYFUNCTION("""COMPUTED_VALUE"""),30.9)</f>
        <v>30.9</v>
      </c>
    </row>
    <row r="405">
      <c r="A405" s="16" t="str">
        <f>IFERROR(__xludf.DUMMYFUNCTION("""COMPUTED_VALUE"""),"Зеленчуци")</f>
        <v>Зеленчуци</v>
      </c>
      <c r="B405" s="7" t="str">
        <f>IFERROR(__xludf.DUMMYFUNCTION("""COMPUTED_VALUE"""),"Тиквички (сурово състояние)")</f>
        <v>Тиквички (сурово състояние)</v>
      </c>
      <c r="C405" s="12">
        <f>IFERROR(__xludf.DUMMYFUNCTION("""COMPUTED_VALUE"""),100.0)</f>
        <v>100</v>
      </c>
      <c r="D405" s="7">
        <f>IFERROR(__xludf.DUMMYFUNCTION("""COMPUTED_VALUE"""),1.2)</f>
        <v>1.2</v>
      </c>
      <c r="E405" s="16">
        <f>IFERROR(__xludf.DUMMYFUNCTION("""COMPUTED_VALUE"""),3.3)</f>
        <v>3.3</v>
      </c>
      <c r="F405" s="16">
        <f>IFERROR(__xludf.DUMMYFUNCTION("""COMPUTED_VALUE"""),0.2)</f>
        <v>0.2</v>
      </c>
      <c r="G405" s="16" t="str">
        <f>IFERROR(__xludf.DUMMYFUNCTION("""COMPUTED_VALUE"""),"1.1")</f>
        <v>1.1</v>
      </c>
      <c r="H405" s="23">
        <f>IFERROR(__xludf.DUMMYFUNCTION("""COMPUTED_VALUE"""),19.8)</f>
        <v>19.8</v>
      </c>
    </row>
    <row r="406">
      <c r="A406" s="16" t="str">
        <f>IFERROR(__xludf.DUMMYFUNCTION("""COMPUTED_VALUE"""),"Зеленчуци")</f>
        <v>Зеленчуци</v>
      </c>
      <c r="B406" s="7" t="str">
        <f>IFERROR(__xludf.DUMMYFUNCTION("""COMPUTED_VALUE"""),"Фенел- резене (сурово състояние)")</f>
        <v>Фенел- резене (сурово състояние)</v>
      </c>
      <c r="C406" s="12">
        <f>IFERROR(__xludf.DUMMYFUNCTION("""COMPUTED_VALUE"""),100.0)</f>
        <v>100</v>
      </c>
      <c r="D406" s="7">
        <f>IFERROR(__xludf.DUMMYFUNCTION("""COMPUTED_VALUE"""),1.2)</f>
        <v>1.2</v>
      </c>
      <c r="E406" s="16">
        <f>IFERROR(__xludf.DUMMYFUNCTION("""COMPUTED_VALUE"""),7.3)</f>
        <v>7.3</v>
      </c>
      <c r="F406" s="16">
        <f>IFERROR(__xludf.DUMMYFUNCTION("""COMPUTED_VALUE"""),0.2)</f>
        <v>0.2</v>
      </c>
      <c r="G406" s="16" t="str">
        <f>IFERROR(__xludf.DUMMYFUNCTION("""COMPUTED_VALUE"""),"3.1")</f>
        <v>3.1</v>
      </c>
      <c r="H406" s="23">
        <f>IFERROR(__xludf.DUMMYFUNCTION("""COMPUTED_VALUE"""),35.8)</f>
        <v>35.8</v>
      </c>
    </row>
    <row r="407">
      <c r="A407" s="16" t="str">
        <f>IFERROR(__xludf.DUMMYFUNCTION("""COMPUTED_VALUE"""),"Зеленчуци")</f>
        <v>Зеленчуци</v>
      </c>
      <c r="B407" s="7" t="str">
        <f>IFERROR(__xludf.DUMMYFUNCTION("""COMPUTED_VALUE"""),"Целина- стебла (сурово състояние)")</f>
        <v>Целина- стебла (сурово състояние)</v>
      </c>
      <c r="C407" s="12">
        <f>IFERROR(__xludf.DUMMYFUNCTION("""COMPUTED_VALUE"""),100.0)</f>
        <v>100</v>
      </c>
      <c r="D407" s="7">
        <f>IFERROR(__xludf.DUMMYFUNCTION("""COMPUTED_VALUE"""),0.7)</f>
        <v>0.7</v>
      </c>
      <c r="E407" s="16">
        <f>IFERROR(__xludf.DUMMYFUNCTION("""COMPUTED_VALUE"""),3.4)</f>
        <v>3.4</v>
      </c>
      <c r="F407" s="16">
        <f>IFERROR(__xludf.DUMMYFUNCTION("""COMPUTED_VALUE"""),0.2)</f>
        <v>0.2</v>
      </c>
      <c r="G407" s="16">
        <f>IFERROR(__xludf.DUMMYFUNCTION("""COMPUTED_VALUE"""),1.6)</f>
        <v>1.6</v>
      </c>
      <c r="H407" s="23">
        <f>IFERROR(__xludf.DUMMYFUNCTION("""COMPUTED_VALUE"""),18.2)</f>
        <v>18.2</v>
      </c>
    </row>
    <row r="408">
      <c r="A408" s="16" t="str">
        <f>IFERROR(__xludf.DUMMYFUNCTION("""COMPUTED_VALUE"""),"Зеленчуци")</f>
        <v>Зеленчуци</v>
      </c>
      <c r="B408" s="7" t="str">
        <f>IFERROR(__xludf.DUMMYFUNCTION("""COMPUTED_VALUE"""),"Чесън- пресен (сурово състояние)")</f>
        <v>Чесън- пресен (сурово състояние)</v>
      </c>
      <c r="C408" s="12">
        <f>IFERROR(__xludf.DUMMYFUNCTION("""COMPUTED_VALUE"""),100.0)</f>
        <v>100</v>
      </c>
      <c r="D408" s="7">
        <f>IFERROR(__xludf.DUMMYFUNCTION("""COMPUTED_VALUE"""),6.4)</f>
        <v>6.4</v>
      </c>
      <c r="E408" s="16">
        <f>IFERROR(__xludf.DUMMYFUNCTION("""COMPUTED_VALUE"""),33.0)</f>
        <v>33</v>
      </c>
      <c r="F408" s="16">
        <f>IFERROR(__xludf.DUMMYFUNCTION("""COMPUTED_VALUE"""),0.5)</f>
        <v>0.5</v>
      </c>
      <c r="G408" s="16" t="str">
        <f>IFERROR(__xludf.DUMMYFUNCTION("""COMPUTED_VALUE"""),"2.1")</f>
        <v>2.1</v>
      </c>
      <c r="H408" s="23">
        <f>IFERROR(__xludf.DUMMYFUNCTION("""COMPUTED_VALUE"""),162.1)</f>
        <v>162.1</v>
      </c>
    </row>
    <row r="409">
      <c r="A409" s="16" t="str">
        <f>IFERROR(__xludf.DUMMYFUNCTION("""COMPUTED_VALUE"""),"Зеленчуци")</f>
        <v>Зеленчуци</v>
      </c>
      <c r="B409" s="7" t="str">
        <f>IFERROR(__xludf.DUMMYFUNCTION("""COMPUTED_VALUE"""),"Чесън- стар (сурово състояние)")</f>
        <v>Чесън- стар (сурово състояние)</v>
      </c>
      <c r="C409" s="12">
        <f>IFERROR(__xludf.DUMMYFUNCTION("""COMPUTED_VALUE"""),100.0)</f>
        <v>100</v>
      </c>
      <c r="D409" s="7">
        <f>IFERROR(__xludf.DUMMYFUNCTION("""COMPUTED_VALUE"""),6.4)</f>
        <v>6.4</v>
      </c>
      <c r="E409" s="16">
        <f>IFERROR(__xludf.DUMMYFUNCTION("""COMPUTED_VALUE"""),33.0)</f>
        <v>33</v>
      </c>
      <c r="F409" s="16">
        <f>IFERROR(__xludf.DUMMYFUNCTION("""COMPUTED_VALUE"""),0.5)</f>
        <v>0.5</v>
      </c>
      <c r="G409" s="16" t="str">
        <f>IFERROR(__xludf.DUMMYFUNCTION("""COMPUTED_VALUE"""),"2.1")</f>
        <v>2.1</v>
      </c>
      <c r="H409" s="23">
        <f>IFERROR(__xludf.DUMMYFUNCTION("""COMPUTED_VALUE"""),162.1)</f>
        <v>162.1</v>
      </c>
    </row>
    <row r="410">
      <c r="A410" s="16" t="str">
        <f>IFERROR(__xludf.DUMMYFUNCTION("""COMPUTED_VALUE"""),"Зеленчуци")</f>
        <v>Зеленчуци</v>
      </c>
      <c r="B410" s="7" t="str">
        <f>IFERROR(__xludf.DUMMYFUNCTION("""COMPUTED_VALUE"""),"Шалот")</f>
        <v>Шалот</v>
      </c>
      <c r="C410" s="12">
        <f>IFERROR(__xludf.DUMMYFUNCTION("""COMPUTED_VALUE"""),100.0)</f>
        <v>100</v>
      </c>
      <c r="D410" s="7">
        <f>IFERROR(__xludf.DUMMYFUNCTION("""COMPUTED_VALUE"""),2.5)</f>
        <v>2.5</v>
      </c>
      <c r="E410" s="16">
        <f>IFERROR(__xludf.DUMMYFUNCTION("""COMPUTED_VALUE"""),16.8)</f>
        <v>16.8</v>
      </c>
      <c r="F410" s="16">
        <f>IFERROR(__xludf.DUMMYFUNCTION("""COMPUTED_VALUE"""),0.1)</f>
        <v>0.1</v>
      </c>
      <c r="G410" s="16">
        <f>IFERROR(__xludf.DUMMYFUNCTION("""COMPUTED_VALUE"""),0.0)</f>
        <v>0</v>
      </c>
      <c r="H410" s="23">
        <f>IFERROR(__xludf.DUMMYFUNCTION("""COMPUTED_VALUE"""),78.10000000000001)</f>
        <v>78.1</v>
      </c>
    </row>
    <row r="411">
      <c r="A411" s="16" t="str">
        <f>IFERROR(__xludf.DUMMYFUNCTION("""COMPUTED_VALUE"""),"Зеленчуци")</f>
        <v>Зеленчуци</v>
      </c>
      <c r="B411" s="7" t="str">
        <f>IFERROR(__xludf.DUMMYFUNCTION("""COMPUTED_VALUE"""),"Маслини (стандартни в саламура)")</f>
        <v>Маслини (стандартни в саламура)</v>
      </c>
      <c r="C411" s="12">
        <f>IFERROR(__xludf.DUMMYFUNCTION("""COMPUTED_VALUE"""),100.0)</f>
        <v>100</v>
      </c>
      <c r="D411" s="7">
        <f>IFERROR(__xludf.DUMMYFUNCTION("""COMPUTED_VALUE"""),1.0)</f>
        <v>1</v>
      </c>
      <c r="E411" s="16">
        <f>IFERROR(__xludf.DUMMYFUNCTION("""COMPUTED_VALUE"""),3.0)</f>
        <v>3</v>
      </c>
      <c r="F411" s="16">
        <f>IFERROR(__xludf.DUMMYFUNCTION("""COMPUTED_VALUE"""),16.0)</f>
        <v>16</v>
      </c>
      <c r="G411" s="16">
        <f>IFERROR(__xludf.DUMMYFUNCTION("""COMPUTED_VALUE"""),2.0)</f>
        <v>2</v>
      </c>
      <c r="H411" s="23">
        <f>IFERROR(__xludf.DUMMYFUNCTION("""COMPUTED_VALUE"""),160.0)</f>
        <v>160</v>
      </c>
    </row>
    <row r="412">
      <c r="A412" s="16" t="str">
        <f>IFERROR(__xludf.DUMMYFUNCTION("""COMPUTED_VALUE"""),"Зеленчуци")</f>
        <v>Зеленчуци</v>
      </c>
      <c r="B412" s="7" t="str">
        <f>IFERROR(__xludf.DUMMYFUNCTION("""COMPUTED_VALUE"""),"Авокадо")</f>
        <v>Авокадо</v>
      </c>
      <c r="C412" s="12">
        <f>IFERROR(__xludf.DUMMYFUNCTION("""COMPUTED_VALUE"""),100.0)</f>
        <v>100</v>
      </c>
      <c r="D412" s="7">
        <f>IFERROR(__xludf.DUMMYFUNCTION("""COMPUTED_VALUE"""),1.0)</f>
        <v>1</v>
      </c>
      <c r="E412" s="16">
        <f>IFERROR(__xludf.DUMMYFUNCTION("""COMPUTED_VALUE"""),8.0)</f>
        <v>8</v>
      </c>
      <c r="F412" s="16">
        <f>IFERROR(__xludf.DUMMYFUNCTION("""COMPUTED_VALUE"""),15.0)</f>
        <v>15</v>
      </c>
      <c r="G412" s="16">
        <f>IFERROR(__xludf.DUMMYFUNCTION("""COMPUTED_VALUE"""),3.0)</f>
        <v>3</v>
      </c>
      <c r="H412" s="23">
        <f>IFERROR(__xludf.DUMMYFUNCTION("""COMPUTED_VALUE"""),171.0)</f>
        <v>171</v>
      </c>
    </row>
    <row r="413">
      <c r="A413" s="16" t="str">
        <f>IFERROR(__xludf.DUMMYFUNCTION("""COMPUTED_VALUE"""),"Зеленчуци")</f>
        <v>Зеленчуци</v>
      </c>
      <c r="B413" s="7" t="str">
        <f>IFERROR(__xludf.DUMMYFUNCTION("""COMPUTED_VALUE"""),"Червен/жълт лук- кромид (сурово състояние)")</f>
        <v>Червен/жълт лук- кромид (сурово състояние)</v>
      </c>
      <c r="C413" s="12">
        <f>IFERROR(__xludf.DUMMYFUNCTION("""COMPUTED_VALUE"""),100.0)</f>
        <v>100</v>
      </c>
      <c r="D413" s="7">
        <f>IFERROR(__xludf.DUMMYFUNCTION("""COMPUTED_VALUE"""),1.5)</f>
        <v>1.5</v>
      </c>
      <c r="E413" s="16">
        <f>IFERROR(__xludf.DUMMYFUNCTION("""COMPUTED_VALUE"""),9.3)</f>
        <v>9.3</v>
      </c>
      <c r="F413" s="16">
        <f>IFERROR(__xludf.DUMMYFUNCTION("""COMPUTED_VALUE"""),0.1)</f>
        <v>0.1</v>
      </c>
      <c r="G413" s="16" t="str">
        <f>IFERROR(__xludf.DUMMYFUNCTION("""COMPUTED_VALUE"""),"1.7")</f>
        <v>1.7</v>
      </c>
      <c r="H413" s="23">
        <f>IFERROR(__xludf.DUMMYFUNCTION("""COMPUTED_VALUE"""),44.1)</f>
        <v>44.1</v>
      </c>
    </row>
    <row r="414">
      <c r="A414" s="16" t="str">
        <f>IFERROR(__xludf.DUMMYFUNCTION("""COMPUTED_VALUE"""),"Зеленчуци")</f>
        <v>Зеленчуци</v>
      </c>
      <c r="B414" s="7" t="str">
        <f>IFERROR(__xludf.DUMMYFUNCTION("""COMPUTED_VALUE"""),"Бамя (сурово състояние)")</f>
        <v>Бамя (сурово състояние)</v>
      </c>
      <c r="C414" s="12">
        <f>IFERROR(__xludf.DUMMYFUNCTION("""COMPUTED_VALUE"""),100.0)</f>
        <v>100</v>
      </c>
      <c r="D414" s="7">
        <f>IFERROR(__xludf.DUMMYFUNCTION("""COMPUTED_VALUE"""),1.93)</f>
        <v>1.93</v>
      </c>
      <c r="E414" s="16">
        <f>IFERROR(__xludf.DUMMYFUNCTION("""COMPUTED_VALUE"""),7.45)</f>
        <v>7.45</v>
      </c>
      <c r="F414" s="16">
        <f>IFERROR(__xludf.DUMMYFUNCTION("""COMPUTED_VALUE"""),0.19)</f>
        <v>0.19</v>
      </c>
      <c r="G414" s="16">
        <f>IFERROR(__xludf.DUMMYFUNCTION("""COMPUTED_VALUE"""),3.2)</f>
        <v>3.2</v>
      </c>
      <c r="H414" s="23">
        <f>IFERROR(__xludf.DUMMYFUNCTION("""COMPUTED_VALUE"""),39.230000000000004)</f>
        <v>39.23</v>
      </c>
    </row>
    <row r="415">
      <c r="A415" s="16" t="str">
        <f>IFERROR(__xludf.DUMMYFUNCTION("""COMPUTED_VALUE"""),"Зеленчуци")</f>
        <v>Зеленчуци</v>
      </c>
      <c r="B415" s="7" t="str">
        <f>IFERROR(__xludf.DUMMYFUNCTION("""COMPUTED_VALUE"""),"Морков (сурово състояние)")</f>
        <v>Морков (сурово състояние)</v>
      </c>
      <c r="C415" s="12">
        <f>IFERROR(__xludf.DUMMYFUNCTION("""COMPUTED_VALUE"""),100.0)</f>
        <v>100</v>
      </c>
      <c r="D415" s="7">
        <f>IFERROR(__xludf.DUMMYFUNCTION("""COMPUTED_VALUE"""),0.93)</f>
        <v>0.93</v>
      </c>
      <c r="E415" s="16">
        <f>IFERROR(__xludf.DUMMYFUNCTION("""COMPUTED_VALUE"""),9.59)</f>
        <v>9.59</v>
      </c>
      <c r="F415" s="16">
        <f>IFERROR(__xludf.DUMMYFUNCTION("""COMPUTED_VALUE"""),0.24)</f>
        <v>0.24</v>
      </c>
      <c r="G415" s="16">
        <f>IFERROR(__xludf.DUMMYFUNCTION("""COMPUTED_VALUE"""),2.8)</f>
        <v>2.8</v>
      </c>
      <c r="H415" s="23">
        <f>IFERROR(__xludf.DUMMYFUNCTION("""COMPUTED_VALUE"""),44.239999999999995)</f>
        <v>44.24</v>
      </c>
    </row>
    <row r="416">
      <c r="A416" s="16" t="str">
        <f>IFERROR(__xludf.DUMMYFUNCTION("""COMPUTED_VALUE"""),"Зеленчуци")</f>
        <v>Зеленчуци</v>
      </c>
      <c r="B416" s="7" t="str">
        <f>IFERROR(__xludf.DUMMYFUNCTION("""COMPUTED_VALUE"""),"Капия (в буркан, печена, белена)")</f>
        <v>Капия (в буркан, печена, белена)</v>
      </c>
      <c r="C416" s="12">
        <f>IFERROR(__xludf.DUMMYFUNCTION("""COMPUTED_VALUE"""),100.0)</f>
        <v>100</v>
      </c>
      <c r="D416" s="7">
        <f>IFERROR(__xludf.DUMMYFUNCTION("""COMPUTED_VALUE"""),1.2)</f>
        <v>1.2</v>
      </c>
      <c r="E416" s="16">
        <f>IFERROR(__xludf.DUMMYFUNCTION("""COMPUTED_VALUE"""),5.3)</f>
        <v>5.3</v>
      </c>
      <c r="F416" s="16">
        <f>IFERROR(__xludf.DUMMYFUNCTION("""COMPUTED_VALUE"""),0.5)</f>
        <v>0.5</v>
      </c>
      <c r="G416" s="16">
        <f>IFERROR(__xludf.DUMMYFUNCTION("""COMPUTED_VALUE"""),0.0)</f>
        <v>0</v>
      </c>
      <c r="H416" s="23">
        <f>IFERROR(__xludf.DUMMYFUNCTION("""COMPUTED_VALUE"""),30.5)</f>
        <v>30.5</v>
      </c>
    </row>
    <row r="417">
      <c r="A417" s="16" t="str">
        <f>IFERROR(__xludf.DUMMYFUNCTION("""COMPUTED_VALUE"""),"Зеленчуци")</f>
        <v>Зеленчуци</v>
      </c>
      <c r="B417" s="7" t="str">
        <f>IFERROR(__xludf.DUMMYFUNCTION("""COMPUTED_VALUE"""),"Тиква (печена)")</f>
        <v>Тиква (печена)</v>
      </c>
      <c r="C417" s="12">
        <f>IFERROR(__xludf.DUMMYFUNCTION("""COMPUTED_VALUE"""),100.0)</f>
        <v>100</v>
      </c>
      <c r="D417" s="7">
        <f>IFERROR(__xludf.DUMMYFUNCTION("""COMPUTED_VALUE"""),1.0)</f>
        <v>1</v>
      </c>
      <c r="E417" s="16">
        <f>IFERROR(__xludf.DUMMYFUNCTION("""COMPUTED_VALUE"""),10.0)</f>
        <v>10</v>
      </c>
      <c r="F417" s="16">
        <f>IFERROR(__xludf.DUMMYFUNCTION("""COMPUTED_VALUE"""),0.0)</f>
        <v>0</v>
      </c>
      <c r="G417" s="16">
        <f>IFERROR(__xludf.DUMMYFUNCTION("""COMPUTED_VALUE"""),1.0)</f>
        <v>1</v>
      </c>
      <c r="H417" s="23">
        <f>IFERROR(__xludf.DUMMYFUNCTION("""COMPUTED_VALUE"""),44.0)</f>
        <v>44</v>
      </c>
    </row>
    <row r="418">
      <c r="A418" s="16" t="str">
        <f>IFERROR(__xludf.DUMMYFUNCTION("""COMPUTED_VALUE"""),"Зеленчуци")</f>
        <v>Зеленчуци</v>
      </c>
      <c r="B418" s="7" t="str">
        <f>IFERROR(__xludf.DUMMYFUNCTION("""COMPUTED_VALUE"""),"Печени чушки")</f>
        <v>Печени чушки</v>
      </c>
      <c r="C418" s="12">
        <f>IFERROR(__xludf.DUMMYFUNCTION("""COMPUTED_VALUE"""),100.0)</f>
        <v>100</v>
      </c>
      <c r="D418" s="7">
        <f>IFERROR(__xludf.DUMMYFUNCTION("""COMPUTED_VALUE"""),0.7)</f>
        <v>0.7</v>
      </c>
      <c r="E418" s="16">
        <f>IFERROR(__xludf.DUMMYFUNCTION("""COMPUTED_VALUE"""),4.5)</f>
        <v>4.5</v>
      </c>
      <c r="F418" s="16">
        <f>IFERROR(__xludf.DUMMYFUNCTION("""COMPUTED_VALUE"""),0.5)</f>
        <v>0.5</v>
      </c>
      <c r="G418" s="16">
        <f>IFERROR(__xludf.DUMMYFUNCTION("""COMPUTED_VALUE"""),0.0)</f>
        <v>0</v>
      </c>
      <c r="H418" s="23">
        <f>IFERROR(__xludf.DUMMYFUNCTION("""COMPUTED_VALUE"""),25.3)</f>
        <v>25.3</v>
      </c>
    </row>
    <row r="419">
      <c r="A419" s="16" t="str">
        <f>IFERROR(__xludf.DUMMYFUNCTION("""COMPUTED_VALUE"""),"Зеленчуци")</f>
        <v>Зеленчуци</v>
      </c>
      <c r="B419" s="7" t="str">
        <f>IFERROR(__xludf.DUMMYFUNCTION("""COMPUTED_VALUE"""),"Гъби-пържени")</f>
        <v>Гъби-пържени</v>
      </c>
      <c r="C419" s="12">
        <f>IFERROR(__xludf.DUMMYFUNCTION("""COMPUTED_VALUE"""),100.0)</f>
        <v>100</v>
      </c>
      <c r="D419" s="7">
        <f>IFERROR(__xludf.DUMMYFUNCTION("""COMPUTED_VALUE"""),3.58)</f>
        <v>3.58</v>
      </c>
      <c r="E419" s="16">
        <f>IFERROR(__xludf.DUMMYFUNCTION("""COMPUTED_VALUE"""),4.04)</f>
        <v>4.04</v>
      </c>
      <c r="F419" s="16">
        <f>IFERROR(__xludf.DUMMYFUNCTION("""COMPUTED_VALUE"""),0.33)</f>
        <v>0.33</v>
      </c>
      <c r="G419" s="16">
        <f>IFERROR(__xludf.DUMMYFUNCTION("""COMPUTED_VALUE"""),1.8)</f>
        <v>1.8</v>
      </c>
      <c r="H419" s="23">
        <f>IFERROR(__xludf.DUMMYFUNCTION("""COMPUTED_VALUE"""),33.45)</f>
        <v>33.45</v>
      </c>
    </row>
    <row r="420">
      <c r="A420" s="16" t="str">
        <f>IFERROR(__xludf.DUMMYFUNCTION("""COMPUTED_VALUE"""),"Зеленчуци")</f>
        <v>Зеленчуци</v>
      </c>
      <c r="B420" s="7" t="str">
        <f>IFERROR(__xludf.DUMMYFUNCTION("""COMPUTED_VALUE"""),"Брокула (варена)")</f>
        <v>Брокула (варена)</v>
      </c>
      <c r="C420" s="12">
        <f>IFERROR(__xludf.DUMMYFUNCTION("""COMPUTED_VALUE"""),100.0)</f>
        <v>100</v>
      </c>
      <c r="D420" s="7">
        <f>IFERROR(__xludf.DUMMYFUNCTION("""COMPUTED_VALUE"""),2.38)</f>
        <v>2.38</v>
      </c>
      <c r="E420" s="16">
        <f>IFERROR(__xludf.DUMMYFUNCTION("""COMPUTED_VALUE"""),7.18)</f>
        <v>7.18</v>
      </c>
      <c r="F420" s="16">
        <f>IFERROR(__xludf.DUMMYFUNCTION("""COMPUTED_VALUE"""),0.41)</f>
        <v>0.41</v>
      </c>
      <c r="G420" s="16">
        <f>IFERROR(__xludf.DUMMYFUNCTION("""COMPUTED_VALUE"""),3.3)</f>
        <v>3.3</v>
      </c>
      <c r="H420" s="23">
        <f>IFERROR(__xludf.DUMMYFUNCTION("""COMPUTED_VALUE"""),41.92999999999999)</f>
        <v>41.93</v>
      </c>
    </row>
    <row r="421">
      <c r="A421" s="16" t="str">
        <f>IFERROR(__xludf.DUMMYFUNCTION("""COMPUTED_VALUE"""),"Зеленчуци")</f>
        <v>Зеленчуци</v>
      </c>
      <c r="B421" s="7" t="str">
        <f>IFERROR(__xludf.DUMMYFUNCTION("""COMPUTED_VALUE"""),"Аспержи (варени със сол)")</f>
        <v>Аспержи (варени със сол)</v>
      </c>
      <c r="C421" s="12">
        <f>IFERROR(__xludf.DUMMYFUNCTION("""COMPUTED_VALUE"""),100.0)</f>
        <v>100</v>
      </c>
      <c r="D421" s="7">
        <f>IFERROR(__xludf.DUMMYFUNCTION("""COMPUTED_VALUE"""),2.4)</f>
        <v>2.4</v>
      </c>
      <c r="E421" s="16">
        <f>IFERROR(__xludf.DUMMYFUNCTION("""COMPUTED_VALUE"""),4.1)</f>
        <v>4.1</v>
      </c>
      <c r="F421" s="16">
        <f>IFERROR(__xludf.DUMMYFUNCTION("""COMPUTED_VALUE"""),0.2)</f>
        <v>0.2</v>
      </c>
      <c r="G421" s="16">
        <f>IFERROR(__xludf.DUMMYFUNCTION("""COMPUTED_VALUE"""),2.0)</f>
        <v>2</v>
      </c>
      <c r="H421" s="23">
        <f>IFERROR(__xludf.DUMMYFUNCTION("""COMPUTED_VALUE"""),27.8)</f>
        <v>27.8</v>
      </c>
    </row>
    <row r="422">
      <c r="A422" s="16" t="str">
        <f>IFERROR(__xludf.DUMMYFUNCTION("""COMPUTED_VALUE"""),"Зеленчуци")</f>
        <v>Зеленчуци</v>
      </c>
      <c r="B422" s="7" t="str">
        <f>IFERROR(__xludf.DUMMYFUNCTION("""COMPUTED_VALUE"""),"Брюкселско зеле (варено със сол)")</f>
        <v>Брюкселско зеле (варено със сол)</v>
      </c>
      <c r="C422" s="12">
        <f>IFERROR(__xludf.DUMMYFUNCTION("""COMPUTED_VALUE"""),100.0)</f>
        <v>100</v>
      </c>
      <c r="D422" s="7">
        <f>IFERROR(__xludf.DUMMYFUNCTION("""COMPUTED_VALUE"""),2.5)</f>
        <v>2.5</v>
      </c>
      <c r="E422" s="16">
        <f>IFERROR(__xludf.DUMMYFUNCTION("""COMPUTED_VALUE"""),7.1)</f>
        <v>7.1</v>
      </c>
      <c r="F422" s="16">
        <f>IFERROR(__xludf.DUMMYFUNCTION("""COMPUTED_VALUE"""),0.5)</f>
        <v>0.5</v>
      </c>
      <c r="G422" s="24">
        <f>IFERROR(__xludf.DUMMYFUNCTION("""COMPUTED_VALUE"""),2.6)</f>
        <v>2.6</v>
      </c>
      <c r="H422" s="23">
        <f>IFERROR(__xludf.DUMMYFUNCTION("""COMPUTED_VALUE"""),42.9)</f>
        <v>42.9</v>
      </c>
    </row>
    <row r="423">
      <c r="A423" s="16" t="str">
        <f>IFERROR(__xludf.DUMMYFUNCTION("""COMPUTED_VALUE"""),"Зеленчуци")</f>
        <v>Зеленчуци</v>
      </c>
      <c r="B423" s="7" t="str">
        <f>IFERROR(__xludf.DUMMYFUNCTION("""COMPUTED_VALUE"""),"Гъби (Brown Shimeji) - сурови")</f>
        <v>Гъби (Brown Shimeji) - сурови</v>
      </c>
      <c r="C423" s="12">
        <f>IFERROR(__xludf.DUMMYFUNCTION("""COMPUTED_VALUE"""),100.0)</f>
        <v>100</v>
      </c>
      <c r="D423" s="7">
        <f>IFERROR(__xludf.DUMMYFUNCTION("""COMPUTED_VALUE"""),2.0)</f>
        <v>2</v>
      </c>
      <c r="E423" s="16">
        <f>IFERROR(__xludf.DUMMYFUNCTION("""COMPUTED_VALUE"""),5.5)</f>
        <v>5.5</v>
      </c>
      <c r="F423" s="16">
        <f>IFERROR(__xludf.DUMMYFUNCTION("""COMPUTED_VALUE"""),0.2)</f>
        <v>0.2</v>
      </c>
      <c r="G423" s="16">
        <f>IFERROR(__xludf.DUMMYFUNCTION("""COMPUTED_VALUE"""),2.5)</f>
        <v>2.5</v>
      </c>
      <c r="H423" s="23">
        <f>IFERROR(__xludf.DUMMYFUNCTION("""COMPUTED_VALUE"""),31.8)</f>
        <v>31.8</v>
      </c>
    </row>
    <row r="424">
      <c r="A424" s="16" t="str">
        <f>IFERROR(__xludf.DUMMYFUNCTION("""COMPUTED_VALUE"""),"Зеленчуци")</f>
        <v>Зеленчуци</v>
      </c>
      <c r="B424" s="7" t="str">
        <f>IFERROR(__xludf.DUMMYFUNCTION("""COMPUTED_VALUE"""),"Гъби (Enoki) - сурови")</f>
        <v>Гъби (Enoki) - сурови</v>
      </c>
      <c r="C424" s="12">
        <f>IFERROR(__xludf.DUMMYFUNCTION("""COMPUTED_VALUE"""),100.0)</f>
        <v>100</v>
      </c>
      <c r="D424" s="7">
        <f>IFERROR(__xludf.DUMMYFUNCTION("""COMPUTED_VALUE"""),2.0)</f>
        <v>2</v>
      </c>
      <c r="E424" s="16">
        <f>IFERROR(__xludf.DUMMYFUNCTION("""COMPUTED_VALUE"""),8.0)</f>
        <v>8</v>
      </c>
      <c r="F424" s="16">
        <f>IFERROR(__xludf.DUMMYFUNCTION("""COMPUTED_VALUE"""),0.0)</f>
        <v>0</v>
      </c>
      <c r="G424" s="16">
        <f>IFERROR(__xludf.DUMMYFUNCTION("""COMPUTED_VALUE"""),3.0)</f>
        <v>3</v>
      </c>
      <c r="H424" s="23">
        <f>IFERROR(__xludf.DUMMYFUNCTION("""COMPUTED_VALUE"""),40.0)</f>
        <v>40</v>
      </c>
    </row>
    <row r="425">
      <c r="A425" s="16" t="str">
        <f>IFERROR(__xludf.DUMMYFUNCTION("""COMPUTED_VALUE"""),"Зеленчуци")</f>
        <v>Зеленчуци</v>
      </c>
      <c r="B425" s="7" t="str">
        <f>IFERROR(__xludf.DUMMYFUNCTION("""COMPUTED_VALUE"""),"Зеле на фурна")</f>
        <v>Зеле на фурна</v>
      </c>
      <c r="C425" s="12">
        <f>IFERROR(__xludf.DUMMYFUNCTION("""COMPUTED_VALUE"""),100.0)</f>
        <v>100</v>
      </c>
      <c r="D425" s="7">
        <f>IFERROR(__xludf.DUMMYFUNCTION("""COMPUTED_VALUE"""),1.0)</f>
        <v>1</v>
      </c>
      <c r="E425" s="16">
        <f>IFERROR(__xludf.DUMMYFUNCTION("""COMPUTED_VALUE"""),5.0)</f>
        <v>5</v>
      </c>
      <c r="F425" s="16">
        <f>IFERROR(__xludf.DUMMYFUNCTION("""COMPUTED_VALUE"""),1.0)</f>
        <v>1</v>
      </c>
      <c r="G425" s="16">
        <f>IFERROR(__xludf.DUMMYFUNCTION("""COMPUTED_VALUE"""),0.0)</f>
        <v>0</v>
      </c>
      <c r="H425" s="23">
        <f>IFERROR(__xludf.DUMMYFUNCTION("""COMPUTED_VALUE"""),33.0)</f>
        <v>33</v>
      </c>
    </row>
    <row r="426">
      <c r="A426" s="16" t="str">
        <f>IFERROR(__xludf.DUMMYFUNCTION("""COMPUTED_VALUE"""),"Зеленчуци")</f>
        <v>Зеленчуци</v>
      </c>
      <c r="B426" s="7" t="str">
        <f>IFERROR(__xludf.DUMMYFUNCTION("""COMPUTED_VALUE"""),"Гъби (Shiitake) - сурови")</f>
        <v>Гъби (Shiitake) - сурови</v>
      </c>
      <c r="C426" s="12">
        <f>IFERROR(__xludf.DUMMYFUNCTION("""COMPUTED_VALUE"""),100.0)</f>
        <v>100</v>
      </c>
      <c r="D426" s="7">
        <f>IFERROR(__xludf.DUMMYFUNCTION("""COMPUTED_VALUE"""),1.0)</f>
        <v>1</v>
      </c>
      <c r="E426" s="16">
        <f>IFERROR(__xludf.DUMMYFUNCTION("""COMPUTED_VALUE"""),0.3)</f>
        <v>0.3</v>
      </c>
      <c r="F426" s="16">
        <f>IFERROR(__xludf.DUMMYFUNCTION("""COMPUTED_VALUE"""),0.2)</f>
        <v>0.2</v>
      </c>
      <c r="G426" s="16">
        <f>IFERROR(__xludf.DUMMYFUNCTION("""COMPUTED_VALUE"""),0.7)</f>
        <v>0.7</v>
      </c>
      <c r="H426" s="23">
        <f>IFERROR(__xludf.DUMMYFUNCTION("""COMPUTED_VALUE"""),7.0)</f>
        <v>7</v>
      </c>
    </row>
    <row r="427">
      <c r="A427" s="16" t="str">
        <f>IFERROR(__xludf.DUMMYFUNCTION("""COMPUTED_VALUE"""),"Зеленчуци")</f>
        <v>Зеленчуци</v>
      </c>
      <c r="B427" s="7" t="str">
        <f>IFERROR(__xludf.DUMMYFUNCTION("""COMPUTED_VALUE"""),"Кейл (суров)")</f>
        <v>Кейл (суров)</v>
      </c>
      <c r="C427" s="12">
        <f>IFERROR(__xludf.DUMMYFUNCTION("""COMPUTED_VALUE"""),100.0)</f>
        <v>100</v>
      </c>
      <c r="D427" s="7">
        <f>IFERROR(__xludf.DUMMYFUNCTION("""COMPUTED_VALUE"""),2.4)</f>
        <v>2.4</v>
      </c>
      <c r="E427" s="16">
        <f>IFERROR(__xludf.DUMMYFUNCTION("""COMPUTED_VALUE"""),1.0)</f>
        <v>1</v>
      </c>
      <c r="F427" s="16">
        <f>IFERROR(__xludf.DUMMYFUNCTION("""COMPUTED_VALUE"""),1.1)</f>
        <v>1.1</v>
      </c>
      <c r="G427" s="16">
        <f>IFERROR(__xludf.DUMMYFUNCTION("""COMPUTED_VALUE"""),2.8)</f>
        <v>2.8</v>
      </c>
      <c r="H427" s="23">
        <f>IFERROR(__xludf.DUMMYFUNCTION("""COMPUTED_VALUE"""),23.5)</f>
        <v>23.5</v>
      </c>
    </row>
    <row r="428">
      <c r="A428" s="16" t="str">
        <f>IFERROR(__xludf.DUMMYFUNCTION("""COMPUTED_VALUE"""),"Зеленчуци")</f>
        <v>Зеленчуци</v>
      </c>
      <c r="B428" s="7" t="str">
        <f>IFERROR(__xludf.DUMMYFUNCTION("""COMPUTED_VALUE"""),"Корен от магданоз")</f>
        <v>Корен от магданоз</v>
      </c>
      <c r="C428" s="12">
        <f>IFERROR(__xludf.DUMMYFUNCTION("""COMPUTED_VALUE"""),100.0)</f>
        <v>100</v>
      </c>
      <c r="D428" s="7">
        <f>IFERROR(__xludf.DUMMYFUNCTION("""COMPUTED_VALUE"""),2.0)</f>
        <v>2</v>
      </c>
      <c r="E428" s="16">
        <f>IFERROR(__xludf.DUMMYFUNCTION("""COMPUTED_VALUE"""),12.0)</f>
        <v>12</v>
      </c>
      <c r="F428" s="16">
        <f>IFERROR(__xludf.DUMMYFUNCTION("""COMPUTED_VALUE"""),0.6)</f>
        <v>0.6</v>
      </c>
      <c r="G428" s="16">
        <f>IFERROR(__xludf.DUMMYFUNCTION("""COMPUTED_VALUE"""),4.0)</f>
        <v>4</v>
      </c>
      <c r="H428" s="23">
        <f>IFERROR(__xludf.DUMMYFUNCTION("""COMPUTED_VALUE"""),61.4)</f>
        <v>61.4</v>
      </c>
    </row>
    <row r="429">
      <c r="A429" s="16" t="str">
        <f>IFERROR(__xludf.DUMMYFUNCTION("""COMPUTED_VALUE"""),"Зеленчуци")</f>
        <v>Зеленчуци</v>
      </c>
      <c r="B429" s="7" t="str">
        <f>IFERROR(__xludf.DUMMYFUNCTION("""COMPUTED_VALUE"""),"Домати (консерва)")</f>
        <v>Домати (консерва)</v>
      </c>
      <c r="C429" s="12">
        <f>IFERROR(__xludf.DUMMYFUNCTION("""COMPUTED_VALUE"""),100.0)</f>
        <v>100</v>
      </c>
      <c r="D429" s="7">
        <f>IFERROR(__xludf.DUMMYFUNCTION("""COMPUTED_VALUE"""),1.2)</f>
        <v>1.2</v>
      </c>
      <c r="E429" s="16">
        <f>IFERROR(__xludf.DUMMYFUNCTION("""COMPUTED_VALUE"""),3.4)</f>
        <v>3.4</v>
      </c>
      <c r="F429" s="16">
        <f>IFERROR(__xludf.DUMMYFUNCTION("""COMPUTED_VALUE"""),0.2)</f>
        <v>0.2</v>
      </c>
      <c r="G429" s="16">
        <f>IFERROR(__xludf.DUMMYFUNCTION("""COMPUTED_VALUE"""),1.0)</f>
        <v>1</v>
      </c>
      <c r="H429" s="23">
        <f>IFERROR(__xludf.DUMMYFUNCTION("""COMPUTED_VALUE"""),20.2)</f>
        <v>20.2</v>
      </c>
    </row>
    <row r="430">
      <c r="A430" s="16" t="str">
        <f>IFERROR(__xludf.DUMMYFUNCTION("""COMPUTED_VALUE"""),"Зеленчуци")</f>
        <v>Зеленчуци</v>
      </c>
      <c r="B430" s="7" t="str">
        <f>IFERROR(__xludf.DUMMYFUNCTION("""COMPUTED_VALUE"""),"Червена чушка")</f>
        <v>Червена чушка</v>
      </c>
      <c r="C430" s="12">
        <f>IFERROR(__xludf.DUMMYFUNCTION("""COMPUTED_VALUE"""),100.0)</f>
        <v>100</v>
      </c>
      <c r="D430" s="7">
        <f>IFERROR(__xludf.DUMMYFUNCTION("""COMPUTED_VALUE"""),1.0)</f>
        <v>1</v>
      </c>
      <c r="E430" s="16">
        <f>IFERROR(__xludf.DUMMYFUNCTION("""COMPUTED_VALUE"""),3.0)</f>
        <v>3</v>
      </c>
      <c r="F430" s="16">
        <f>IFERROR(__xludf.DUMMYFUNCTION("""COMPUTED_VALUE"""),0.0)</f>
        <v>0</v>
      </c>
      <c r="G430" s="16">
        <f>IFERROR(__xludf.DUMMYFUNCTION("""COMPUTED_VALUE"""),1.0)</f>
        <v>1</v>
      </c>
      <c r="H430" s="23">
        <f>IFERROR(__xludf.DUMMYFUNCTION("""COMPUTED_VALUE"""),16.0)</f>
        <v>16</v>
      </c>
    </row>
    <row r="431">
      <c r="A431" s="16" t="str">
        <f>IFERROR(__xludf.DUMMYFUNCTION("""COMPUTED_VALUE"""),"Зеленчуци")</f>
        <v>Зеленчуци</v>
      </c>
      <c r="B431" s="7" t="str">
        <f>IFERROR(__xludf.DUMMYFUNCTION("""COMPUTED_VALUE"""),"Задушени зеленчуци микс")</f>
        <v>Задушени зеленчуци микс</v>
      </c>
      <c r="C431" s="12">
        <f>IFERROR(__xludf.DUMMYFUNCTION("""COMPUTED_VALUE"""),100.0)</f>
        <v>100</v>
      </c>
      <c r="D431" s="7">
        <f>IFERROR(__xludf.DUMMYFUNCTION("""COMPUTED_VALUE"""),3.33)</f>
        <v>3.33</v>
      </c>
      <c r="E431" s="16">
        <f>IFERROR(__xludf.DUMMYFUNCTION("""COMPUTED_VALUE"""),13.47)</f>
        <v>13.47</v>
      </c>
      <c r="F431" s="16">
        <f>IFERROR(__xludf.DUMMYFUNCTION("""COMPUTED_VALUE"""),0.52)</f>
        <v>0.52</v>
      </c>
      <c r="G431" s="16">
        <f>IFERROR(__xludf.DUMMYFUNCTION("""COMPUTED_VALUE"""),4.0)</f>
        <v>4</v>
      </c>
      <c r="H431" s="23">
        <f>IFERROR(__xludf.DUMMYFUNCTION("""COMPUTED_VALUE"""),71.88)</f>
        <v>71.88</v>
      </c>
    </row>
    <row r="432">
      <c r="A432" s="16" t="str">
        <f>IFERROR(__xludf.DUMMYFUNCTION("""COMPUTED_VALUE"""),"Зеленчуци")</f>
        <v>Зеленчуци</v>
      </c>
      <c r="B432" s="7" t="str">
        <f>IFERROR(__xludf.DUMMYFUNCTION("""COMPUTED_VALUE"""),"Маслини Greek Kalamata ASDA")</f>
        <v>Маслини Greek Kalamata ASDA</v>
      </c>
      <c r="C432" s="12">
        <f>IFERROR(__xludf.DUMMYFUNCTION("""COMPUTED_VALUE"""),100.0)</f>
        <v>100</v>
      </c>
      <c r="D432" s="7">
        <f>IFERROR(__xludf.DUMMYFUNCTION("""COMPUTED_VALUE"""),1.3)</f>
        <v>1.3</v>
      </c>
      <c r="E432" s="16">
        <f>IFERROR(__xludf.DUMMYFUNCTION("""COMPUTED_VALUE"""),0.2)</f>
        <v>0.2</v>
      </c>
      <c r="F432" s="16">
        <f>IFERROR(__xludf.DUMMYFUNCTION("""COMPUTED_VALUE"""),25.3)</f>
        <v>25.3</v>
      </c>
      <c r="G432" s="16">
        <f>IFERROR(__xludf.DUMMYFUNCTION("""COMPUTED_VALUE"""),3.5)</f>
        <v>3.5</v>
      </c>
      <c r="H432" s="23">
        <f>IFERROR(__xludf.DUMMYFUNCTION("""COMPUTED_VALUE"""),233.70000000000002)</f>
        <v>233.7</v>
      </c>
    </row>
    <row r="433">
      <c r="A433" s="16" t="str">
        <f>IFERROR(__xludf.DUMMYFUNCTION("""COMPUTED_VALUE"""),"Зеленчуци")</f>
        <v>Зеленчуци</v>
      </c>
      <c r="B433" s="7" t="str">
        <f>IFERROR(__xludf.DUMMYFUNCTION("""COMPUTED_VALUE"""),"Маслини зелени без костилка (Lidl)")</f>
        <v>Маслини зелени без костилка (Lidl)</v>
      </c>
      <c r="C433" s="12">
        <f>IFERROR(__xludf.DUMMYFUNCTION("""COMPUTED_VALUE"""),100.0)</f>
        <v>100</v>
      </c>
      <c r="D433" s="7">
        <f>IFERROR(__xludf.DUMMYFUNCTION("""COMPUTED_VALUE"""),0.6)</f>
        <v>0.6</v>
      </c>
      <c r="E433" s="16">
        <f>IFERROR(__xludf.DUMMYFUNCTION("""COMPUTED_VALUE"""),2.7)</f>
        <v>2.7</v>
      </c>
      <c r="F433" s="16">
        <f>IFERROR(__xludf.DUMMYFUNCTION("""COMPUTED_VALUE"""),11.4)</f>
        <v>11.4</v>
      </c>
      <c r="G433" s="16">
        <f>IFERROR(__xludf.DUMMYFUNCTION("""COMPUTED_VALUE"""),0.0)</f>
        <v>0</v>
      </c>
      <c r="H433" s="23">
        <f>IFERROR(__xludf.DUMMYFUNCTION("""COMPUTED_VALUE"""),115.80000000000001)</f>
        <v>115.8</v>
      </c>
    </row>
    <row r="434">
      <c r="A434" s="16" t="str">
        <f>IFERROR(__xludf.DUMMYFUNCTION("""COMPUTED_VALUE"""),"Зеленчуци")</f>
        <v>Зеленчуци</v>
      </c>
      <c r="B434" s="7" t="str">
        <f>IFERROR(__xludf.DUMMYFUNCTION("""COMPUTED_VALUE"""),"Маслини “ Каламата”-Лидъл")</f>
        <v>Маслини “ Каламата”-Лидъл</v>
      </c>
      <c r="C434" s="12">
        <f>IFERROR(__xludf.DUMMYFUNCTION("""COMPUTED_VALUE"""),100.0)</f>
        <v>100</v>
      </c>
      <c r="D434" s="7">
        <f>IFERROR(__xludf.DUMMYFUNCTION("""COMPUTED_VALUE"""),1.5)</f>
        <v>1.5</v>
      </c>
      <c r="E434" s="16">
        <f>IFERROR(__xludf.DUMMYFUNCTION("""COMPUTED_VALUE"""),2.4)</f>
        <v>2.4</v>
      </c>
      <c r="F434" s="16">
        <f>IFERROR(__xludf.DUMMYFUNCTION("""COMPUTED_VALUE"""),18.6)</f>
        <v>18.6</v>
      </c>
      <c r="G434" s="16">
        <f>IFERROR(__xludf.DUMMYFUNCTION("""COMPUTED_VALUE"""),0.0)</f>
        <v>0</v>
      </c>
      <c r="H434" s="23">
        <f>IFERROR(__xludf.DUMMYFUNCTION("""COMPUTED_VALUE"""),183.0)</f>
        <v>183</v>
      </c>
    </row>
    <row r="435">
      <c r="A435" s="16" t="str">
        <f>IFERROR(__xludf.DUMMYFUNCTION("""COMPUTED_VALUE"""),"Зеленчуци")</f>
        <v>Зеленчуци</v>
      </c>
      <c r="B435" s="7" t="str">
        <f>IFERROR(__xludf.DUMMYFUNCTION("""COMPUTED_VALUE"""),"Магданоз пресен")</f>
        <v>Магданоз пресен</v>
      </c>
      <c r="C435" s="12">
        <f>IFERROR(__xludf.DUMMYFUNCTION("""COMPUTED_VALUE"""),100.0)</f>
        <v>100</v>
      </c>
      <c r="D435" s="7">
        <f>IFERROR(__xludf.DUMMYFUNCTION("""COMPUTED_VALUE"""),2.97)</f>
        <v>2.97</v>
      </c>
      <c r="E435" s="16">
        <f>IFERROR(__xludf.DUMMYFUNCTION("""COMPUTED_VALUE"""),6.33)</f>
        <v>6.33</v>
      </c>
      <c r="F435" s="16">
        <f>IFERROR(__xludf.DUMMYFUNCTION("""COMPUTED_VALUE"""),0.79)</f>
        <v>0.79</v>
      </c>
      <c r="G435" s="16">
        <f>IFERROR(__xludf.DUMMYFUNCTION("""COMPUTED_VALUE"""),3.33)</f>
        <v>3.33</v>
      </c>
      <c r="H435" s="23">
        <f>IFERROR(__xludf.DUMMYFUNCTION("""COMPUTED_VALUE"""),44.31)</f>
        <v>44.31</v>
      </c>
    </row>
    <row r="436">
      <c r="A436" s="16" t="str">
        <f>IFERROR(__xludf.DUMMYFUNCTION("""COMPUTED_VALUE"""),"Зеленчуци")</f>
        <v>Зеленчуци</v>
      </c>
      <c r="B436" s="7" t="str">
        <f>IFERROR(__xludf.DUMMYFUNCTION("""COMPUTED_VALUE"""),"Лилав картоф - суров")</f>
        <v>Лилав картоф - суров</v>
      </c>
      <c r="C436" s="12">
        <f>IFERROR(__xludf.DUMMYFUNCTION("""COMPUTED_VALUE"""),100.0)</f>
        <v>100</v>
      </c>
      <c r="D436" s="7">
        <f>IFERROR(__xludf.DUMMYFUNCTION("""COMPUTED_VALUE"""),1.4)</f>
        <v>1.4</v>
      </c>
      <c r="E436" s="16">
        <f>IFERROR(__xludf.DUMMYFUNCTION("""COMPUTED_VALUE"""),12.0)</f>
        <v>12</v>
      </c>
      <c r="F436" s="16">
        <f>IFERROR(__xludf.DUMMYFUNCTION("""COMPUTED_VALUE"""),0.1)</f>
        <v>0.1</v>
      </c>
      <c r="G436" s="16">
        <f>IFERROR(__xludf.DUMMYFUNCTION("""COMPUTED_VALUE"""),0.0)</f>
        <v>0</v>
      </c>
      <c r="H436" s="23">
        <f>IFERROR(__xludf.DUMMYFUNCTION("""COMPUTED_VALUE"""),54.5)</f>
        <v>54.5</v>
      </c>
    </row>
    <row r="437">
      <c r="A437" s="16" t="str">
        <f>IFERROR(__xludf.DUMMYFUNCTION("""COMPUTED_VALUE"""),"Зеленчуци")</f>
        <v>Зеленчуци</v>
      </c>
      <c r="B437" s="7" t="str">
        <f>IFERROR(__xludf.DUMMYFUNCTION("""COMPUTED_VALUE"""),"Маслини MARMARA")</f>
        <v>Маслини MARMARA</v>
      </c>
      <c r="C437" s="12">
        <f>IFERROR(__xludf.DUMMYFUNCTION("""COMPUTED_VALUE"""),100.0)</f>
        <v>100</v>
      </c>
      <c r="D437" s="7">
        <f>IFERROR(__xludf.DUMMYFUNCTION("""COMPUTED_VALUE"""),1.8)</f>
        <v>1.8</v>
      </c>
      <c r="E437" s="16">
        <f>IFERROR(__xludf.DUMMYFUNCTION("""COMPUTED_VALUE"""),5.7)</f>
        <v>5.7</v>
      </c>
      <c r="F437" s="16">
        <f>IFERROR(__xludf.DUMMYFUNCTION("""COMPUTED_VALUE"""),37.0)</f>
        <v>37</v>
      </c>
      <c r="G437" s="16">
        <f>IFERROR(__xludf.DUMMYFUNCTION("""COMPUTED_VALUE"""),2.2)</f>
        <v>2.2</v>
      </c>
      <c r="H437" s="23">
        <f>IFERROR(__xludf.DUMMYFUNCTION("""COMPUTED_VALUE"""),363.0)</f>
        <v>363</v>
      </c>
    </row>
    <row r="438">
      <c r="A438" s="16" t="str">
        <f>IFERROR(__xludf.DUMMYFUNCTION("""COMPUTED_VALUE"""),"Зеленчуци")</f>
        <v>Зеленчуци</v>
      </c>
      <c r="B438" s="7" t="str">
        <f>IFERROR(__xludf.DUMMYFUNCTION("""COMPUTED_VALUE"""),"Маслини Freshona- черни и зелени")</f>
        <v>Маслини Freshona- черни и зелени</v>
      </c>
      <c r="C438" s="12">
        <f>IFERROR(__xludf.DUMMYFUNCTION("""COMPUTED_VALUE"""),100.0)</f>
        <v>100</v>
      </c>
      <c r="D438" s="7">
        <f>IFERROR(__xludf.DUMMYFUNCTION("""COMPUTED_VALUE"""),1.6)</f>
        <v>1.6</v>
      </c>
      <c r="E438" s="16">
        <f>IFERROR(__xludf.DUMMYFUNCTION("""COMPUTED_VALUE"""),3.8)</f>
        <v>3.8</v>
      </c>
      <c r="F438" s="16">
        <f>IFERROR(__xludf.DUMMYFUNCTION("""COMPUTED_VALUE"""),17.0)</f>
        <v>17</v>
      </c>
      <c r="G438" s="16">
        <f>IFERROR(__xludf.DUMMYFUNCTION("""COMPUTED_VALUE"""),0.0)</f>
        <v>0</v>
      </c>
      <c r="H438" s="23">
        <f>IFERROR(__xludf.DUMMYFUNCTION("""COMPUTED_VALUE"""),174.6)</f>
        <v>174.6</v>
      </c>
    </row>
    <row r="439">
      <c r="A439" s="16" t="str">
        <f>IFERROR(__xludf.DUMMYFUNCTION("""COMPUTED_VALUE"""),"Зеленчуци")</f>
        <v>Зеленчуци</v>
      </c>
      <c r="B439" s="7" t="str">
        <f>IFERROR(__xludf.DUMMYFUNCTION("""COMPUTED_VALUE"""),"Кисели краставички")</f>
        <v>Кисели краставички</v>
      </c>
      <c r="C439" s="12">
        <f>IFERROR(__xludf.DUMMYFUNCTION("""COMPUTED_VALUE"""),100.0)</f>
        <v>100</v>
      </c>
      <c r="D439" s="7">
        <f>IFERROR(__xludf.DUMMYFUNCTION("""COMPUTED_VALUE"""),0.3)</f>
        <v>0.3</v>
      </c>
      <c r="E439" s="16">
        <f>IFERROR(__xludf.DUMMYFUNCTION("""COMPUTED_VALUE"""),2.3)</f>
        <v>2.3</v>
      </c>
      <c r="F439" s="16">
        <f>IFERROR(__xludf.DUMMYFUNCTION("""COMPUTED_VALUE"""),0.2)</f>
        <v>0.2</v>
      </c>
      <c r="G439" s="16">
        <f>IFERROR(__xludf.DUMMYFUNCTION("""COMPUTED_VALUE"""),0.0)</f>
        <v>0</v>
      </c>
      <c r="H439" s="23">
        <f>IFERROR(__xludf.DUMMYFUNCTION("""COMPUTED_VALUE"""),12.2)</f>
        <v>12.2</v>
      </c>
    </row>
    <row r="440">
      <c r="A440" s="16" t="str">
        <f>IFERROR(__xludf.DUMMYFUNCTION("""COMPUTED_VALUE"""),"Зеленчуци")</f>
        <v>Зеленчуци</v>
      </c>
      <c r="B440" s="7" t="str">
        <f>IFERROR(__xludf.DUMMYFUNCTION("""COMPUTED_VALUE"""),"Картофи - сурови")</f>
        <v>Картофи - сурови</v>
      </c>
      <c r="C440" s="12">
        <f>IFERROR(__xludf.DUMMYFUNCTION("""COMPUTED_VALUE"""),100.0)</f>
        <v>100</v>
      </c>
      <c r="D440" s="7">
        <f>IFERROR(__xludf.DUMMYFUNCTION("""COMPUTED_VALUE"""),2.0)</f>
        <v>2</v>
      </c>
      <c r="E440" s="16">
        <f>IFERROR(__xludf.DUMMYFUNCTION("""COMPUTED_VALUE"""),18.4)</f>
        <v>18.4</v>
      </c>
      <c r="F440" s="16">
        <f>IFERROR(__xludf.DUMMYFUNCTION("""COMPUTED_VALUE"""),0.1)</f>
        <v>0.1</v>
      </c>
      <c r="G440" s="16">
        <f>IFERROR(__xludf.DUMMYFUNCTION("""COMPUTED_VALUE"""),2.2)</f>
        <v>2.2</v>
      </c>
      <c r="H440" s="16">
        <f>IFERROR(__xludf.DUMMYFUNCTION("""COMPUTED_VALUE"""),82.5)</f>
        <v>82.5</v>
      </c>
    </row>
    <row r="441">
      <c r="A441" s="16" t="str">
        <f>IFERROR(__xludf.DUMMYFUNCTION("""COMPUTED_VALUE"""),"Зеленчуци")</f>
        <v>Зеленчуци</v>
      </c>
      <c r="B441" s="7" t="str">
        <f>IFERROR(__xludf.DUMMYFUNCTION("""COMPUTED_VALUE"""),"Кисело зеле")</f>
        <v>Кисело зеле</v>
      </c>
      <c r="C441" s="12">
        <f>IFERROR(__xludf.DUMMYFUNCTION("""COMPUTED_VALUE"""),100.0)</f>
        <v>100</v>
      </c>
      <c r="D441" s="7">
        <f>IFERROR(__xludf.DUMMYFUNCTION("""COMPUTED_VALUE"""),0.91)</f>
        <v>0.91</v>
      </c>
      <c r="E441" s="16">
        <f>IFERROR(__xludf.DUMMYFUNCTION("""COMPUTED_VALUE"""),4.28)</f>
        <v>4.28</v>
      </c>
      <c r="F441" s="16">
        <f>IFERROR(__xludf.DUMMYFUNCTION("""COMPUTED_VALUE"""),0.14)</f>
        <v>0.14</v>
      </c>
      <c r="G441" s="16">
        <f>IFERROR(__xludf.DUMMYFUNCTION("""COMPUTED_VALUE"""),2.9)</f>
        <v>2.9</v>
      </c>
      <c r="H441" s="16">
        <f>IFERROR(__xludf.DUMMYFUNCTION("""COMPUTED_VALUE"""),22.020000000000003)</f>
        <v>22.02</v>
      </c>
    </row>
    <row r="442">
      <c r="A442" s="16" t="str">
        <f>IFERROR(__xludf.DUMMYFUNCTION("""COMPUTED_VALUE"""),"Зеленчуци")</f>
        <v>Зеленчуци</v>
      </c>
      <c r="B442" s="7" t="str">
        <f>IFERROR(__xludf.DUMMYFUNCTION("""COMPUTED_VALUE"""),"Домати - сушени")</f>
        <v>Домати - сушени</v>
      </c>
      <c r="C442" s="12">
        <f>IFERROR(__xludf.DUMMYFUNCTION("""COMPUTED_VALUE"""),100.0)</f>
        <v>100</v>
      </c>
      <c r="D442" s="7">
        <f>IFERROR(__xludf.DUMMYFUNCTION("""COMPUTED_VALUE"""),3.9)</f>
        <v>3.9</v>
      </c>
      <c r="E442" s="16">
        <f>IFERROR(__xludf.DUMMYFUNCTION("""COMPUTED_VALUE"""),10.0)</f>
        <v>10</v>
      </c>
      <c r="F442" s="16">
        <f>IFERROR(__xludf.DUMMYFUNCTION("""COMPUTED_VALUE"""),0.9)</f>
        <v>0.9</v>
      </c>
      <c r="G442" s="16">
        <f>IFERROR(__xludf.DUMMYFUNCTION("""COMPUTED_VALUE"""),0.0)</f>
        <v>0</v>
      </c>
      <c r="H442" s="16">
        <f>IFERROR(__xludf.DUMMYFUNCTION("""COMPUTED_VALUE"""),63.7)</f>
        <v>63.7</v>
      </c>
    </row>
    <row r="443">
      <c r="A443" s="16" t="str">
        <f>IFERROR(__xludf.DUMMYFUNCTION("""COMPUTED_VALUE"""),"Зеленчуци")</f>
        <v>Зеленчуци</v>
      </c>
      <c r="B443" s="7" t="str">
        <f>IFERROR(__xludf.DUMMYFUNCTION("""COMPUTED_VALUE"""),"Морковчета консерва bonduelle")</f>
        <v>Морковчета консерва bonduelle</v>
      </c>
      <c r="C443" s="12">
        <f>IFERROR(__xludf.DUMMYFUNCTION("""COMPUTED_VALUE"""),100.0)</f>
        <v>100</v>
      </c>
      <c r="D443" s="7">
        <f>IFERROR(__xludf.DUMMYFUNCTION("""COMPUTED_VALUE"""),0.6)</f>
        <v>0.6</v>
      </c>
      <c r="E443" s="16">
        <f>IFERROR(__xludf.DUMMYFUNCTION("""COMPUTED_VALUE"""),3.4)</f>
        <v>3.4</v>
      </c>
      <c r="F443" s="16">
        <f>IFERROR(__xludf.DUMMYFUNCTION("""COMPUTED_VALUE"""),0.3)</f>
        <v>0.3</v>
      </c>
      <c r="G443" s="16">
        <f>IFERROR(__xludf.DUMMYFUNCTION("""COMPUTED_VALUE"""),2.3)</f>
        <v>2.3</v>
      </c>
      <c r="H443" s="16">
        <f>IFERROR(__xludf.DUMMYFUNCTION("""COMPUTED_VALUE"""),18.7)</f>
        <v>18.7</v>
      </c>
    </row>
    <row r="444">
      <c r="A444" s="16" t="str">
        <f>IFERROR(__xludf.DUMMYFUNCTION("""COMPUTED_VALUE"""),"Зеленчуци")</f>
        <v>Зеленчуци</v>
      </c>
      <c r="B444" s="7" t="str">
        <f>IFERROR(__xludf.DUMMYFUNCTION("""COMPUTED_VALUE"""),"Алабаш")</f>
        <v>Алабаш</v>
      </c>
      <c r="C444" s="12">
        <f>IFERROR(__xludf.DUMMYFUNCTION("""COMPUTED_VALUE"""),100.0)</f>
        <v>100</v>
      </c>
      <c r="D444" s="7">
        <f>IFERROR(__xludf.DUMMYFUNCTION("""COMPUTED_VALUE"""),1.7)</f>
        <v>1.7</v>
      </c>
      <c r="E444" s="16">
        <f>IFERROR(__xludf.DUMMYFUNCTION("""COMPUTED_VALUE"""),6.2)</f>
        <v>6.2</v>
      </c>
      <c r="F444" s="16">
        <f>IFERROR(__xludf.DUMMYFUNCTION("""COMPUTED_VALUE"""),0.1)</f>
        <v>0.1</v>
      </c>
      <c r="G444" s="16">
        <f>IFERROR(__xludf.DUMMYFUNCTION("""COMPUTED_VALUE"""),3.6)</f>
        <v>3.6</v>
      </c>
      <c r="H444" s="16">
        <f>IFERROR(__xludf.DUMMYFUNCTION("""COMPUTED_VALUE"""),32.5)</f>
        <v>32.5</v>
      </c>
    </row>
    <row r="445">
      <c r="A445" s="16" t="str">
        <f>IFERROR(__xludf.DUMMYFUNCTION("""COMPUTED_VALUE"""),"Зеленчуци")</f>
        <v>Зеленчуци</v>
      </c>
      <c r="B445" s="7" t="str">
        <f>IFERROR(__xludf.DUMMYFUNCTION("""COMPUTED_VALUE"""),"Червено цвекло варено ( лидл)")</f>
        <v>Червено цвекло варено ( лидл)</v>
      </c>
      <c r="C445" s="12">
        <f>IFERROR(__xludf.DUMMYFUNCTION("""COMPUTED_VALUE"""),100.0)</f>
        <v>100</v>
      </c>
      <c r="D445" s="7">
        <f>IFERROR(__xludf.DUMMYFUNCTION("""COMPUTED_VALUE"""),1.2)</f>
        <v>1.2</v>
      </c>
      <c r="E445" s="16">
        <f>IFERROR(__xludf.DUMMYFUNCTION("""COMPUTED_VALUE"""),5.8)</f>
        <v>5.8</v>
      </c>
      <c r="F445" s="16">
        <f>IFERROR(__xludf.DUMMYFUNCTION("""COMPUTED_VALUE"""),0.0)</f>
        <v>0</v>
      </c>
      <c r="G445" s="16">
        <f>IFERROR(__xludf.DUMMYFUNCTION("""COMPUTED_VALUE"""),0.0)</f>
        <v>0</v>
      </c>
      <c r="H445" s="16">
        <f>IFERROR(__xludf.DUMMYFUNCTION("""COMPUTED_VALUE"""),28.0)</f>
        <v>28</v>
      </c>
    </row>
    <row r="446">
      <c r="A446" s="16" t="str">
        <f>IFERROR(__xludf.DUMMYFUNCTION("""COMPUTED_VALUE"""),"Зеленчуци")</f>
        <v>Зеленчуци</v>
      </c>
      <c r="B446" s="7" t="str">
        <f>IFERROR(__xludf.DUMMYFUNCTION("""COMPUTED_VALUE"""),"Маслинова паста")</f>
        <v>Маслинова паста</v>
      </c>
      <c r="C446" s="12">
        <f>IFERROR(__xludf.DUMMYFUNCTION("""COMPUTED_VALUE"""),100.0)</f>
        <v>100</v>
      </c>
      <c r="D446" s="7">
        <f>IFERROR(__xludf.DUMMYFUNCTION("""COMPUTED_VALUE"""),1.5)</f>
        <v>1.5</v>
      </c>
      <c r="E446" s="16">
        <f>IFERROR(__xludf.DUMMYFUNCTION("""COMPUTED_VALUE"""),1.4)</f>
        <v>1.4</v>
      </c>
      <c r="F446" s="16">
        <f>IFERROR(__xludf.DUMMYFUNCTION("""COMPUTED_VALUE"""),26.0)</f>
        <v>26</v>
      </c>
      <c r="G446" s="16">
        <f>IFERROR(__xludf.DUMMYFUNCTION("""COMPUTED_VALUE"""),0.0)</f>
        <v>0</v>
      </c>
      <c r="H446" s="16">
        <f>IFERROR(__xludf.DUMMYFUNCTION("""COMPUTED_VALUE"""),245.6)</f>
        <v>245.6</v>
      </c>
    </row>
    <row r="447">
      <c r="A447" s="16" t="str">
        <f>IFERROR(__xludf.DUMMYFUNCTION("""COMPUTED_VALUE"""),"Зеленчуци")</f>
        <v>Зеленчуци</v>
      </c>
      <c r="B447" s="7" t="str">
        <f>IFERROR(__xludf.DUMMYFUNCTION("""COMPUTED_VALUE"""),"Зелена чушка (сладка, сурова)")</f>
        <v>Зелена чушка (сладка, сурова)</v>
      </c>
      <c r="C447" s="12">
        <f>IFERROR(__xludf.DUMMYFUNCTION("""COMPUTED_VALUE"""),100.0)</f>
        <v>100</v>
      </c>
      <c r="D447" s="7">
        <f>IFERROR(__xludf.DUMMYFUNCTION("""COMPUTED_VALUE"""),0.86)</f>
        <v>0.86</v>
      </c>
      <c r="E447" s="16">
        <f>IFERROR(__xludf.DUMMYFUNCTION("""COMPUTED_VALUE"""),4.64)</f>
        <v>4.64</v>
      </c>
      <c r="F447" s="16">
        <f>IFERROR(__xludf.DUMMYFUNCTION("""COMPUTED_VALUE"""),0.17)</f>
        <v>0.17</v>
      </c>
      <c r="G447" s="16">
        <f>IFERROR(__xludf.DUMMYFUNCTION("""COMPUTED_VALUE"""),1.7)</f>
        <v>1.7</v>
      </c>
      <c r="H447" s="16">
        <f>IFERROR(__xludf.DUMMYFUNCTION("""COMPUTED_VALUE"""),23.53)</f>
        <v>23.53</v>
      </c>
    </row>
    <row r="448">
      <c r="A448" s="16" t="str">
        <f>IFERROR(__xludf.DUMMYFUNCTION("""COMPUTED_VALUE"""),"Зеленчуци")</f>
        <v>Зеленчуци</v>
      </c>
      <c r="B448" s="7" t="str">
        <f>IFERROR(__xludf.DUMMYFUNCTION("""COMPUTED_VALUE"""),"Маслини Каламом и зелени маслини без костилка- Lidl")</f>
        <v>Маслини Каламом и зелени маслини без костилка- Lidl</v>
      </c>
      <c r="C448" s="12">
        <f>IFERROR(__xludf.DUMMYFUNCTION("""COMPUTED_VALUE"""),100.0)</f>
        <v>100</v>
      </c>
      <c r="D448" s="7">
        <f>IFERROR(__xludf.DUMMYFUNCTION("""COMPUTED_VALUE"""),1.6)</f>
        <v>1.6</v>
      </c>
      <c r="E448" s="16">
        <f>IFERROR(__xludf.DUMMYFUNCTION("""COMPUTED_VALUE"""),3.8)</f>
        <v>3.8</v>
      </c>
      <c r="F448" s="16">
        <f>IFERROR(__xludf.DUMMYFUNCTION("""COMPUTED_VALUE"""),17.0)</f>
        <v>17</v>
      </c>
      <c r="G448" s="16">
        <f>IFERROR(__xludf.DUMMYFUNCTION("""COMPUTED_VALUE"""),0.0)</f>
        <v>0</v>
      </c>
      <c r="H448" s="23">
        <f>IFERROR(__xludf.DUMMYFUNCTION("""COMPUTED_VALUE"""),174.6)</f>
        <v>174.6</v>
      </c>
    </row>
    <row r="449">
      <c r="A449" s="16" t="str">
        <f>IFERROR(__xludf.DUMMYFUNCTION("""COMPUTED_VALUE"""),"Зърнени храни")</f>
        <v>Зърнени храни</v>
      </c>
      <c r="B449" s="7" t="str">
        <f>IFERROR(__xludf.DUMMYFUNCTION("""COMPUTED_VALUE"""),"Ориз- всички видове (суров)")</f>
        <v>Ориз- всички видове (суров)</v>
      </c>
      <c r="C449" s="12">
        <f>IFERROR(__xludf.DUMMYFUNCTION("""COMPUTED_VALUE"""),100.0)</f>
        <v>100</v>
      </c>
      <c r="D449" s="7">
        <f>IFERROR(__xludf.DUMMYFUNCTION("""COMPUTED_VALUE"""),7.0)</f>
        <v>7</v>
      </c>
      <c r="E449" s="16">
        <f>IFERROR(__xludf.DUMMYFUNCTION("""COMPUTED_VALUE"""),80.0)</f>
        <v>80</v>
      </c>
      <c r="F449" s="16">
        <f>IFERROR(__xludf.DUMMYFUNCTION("""COMPUTED_VALUE"""),0.0)</f>
        <v>0</v>
      </c>
      <c r="G449" s="16">
        <f>IFERROR(__xludf.DUMMYFUNCTION("""COMPUTED_VALUE"""),1.0)</f>
        <v>1</v>
      </c>
      <c r="H449" s="23">
        <f>IFERROR(__xludf.DUMMYFUNCTION("""COMPUTED_VALUE"""),348.0)</f>
        <v>348</v>
      </c>
    </row>
    <row r="450">
      <c r="A450" s="16" t="str">
        <f>IFERROR(__xludf.DUMMYFUNCTION("""COMPUTED_VALUE"""),"Зърнени храни")</f>
        <v>Зърнени храни</v>
      </c>
      <c r="B450" s="7" t="str">
        <f>IFERROR(__xludf.DUMMYFUNCTION("""COMPUTED_VALUE"""),"Ориз (варен)")</f>
        <v>Ориз (варен)</v>
      </c>
      <c r="C450" s="12" t="str">
        <f>IFERROR(__xludf.DUMMYFUNCTION("""COMPUTED_VALUE"""),"100")</f>
        <v>100</v>
      </c>
      <c r="D450" s="7">
        <f>IFERROR(__xludf.DUMMYFUNCTION("""COMPUTED_VALUE"""),3.0)</f>
        <v>3</v>
      </c>
      <c r="E450" s="16">
        <f>IFERROR(__xludf.DUMMYFUNCTION("""COMPUTED_VALUE"""),27.0)</f>
        <v>27</v>
      </c>
      <c r="F450" s="16">
        <f>IFERROR(__xludf.DUMMYFUNCTION("""COMPUTED_VALUE"""),0.0)</f>
        <v>0</v>
      </c>
      <c r="G450" s="16">
        <f>IFERROR(__xludf.DUMMYFUNCTION("""COMPUTED_VALUE"""),0.0)</f>
        <v>0</v>
      </c>
      <c r="H450" s="23">
        <f>IFERROR(__xludf.DUMMYFUNCTION("""COMPUTED_VALUE"""),120.0)</f>
        <v>120</v>
      </c>
    </row>
    <row r="451">
      <c r="A451" s="16" t="str">
        <f>IFERROR(__xludf.DUMMYFUNCTION("""COMPUTED_VALUE"""),"Зърнени храни")</f>
        <v>Зърнени храни</v>
      </c>
      <c r="B451" s="7" t="str">
        <f>IFERROR(__xludf.DUMMYFUNCTION("""COMPUTED_VALUE"""),"Оризовки")</f>
        <v>Оризовки</v>
      </c>
      <c r="C451" s="12">
        <f>IFERROR(__xludf.DUMMYFUNCTION("""COMPUTED_VALUE"""),100.0)</f>
        <v>100</v>
      </c>
      <c r="D451" s="7">
        <f>IFERROR(__xludf.DUMMYFUNCTION("""COMPUTED_VALUE"""),7.0)</f>
        <v>7</v>
      </c>
      <c r="E451" s="16">
        <f>IFERROR(__xludf.DUMMYFUNCTION("""COMPUTED_VALUE"""),80.0)</f>
        <v>80</v>
      </c>
      <c r="F451" s="16">
        <f>IFERROR(__xludf.DUMMYFUNCTION("""COMPUTED_VALUE"""),0.0)</f>
        <v>0</v>
      </c>
      <c r="G451" s="16">
        <f>IFERROR(__xludf.DUMMYFUNCTION("""COMPUTED_VALUE"""),1.0)</f>
        <v>1</v>
      </c>
      <c r="H451" s="23">
        <f>IFERROR(__xludf.DUMMYFUNCTION("""COMPUTED_VALUE"""),348.0)</f>
        <v>348</v>
      </c>
    </row>
    <row r="452">
      <c r="A452" s="16" t="str">
        <f>IFERROR(__xludf.DUMMYFUNCTION("""COMPUTED_VALUE"""),"Зърнени храни")</f>
        <v>Зърнени храни</v>
      </c>
      <c r="B452" s="7" t="str">
        <f>IFERROR(__xludf.DUMMYFUNCTION("""COMPUTED_VALUE"""),"Овесени ядки- класически")</f>
        <v>Овесени ядки- класически</v>
      </c>
      <c r="C452" s="12">
        <f>IFERROR(__xludf.DUMMYFUNCTION("""COMPUTED_VALUE"""),100.0)</f>
        <v>100</v>
      </c>
      <c r="D452" s="7">
        <f>IFERROR(__xludf.DUMMYFUNCTION("""COMPUTED_VALUE"""),14.0)</f>
        <v>14</v>
      </c>
      <c r="E452" s="16">
        <f>IFERROR(__xludf.DUMMYFUNCTION("""COMPUTED_VALUE"""),65.0)</f>
        <v>65</v>
      </c>
      <c r="F452" s="16">
        <f>IFERROR(__xludf.DUMMYFUNCTION("""COMPUTED_VALUE"""),7.0)</f>
        <v>7</v>
      </c>
      <c r="G452" s="16">
        <f>IFERROR(__xludf.DUMMYFUNCTION("""COMPUTED_VALUE"""),10.0)</f>
        <v>10</v>
      </c>
      <c r="H452" s="23">
        <f>IFERROR(__xludf.DUMMYFUNCTION("""COMPUTED_VALUE"""),379.0)</f>
        <v>379</v>
      </c>
    </row>
    <row r="453">
      <c r="A453" s="16" t="str">
        <f>IFERROR(__xludf.DUMMYFUNCTION("""COMPUTED_VALUE"""),"Зърнени храни")</f>
        <v>Зърнени храни</v>
      </c>
      <c r="B453" s="7" t="str">
        <f>IFERROR(__xludf.DUMMYFUNCTION("""COMPUTED_VALUE"""),"Просо (сурово състояние)")</f>
        <v>Просо (сурово състояние)</v>
      </c>
      <c r="C453" s="12">
        <f>IFERROR(__xludf.DUMMYFUNCTION("""COMPUTED_VALUE"""),100.0)</f>
        <v>100</v>
      </c>
      <c r="D453" s="7">
        <f>IFERROR(__xludf.DUMMYFUNCTION("""COMPUTED_VALUE"""),11.0)</f>
        <v>11</v>
      </c>
      <c r="E453" s="16">
        <f>IFERROR(__xludf.DUMMYFUNCTION("""COMPUTED_VALUE"""),73.0)</f>
        <v>73</v>
      </c>
      <c r="F453" s="16">
        <f>IFERROR(__xludf.DUMMYFUNCTION("""COMPUTED_VALUE"""),4.0)</f>
        <v>4</v>
      </c>
      <c r="G453" s="16">
        <f>IFERROR(__xludf.DUMMYFUNCTION("""COMPUTED_VALUE"""),8.5)</f>
        <v>8.5</v>
      </c>
      <c r="H453" s="23">
        <f>IFERROR(__xludf.DUMMYFUNCTION("""COMPUTED_VALUE"""),372.0)</f>
        <v>372</v>
      </c>
    </row>
    <row r="454">
      <c r="A454" s="16" t="str">
        <f>IFERROR(__xludf.DUMMYFUNCTION("""COMPUTED_VALUE"""),"Зърнени храни")</f>
        <v>Зърнени храни</v>
      </c>
      <c r="B454" s="7" t="str">
        <f>IFERROR(__xludf.DUMMYFUNCTION("""COMPUTED_VALUE"""),"Ръж (сурово състояние)")</f>
        <v>Ръж (сурово състояние)</v>
      </c>
      <c r="C454" s="12">
        <f>IFERROR(__xludf.DUMMYFUNCTION("""COMPUTED_VALUE"""),100.0)</f>
        <v>100</v>
      </c>
      <c r="D454" s="7">
        <f>IFERROR(__xludf.DUMMYFUNCTION("""COMPUTED_VALUE"""),14.8)</f>
        <v>14.8</v>
      </c>
      <c r="E454" s="16">
        <f>IFERROR(__xludf.DUMMYFUNCTION("""COMPUTED_VALUE"""),69.8)</f>
        <v>69.8</v>
      </c>
      <c r="F454" s="16">
        <f>IFERROR(__xludf.DUMMYFUNCTION("""COMPUTED_VALUE"""),2.5)</f>
        <v>2.5</v>
      </c>
      <c r="G454" s="16">
        <f>IFERROR(__xludf.DUMMYFUNCTION("""COMPUTED_VALUE"""),14.6)</f>
        <v>14.6</v>
      </c>
      <c r="H454" s="23">
        <f>IFERROR(__xludf.DUMMYFUNCTION("""COMPUTED_VALUE"""),360.9)</f>
        <v>360.9</v>
      </c>
    </row>
    <row r="455">
      <c r="A455" s="16" t="str">
        <f>IFERROR(__xludf.DUMMYFUNCTION("""COMPUTED_VALUE"""),"Зърнени храни")</f>
        <v>Зърнени храни</v>
      </c>
      <c r="B455" s="7" t="str">
        <f>IFERROR(__xludf.DUMMYFUNCTION("""COMPUTED_VALUE"""),"Булгур (сурово състояние)")</f>
        <v>Булгур (сурово състояние)</v>
      </c>
      <c r="C455" s="12">
        <f>IFERROR(__xludf.DUMMYFUNCTION("""COMPUTED_VALUE"""),100.0)</f>
        <v>100</v>
      </c>
      <c r="D455" s="7">
        <f>IFERROR(__xludf.DUMMYFUNCTION("""COMPUTED_VALUE"""),13.2)</f>
        <v>13.2</v>
      </c>
      <c r="E455" s="16">
        <f>IFERROR(__xludf.DUMMYFUNCTION("""COMPUTED_VALUE"""),75.1)</f>
        <v>75.1</v>
      </c>
      <c r="F455" s="16">
        <f>IFERROR(__xludf.DUMMYFUNCTION("""COMPUTED_VALUE"""),3.4)</f>
        <v>3.4</v>
      </c>
      <c r="G455" s="16">
        <f>IFERROR(__xludf.DUMMYFUNCTION("""COMPUTED_VALUE"""),10.0)</f>
        <v>10</v>
      </c>
      <c r="H455" s="23">
        <f>IFERROR(__xludf.DUMMYFUNCTION("""COMPUTED_VALUE"""),383.8)</f>
        <v>383.8</v>
      </c>
    </row>
    <row r="456">
      <c r="A456" s="16" t="str">
        <f>IFERROR(__xludf.DUMMYFUNCTION("""COMPUTED_VALUE"""),"Зърнени храни")</f>
        <v>Зърнени храни</v>
      </c>
      <c r="B456" s="7" t="str">
        <f>IFERROR(__xludf.DUMMYFUNCTION("""COMPUTED_VALUE"""),"Пуканки (зърна, неизпукани)")</f>
        <v>Пуканки (зърна, неизпукани)</v>
      </c>
      <c r="C456" s="12">
        <f>IFERROR(__xludf.DUMMYFUNCTION("""COMPUTED_VALUE"""),100.0)</f>
        <v>100</v>
      </c>
      <c r="D456" s="7">
        <f>IFERROR(__xludf.DUMMYFUNCTION("""COMPUTED_VALUE"""),10.9)</f>
        <v>10.9</v>
      </c>
      <c r="E456" s="16">
        <f>IFERROR(__xludf.DUMMYFUNCTION("""COMPUTED_VALUE"""),74.5)</f>
        <v>74.5</v>
      </c>
      <c r="F456" s="16">
        <f>IFERROR(__xludf.DUMMYFUNCTION("""COMPUTED_VALUE"""),4.3)</f>
        <v>4.3</v>
      </c>
      <c r="G456" s="16" t="str">
        <f>IFERROR(__xludf.DUMMYFUNCTION("""COMPUTED_VALUE"""),"12.7")</f>
        <v>12.7</v>
      </c>
      <c r="H456" s="23">
        <f>IFERROR(__xludf.DUMMYFUNCTION("""COMPUTED_VALUE"""),380.3)</f>
        <v>380.3</v>
      </c>
    </row>
    <row r="457">
      <c r="A457" s="16" t="str">
        <f>IFERROR(__xludf.DUMMYFUNCTION("""COMPUTED_VALUE"""),"Зърнени храни")</f>
        <v>Зърнени храни</v>
      </c>
      <c r="B457" s="7" t="str">
        <f>IFERROR(__xludf.DUMMYFUNCTION("""COMPUTED_VALUE"""),"Елда (сурово състояние)")</f>
        <v>Елда (сурово състояние)</v>
      </c>
      <c r="C457" s="12" t="str">
        <f>IFERROR(__xludf.DUMMYFUNCTION("""COMPUTED_VALUE"""),"100")</f>
        <v>100</v>
      </c>
      <c r="D457" s="7">
        <f>IFERROR(__xludf.DUMMYFUNCTION("""COMPUTED_VALUE"""),13.0)</f>
        <v>13</v>
      </c>
      <c r="E457" s="16">
        <f>IFERROR(__xludf.DUMMYFUNCTION("""COMPUTED_VALUE"""),70.0)</f>
        <v>70</v>
      </c>
      <c r="F457" s="16">
        <f>IFERROR(__xludf.DUMMYFUNCTION("""COMPUTED_VALUE"""),3.0)</f>
        <v>3</v>
      </c>
      <c r="G457" s="16">
        <f>IFERROR(__xludf.DUMMYFUNCTION("""COMPUTED_VALUE"""),10.0)</f>
        <v>10</v>
      </c>
      <c r="H457" s="23">
        <f>IFERROR(__xludf.DUMMYFUNCTION("""COMPUTED_VALUE"""),359.0)</f>
        <v>359</v>
      </c>
    </row>
    <row r="458">
      <c r="A458" s="16" t="str">
        <f>IFERROR(__xludf.DUMMYFUNCTION("""COMPUTED_VALUE"""),"Зърнени храни")</f>
        <v>Зърнени храни</v>
      </c>
      <c r="B458" s="7" t="str">
        <f>IFERROR(__xludf.DUMMYFUNCTION("""COMPUTED_VALUE"""),"Царевичен грис")</f>
        <v>Царевичен грис</v>
      </c>
      <c r="C458" s="12">
        <f>IFERROR(__xludf.DUMMYFUNCTION("""COMPUTED_VALUE"""),100.0)</f>
        <v>100</v>
      </c>
      <c r="D458" s="7">
        <f>IFERROR(__xludf.DUMMYFUNCTION("""COMPUTED_VALUE"""),8.0)</f>
        <v>8</v>
      </c>
      <c r="E458" s="16">
        <f>IFERROR(__xludf.DUMMYFUNCTION("""COMPUTED_VALUE"""),71.0)</f>
        <v>71</v>
      </c>
      <c r="F458" s="16">
        <f>IFERROR(__xludf.DUMMYFUNCTION("""COMPUTED_VALUE"""),1.0)</f>
        <v>1</v>
      </c>
      <c r="G458" s="16">
        <f>IFERROR(__xludf.DUMMYFUNCTION("""COMPUTED_VALUE"""),3.0)</f>
        <v>3</v>
      </c>
      <c r="H458" s="23">
        <f>IFERROR(__xludf.DUMMYFUNCTION("""COMPUTED_VALUE"""),325.0)</f>
        <v>325</v>
      </c>
    </row>
    <row r="459">
      <c r="A459" s="16" t="str">
        <f>IFERROR(__xludf.DUMMYFUNCTION("""COMPUTED_VALUE"""),"Зърнени храни")</f>
        <v>Зърнени храни</v>
      </c>
      <c r="B459" s="7" t="str">
        <f>IFERROR(__xludf.DUMMYFUNCTION("""COMPUTED_VALUE"""),"Тортилка")</f>
        <v>Тортилка</v>
      </c>
      <c r="C459" s="12">
        <f>IFERROR(__xludf.DUMMYFUNCTION("""COMPUTED_VALUE"""),100.0)</f>
        <v>100</v>
      </c>
      <c r="D459" s="7">
        <f>IFERROR(__xludf.DUMMYFUNCTION("""COMPUTED_VALUE"""),3.7)</f>
        <v>3.7</v>
      </c>
      <c r="E459" s="16">
        <f>IFERROR(__xludf.DUMMYFUNCTION("""COMPUTED_VALUE"""),21.7)</f>
        <v>21.7</v>
      </c>
      <c r="F459" s="16">
        <f>IFERROR(__xludf.DUMMYFUNCTION("""COMPUTED_VALUE"""),2.1)</f>
        <v>2.1</v>
      </c>
      <c r="G459" s="16">
        <f>IFERROR(__xludf.DUMMYFUNCTION("""COMPUTED_VALUE"""),0.7)</f>
        <v>0.7</v>
      </c>
      <c r="H459" s="23">
        <f>IFERROR(__xludf.DUMMYFUNCTION("""COMPUTED_VALUE"""),120.5)</f>
        <v>120.5</v>
      </c>
    </row>
    <row r="460">
      <c r="A460" s="16" t="str">
        <f>IFERROR(__xludf.DUMMYFUNCTION("""COMPUTED_VALUE"""),"Зърнени храни")</f>
        <v>Зърнени храни</v>
      </c>
      <c r="B460" s="7" t="str">
        <f>IFERROR(__xludf.DUMMYFUNCTION("""COMPUTED_VALUE"""),"Пукана Спелта с мед (DM bio)")</f>
        <v>Пукана Спелта с мед (DM bio)</v>
      </c>
      <c r="C460" s="12">
        <f>IFERROR(__xludf.DUMMYFUNCTION("""COMPUTED_VALUE"""),100.0)</f>
        <v>100</v>
      </c>
      <c r="D460" s="7">
        <f>IFERROR(__xludf.DUMMYFUNCTION("""COMPUTED_VALUE"""),10.0)</f>
        <v>10</v>
      </c>
      <c r="E460" s="16">
        <f>IFERROR(__xludf.DUMMYFUNCTION("""COMPUTED_VALUE"""),75.0)</f>
        <v>75</v>
      </c>
      <c r="F460" s="16">
        <f>IFERROR(__xludf.DUMMYFUNCTION("""COMPUTED_VALUE"""),2.0)</f>
        <v>2</v>
      </c>
      <c r="G460" s="16">
        <f>IFERROR(__xludf.DUMMYFUNCTION("""COMPUTED_VALUE"""),6.8)</f>
        <v>6.8</v>
      </c>
      <c r="H460" s="23">
        <f>IFERROR(__xludf.DUMMYFUNCTION("""COMPUTED_VALUE"""),358.0)</f>
        <v>358</v>
      </c>
    </row>
    <row r="461">
      <c r="A461" s="16" t="str">
        <f>IFERROR(__xludf.DUMMYFUNCTION("""COMPUTED_VALUE"""),"Зърнени храни")</f>
        <v>Зърнени храни</v>
      </c>
      <c r="B461" s="7" t="str">
        <f>IFERROR(__xludf.DUMMYFUNCTION("""COMPUTED_VALUE"""),"Киноа")</f>
        <v>Киноа</v>
      </c>
      <c r="C461" s="12">
        <f>IFERROR(__xludf.DUMMYFUNCTION("""COMPUTED_VALUE"""),100.0)</f>
        <v>100</v>
      </c>
      <c r="D461" s="7">
        <f>IFERROR(__xludf.DUMMYFUNCTION("""COMPUTED_VALUE"""),14.0)</f>
        <v>14</v>
      </c>
      <c r="E461" s="16">
        <f>IFERROR(__xludf.DUMMYFUNCTION("""COMPUTED_VALUE"""),64.0)</f>
        <v>64</v>
      </c>
      <c r="F461" s="16">
        <f>IFERROR(__xludf.DUMMYFUNCTION("""COMPUTED_VALUE"""),6.0)</f>
        <v>6</v>
      </c>
      <c r="G461" s="16">
        <f>IFERROR(__xludf.DUMMYFUNCTION("""COMPUTED_VALUE"""),7.0)</f>
        <v>7</v>
      </c>
      <c r="H461" s="23">
        <f>IFERROR(__xludf.DUMMYFUNCTION("""COMPUTED_VALUE"""),366.0)</f>
        <v>366</v>
      </c>
    </row>
    <row r="462">
      <c r="A462" s="16" t="str">
        <f>IFERROR(__xludf.DUMMYFUNCTION("""COMPUTED_VALUE"""),"Зърнени храни")</f>
        <v>Зърнени храни</v>
      </c>
      <c r="B462" s="7" t="str">
        <f>IFERROR(__xludf.DUMMYFUNCTION("""COMPUTED_VALUE"""),"Пълнозърнесто мюсли с плодове и овес Kolln")</f>
        <v>Пълнозърнесто мюсли с плодове и овес Kolln</v>
      </c>
      <c r="C462" s="12">
        <f>IFERROR(__xludf.DUMMYFUNCTION("""COMPUTED_VALUE"""),100.0)</f>
        <v>100</v>
      </c>
      <c r="D462" s="7">
        <f>IFERROR(__xludf.DUMMYFUNCTION("""COMPUTED_VALUE"""),8.8)</f>
        <v>8.8</v>
      </c>
      <c r="E462" s="16">
        <f>IFERROR(__xludf.DUMMYFUNCTION("""COMPUTED_VALUE"""),63.0)</f>
        <v>63</v>
      </c>
      <c r="F462" s="16">
        <f>IFERROR(__xludf.DUMMYFUNCTION("""COMPUTED_VALUE"""),6.0)</f>
        <v>6</v>
      </c>
      <c r="G462" s="16">
        <f>IFERROR(__xludf.DUMMYFUNCTION("""COMPUTED_VALUE"""),9.3)</f>
        <v>9.3</v>
      </c>
      <c r="H462" s="23">
        <f>IFERROR(__xludf.DUMMYFUNCTION("""COMPUTED_VALUE"""),341.2)</f>
        <v>341.2</v>
      </c>
    </row>
    <row r="463">
      <c r="A463" s="16" t="str">
        <f>IFERROR(__xludf.DUMMYFUNCTION("""COMPUTED_VALUE"""),"Зърнени храни")</f>
        <v>Зърнени храни</v>
      </c>
      <c r="B463" s="7" t="str">
        <f>IFERROR(__xludf.DUMMYFUNCTION("""COMPUTED_VALUE"""),"Хляб Солео - Чиа")</f>
        <v>Хляб Солео - Чиа</v>
      </c>
      <c r="C463" s="12">
        <f>IFERROR(__xludf.DUMMYFUNCTION("""COMPUTED_VALUE"""),100.0)</f>
        <v>100</v>
      </c>
      <c r="D463" s="7">
        <f>IFERROR(__xludf.DUMMYFUNCTION("""COMPUTED_VALUE"""),18.5)</f>
        <v>18.5</v>
      </c>
      <c r="E463" s="16">
        <f>IFERROR(__xludf.DUMMYFUNCTION("""COMPUTED_VALUE"""),44.3)</f>
        <v>44.3</v>
      </c>
      <c r="F463" s="16">
        <f>IFERROR(__xludf.DUMMYFUNCTION("""COMPUTED_VALUE"""),16.7)</f>
        <v>16.7</v>
      </c>
      <c r="G463" s="16">
        <f>IFERROR(__xludf.DUMMYFUNCTION("""COMPUTED_VALUE"""),10.0)</f>
        <v>10</v>
      </c>
      <c r="H463" s="23">
        <f>IFERROR(__xludf.DUMMYFUNCTION("""COMPUTED_VALUE"""),401.5)</f>
        <v>401.5</v>
      </c>
    </row>
    <row r="464">
      <c r="A464" s="16" t="str">
        <f>IFERROR(__xludf.DUMMYFUNCTION("""COMPUTED_VALUE"""),"Зърнени храни")</f>
        <v>Зърнени храни</v>
      </c>
      <c r="B464" s="7" t="str">
        <f>IFERROR(__xludf.DUMMYFUNCTION("""COMPUTED_VALUE"""),"Флейкс от спелта")</f>
        <v>Флейкс от спелта</v>
      </c>
      <c r="C464" s="12">
        <f>IFERROR(__xludf.DUMMYFUNCTION("""COMPUTED_VALUE"""),100.0)</f>
        <v>100</v>
      </c>
      <c r="D464" s="7">
        <f>IFERROR(__xludf.DUMMYFUNCTION("""COMPUTED_VALUE"""),12.0)</f>
        <v>12</v>
      </c>
      <c r="E464" s="16">
        <f>IFERROR(__xludf.DUMMYFUNCTION("""COMPUTED_VALUE"""),61.0)</f>
        <v>61</v>
      </c>
      <c r="F464" s="16">
        <f>IFERROR(__xludf.DUMMYFUNCTION("""COMPUTED_VALUE"""),3.0)</f>
        <v>3</v>
      </c>
      <c r="G464" s="16">
        <f>IFERROR(__xludf.DUMMYFUNCTION("""COMPUTED_VALUE"""),12.0)</f>
        <v>12</v>
      </c>
      <c r="H464" s="23">
        <f>IFERROR(__xludf.DUMMYFUNCTION("""COMPUTED_VALUE"""),319.0)</f>
        <v>319</v>
      </c>
    </row>
    <row r="465">
      <c r="A465" s="16" t="str">
        <f>IFERROR(__xludf.DUMMYFUNCTION("""COMPUTED_VALUE"""),"Зърнени храни")</f>
        <v>Зърнени храни</v>
      </c>
      <c r="B465" s="7" t="str">
        <f>IFERROR(__xludf.DUMMYFUNCTION("""COMPUTED_VALUE"""),"Черен Ориз Venere Amato")</f>
        <v>Черен Ориз Venere Amato</v>
      </c>
      <c r="C465" s="12">
        <f>IFERROR(__xludf.DUMMYFUNCTION("""COMPUTED_VALUE"""),100.0)</f>
        <v>100</v>
      </c>
      <c r="D465" s="7">
        <f>IFERROR(__xludf.DUMMYFUNCTION("""COMPUTED_VALUE"""),7.4)</f>
        <v>7.4</v>
      </c>
      <c r="E465" s="16">
        <f>IFERROR(__xludf.DUMMYFUNCTION("""COMPUTED_VALUE"""),78.0)</f>
        <v>78</v>
      </c>
      <c r="F465" s="16">
        <f>IFERROR(__xludf.DUMMYFUNCTION("""COMPUTED_VALUE"""),0.6)</f>
        <v>0.6</v>
      </c>
      <c r="G465" s="16">
        <f>IFERROR(__xludf.DUMMYFUNCTION("""COMPUTED_VALUE"""),1.4)</f>
        <v>1.4</v>
      </c>
      <c r="H465" s="23">
        <f>IFERROR(__xludf.DUMMYFUNCTION("""COMPUTED_VALUE"""),347.0)</f>
        <v>347</v>
      </c>
    </row>
    <row r="466">
      <c r="A466" s="16" t="str">
        <f>IFERROR(__xludf.DUMMYFUNCTION("""COMPUTED_VALUE"""),"Зърнени храни")</f>
        <v>Зърнени храни</v>
      </c>
      <c r="B466" s="7" t="str">
        <f>IFERROR(__xludf.DUMMYFUNCTION("""COMPUTED_VALUE"""),"Овесени ядки Фамилия")</f>
        <v>Овесени ядки Фамилия</v>
      </c>
      <c r="C466" s="12">
        <f>IFERROR(__xludf.DUMMYFUNCTION("""COMPUTED_VALUE"""),100.0)</f>
        <v>100</v>
      </c>
      <c r="D466" s="7">
        <f>IFERROR(__xludf.DUMMYFUNCTION("""COMPUTED_VALUE"""),12.0)</f>
        <v>12</v>
      </c>
      <c r="E466" s="16">
        <f>IFERROR(__xludf.DUMMYFUNCTION("""COMPUTED_VALUE"""),70.0)</f>
        <v>70</v>
      </c>
      <c r="F466" s="16">
        <f>IFERROR(__xludf.DUMMYFUNCTION("""COMPUTED_VALUE"""),7.0)</f>
        <v>7</v>
      </c>
      <c r="G466" s="16">
        <f>IFERROR(__xludf.DUMMYFUNCTION("""COMPUTED_VALUE"""),7.0)</f>
        <v>7</v>
      </c>
      <c r="H466" s="23">
        <f>IFERROR(__xludf.DUMMYFUNCTION("""COMPUTED_VALUE"""),391.0)</f>
        <v>391</v>
      </c>
    </row>
    <row r="467">
      <c r="A467" s="16" t="str">
        <f>IFERROR(__xludf.DUMMYFUNCTION("""COMPUTED_VALUE"""),"Зърнени храни")</f>
        <v>Зърнени храни</v>
      </c>
      <c r="B467" s="7" t="str">
        <f>IFERROR(__xludf.DUMMYFUNCTION("""COMPUTED_VALUE"""),"Киноа (варена)")</f>
        <v>Киноа (варена)</v>
      </c>
      <c r="C467" s="12">
        <f>IFERROR(__xludf.DUMMYFUNCTION("""COMPUTED_VALUE"""),100.0)</f>
        <v>100</v>
      </c>
      <c r="D467" s="7">
        <f>IFERROR(__xludf.DUMMYFUNCTION("""COMPUTED_VALUE"""),4.0)</f>
        <v>4</v>
      </c>
      <c r="E467" s="16">
        <f>IFERROR(__xludf.DUMMYFUNCTION("""COMPUTED_VALUE"""),21.0)</f>
        <v>21</v>
      </c>
      <c r="F467" s="16">
        <f>IFERROR(__xludf.DUMMYFUNCTION("""COMPUTED_VALUE"""),2.0)</f>
        <v>2</v>
      </c>
      <c r="G467" s="16">
        <f>IFERROR(__xludf.DUMMYFUNCTION("""COMPUTED_VALUE"""),3.0)</f>
        <v>3</v>
      </c>
      <c r="H467" s="23">
        <f>IFERROR(__xludf.DUMMYFUNCTION("""COMPUTED_VALUE"""),118.0)</f>
        <v>118</v>
      </c>
    </row>
    <row r="468">
      <c r="A468" s="16" t="str">
        <f>IFERROR(__xludf.DUMMYFUNCTION("""COMPUTED_VALUE"""),"Зърнени храни")</f>
        <v>Зърнени храни</v>
      </c>
      <c r="B468" s="7" t="str">
        <f>IFERROR(__xludf.DUMMYFUNCTION("""COMPUTED_VALUE"""),"Овесени трици Dr.Keskin")</f>
        <v>Овесени трици Dr.Keskin</v>
      </c>
      <c r="C468" s="12">
        <f>IFERROR(__xludf.DUMMYFUNCTION("""COMPUTED_VALUE"""),100.0)</f>
        <v>100</v>
      </c>
      <c r="D468" s="7">
        <f>IFERROR(__xludf.DUMMYFUNCTION("""COMPUTED_VALUE"""),13.2)</f>
        <v>13.2</v>
      </c>
      <c r="E468" s="16">
        <f>IFERROR(__xludf.DUMMYFUNCTION("""COMPUTED_VALUE"""),68.1)</f>
        <v>68.1</v>
      </c>
      <c r="F468" s="16">
        <f>IFERROR(__xludf.DUMMYFUNCTION("""COMPUTED_VALUE"""),6.9)</f>
        <v>6.9</v>
      </c>
      <c r="G468" s="16">
        <f>IFERROR(__xludf.DUMMYFUNCTION("""COMPUTED_VALUE"""),7.2)</f>
        <v>7.2</v>
      </c>
      <c r="H468" s="23">
        <f>IFERROR(__xludf.DUMMYFUNCTION("""COMPUTED_VALUE"""),387.3)</f>
        <v>387.3</v>
      </c>
    </row>
    <row r="469">
      <c r="A469" s="16" t="str">
        <f>IFERROR(__xludf.DUMMYFUNCTION("""COMPUTED_VALUE"""),"Зърнени храни")</f>
        <v>Зърнени храни</v>
      </c>
      <c r="B469" s="7" t="str">
        <f>IFERROR(__xludf.DUMMYFUNCTION("""COMPUTED_VALUE"""),"Варено жито")</f>
        <v>Варено жито</v>
      </c>
      <c r="C469" s="12">
        <f>IFERROR(__xludf.DUMMYFUNCTION("""COMPUTED_VALUE"""),100.0)</f>
        <v>100</v>
      </c>
      <c r="D469" s="7">
        <f>IFERROR(__xludf.DUMMYFUNCTION("""COMPUTED_VALUE"""),14.0)</f>
        <v>14</v>
      </c>
      <c r="E469" s="16">
        <f>IFERROR(__xludf.DUMMYFUNCTION("""COMPUTED_VALUE"""),67.4)</f>
        <v>67.4</v>
      </c>
      <c r="F469" s="16">
        <f>IFERROR(__xludf.DUMMYFUNCTION("""COMPUTED_VALUE"""),1.8)</f>
        <v>1.8</v>
      </c>
      <c r="G469" s="16">
        <f>IFERROR(__xludf.DUMMYFUNCTION("""COMPUTED_VALUE"""),2.1)</f>
        <v>2.1</v>
      </c>
      <c r="H469" s="23">
        <f>IFERROR(__xludf.DUMMYFUNCTION("""COMPUTED_VALUE"""),341.8)</f>
        <v>341.8</v>
      </c>
    </row>
    <row r="470">
      <c r="A470" s="16" t="str">
        <f>IFERROR(__xludf.DUMMYFUNCTION("""COMPUTED_VALUE"""),"Зърнени храни")</f>
        <v>Зърнени храни</v>
      </c>
      <c r="B470" s="7" t="str">
        <f>IFERROR(__xludf.DUMMYFUNCTION("""COMPUTED_VALUE"""),"Nestle fitness chocolate")</f>
        <v>Nestle fitness chocolate</v>
      </c>
      <c r="C470" s="12">
        <f>IFERROR(__xludf.DUMMYFUNCTION("""COMPUTED_VALUE"""),100.0)</f>
        <v>100</v>
      </c>
      <c r="D470" s="22">
        <f>IFERROR(__xludf.DUMMYFUNCTION("""COMPUTED_VALUE"""),8.6)</f>
        <v>8.6</v>
      </c>
      <c r="E470" s="24">
        <f>IFERROR(__xludf.DUMMYFUNCTION("""COMPUTED_VALUE"""),71.3)</f>
        <v>71.3</v>
      </c>
      <c r="F470" s="24">
        <f>IFERROR(__xludf.DUMMYFUNCTION("""COMPUTED_VALUE"""),7.0)</f>
        <v>7</v>
      </c>
      <c r="G470" s="16">
        <f>IFERROR(__xludf.DUMMYFUNCTION("""COMPUTED_VALUE"""),0.0)</f>
        <v>0</v>
      </c>
      <c r="H470" s="23">
        <f>IFERROR(__xludf.DUMMYFUNCTION("""COMPUTED_VALUE"""),382.59999999999997)</f>
        <v>382.6</v>
      </c>
    </row>
    <row r="471">
      <c r="A471" s="16" t="str">
        <f>IFERROR(__xludf.DUMMYFUNCTION("""COMPUTED_VALUE"""),"Зърнени храни")</f>
        <v>Зърнени храни</v>
      </c>
      <c r="B471" s="7" t="str">
        <f>IFERROR(__xludf.DUMMYFUNCTION("""COMPUTED_VALUE"""),"Корнфлейкс")</f>
        <v>Корнфлейкс</v>
      </c>
      <c r="C471" s="12">
        <f>IFERROR(__xludf.DUMMYFUNCTION("""COMPUTED_VALUE"""),100.0)</f>
        <v>100</v>
      </c>
      <c r="D471" s="7">
        <f>IFERROR(__xludf.DUMMYFUNCTION("""COMPUTED_VALUE"""),8.0)</f>
        <v>8</v>
      </c>
      <c r="E471" s="16">
        <f>IFERROR(__xludf.DUMMYFUNCTION("""COMPUTED_VALUE"""),84.0)</f>
        <v>84</v>
      </c>
      <c r="F471" s="16">
        <f>IFERROR(__xludf.DUMMYFUNCTION("""COMPUTED_VALUE"""),0.4)</f>
        <v>0.4</v>
      </c>
      <c r="G471" s="16">
        <f>IFERROR(__xludf.DUMMYFUNCTION("""COMPUTED_VALUE"""),5.0)</f>
        <v>5</v>
      </c>
      <c r="H471" s="23">
        <f>IFERROR(__xludf.DUMMYFUNCTION("""COMPUTED_VALUE"""),371.6)</f>
        <v>371.6</v>
      </c>
    </row>
    <row r="472">
      <c r="A472" s="16" t="str">
        <f>IFERROR(__xludf.DUMMYFUNCTION("""COMPUTED_VALUE"""),"Зърнени храни")</f>
        <v>Зърнени храни</v>
      </c>
      <c r="B472" s="7" t="str">
        <f>IFERROR(__xludf.DUMMYFUNCTION("""COMPUTED_VALUE"""),"Мюсли барче с банан Crownfield")</f>
        <v>Мюсли барче с банан Crownfield</v>
      </c>
      <c r="C472" s="12">
        <f>IFERROR(__xludf.DUMMYFUNCTION("""COMPUTED_VALUE"""),100.0)</f>
        <v>100</v>
      </c>
      <c r="D472" s="7">
        <f>IFERROR(__xludf.DUMMYFUNCTION("""COMPUTED_VALUE"""),6.7)</f>
        <v>6.7</v>
      </c>
      <c r="E472" s="16">
        <f>IFERROR(__xludf.DUMMYFUNCTION("""COMPUTED_VALUE"""),65.1)</f>
        <v>65.1</v>
      </c>
      <c r="F472" s="16">
        <f>IFERROR(__xludf.DUMMYFUNCTION("""COMPUTED_VALUE"""),16.3)</f>
        <v>16.3</v>
      </c>
      <c r="G472" s="16">
        <f>IFERROR(__xludf.DUMMYFUNCTION("""COMPUTED_VALUE"""),3.0)</f>
        <v>3</v>
      </c>
      <c r="H472" s="23">
        <f>IFERROR(__xludf.DUMMYFUNCTION("""COMPUTED_VALUE"""),433.9)</f>
        <v>433.9</v>
      </c>
    </row>
    <row r="473">
      <c r="A473" s="16" t="str">
        <f>IFERROR(__xludf.DUMMYFUNCTION("""COMPUTED_VALUE"""),"Зърнени храни")</f>
        <v>Зърнени храни</v>
      </c>
      <c r="B473" s="7" t="str">
        <f>IFERROR(__xludf.DUMMYFUNCTION("""COMPUTED_VALUE"""),"Мюсли барче с млечен шоколад Crownfield")</f>
        <v>Мюсли барче с млечен шоколад Crownfield</v>
      </c>
      <c r="C473" s="12">
        <f>IFERROR(__xludf.DUMMYFUNCTION("""COMPUTED_VALUE"""),100.0)</f>
        <v>100</v>
      </c>
      <c r="D473" s="7">
        <f>IFERROR(__xludf.DUMMYFUNCTION("""COMPUTED_VALUE"""),7.4)</f>
        <v>7.4</v>
      </c>
      <c r="E473" s="16">
        <f>IFERROR(__xludf.DUMMYFUNCTION("""COMPUTED_VALUE"""),69.1)</f>
        <v>69.1</v>
      </c>
      <c r="F473" s="16">
        <f>IFERROR(__xludf.DUMMYFUNCTION("""COMPUTED_VALUE"""),9.5)</f>
        <v>9.5</v>
      </c>
      <c r="G473" s="16">
        <f>IFERROR(__xludf.DUMMYFUNCTION("""COMPUTED_VALUE"""),3.0)</f>
        <v>3</v>
      </c>
      <c r="H473" s="23">
        <f>IFERROR(__xludf.DUMMYFUNCTION("""COMPUTED_VALUE"""),391.5)</f>
        <v>391.5</v>
      </c>
    </row>
    <row r="474">
      <c r="A474" s="16" t="str">
        <f>IFERROR(__xludf.DUMMYFUNCTION("""COMPUTED_VALUE"""),"Зърнени храни")</f>
        <v>Зърнени храни</v>
      </c>
      <c r="B474" s="7" t="str">
        <f>IFERROR(__xludf.DUMMYFUNCTION("""COMPUTED_VALUE"""),"Чипс от лимец Гривас")</f>
        <v>Чипс от лимец Гривас</v>
      </c>
      <c r="C474" s="12">
        <f>IFERROR(__xludf.DUMMYFUNCTION("""COMPUTED_VALUE"""),100.0)</f>
        <v>100</v>
      </c>
      <c r="D474" s="7">
        <f>IFERROR(__xludf.DUMMYFUNCTION("""COMPUTED_VALUE"""),10.0)</f>
        <v>10</v>
      </c>
      <c r="E474" s="16">
        <f>IFERROR(__xludf.DUMMYFUNCTION("""COMPUTED_VALUE"""),69.0)</f>
        <v>69</v>
      </c>
      <c r="F474" s="16">
        <f>IFERROR(__xludf.DUMMYFUNCTION("""COMPUTED_VALUE"""),7.0)</f>
        <v>7</v>
      </c>
      <c r="G474" s="16">
        <f>IFERROR(__xludf.DUMMYFUNCTION("""COMPUTED_VALUE"""),0.0)</f>
        <v>0</v>
      </c>
      <c r="H474" s="23">
        <f>IFERROR(__xludf.DUMMYFUNCTION("""COMPUTED_VALUE"""),379.0)</f>
        <v>379</v>
      </c>
    </row>
    <row r="475">
      <c r="A475" s="16" t="str">
        <f>IFERROR(__xludf.DUMMYFUNCTION("""COMPUTED_VALUE"""),"Зърнени храни")</f>
        <v>Зърнени храни</v>
      </c>
      <c r="B475" s="7" t="str">
        <f>IFERROR(__xludf.DUMMYFUNCTION("""COMPUTED_VALUE"""),"Чипс от царевица Grivas")</f>
        <v>Чипс от царевица Grivas</v>
      </c>
      <c r="C475" s="12">
        <f>IFERROR(__xludf.DUMMYFUNCTION("""COMPUTED_VALUE"""),100.0)</f>
        <v>100</v>
      </c>
      <c r="D475" s="7">
        <f>IFERROR(__xludf.DUMMYFUNCTION("""COMPUTED_VALUE"""),5.7)</f>
        <v>5.7</v>
      </c>
      <c r="E475" s="16">
        <f>IFERROR(__xludf.DUMMYFUNCTION("""COMPUTED_VALUE"""),70.6)</f>
        <v>70.6</v>
      </c>
      <c r="F475" s="16">
        <f>IFERROR(__xludf.DUMMYFUNCTION("""COMPUTED_VALUE"""),9.4)</f>
        <v>9.4</v>
      </c>
      <c r="G475" s="16">
        <f>IFERROR(__xludf.DUMMYFUNCTION("""COMPUTED_VALUE"""),0.0)</f>
        <v>0</v>
      </c>
      <c r="H475" s="23">
        <f>IFERROR(__xludf.DUMMYFUNCTION("""COMPUTED_VALUE"""),389.8)</f>
        <v>389.8</v>
      </c>
    </row>
    <row r="476">
      <c r="A476" s="16" t="str">
        <f>IFERROR(__xludf.DUMMYFUNCTION("""COMPUTED_VALUE"""),"Зърнени храни")</f>
        <v>Зърнени храни</v>
      </c>
      <c r="B476" s="7" t="str">
        <f>IFERROR(__xludf.DUMMYFUNCTION("""COMPUTED_VALUE"""),"Сусам")</f>
        <v>Сусам</v>
      </c>
      <c r="C476" s="12">
        <f>IFERROR(__xludf.DUMMYFUNCTION("""COMPUTED_VALUE"""),100.0)</f>
        <v>100</v>
      </c>
      <c r="D476" s="7">
        <f>IFERROR(__xludf.DUMMYFUNCTION("""COMPUTED_VALUE"""),18.0)</f>
        <v>18</v>
      </c>
      <c r="E476" s="16">
        <f>IFERROR(__xludf.DUMMYFUNCTION("""COMPUTED_VALUE"""),24.0)</f>
        <v>24</v>
      </c>
      <c r="F476" s="16">
        <f>IFERROR(__xludf.DUMMYFUNCTION("""COMPUTED_VALUE"""),51.0)</f>
        <v>51</v>
      </c>
      <c r="G476" s="16">
        <f>IFERROR(__xludf.DUMMYFUNCTION("""COMPUTED_VALUE"""),5.0)</f>
        <v>5</v>
      </c>
      <c r="H476" s="23">
        <f>IFERROR(__xludf.DUMMYFUNCTION("""COMPUTED_VALUE"""),627.0)</f>
        <v>627</v>
      </c>
    </row>
    <row r="477">
      <c r="A477" s="16" t="str">
        <f>IFERROR(__xludf.DUMMYFUNCTION("""COMPUTED_VALUE"""),"Зърнени храни")</f>
        <v>Зърнени храни</v>
      </c>
      <c r="B477" s="7" t="str">
        <f>IFERROR(__xludf.DUMMYFUNCTION("""COMPUTED_VALUE"""),"Грах (варен)")</f>
        <v>Грах (варен)</v>
      </c>
      <c r="C477" s="12">
        <f>IFERROR(__xludf.DUMMYFUNCTION("""COMPUTED_VALUE"""),100.0)</f>
        <v>100</v>
      </c>
      <c r="D477" s="7">
        <f>IFERROR(__xludf.DUMMYFUNCTION("""COMPUTED_VALUE"""),3.27)</f>
        <v>3.27</v>
      </c>
      <c r="E477" s="16">
        <f>IFERROR(__xludf.DUMMYFUNCTION("""COMPUTED_VALUE"""),6.46)</f>
        <v>6.46</v>
      </c>
      <c r="F477" s="16">
        <f>IFERROR(__xludf.DUMMYFUNCTION("""COMPUTED_VALUE"""),0.23)</f>
        <v>0.23</v>
      </c>
      <c r="G477" s="16">
        <f>IFERROR(__xludf.DUMMYFUNCTION("""COMPUTED_VALUE"""),2.8)</f>
        <v>2.8</v>
      </c>
      <c r="H477" s="23">
        <f>IFERROR(__xludf.DUMMYFUNCTION("""COMPUTED_VALUE"""),40.99)</f>
        <v>40.99</v>
      </c>
    </row>
    <row r="478">
      <c r="A478" s="16" t="str">
        <f>IFERROR(__xludf.DUMMYFUNCTION("""COMPUTED_VALUE"""),"Зърнени храни")</f>
        <v>Зърнени храни</v>
      </c>
      <c r="B478" s="7" t="str">
        <f>IFERROR(__xludf.DUMMYFUNCTION("""COMPUTED_VALUE"""),"Пита лимец - Гривас")</f>
        <v>Пита лимец - Гривас</v>
      </c>
      <c r="C478" s="12">
        <f>IFERROR(__xludf.DUMMYFUNCTION("""COMPUTED_VALUE"""),100.0)</f>
        <v>100</v>
      </c>
      <c r="D478" s="7">
        <f>IFERROR(__xludf.DUMMYFUNCTION("""COMPUTED_VALUE"""),13.6)</f>
        <v>13.6</v>
      </c>
      <c r="E478" s="16">
        <f>IFERROR(__xludf.DUMMYFUNCTION("""COMPUTED_VALUE"""),68.9)</f>
        <v>68.9</v>
      </c>
      <c r="F478" s="16">
        <f>IFERROR(__xludf.DUMMYFUNCTION("""COMPUTED_VALUE"""),4.1)</f>
        <v>4.1</v>
      </c>
      <c r="G478" s="16">
        <f>IFERROR(__xludf.DUMMYFUNCTION("""COMPUTED_VALUE"""),7.7)</f>
        <v>7.7</v>
      </c>
      <c r="H478" s="23">
        <f>IFERROR(__xludf.DUMMYFUNCTION("""COMPUTED_VALUE"""),366.9)</f>
        <v>366.9</v>
      </c>
    </row>
    <row r="479">
      <c r="A479" s="16" t="str">
        <f>IFERROR(__xludf.DUMMYFUNCTION("""COMPUTED_VALUE"""),"Зърнени храни")</f>
        <v>Зърнени храни</v>
      </c>
      <c r="B479" s="7" t="str">
        <f>IFERROR(__xludf.DUMMYFUNCTION("""COMPUTED_VALUE"""),"Nestle Nesquik")</f>
        <v>Nestle Nesquik</v>
      </c>
      <c r="C479" s="12">
        <f>IFERROR(__xludf.DUMMYFUNCTION("""COMPUTED_VALUE"""),100.0)</f>
        <v>100</v>
      </c>
      <c r="D479" s="7">
        <f>IFERROR(__xludf.DUMMYFUNCTION("""COMPUTED_VALUE"""),8.4)</f>
        <v>8.4</v>
      </c>
      <c r="E479" s="16">
        <f>IFERROR(__xludf.DUMMYFUNCTION("""COMPUTED_VALUE"""),75.8)</f>
        <v>75.8</v>
      </c>
      <c r="F479" s="16">
        <f>IFERROR(__xludf.DUMMYFUNCTION("""COMPUTED_VALUE"""),1.7)</f>
        <v>1.7</v>
      </c>
      <c r="G479" s="16">
        <f>IFERROR(__xludf.DUMMYFUNCTION("""COMPUTED_VALUE"""),8.7)</f>
        <v>8.7</v>
      </c>
      <c r="H479" s="23">
        <f>IFERROR(__xludf.DUMMYFUNCTION("""COMPUTED_VALUE"""),352.1)</f>
        <v>352.1</v>
      </c>
    </row>
    <row r="480">
      <c r="A480" s="16" t="str">
        <f>IFERROR(__xludf.DUMMYFUNCTION("""COMPUTED_VALUE"""),"Зърнени храни")</f>
        <v>Зърнени храни</v>
      </c>
      <c r="B480" s="7" t="str">
        <f>IFERROR(__xludf.DUMMYFUNCTION("""COMPUTED_VALUE"""),"Безглутенови овесени ядки (DM), (сурово състояние - за грам)")</f>
        <v>Безглутенови овесени ядки (DM), (сурово състояние - за грам)</v>
      </c>
      <c r="C480" s="12">
        <f>IFERROR(__xludf.DUMMYFUNCTION("""COMPUTED_VALUE"""),100.0)</f>
        <v>100</v>
      </c>
      <c r="D480" s="7">
        <f>IFERROR(__xludf.DUMMYFUNCTION("""COMPUTED_VALUE"""),0.1)</f>
        <v>0.1</v>
      </c>
      <c r="E480" s="16">
        <f>IFERROR(__xludf.DUMMYFUNCTION("""COMPUTED_VALUE"""),0.6)</f>
        <v>0.6</v>
      </c>
      <c r="F480" s="16">
        <f>IFERROR(__xludf.DUMMYFUNCTION("""COMPUTED_VALUE"""),0.1)</f>
        <v>0.1</v>
      </c>
      <c r="G480" s="16">
        <f>IFERROR(__xludf.DUMMYFUNCTION("""COMPUTED_VALUE"""),0.1)</f>
        <v>0.1</v>
      </c>
      <c r="H480" s="23">
        <f>IFERROR(__xludf.DUMMYFUNCTION("""COMPUTED_VALUE"""),3.6999999999999997)</f>
        <v>3.7</v>
      </c>
    </row>
    <row r="481">
      <c r="A481" s="16" t="str">
        <f>IFERROR(__xludf.DUMMYFUNCTION("""COMPUTED_VALUE"""),"Зърнени храни")</f>
        <v>Зърнени храни</v>
      </c>
      <c r="B481" s="7" t="str">
        <f>IFERROR(__xludf.DUMMYFUNCTION("""COMPUTED_VALUE"""),"Овесени Ядки Финни без глутен Био Класа")</f>
        <v>Овесени Ядки Финни без глутен Био Класа</v>
      </c>
      <c r="C481" s="12">
        <f>IFERROR(__xludf.DUMMYFUNCTION("""COMPUTED_VALUE"""),100.0)</f>
        <v>100</v>
      </c>
      <c r="D481" s="7">
        <f>IFERROR(__xludf.DUMMYFUNCTION("""COMPUTED_VALUE"""),13.0)</f>
        <v>13</v>
      </c>
      <c r="E481" s="16">
        <f>IFERROR(__xludf.DUMMYFUNCTION("""COMPUTED_VALUE"""),60.0)</f>
        <v>60</v>
      </c>
      <c r="F481" s="16">
        <f>IFERROR(__xludf.DUMMYFUNCTION("""COMPUTED_VALUE"""),6.7)</f>
        <v>6.7</v>
      </c>
      <c r="G481" s="16">
        <f>IFERROR(__xludf.DUMMYFUNCTION("""COMPUTED_VALUE"""),0.0)</f>
        <v>0</v>
      </c>
      <c r="H481" s="23">
        <f>IFERROR(__xludf.DUMMYFUNCTION("""COMPUTED_VALUE"""),352.3)</f>
        <v>352.3</v>
      </c>
    </row>
    <row r="482">
      <c r="A482" s="16" t="str">
        <f>IFERROR(__xludf.DUMMYFUNCTION("""COMPUTED_VALUE"""),"Зърнени храни")</f>
        <v>Зърнени храни</v>
      </c>
      <c r="B482" s="7" t="str">
        <f>IFERROR(__xludf.DUMMYFUNCTION("""COMPUTED_VALUE"""),"Овесени Трици Био Класа")</f>
        <v>Овесени Трици Био Класа</v>
      </c>
      <c r="C482" s="12">
        <f>IFERROR(__xludf.DUMMYFUNCTION("""COMPUTED_VALUE"""),100.0)</f>
        <v>100</v>
      </c>
      <c r="D482" s="7">
        <f>IFERROR(__xludf.DUMMYFUNCTION("""COMPUTED_VALUE"""),15.0)</f>
        <v>15</v>
      </c>
      <c r="E482" s="16">
        <f>IFERROR(__xludf.DUMMYFUNCTION("""COMPUTED_VALUE"""),55.0)</f>
        <v>55</v>
      </c>
      <c r="F482" s="16">
        <f>IFERROR(__xludf.DUMMYFUNCTION("""COMPUTED_VALUE"""),6.6)</f>
        <v>6.6</v>
      </c>
      <c r="G482" s="16">
        <f>IFERROR(__xludf.DUMMYFUNCTION("""COMPUTED_VALUE"""),0.0)</f>
        <v>0</v>
      </c>
      <c r="H482" s="23">
        <f>IFERROR(__xludf.DUMMYFUNCTION("""COMPUTED_VALUE"""),339.4)</f>
        <v>339.4</v>
      </c>
    </row>
    <row r="483">
      <c r="A483" s="16" t="str">
        <f>IFERROR(__xludf.DUMMYFUNCTION("""COMPUTED_VALUE"""),"Зърнени храни")</f>
        <v>Зърнени храни</v>
      </c>
      <c r="B483" s="7" t="str">
        <f>IFERROR(__xludf.DUMMYFUNCTION("""COMPUTED_VALUE"""),"Мюсли Шоко (Crownfild) - Lidl")</f>
        <v>Мюсли Шоко (Crownfild) - Lidl</v>
      </c>
      <c r="C483" s="12">
        <f>IFERROR(__xludf.DUMMYFUNCTION("""COMPUTED_VALUE"""),100.0)</f>
        <v>100</v>
      </c>
      <c r="D483" s="7">
        <f>IFERROR(__xludf.DUMMYFUNCTION("""COMPUTED_VALUE"""),11.1)</f>
        <v>11.1</v>
      </c>
      <c r="E483" s="16">
        <f>IFERROR(__xludf.DUMMYFUNCTION("""COMPUTED_VALUE"""),60.7)</f>
        <v>60.7</v>
      </c>
      <c r="F483" s="16">
        <f>IFERROR(__xludf.DUMMYFUNCTION("""COMPUTED_VALUE"""),12.3)</f>
        <v>12.3</v>
      </c>
      <c r="G483" s="16">
        <f>IFERROR(__xludf.DUMMYFUNCTION("""COMPUTED_VALUE"""),8.0)</f>
        <v>8</v>
      </c>
      <c r="H483" s="23">
        <f>IFERROR(__xludf.DUMMYFUNCTION("""COMPUTED_VALUE"""),397.9)</f>
        <v>397.9</v>
      </c>
    </row>
    <row r="484">
      <c r="A484" s="16" t="str">
        <f>IFERROR(__xludf.DUMMYFUNCTION("""COMPUTED_VALUE"""),"Зърнени храни")</f>
        <v>Зърнени храни</v>
      </c>
      <c r="B484" s="7" t="str">
        <f>IFERROR(__xludf.DUMMYFUNCTION("""COMPUTED_VALUE"""),"Гранола банан")</f>
        <v>Гранола банан</v>
      </c>
      <c r="C484" s="12">
        <f>IFERROR(__xludf.DUMMYFUNCTION("""COMPUTED_VALUE"""),100.0)</f>
        <v>100</v>
      </c>
      <c r="D484" s="7">
        <f>IFERROR(__xludf.DUMMYFUNCTION("""COMPUTED_VALUE"""),9.0)</f>
        <v>9</v>
      </c>
      <c r="E484" s="16">
        <f>IFERROR(__xludf.DUMMYFUNCTION("""COMPUTED_VALUE"""),46.0)</f>
        <v>46</v>
      </c>
      <c r="F484" s="16">
        <f>IFERROR(__xludf.DUMMYFUNCTION("""COMPUTED_VALUE"""),19.0)</f>
        <v>19</v>
      </c>
      <c r="G484" s="16">
        <f>IFERROR(__xludf.DUMMYFUNCTION("""COMPUTED_VALUE"""),15.0)</f>
        <v>15</v>
      </c>
      <c r="H484" s="23">
        <f>IFERROR(__xludf.DUMMYFUNCTION("""COMPUTED_VALUE"""),391.0)</f>
        <v>391</v>
      </c>
    </row>
    <row r="485">
      <c r="A485" s="16" t="str">
        <f>IFERROR(__xludf.DUMMYFUNCTION("""COMPUTED_VALUE"""),"Зърнени храни")</f>
        <v>Зърнени храни</v>
      </c>
      <c r="B485" s="7" t="str">
        <f>IFERROR(__xludf.DUMMYFUNCTION("""COMPUTED_VALUE"""),"Булгур Варен")</f>
        <v>Булгур Варен</v>
      </c>
      <c r="C485" s="12">
        <f>IFERROR(__xludf.DUMMYFUNCTION("""COMPUTED_VALUE"""),100.0)</f>
        <v>100</v>
      </c>
      <c r="D485" s="7">
        <f>IFERROR(__xludf.DUMMYFUNCTION("""COMPUTED_VALUE"""),3.08)</f>
        <v>3.08</v>
      </c>
      <c r="E485" s="16">
        <f>IFERROR(__xludf.DUMMYFUNCTION("""COMPUTED_VALUE"""),18.58)</f>
        <v>18.58</v>
      </c>
      <c r="F485" s="16">
        <f>IFERROR(__xludf.DUMMYFUNCTION("""COMPUTED_VALUE"""),0.24)</f>
        <v>0.24</v>
      </c>
      <c r="G485" s="16">
        <f>IFERROR(__xludf.DUMMYFUNCTION("""COMPUTED_VALUE"""),4.5)</f>
        <v>4.5</v>
      </c>
      <c r="H485" s="23">
        <f>IFERROR(__xludf.DUMMYFUNCTION("""COMPUTED_VALUE"""),88.79999999999998)</f>
        <v>88.8</v>
      </c>
    </row>
    <row r="486">
      <c r="A486" s="16" t="str">
        <f>IFERROR(__xludf.DUMMYFUNCTION("""COMPUTED_VALUE"""),"Зърнени храни")</f>
        <v>Зърнени храни</v>
      </c>
      <c r="B486" s="7" t="str">
        <f>IFERROR(__xludf.DUMMYFUNCTION("""COMPUTED_VALUE"""),"Тапиока гранули")</f>
        <v>Тапиока гранули</v>
      </c>
      <c r="C486" s="12">
        <f>IFERROR(__xludf.DUMMYFUNCTION("""COMPUTED_VALUE"""),100.0)</f>
        <v>100</v>
      </c>
      <c r="D486" s="7">
        <f>IFERROR(__xludf.DUMMYFUNCTION("""COMPUTED_VALUE"""),0.2)</f>
        <v>0.2</v>
      </c>
      <c r="E486" s="16">
        <f>IFERROR(__xludf.DUMMYFUNCTION("""COMPUTED_VALUE"""),88.0)</f>
        <v>88</v>
      </c>
      <c r="F486" s="16">
        <f>IFERROR(__xludf.DUMMYFUNCTION("""COMPUTED_VALUE"""),0.02)</f>
        <v>0.02</v>
      </c>
      <c r="G486" s="16">
        <f>IFERROR(__xludf.DUMMYFUNCTION("""COMPUTED_VALUE"""),0.0)</f>
        <v>0</v>
      </c>
      <c r="H486" s="23">
        <f>IFERROR(__xludf.DUMMYFUNCTION("""COMPUTED_VALUE"""),352.98)</f>
        <v>352.98</v>
      </c>
    </row>
    <row r="487">
      <c r="A487" s="16" t="str">
        <f>IFERROR(__xludf.DUMMYFUNCTION("""COMPUTED_VALUE"""),"Зърнени храни")</f>
        <v>Зърнени храни</v>
      </c>
      <c r="B487" s="7" t="str">
        <f>IFERROR(__xludf.DUMMYFUNCTION("""COMPUTED_VALUE"""),"Веган бургер от леща (полуфабрикат)")</f>
        <v>Веган бургер от леща (полуфабрикат)</v>
      </c>
      <c r="C487" s="12">
        <f>IFERROR(__xludf.DUMMYFUNCTION("""COMPUTED_VALUE"""),100.0)</f>
        <v>100</v>
      </c>
      <c r="D487" s="7">
        <f>IFERROR(__xludf.DUMMYFUNCTION("""COMPUTED_VALUE"""),6.5)</f>
        <v>6.5</v>
      </c>
      <c r="E487" s="16">
        <f>IFERROR(__xludf.DUMMYFUNCTION("""COMPUTED_VALUE"""),13.0)</f>
        <v>13</v>
      </c>
      <c r="F487" s="16">
        <f>IFERROR(__xludf.DUMMYFUNCTION("""COMPUTED_VALUE"""),6.0)</f>
        <v>6</v>
      </c>
      <c r="G487" s="16">
        <f>IFERROR(__xludf.DUMMYFUNCTION("""COMPUTED_VALUE"""),7.8)</f>
        <v>7.8</v>
      </c>
      <c r="H487" s="23">
        <f>IFERROR(__xludf.DUMMYFUNCTION("""COMPUTED_VALUE"""),132.0)</f>
        <v>132</v>
      </c>
    </row>
    <row r="488">
      <c r="A488" s="16" t="str">
        <f>IFERROR(__xludf.DUMMYFUNCTION("""COMPUTED_VALUE"""),"Зърнени храни")</f>
        <v>Зърнени храни</v>
      </c>
      <c r="B488" s="7" t="str">
        <f>IFERROR(__xludf.DUMMYFUNCTION("""COMPUTED_VALUE"""),"Протеинови оризовки(леща) KALLO")</f>
        <v>Протеинови оризовки(леща) KALLO</v>
      </c>
      <c r="C488" s="12">
        <f>IFERROR(__xludf.DUMMYFUNCTION("""COMPUTED_VALUE"""),100.0)</f>
        <v>100</v>
      </c>
      <c r="D488" s="7">
        <f>IFERROR(__xludf.DUMMYFUNCTION("""COMPUTED_VALUE"""),21.0)</f>
        <v>21</v>
      </c>
      <c r="E488" s="16">
        <f>IFERROR(__xludf.DUMMYFUNCTION("""COMPUTED_VALUE"""),64.7)</f>
        <v>64.7</v>
      </c>
      <c r="F488" s="16">
        <f>IFERROR(__xludf.DUMMYFUNCTION("""COMPUTED_VALUE"""),4.3)</f>
        <v>4.3</v>
      </c>
      <c r="G488" s="16">
        <f>IFERROR(__xludf.DUMMYFUNCTION("""COMPUTED_VALUE"""),4.9)</f>
        <v>4.9</v>
      </c>
      <c r="H488" s="23">
        <f>IFERROR(__xludf.DUMMYFUNCTION("""COMPUTED_VALUE"""),381.5)</f>
        <v>381.5</v>
      </c>
    </row>
    <row r="489">
      <c r="A489" s="16" t="str">
        <f>IFERROR(__xludf.DUMMYFUNCTION("""COMPUTED_VALUE"""),"Зърнени храни")</f>
        <v>Зърнени храни</v>
      </c>
      <c r="B489" s="7" t="str">
        <f>IFERROR(__xludf.DUMMYFUNCTION("""COMPUTED_VALUE"""),"Мюсли - Crunchy (chocolate &amp; hazelnut) - (Crownfield) - Lidl")</f>
        <v>Мюсли - Crunchy (chocolate &amp; hazelnut) - (Crownfield) - Lidl</v>
      </c>
      <c r="C489" s="12">
        <f>IFERROR(__xludf.DUMMYFUNCTION("""COMPUTED_VALUE"""),100.0)</f>
        <v>100</v>
      </c>
      <c r="D489" s="7">
        <f>IFERROR(__xludf.DUMMYFUNCTION("""COMPUTED_VALUE"""),7.5)</f>
        <v>7.5</v>
      </c>
      <c r="E489" s="16">
        <f>IFERROR(__xludf.DUMMYFUNCTION("""COMPUTED_VALUE"""),64.0)</f>
        <v>64</v>
      </c>
      <c r="F489" s="16">
        <f>IFERROR(__xludf.DUMMYFUNCTION("""COMPUTED_VALUE"""),18.0)</f>
        <v>18</v>
      </c>
      <c r="G489" s="16">
        <f>IFERROR(__xludf.DUMMYFUNCTION("""COMPUTED_VALUE"""),6.0)</f>
        <v>6</v>
      </c>
      <c r="H489" s="23">
        <f>IFERROR(__xludf.DUMMYFUNCTION("""COMPUTED_VALUE"""),448.0)</f>
        <v>448</v>
      </c>
    </row>
    <row r="490">
      <c r="A490" s="16" t="str">
        <f>IFERROR(__xludf.DUMMYFUNCTION("""COMPUTED_VALUE"""),"Зърнени храни")</f>
        <v>Зърнени храни</v>
      </c>
      <c r="B490" s="7" t="str">
        <f>IFERROR(__xludf.DUMMYFUNCTION("""COMPUTED_VALUE"""),"Кафяв ориз")</f>
        <v>Кафяв ориз</v>
      </c>
      <c r="C490" s="12">
        <f>IFERROR(__xludf.DUMMYFUNCTION("""COMPUTED_VALUE"""),100.0)</f>
        <v>100</v>
      </c>
      <c r="D490" s="7">
        <f>IFERROR(__xludf.DUMMYFUNCTION("""COMPUTED_VALUE"""),6.7)</f>
        <v>6.7</v>
      </c>
      <c r="E490" s="16">
        <f>IFERROR(__xludf.DUMMYFUNCTION("""COMPUTED_VALUE"""),81.0)</f>
        <v>81</v>
      </c>
      <c r="F490" s="16">
        <f>IFERROR(__xludf.DUMMYFUNCTION("""COMPUTED_VALUE"""),2.8)</f>
        <v>2.8</v>
      </c>
      <c r="G490" s="16">
        <f>IFERROR(__xludf.DUMMYFUNCTION("""COMPUTED_VALUE"""),0.0)</f>
        <v>0</v>
      </c>
      <c r="H490" s="23">
        <f>IFERROR(__xludf.DUMMYFUNCTION("""COMPUTED_VALUE"""),376.0)</f>
        <v>376</v>
      </c>
    </row>
    <row r="491">
      <c r="A491" s="16" t="str">
        <f>IFERROR(__xludf.DUMMYFUNCTION("""COMPUTED_VALUE"""),"Зърнени храни")</f>
        <v>Зърнени храни</v>
      </c>
      <c r="B491" s="7" t="str">
        <f>IFERROR(__xludf.DUMMYFUNCTION("""COMPUTED_VALUE"""),"Протеинови мюсли LAYENBERGER")</f>
        <v>Протеинови мюсли LAYENBERGER</v>
      </c>
      <c r="C491" s="12">
        <f>IFERROR(__xludf.DUMMYFUNCTION("""COMPUTED_VALUE"""),100.0)</f>
        <v>100</v>
      </c>
      <c r="D491" s="7">
        <f>IFERROR(__xludf.DUMMYFUNCTION("""COMPUTED_VALUE"""),50.6)</f>
        <v>50.6</v>
      </c>
      <c r="E491" s="16">
        <f>IFERROR(__xludf.DUMMYFUNCTION("""COMPUTED_VALUE"""),20.0)</f>
        <v>20</v>
      </c>
      <c r="F491" s="16">
        <f>IFERROR(__xludf.DUMMYFUNCTION("""COMPUTED_VALUE"""),10.0)</f>
        <v>10</v>
      </c>
      <c r="G491" s="16">
        <f>IFERROR(__xludf.DUMMYFUNCTION("""COMPUTED_VALUE"""),0.0)</f>
        <v>0</v>
      </c>
      <c r="H491" s="23">
        <f>IFERROR(__xludf.DUMMYFUNCTION("""COMPUTED_VALUE"""),372.4)</f>
        <v>372.4</v>
      </c>
    </row>
    <row r="492">
      <c r="A492" s="16" t="str">
        <f>IFERROR(__xludf.DUMMYFUNCTION("""COMPUTED_VALUE"""),"Зърнени храни")</f>
        <v>Зърнени храни</v>
      </c>
      <c r="B492" s="7" t="str">
        <f>IFERROR(__xludf.DUMMYFUNCTION("""COMPUTED_VALUE"""),"МЮСЛИ МЮЛЛЕР А.VOGEL")</f>
        <v>МЮСЛИ МЮЛЛЕР А.VOGEL</v>
      </c>
      <c r="C492" s="12">
        <f>IFERROR(__xludf.DUMMYFUNCTION("""COMPUTED_VALUE"""),100.0)</f>
        <v>100</v>
      </c>
      <c r="D492" s="7">
        <f>IFERROR(__xludf.DUMMYFUNCTION("""COMPUTED_VALUE"""),9.0)</f>
        <v>9</v>
      </c>
      <c r="E492" s="16">
        <f>IFERROR(__xludf.DUMMYFUNCTION("""COMPUTED_VALUE"""),65.0)</f>
        <v>65</v>
      </c>
      <c r="F492" s="16">
        <f>IFERROR(__xludf.DUMMYFUNCTION("""COMPUTED_VALUE"""),5.0)</f>
        <v>5</v>
      </c>
      <c r="G492" s="16">
        <f>IFERROR(__xludf.DUMMYFUNCTION("""COMPUTED_VALUE"""),0.0)</f>
        <v>0</v>
      </c>
      <c r="H492" s="23">
        <f>IFERROR(__xludf.DUMMYFUNCTION("""COMPUTED_VALUE"""),341.0)</f>
        <v>341</v>
      </c>
    </row>
    <row r="493">
      <c r="A493" s="16" t="str">
        <f>IFERROR(__xludf.DUMMYFUNCTION("""COMPUTED_VALUE"""),"Зърнени храни")</f>
        <v>Зърнени храни</v>
      </c>
      <c r="B493" s="7" t="str">
        <f>IFERROR(__xludf.DUMMYFUNCTION("""COMPUTED_VALUE"""),"Butter Beans- Freshona")</f>
        <v>Butter Beans- Freshona</v>
      </c>
      <c r="C493" s="12">
        <f>IFERROR(__xludf.DUMMYFUNCTION("""COMPUTED_VALUE"""),100.0)</f>
        <v>100</v>
      </c>
      <c r="D493" s="7">
        <f>IFERROR(__xludf.DUMMYFUNCTION("""COMPUTED_VALUE"""),6.6)</f>
        <v>6.6</v>
      </c>
      <c r="E493" s="16">
        <f>IFERROR(__xludf.DUMMYFUNCTION("""COMPUTED_VALUE"""),13.2)</f>
        <v>13.2</v>
      </c>
      <c r="F493" s="16">
        <f>IFERROR(__xludf.DUMMYFUNCTION("""COMPUTED_VALUE"""),1.1)</f>
        <v>1.1</v>
      </c>
      <c r="G493" s="16">
        <f>IFERROR(__xludf.DUMMYFUNCTION("""COMPUTED_VALUE"""),0.0)</f>
        <v>0</v>
      </c>
      <c r="H493" s="23">
        <f>IFERROR(__xludf.DUMMYFUNCTION("""COMPUTED_VALUE"""),89.1)</f>
        <v>89.1</v>
      </c>
    </row>
    <row r="494">
      <c r="A494" s="16" t="str">
        <f>IFERROR(__xludf.DUMMYFUNCTION("""COMPUTED_VALUE"""),"Зърнени храни")</f>
        <v>Зърнени храни</v>
      </c>
      <c r="B494" s="7" t="str">
        <f>IFERROR(__xludf.DUMMYFUNCTION("""COMPUTED_VALUE"""),"Brown rice cakes with sunflower seeds - Sondey")</f>
        <v>Brown rice cakes with sunflower seeds - Sondey</v>
      </c>
      <c r="C494" s="12">
        <f>IFERROR(__xludf.DUMMYFUNCTION("""COMPUTED_VALUE"""),100.0)</f>
        <v>100</v>
      </c>
      <c r="D494" s="7">
        <f>IFERROR(__xludf.DUMMYFUNCTION("""COMPUTED_VALUE"""),9.5)</f>
        <v>9.5</v>
      </c>
      <c r="E494" s="16">
        <f>IFERROR(__xludf.DUMMYFUNCTION("""COMPUTED_VALUE"""),79.0)</f>
        <v>79</v>
      </c>
      <c r="F494" s="16">
        <f>IFERROR(__xludf.DUMMYFUNCTION("""COMPUTED_VALUE"""),4.2)</f>
        <v>4.2</v>
      </c>
      <c r="G494" s="16">
        <f>IFERROR(__xludf.DUMMYFUNCTION("""COMPUTED_VALUE"""),3.8)</f>
        <v>3.8</v>
      </c>
      <c r="H494" s="23">
        <f>IFERROR(__xludf.DUMMYFUNCTION("""COMPUTED_VALUE"""),391.8)</f>
        <v>391.8</v>
      </c>
    </row>
    <row r="495">
      <c r="A495" s="16" t="str">
        <f>IFERROR(__xludf.DUMMYFUNCTION("""COMPUTED_VALUE"""),"Зърнени храни")</f>
        <v>Зърнени храни</v>
      </c>
      <c r="B495" s="7" t="str">
        <f>IFERROR(__xludf.DUMMYFUNCTION("""COMPUTED_VALUE"""),"Рейнски Хляб")</f>
        <v>Рейнски Хляб</v>
      </c>
      <c r="C495" s="12">
        <f>IFERROR(__xludf.DUMMYFUNCTION("""COMPUTED_VALUE"""),100.0)</f>
        <v>100</v>
      </c>
      <c r="D495" s="7">
        <f>IFERROR(__xludf.DUMMYFUNCTION("""COMPUTED_VALUE"""),5.8)</f>
        <v>5.8</v>
      </c>
      <c r="E495" s="16">
        <f>IFERROR(__xludf.DUMMYFUNCTION("""COMPUTED_VALUE"""),41.2)</f>
        <v>41.2</v>
      </c>
      <c r="F495" s="16">
        <f>IFERROR(__xludf.DUMMYFUNCTION("""COMPUTED_VALUE"""),0.9)</f>
        <v>0.9</v>
      </c>
      <c r="G495" s="16">
        <f>IFERROR(__xludf.DUMMYFUNCTION("""COMPUTED_VALUE"""),0.0)</f>
        <v>0</v>
      </c>
      <c r="H495" s="23">
        <f>IFERROR(__xludf.DUMMYFUNCTION("""COMPUTED_VALUE"""),196.1)</f>
        <v>196.1</v>
      </c>
    </row>
    <row r="496">
      <c r="A496" s="16" t="str">
        <f>IFERROR(__xludf.DUMMYFUNCTION("""COMPUTED_VALUE"""),"Зърнени храни")</f>
        <v>Зърнени храни</v>
      </c>
      <c r="B496" s="7" t="str">
        <f>IFERROR(__xludf.DUMMYFUNCTION("""COMPUTED_VALUE"""),"Мюсли с ядки - Bioset")</f>
        <v>Мюсли с ядки - Bioset</v>
      </c>
      <c r="C496" s="12">
        <f>IFERROR(__xludf.DUMMYFUNCTION("""COMPUTED_VALUE"""),100.0)</f>
        <v>100</v>
      </c>
      <c r="D496" s="7">
        <f>IFERROR(__xludf.DUMMYFUNCTION("""COMPUTED_VALUE"""),12.0)</f>
        <v>12</v>
      </c>
      <c r="E496" s="16">
        <f>IFERROR(__xludf.DUMMYFUNCTION("""COMPUTED_VALUE"""),57.0)</f>
        <v>57</v>
      </c>
      <c r="F496" s="16">
        <f>IFERROR(__xludf.DUMMYFUNCTION("""COMPUTED_VALUE"""),10.7)</f>
        <v>10.7</v>
      </c>
      <c r="G496" s="16">
        <f>IFERROR(__xludf.DUMMYFUNCTION("""COMPUTED_VALUE"""),0.0)</f>
        <v>0</v>
      </c>
      <c r="H496" s="23">
        <f>IFERROR(__xludf.DUMMYFUNCTION("""COMPUTED_VALUE"""),372.3)</f>
        <v>372.3</v>
      </c>
    </row>
    <row r="497">
      <c r="A497" s="16" t="str">
        <f>IFERROR(__xludf.DUMMYFUNCTION("""COMPUTED_VALUE"""),"Зърнени храни")</f>
        <v>Зърнени храни</v>
      </c>
      <c r="B497" s="7" t="str">
        <f>IFERROR(__xludf.DUMMYFUNCTION("""COMPUTED_VALUE"""),"Гранола с ядки Bona Vita")</f>
        <v>Гранола с ядки Bona Vita</v>
      </c>
      <c r="C497" s="12">
        <f>IFERROR(__xludf.DUMMYFUNCTION("""COMPUTED_VALUE"""),100.0)</f>
        <v>100</v>
      </c>
      <c r="D497" s="7">
        <f>IFERROR(__xludf.DUMMYFUNCTION("""COMPUTED_VALUE"""),7.2)</f>
        <v>7.2</v>
      </c>
      <c r="E497" s="16">
        <f>IFERROR(__xludf.DUMMYFUNCTION("""COMPUTED_VALUE"""),62.0)</f>
        <v>62</v>
      </c>
      <c r="F497" s="16">
        <f>IFERROR(__xludf.DUMMYFUNCTION("""COMPUTED_VALUE"""),18.0)</f>
        <v>18</v>
      </c>
      <c r="G497" s="16">
        <f>IFERROR(__xludf.DUMMYFUNCTION("""COMPUTED_VALUE"""),8.0)</f>
        <v>8</v>
      </c>
      <c r="H497" s="23">
        <f>IFERROR(__xludf.DUMMYFUNCTION("""COMPUTED_VALUE"""),438.8)</f>
        <v>438.8</v>
      </c>
    </row>
    <row r="498">
      <c r="A498" s="16" t="str">
        <f>IFERROR(__xludf.DUMMYFUNCTION("""COMPUTED_VALUE"""),"Зърнени храни")</f>
        <v>Зърнени храни</v>
      </c>
      <c r="B498" s="7" t="str">
        <f>IFERROR(__xludf.DUMMYFUNCTION("""COMPUTED_VALUE"""),"Бургер Хлебчета със сусам McGold")</f>
        <v>Бургер Хлебчета със сусам McGold</v>
      </c>
      <c r="C498" s="12">
        <f>IFERROR(__xludf.DUMMYFUNCTION("""COMPUTED_VALUE"""),100.0)</f>
        <v>100</v>
      </c>
      <c r="D498" s="7">
        <f>IFERROR(__xludf.DUMMYFUNCTION("""COMPUTED_VALUE"""),8.8)</f>
        <v>8.8</v>
      </c>
      <c r="E498" s="16">
        <f>IFERROR(__xludf.DUMMYFUNCTION("""COMPUTED_VALUE"""),50.0)</f>
        <v>50</v>
      </c>
      <c r="F498" s="16">
        <f>IFERROR(__xludf.DUMMYFUNCTION("""COMPUTED_VALUE"""),3.0)</f>
        <v>3</v>
      </c>
      <c r="G498" s="16">
        <f>IFERROR(__xludf.DUMMYFUNCTION("""COMPUTED_VALUE"""),0.0)</f>
        <v>0</v>
      </c>
      <c r="H498" s="23">
        <f>IFERROR(__xludf.DUMMYFUNCTION("""COMPUTED_VALUE"""),262.2)</f>
        <v>262.2</v>
      </c>
    </row>
    <row r="499">
      <c r="A499" s="16" t="str">
        <f>IFERROR(__xludf.DUMMYFUNCTION("""COMPUTED_VALUE"""),"Зърнени храни")</f>
        <v>Зърнени храни</v>
      </c>
      <c r="B499" s="7" t="str">
        <f>IFERROR(__xludf.DUMMYFUNCTION("""COMPUTED_VALUE"""),"Хляб със семена - Lidl")</f>
        <v>Хляб със семена - Lidl</v>
      </c>
      <c r="C499" s="12">
        <f>IFERROR(__xludf.DUMMYFUNCTION("""COMPUTED_VALUE"""),100.0)</f>
        <v>100</v>
      </c>
      <c r="D499" s="7">
        <f>IFERROR(__xludf.DUMMYFUNCTION("""COMPUTED_VALUE"""),8.0)</f>
        <v>8</v>
      </c>
      <c r="E499" s="16">
        <f>IFERROR(__xludf.DUMMYFUNCTION("""COMPUTED_VALUE"""),52.0)</f>
        <v>52</v>
      </c>
      <c r="F499" s="16">
        <f>IFERROR(__xludf.DUMMYFUNCTION("""COMPUTED_VALUE"""),8.5)</f>
        <v>8.5</v>
      </c>
      <c r="G499" s="16">
        <f>IFERROR(__xludf.DUMMYFUNCTION("""COMPUTED_VALUE"""),0.0)</f>
        <v>0</v>
      </c>
      <c r="H499" s="23">
        <f>IFERROR(__xludf.DUMMYFUNCTION("""COMPUTED_VALUE"""),316.5)</f>
        <v>316.5</v>
      </c>
    </row>
    <row r="500">
      <c r="A500" s="16" t="str">
        <f>IFERROR(__xludf.DUMMYFUNCTION("""COMPUTED_VALUE"""),"Зърнени храни")</f>
        <v>Зърнени храни</v>
      </c>
      <c r="B500" s="7" t="str">
        <f>IFERROR(__xludf.DUMMYFUNCTION("""COMPUTED_VALUE"""),"Овесени ядки - Златна Нива")</f>
        <v>Овесени ядки - Златна Нива</v>
      </c>
      <c r="C500" s="12">
        <f>IFERROR(__xludf.DUMMYFUNCTION("""COMPUTED_VALUE"""),100.0)</f>
        <v>100</v>
      </c>
      <c r="D500" s="7">
        <f>IFERROR(__xludf.DUMMYFUNCTION("""COMPUTED_VALUE"""),13.0)</f>
        <v>13</v>
      </c>
      <c r="E500" s="16">
        <f>IFERROR(__xludf.DUMMYFUNCTION("""COMPUTED_VALUE"""),69.0)</f>
        <v>69</v>
      </c>
      <c r="F500" s="16">
        <f>IFERROR(__xludf.DUMMYFUNCTION("""COMPUTED_VALUE"""),7.0)</f>
        <v>7</v>
      </c>
      <c r="G500" s="16">
        <f>IFERROR(__xludf.DUMMYFUNCTION("""COMPUTED_VALUE"""),10.0)</f>
        <v>10</v>
      </c>
      <c r="H500" s="23">
        <f>IFERROR(__xludf.DUMMYFUNCTION("""COMPUTED_VALUE"""),391.0)</f>
        <v>391</v>
      </c>
    </row>
    <row r="501">
      <c r="A501" s="16" t="str">
        <f>IFERROR(__xludf.DUMMYFUNCTION("""COMPUTED_VALUE"""),"Зърнени храни")</f>
        <v>Зърнени храни</v>
      </c>
      <c r="B501" s="7" t="str">
        <f>IFERROR(__xludf.DUMMYFUNCTION("""COMPUTED_VALUE"""),"Ориз с моркови, грах и царевица - сготвено")</f>
        <v>Ориз с моркови, грах и царевица - сготвено</v>
      </c>
      <c r="C501" s="12">
        <f>IFERROR(__xludf.DUMMYFUNCTION("""COMPUTED_VALUE"""),100.0)</f>
        <v>100</v>
      </c>
      <c r="D501" s="7">
        <f>IFERROR(__xludf.DUMMYFUNCTION("""COMPUTED_VALUE"""),6.0)</f>
        <v>6</v>
      </c>
      <c r="E501" s="16">
        <f>IFERROR(__xludf.DUMMYFUNCTION("""COMPUTED_VALUE"""),25.0)</f>
        <v>25</v>
      </c>
      <c r="F501" s="16">
        <f>IFERROR(__xludf.DUMMYFUNCTION("""COMPUTED_VALUE"""),4.0)</f>
        <v>4</v>
      </c>
      <c r="G501" s="16">
        <f>IFERROR(__xludf.DUMMYFUNCTION("""COMPUTED_VALUE"""),4.4)</f>
        <v>4.4</v>
      </c>
      <c r="H501" s="23">
        <f>IFERROR(__xludf.DUMMYFUNCTION("""COMPUTED_VALUE"""),160.0)</f>
        <v>160</v>
      </c>
    </row>
    <row r="502">
      <c r="A502" s="16" t="str">
        <f>IFERROR(__xludf.DUMMYFUNCTION("""COMPUTED_VALUE"""),"Зърнени храни")</f>
        <v>Зърнени храни</v>
      </c>
      <c r="B502" s="7" t="str">
        <f>IFERROR(__xludf.DUMMYFUNCTION("""COMPUTED_VALUE"""),"Овесени ядки - Финни - Crownfield")</f>
        <v>Овесени ядки - Финни - Crownfield</v>
      </c>
      <c r="C502" s="12">
        <f>IFERROR(__xludf.DUMMYFUNCTION("""COMPUTED_VALUE"""),100.0)</f>
        <v>100</v>
      </c>
      <c r="D502" s="7">
        <f>IFERROR(__xludf.DUMMYFUNCTION("""COMPUTED_VALUE"""),13.0)</f>
        <v>13</v>
      </c>
      <c r="E502" s="16">
        <f>IFERROR(__xludf.DUMMYFUNCTION("""COMPUTED_VALUE"""),59.0)</f>
        <v>59</v>
      </c>
      <c r="F502" s="16">
        <f>IFERROR(__xludf.DUMMYFUNCTION("""COMPUTED_VALUE"""),7.0)</f>
        <v>7</v>
      </c>
      <c r="G502" s="16">
        <f>IFERROR(__xludf.DUMMYFUNCTION("""COMPUTED_VALUE"""),10.0)</f>
        <v>10</v>
      </c>
      <c r="H502" s="23">
        <f>IFERROR(__xludf.DUMMYFUNCTION("""COMPUTED_VALUE"""),351.0)</f>
        <v>351</v>
      </c>
    </row>
    <row r="503">
      <c r="A503" s="16" t="str">
        <f>IFERROR(__xludf.DUMMYFUNCTION("""COMPUTED_VALUE"""),"Зърнени храни")</f>
        <v>Зърнени храни</v>
      </c>
      <c r="B503" s="7" t="str">
        <f>IFERROR(__xludf.DUMMYFUNCTION("""COMPUTED_VALUE"""),"Био пълнозърнест крекер ROGGEN")</f>
        <v>Био пълнозърнест крекер ROGGEN</v>
      </c>
      <c r="C503" s="7">
        <f>IFERROR(__xludf.DUMMYFUNCTION("""COMPUTED_VALUE"""),100.0)</f>
        <v>100</v>
      </c>
      <c r="D503" s="7">
        <f>IFERROR(__xludf.DUMMYFUNCTION("""COMPUTED_VALUE"""),10.3)</f>
        <v>10.3</v>
      </c>
      <c r="E503" s="16">
        <f>IFERROR(__xludf.DUMMYFUNCTION("""COMPUTED_VALUE"""),65.8)</f>
        <v>65.8</v>
      </c>
      <c r="F503" s="16">
        <f>IFERROR(__xludf.DUMMYFUNCTION("""COMPUTED_VALUE"""),1.8)</f>
        <v>1.8</v>
      </c>
      <c r="G503" s="16">
        <f>IFERROR(__xludf.DUMMYFUNCTION("""COMPUTED_VALUE"""),14.5)</f>
        <v>14.5</v>
      </c>
      <c r="H503" s="16">
        <f>IFERROR(__xludf.DUMMYFUNCTION("""COMPUTED_VALUE"""),320.59999999999997)</f>
        <v>320.6</v>
      </c>
    </row>
    <row r="504">
      <c r="A504" s="16" t="str">
        <f>IFERROR(__xludf.DUMMYFUNCTION("""COMPUTED_VALUE"""),"Зърнени храни")</f>
        <v>Зърнени храни</v>
      </c>
      <c r="B504" s="7" t="str">
        <f>IFERROR(__xludf.DUMMYFUNCTION("""COMPUTED_VALUE"""),"Овесени ядки от лимец - финни")</f>
        <v>Овесени ядки от лимец - финни</v>
      </c>
      <c r="C504" s="7">
        <f>IFERROR(__xludf.DUMMYFUNCTION("""COMPUTED_VALUE"""),100.0)</f>
        <v>100</v>
      </c>
      <c r="D504" s="7">
        <f>IFERROR(__xludf.DUMMYFUNCTION("""COMPUTED_VALUE"""),13.8)</f>
        <v>13.8</v>
      </c>
      <c r="E504" s="16">
        <f>IFERROR(__xludf.DUMMYFUNCTION("""COMPUTED_VALUE"""),60.0)</f>
        <v>60</v>
      </c>
      <c r="F504" s="16">
        <f>IFERROR(__xludf.DUMMYFUNCTION("""COMPUTED_VALUE"""),1.7)</f>
        <v>1.7</v>
      </c>
      <c r="G504" s="16">
        <f>IFERROR(__xludf.DUMMYFUNCTION("""COMPUTED_VALUE"""),10.0)</f>
        <v>10</v>
      </c>
      <c r="H504" s="16">
        <f>IFERROR(__xludf.DUMMYFUNCTION("""COMPUTED_VALUE"""),310.5)</f>
        <v>310.5</v>
      </c>
    </row>
    <row r="505">
      <c r="A505" s="16" t="str">
        <f>IFERROR(__xludf.DUMMYFUNCTION("""COMPUTED_VALUE"""),"Зърнени храни")</f>
        <v>Зърнени храни</v>
      </c>
      <c r="B505" s="7" t="str">
        <f>IFERROR(__xludf.DUMMYFUNCTION("""COMPUTED_VALUE"""),"Солети Lorenz пълнозърнести")</f>
        <v>Солети Lorenz пълнозърнести</v>
      </c>
      <c r="C505" s="12">
        <f>IFERROR(__xludf.DUMMYFUNCTION("""COMPUTED_VALUE"""),100.0)</f>
        <v>100</v>
      </c>
      <c r="D505" s="7">
        <f>IFERROR(__xludf.DUMMYFUNCTION("""COMPUTED_VALUE"""),11.0)</f>
        <v>11</v>
      </c>
      <c r="E505" s="16">
        <f>IFERROR(__xludf.DUMMYFUNCTION("""COMPUTED_VALUE"""),71.0)</f>
        <v>71</v>
      </c>
      <c r="F505" s="16">
        <f>IFERROR(__xludf.DUMMYFUNCTION("""COMPUTED_VALUE"""),5.7)</f>
        <v>5.7</v>
      </c>
      <c r="G505" s="16">
        <f>IFERROR(__xludf.DUMMYFUNCTION("""COMPUTED_VALUE"""),5.7)</f>
        <v>5.7</v>
      </c>
      <c r="H505" s="16">
        <f>IFERROR(__xludf.DUMMYFUNCTION("""COMPUTED_VALUE"""),379.3)</f>
        <v>379.3</v>
      </c>
    </row>
    <row r="506">
      <c r="A506" s="16" t="str">
        <f>IFERROR(__xludf.DUMMYFUNCTION("""COMPUTED_VALUE"""),"Зърнени храни")</f>
        <v>Зърнени храни</v>
      </c>
      <c r="B506" s="7" t="str">
        <f>IFERROR(__xludf.DUMMYFUNCTION("""COMPUTED_VALUE"""),"Оризовки от леща")</f>
        <v>Оризовки от леща</v>
      </c>
      <c r="C506" s="12">
        <f>IFERROR(__xludf.DUMMYFUNCTION("""COMPUTED_VALUE"""),100.0)</f>
        <v>100</v>
      </c>
      <c r="D506" s="7">
        <f>IFERROR(__xludf.DUMMYFUNCTION("""COMPUTED_VALUE"""),25.0)</f>
        <v>25</v>
      </c>
      <c r="E506" s="16">
        <f>IFERROR(__xludf.DUMMYFUNCTION("""COMPUTED_VALUE"""),58.0)</f>
        <v>58</v>
      </c>
      <c r="F506" s="16">
        <f>IFERROR(__xludf.DUMMYFUNCTION("""COMPUTED_VALUE"""),1.8)</f>
        <v>1.8</v>
      </c>
      <c r="G506" s="16">
        <f>IFERROR(__xludf.DUMMYFUNCTION("""COMPUTED_VALUE"""),6.0)</f>
        <v>6</v>
      </c>
      <c r="H506" s="16">
        <f>IFERROR(__xludf.DUMMYFUNCTION("""COMPUTED_VALUE"""),348.2)</f>
        <v>348.2</v>
      </c>
    </row>
    <row r="507">
      <c r="A507" s="16" t="str">
        <f>IFERROR(__xludf.DUMMYFUNCTION("""COMPUTED_VALUE"""),"Зърнени храни")</f>
        <v>Зърнени храни</v>
      </c>
      <c r="B507" s="7" t="str">
        <f>IFERROR(__xludf.DUMMYFUNCTION("""COMPUTED_VALUE"""),"Оризовки (царевични)")</f>
        <v>Оризовки (царевични)</v>
      </c>
      <c r="C507" s="12">
        <f>IFERROR(__xludf.DUMMYFUNCTION("""COMPUTED_VALUE"""),100.0)</f>
        <v>100</v>
      </c>
      <c r="D507" s="7">
        <f>IFERROR(__xludf.DUMMYFUNCTION("""COMPUTED_VALUE"""),8.6)</f>
        <v>8.6</v>
      </c>
      <c r="E507" s="16">
        <f>IFERROR(__xludf.DUMMYFUNCTION("""COMPUTED_VALUE"""),82.5)</f>
        <v>82.5</v>
      </c>
      <c r="F507" s="16">
        <f>IFERROR(__xludf.DUMMYFUNCTION("""COMPUTED_VALUE"""),1.9)</f>
        <v>1.9</v>
      </c>
      <c r="G507" s="16">
        <f>IFERROR(__xludf.DUMMYFUNCTION("""COMPUTED_VALUE"""),3.0)</f>
        <v>3</v>
      </c>
      <c r="H507" s="16">
        <f>IFERROR(__xludf.DUMMYFUNCTION("""COMPUTED_VALUE"""),381.5)</f>
        <v>381.5</v>
      </c>
    </row>
    <row r="508">
      <c r="A508" s="16" t="str">
        <f>IFERROR(__xludf.DUMMYFUNCTION("""COMPUTED_VALUE"""),"Зърнени храни")</f>
        <v>Зърнени храни</v>
      </c>
      <c r="B508" s="7" t="str">
        <f>IFERROR(__xludf.DUMMYFUNCTION("""COMPUTED_VALUE"""),"Brown Rice cakes Byond")</f>
        <v>Brown Rice cakes Byond</v>
      </c>
      <c r="C508" s="12">
        <f>IFERROR(__xludf.DUMMYFUNCTION("""COMPUTED_VALUE"""),100.0)</f>
        <v>100</v>
      </c>
      <c r="D508" s="7">
        <f>IFERROR(__xludf.DUMMYFUNCTION("""COMPUTED_VALUE"""),7.7)</f>
        <v>7.7</v>
      </c>
      <c r="E508" s="16">
        <f>IFERROR(__xludf.DUMMYFUNCTION("""COMPUTED_VALUE"""),74.0)</f>
        <v>74</v>
      </c>
      <c r="F508" s="16">
        <f>IFERROR(__xludf.DUMMYFUNCTION("""COMPUTED_VALUE"""),3.5)</f>
        <v>3.5</v>
      </c>
      <c r="G508" s="16">
        <f>IFERROR(__xludf.DUMMYFUNCTION("""COMPUTED_VALUE"""),3.9)</f>
        <v>3.9</v>
      </c>
      <c r="H508" s="16">
        <f>IFERROR(__xludf.DUMMYFUNCTION("""COMPUTED_VALUE"""),358.3)</f>
        <v>358.3</v>
      </c>
    </row>
    <row r="509">
      <c r="A509" s="16" t="str">
        <f>IFERROR(__xludf.DUMMYFUNCTION("""COMPUTED_VALUE"""),"Зърнени храни")</f>
        <v>Зърнени храни</v>
      </c>
      <c r="B509" s="7" t="str">
        <f>IFERROR(__xludf.DUMMYFUNCTION("""COMPUTED_VALUE"""),"Оризови листа за суши")</f>
        <v>Оризови листа за суши</v>
      </c>
      <c r="C509" s="12">
        <f>IFERROR(__xludf.DUMMYFUNCTION("""COMPUTED_VALUE"""),100.0)</f>
        <v>100</v>
      </c>
      <c r="D509" s="7">
        <f>IFERROR(__xludf.DUMMYFUNCTION("""COMPUTED_VALUE"""),0.0)</f>
        <v>0</v>
      </c>
      <c r="E509" s="16">
        <f>IFERROR(__xludf.DUMMYFUNCTION("""COMPUTED_VALUE"""),59.0)</f>
        <v>59</v>
      </c>
      <c r="F509" s="16">
        <f>IFERROR(__xludf.DUMMYFUNCTION("""COMPUTED_VALUE"""),0.0)</f>
        <v>0</v>
      </c>
      <c r="G509" s="16">
        <f>IFERROR(__xludf.DUMMYFUNCTION("""COMPUTED_VALUE"""),0.0)</f>
        <v>0</v>
      </c>
      <c r="H509" s="16">
        <f>IFERROR(__xludf.DUMMYFUNCTION("""COMPUTED_VALUE"""),236.0)</f>
        <v>236</v>
      </c>
    </row>
    <row r="510">
      <c r="A510" s="16" t="str">
        <f>IFERROR(__xludf.DUMMYFUNCTION("""COMPUTED_VALUE"""),"Зърнени храни")</f>
        <v>Зърнени храни</v>
      </c>
      <c r="B510" s="7" t="str">
        <f>IFERROR(__xludf.DUMMYFUNCTION("""COMPUTED_VALUE"""),"Амарант")</f>
        <v>Амарант</v>
      </c>
      <c r="C510" s="12">
        <f>IFERROR(__xludf.DUMMYFUNCTION("""COMPUTED_VALUE"""),100.0)</f>
        <v>100</v>
      </c>
      <c r="D510" s="7">
        <f>IFERROR(__xludf.DUMMYFUNCTION("""COMPUTED_VALUE"""),14.0)</f>
        <v>14</v>
      </c>
      <c r="E510" s="16">
        <f>IFERROR(__xludf.DUMMYFUNCTION("""COMPUTED_VALUE"""),65.0)</f>
        <v>65</v>
      </c>
      <c r="F510" s="16">
        <f>IFERROR(__xludf.DUMMYFUNCTION("""COMPUTED_VALUE"""),7.1)</f>
        <v>7.1</v>
      </c>
      <c r="G510" s="16">
        <f>IFERROR(__xludf.DUMMYFUNCTION("""COMPUTED_VALUE"""),4.6)</f>
        <v>4.6</v>
      </c>
      <c r="H510" s="16">
        <f>IFERROR(__xludf.DUMMYFUNCTION("""COMPUTED_VALUE"""),379.9)</f>
        <v>379.9</v>
      </c>
    </row>
    <row r="511">
      <c r="A511" s="16" t="str">
        <f>IFERROR(__xludf.DUMMYFUNCTION("""COMPUTED_VALUE"""),"Зърнени храни")</f>
        <v>Зърнени храни</v>
      </c>
      <c r="B511" s="7" t="str">
        <f>IFERROR(__xludf.DUMMYFUNCTION("""COMPUTED_VALUE"""),"Амарант (варен)")</f>
        <v>Амарант (варен)</v>
      </c>
      <c r="C511" s="12">
        <f>IFERROR(__xludf.DUMMYFUNCTION("""COMPUTED_VALUE"""),100.0)</f>
        <v>100</v>
      </c>
      <c r="D511" s="7">
        <f>IFERROR(__xludf.DUMMYFUNCTION("""COMPUTED_VALUE"""),11.0)</f>
        <v>11</v>
      </c>
      <c r="E511" s="16">
        <f>IFERROR(__xludf.DUMMYFUNCTION("""COMPUTED_VALUE"""),46.3)</f>
        <v>46.3</v>
      </c>
      <c r="F511" s="16">
        <f>IFERROR(__xludf.DUMMYFUNCTION("""COMPUTED_VALUE"""),5.0)</f>
        <v>5</v>
      </c>
      <c r="G511" s="16">
        <f>IFERROR(__xludf.DUMMYFUNCTION("""COMPUTED_VALUE"""),5.5)</f>
        <v>5.5</v>
      </c>
      <c r="H511" s="16">
        <f>IFERROR(__xludf.DUMMYFUNCTION("""COMPUTED_VALUE"""),274.2)</f>
        <v>274.2</v>
      </c>
    </row>
    <row r="512">
      <c r="A512" s="16" t="str">
        <f>IFERROR(__xludf.DUMMYFUNCTION("""COMPUTED_VALUE"""),"Зърнени храни")</f>
        <v>Зърнени храни</v>
      </c>
      <c r="B512" s="7" t="str">
        <f>IFERROR(__xludf.DUMMYFUNCTION("""COMPUTED_VALUE"""),"Инстантен овес Biotech")</f>
        <v>Инстантен овес Biotech</v>
      </c>
      <c r="C512" s="12">
        <f>IFERROR(__xludf.DUMMYFUNCTION("""COMPUTED_VALUE"""),100.0)</f>
        <v>100</v>
      </c>
      <c r="D512" s="7">
        <f>IFERROR(__xludf.DUMMYFUNCTION("""COMPUTED_VALUE"""),13.0)</f>
        <v>13</v>
      </c>
      <c r="E512" s="16">
        <f>IFERROR(__xludf.DUMMYFUNCTION("""COMPUTED_VALUE"""),67.0)</f>
        <v>67</v>
      </c>
      <c r="F512" s="16">
        <f>IFERROR(__xludf.DUMMYFUNCTION("""COMPUTED_VALUE"""),7.1)</f>
        <v>7.1</v>
      </c>
      <c r="G512" s="16">
        <f>IFERROR(__xludf.DUMMYFUNCTION("""COMPUTED_VALUE"""),10.0)</f>
        <v>10</v>
      </c>
      <c r="H512" s="16">
        <f>IFERROR(__xludf.DUMMYFUNCTION("""COMPUTED_VALUE"""),383.9)</f>
        <v>383.9</v>
      </c>
    </row>
    <row r="513">
      <c r="A513" s="16" t="str">
        <f>IFERROR(__xludf.DUMMYFUNCTION("""COMPUTED_VALUE"""),"Зърнени храни")</f>
        <v>Зърнени храни</v>
      </c>
      <c r="B513" s="7" t="str">
        <f>IFERROR(__xludf.DUMMYFUNCTION("""COMPUTED_VALUE"""),"Оризови спагети")</f>
        <v>Оризови спагети</v>
      </c>
      <c r="C513" s="12">
        <f>IFERROR(__xludf.DUMMYFUNCTION("""COMPUTED_VALUE"""),100.0)</f>
        <v>100</v>
      </c>
      <c r="D513" s="7">
        <f>IFERROR(__xludf.DUMMYFUNCTION("""COMPUTED_VALUE"""),7.0)</f>
        <v>7</v>
      </c>
      <c r="E513" s="16">
        <f>IFERROR(__xludf.DUMMYFUNCTION("""COMPUTED_VALUE"""),76.0)</f>
        <v>76</v>
      </c>
      <c r="F513" s="16">
        <f>IFERROR(__xludf.DUMMYFUNCTION("""COMPUTED_VALUE"""),0.8)</f>
        <v>0.8</v>
      </c>
      <c r="G513" s="16">
        <f>IFERROR(__xludf.DUMMYFUNCTION("""COMPUTED_VALUE"""),0.0)</f>
        <v>0</v>
      </c>
      <c r="H513" s="16">
        <f>IFERROR(__xludf.DUMMYFUNCTION("""COMPUTED_VALUE"""),339.2)</f>
        <v>339.2</v>
      </c>
    </row>
    <row r="514">
      <c r="A514" s="16" t="str">
        <f>IFERROR(__xludf.DUMMYFUNCTION("""COMPUTED_VALUE"""),"Зърнени храни")</f>
        <v>Зърнени храни</v>
      </c>
      <c r="B514" s="7" t="str">
        <f>IFERROR(__xludf.DUMMYFUNCTION("""COMPUTED_VALUE"""),"Rice Noodles ASDA")</f>
        <v>Rice Noodles ASDA</v>
      </c>
      <c r="C514" s="12">
        <f>IFERROR(__xludf.DUMMYFUNCTION("""COMPUTED_VALUE"""),100.0)</f>
        <v>100</v>
      </c>
      <c r="D514" s="7">
        <f>IFERROR(__xludf.DUMMYFUNCTION("""COMPUTED_VALUE"""),2.6)</f>
        <v>2.6</v>
      </c>
      <c r="E514" s="16">
        <f>IFERROR(__xludf.DUMMYFUNCTION("""COMPUTED_VALUE"""),26.0)</f>
        <v>26</v>
      </c>
      <c r="F514" s="16">
        <f>IFERROR(__xludf.DUMMYFUNCTION("""COMPUTED_VALUE"""),2.2)</f>
        <v>2.2</v>
      </c>
      <c r="G514" s="16">
        <f>IFERROR(__xludf.DUMMYFUNCTION("""COMPUTED_VALUE"""),1.3)</f>
        <v>1.3</v>
      </c>
      <c r="H514" s="16">
        <f>IFERROR(__xludf.DUMMYFUNCTION("""COMPUTED_VALUE"""),134.20000000000002)</f>
        <v>134.2</v>
      </c>
    </row>
    <row r="515">
      <c r="A515" s="16" t="str">
        <f>IFERROR(__xludf.DUMMYFUNCTION("""COMPUTED_VALUE"""),"Зърнени храни")</f>
        <v>Зърнени храни</v>
      </c>
      <c r="B515" s="7" t="str">
        <f>IFERROR(__xludf.DUMMYFUNCTION("""COMPUTED_VALUE"""),"Булгур (готвено състояние)")</f>
        <v>Булгур (готвено състояние)</v>
      </c>
      <c r="C515" s="7">
        <f>IFERROR(__xludf.DUMMYFUNCTION("""COMPUTED_VALUE"""),100.0)</f>
        <v>100</v>
      </c>
      <c r="D515" s="7">
        <f>IFERROR(__xludf.DUMMYFUNCTION("""COMPUTED_VALUE"""),3.08)</f>
        <v>3.08</v>
      </c>
      <c r="E515" s="16">
        <f>IFERROR(__xludf.DUMMYFUNCTION("""COMPUTED_VALUE"""),18.58)</f>
        <v>18.58</v>
      </c>
      <c r="F515" s="16">
        <f>IFERROR(__xludf.DUMMYFUNCTION("""COMPUTED_VALUE"""),0.24)</f>
        <v>0.24</v>
      </c>
      <c r="G515" s="16">
        <f>IFERROR(__xludf.DUMMYFUNCTION("""COMPUTED_VALUE"""),4.5)</f>
        <v>4.5</v>
      </c>
      <c r="H515" s="23">
        <f>IFERROR(__xludf.DUMMYFUNCTION("""COMPUTED_VALUE"""),88.79999999999998)</f>
        <v>88.8</v>
      </c>
    </row>
    <row r="516">
      <c r="A516" s="16" t="str">
        <f>IFERROR(__xludf.DUMMYFUNCTION("""COMPUTED_VALUE"""),"Зърнени храни")</f>
        <v>Зърнени храни</v>
      </c>
      <c r="B516" s="7" t="str">
        <f>IFERROR(__xludf.DUMMYFUNCTION("""COMPUTED_VALUE"""),"Оризовки")</f>
        <v>Оризовки</v>
      </c>
      <c r="C516" s="7">
        <f>IFERROR(__xludf.DUMMYFUNCTION("""COMPUTED_VALUE"""),100.0)</f>
        <v>100</v>
      </c>
      <c r="D516" s="7">
        <f>IFERROR(__xludf.DUMMYFUNCTION("""COMPUTED_VALUE"""),8.6)</f>
        <v>8.6</v>
      </c>
      <c r="E516" s="16">
        <f>IFERROR(__xludf.DUMMYFUNCTION("""COMPUTED_VALUE"""),78.0)</f>
        <v>78</v>
      </c>
      <c r="F516" s="16">
        <f>IFERROR(__xludf.DUMMYFUNCTION("""COMPUTED_VALUE"""),3.2)</f>
        <v>3.2</v>
      </c>
      <c r="G516" s="16">
        <f>IFERROR(__xludf.DUMMYFUNCTION("""COMPUTED_VALUE"""),3.5)</f>
        <v>3.5</v>
      </c>
      <c r="H516" s="23">
        <f>IFERROR(__xludf.DUMMYFUNCTION("""COMPUTED_VALUE"""),375.2)</f>
        <v>375.2</v>
      </c>
    </row>
    <row r="517">
      <c r="A517" s="16" t="str">
        <f>IFERROR(__xludf.DUMMYFUNCTION("""COMPUTED_VALUE"""),"Зърнени храни")</f>
        <v>Зърнени храни</v>
      </c>
      <c r="B517" s="7" t="str">
        <f>IFERROR(__xludf.DUMMYFUNCTION("""COMPUTED_VALUE"""),"Оризовки от леща Alnatura")</f>
        <v>Оризовки от леща Alnatura</v>
      </c>
      <c r="C517" s="12">
        <f>IFERROR(__xludf.DUMMYFUNCTION("""COMPUTED_VALUE"""),100.0)</f>
        <v>100</v>
      </c>
      <c r="D517" s="7">
        <f>IFERROR(__xludf.DUMMYFUNCTION("""COMPUTED_VALUE"""),25.0)</f>
        <v>25</v>
      </c>
      <c r="E517" s="16">
        <f>IFERROR(__xludf.DUMMYFUNCTION("""COMPUTED_VALUE"""),58.0)</f>
        <v>58</v>
      </c>
      <c r="F517" s="16">
        <f>IFERROR(__xludf.DUMMYFUNCTION("""COMPUTED_VALUE"""),1.8)</f>
        <v>1.8</v>
      </c>
      <c r="G517" s="16">
        <f>IFERROR(__xludf.DUMMYFUNCTION("""COMPUTED_VALUE"""),6.0)</f>
        <v>6</v>
      </c>
      <c r="H517" s="16">
        <f>IFERROR(__xludf.DUMMYFUNCTION("""COMPUTED_VALUE"""),348.2)</f>
        <v>348.2</v>
      </c>
    </row>
    <row r="518">
      <c r="A518" s="16" t="str">
        <f>IFERROR(__xludf.DUMMYFUNCTION("""COMPUTED_VALUE"""),"Какао/капучино")</f>
        <v>Какао/капучино</v>
      </c>
      <c r="B518" s="7" t="str">
        <f>IFERROR(__xludf.DUMMYFUNCTION("""COMPUTED_VALUE"""),"GREEN &amp; BLACK'""S ORGANIC")</f>
        <v>GREEN &amp; BLACK'"S ORGANIC</v>
      </c>
      <c r="C518" s="12">
        <f>IFERROR(__xludf.DUMMYFUNCTION("""COMPUTED_VALUE"""),100.0)</f>
        <v>100</v>
      </c>
      <c r="D518" s="7">
        <f>IFERROR(__xludf.DUMMYFUNCTION("""COMPUTED_VALUE"""),22.0)</f>
        <v>22</v>
      </c>
      <c r="E518" s="16">
        <f>IFERROR(__xludf.DUMMYFUNCTION("""COMPUTED_VALUE"""),19.0)</f>
        <v>19</v>
      </c>
      <c r="F518" s="16">
        <f>IFERROR(__xludf.DUMMYFUNCTION("""COMPUTED_VALUE"""),21.0)</f>
        <v>21</v>
      </c>
      <c r="G518" s="16">
        <f>IFERROR(__xludf.DUMMYFUNCTION("""COMPUTED_VALUE"""),27.0)</f>
        <v>27</v>
      </c>
      <c r="H518" s="23">
        <f>IFERROR(__xludf.DUMMYFUNCTION("""COMPUTED_VALUE"""),353.0)</f>
        <v>353</v>
      </c>
    </row>
    <row r="519">
      <c r="A519" s="16" t="str">
        <f>IFERROR(__xludf.DUMMYFUNCTION("""COMPUTED_VALUE"""),"Какао/капучино")</f>
        <v>Какао/капучино</v>
      </c>
      <c r="B519" s="7" t="str">
        <f>IFERROR(__xludf.DUMMYFUNCTION("""COMPUTED_VALUE"""),"Nesquik - разтворима какаова напитка")</f>
        <v>Nesquik - разтворима какаова напитка</v>
      </c>
      <c r="C519" s="12">
        <f>IFERROR(__xludf.DUMMYFUNCTION("""COMPUTED_VALUE"""),100.0)</f>
        <v>100</v>
      </c>
      <c r="D519" s="7">
        <f>IFERROR(__xludf.DUMMYFUNCTION("""COMPUTED_VALUE"""),5.0)</f>
        <v>5</v>
      </c>
      <c r="E519" s="16">
        <f>IFERROR(__xludf.DUMMYFUNCTION("""COMPUTED_VALUE"""),80.0)</f>
        <v>80</v>
      </c>
      <c r="F519" s="16">
        <f>IFERROR(__xludf.DUMMYFUNCTION("""COMPUTED_VALUE"""),3.3)</f>
        <v>3.3</v>
      </c>
      <c r="G519" s="16">
        <f>IFERROR(__xludf.DUMMYFUNCTION("""COMPUTED_VALUE"""),6.8)</f>
        <v>6.8</v>
      </c>
      <c r="H519" s="23">
        <f>IFERROR(__xludf.DUMMYFUNCTION("""COMPUTED_VALUE"""),369.7)</f>
        <v>369.7</v>
      </c>
    </row>
    <row r="520">
      <c r="A520" s="16" t="str">
        <f>IFERROR(__xludf.DUMMYFUNCTION("""COMPUTED_VALUE"""),"Какао/капучино")</f>
        <v>Какао/капучино</v>
      </c>
      <c r="B520" s="7" t="str">
        <f>IFERROR(__xludf.DUMMYFUNCTION("""COMPUTED_VALUE"""),"Капучино Nescafe Cold - безкофеин")</f>
        <v>Капучино Nescafe Cold - безкофеин</v>
      </c>
      <c r="C520" s="12">
        <f>IFERROR(__xludf.DUMMYFUNCTION("""COMPUTED_VALUE"""),100.0)</f>
        <v>100</v>
      </c>
      <c r="D520" s="7">
        <f>IFERROR(__xludf.DUMMYFUNCTION("""COMPUTED_VALUE"""),0.6)</f>
        <v>0.6</v>
      </c>
      <c r="E520" s="16">
        <f>IFERROR(__xludf.DUMMYFUNCTION("""COMPUTED_VALUE"""),4.6)</f>
        <v>4.6</v>
      </c>
      <c r="F520" s="16">
        <f>IFERROR(__xludf.DUMMYFUNCTION("""COMPUTED_VALUE"""),0.5)</f>
        <v>0.5</v>
      </c>
      <c r="G520" s="16">
        <f>IFERROR(__xludf.DUMMYFUNCTION("""COMPUTED_VALUE"""),0.3)</f>
        <v>0.3</v>
      </c>
      <c r="H520" s="16">
        <f>IFERROR(__xludf.DUMMYFUNCTION("""COMPUTED_VALUE"""),25.299999999999997)</f>
        <v>25.3</v>
      </c>
    </row>
    <row r="521">
      <c r="A521" s="16" t="str">
        <f>IFERROR(__xludf.DUMMYFUNCTION("""COMPUTED_VALUE"""),"Какао/капучино")</f>
        <v>Какао/капучино</v>
      </c>
      <c r="B521" s="7" t="str">
        <f>IFERROR(__xludf.DUMMYFUNCTION("""COMPUTED_VALUE"""),"Nescafe GOLD капучино без кофеин")</f>
        <v>Nescafe GOLD капучино без кофеин</v>
      </c>
      <c r="C521" s="12">
        <f>IFERROR(__xludf.DUMMYFUNCTION("""COMPUTED_VALUE"""),100.0)</f>
        <v>100</v>
      </c>
      <c r="D521" s="7">
        <f>IFERROR(__xludf.DUMMYFUNCTION("""COMPUTED_VALUE"""),0.6)</f>
        <v>0.6</v>
      </c>
      <c r="E521" s="16">
        <f>IFERROR(__xludf.DUMMYFUNCTION("""COMPUTED_VALUE"""),4.6)</f>
        <v>4.6</v>
      </c>
      <c r="F521" s="16">
        <f>IFERROR(__xludf.DUMMYFUNCTION("""COMPUTED_VALUE"""),0.5)</f>
        <v>0.5</v>
      </c>
      <c r="G521" s="16">
        <f>IFERROR(__xludf.DUMMYFUNCTION("""COMPUTED_VALUE"""),0.3)</f>
        <v>0.3</v>
      </c>
      <c r="H521" s="16">
        <f>IFERROR(__xludf.DUMMYFUNCTION("""COMPUTED_VALUE"""),25.299999999999997)</f>
        <v>25.3</v>
      </c>
    </row>
    <row r="522">
      <c r="A522" s="16" t="str">
        <f>IFERROR(__xludf.DUMMYFUNCTION("""COMPUTED_VALUE"""),"Какао/капучино")</f>
        <v>Какао/капучино</v>
      </c>
      <c r="B522" s="7" t="str">
        <f>IFERROR(__xludf.DUMMYFUNCTION("""COMPUTED_VALUE"""),"Nescafe 3в1 (16грама)")</f>
        <v>Nescafe 3в1 (16грама)</v>
      </c>
      <c r="C522" s="12">
        <f>IFERROR(__xludf.DUMMYFUNCTION("""COMPUTED_VALUE"""),100.0)</f>
        <v>100</v>
      </c>
      <c r="D522" s="7">
        <f>IFERROR(__xludf.DUMMYFUNCTION("""COMPUTED_VALUE"""),0.3)</f>
        <v>0.3</v>
      </c>
      <c r="E522" s="16">
        <f>IFERROR(__xludf.DUMMYFUNCTION("""COMPUTED_VALUE"""),12.1)</f>
        <v>12.1</v>
      </c>
      <c r="F522" s="16">
        <f>IFERROR(__xludf.DUMMYFUNCTION("""COMPUTED_VALUE"""),1.9)</f>
        <v>1.9</v>
      </c>
      <c r="G522" s="16">
        <f>IFERROR(__xludf.DUMMYFUNCTION("""COMPUTED_VALUE"""),0.0)</f>
        <v>0</v>
      </c>
      <c r="H522" s="23">
        <f>IFERROR(__xludf.DUMMYFUNCTION("""COMPUTED_VALUE"""),66.7)</f>
        <v>66.7</v>
      </c>
    </row>
    <row r="523">
      <c r="A523" s="16" t="str">
        <f>IFERROR(__xludf.DUMMYFUNCTION("""COMPUTED_VALUE"""),"Какао/капучино")</f>
        <v>Какао/капучино</v>
      </c>
      <c r="B523" s="7" t="str">
        <f>IFERROR(__xludf.DUMMYFUNCTION("""COMPUTED_VALUE"""),"Latte Macchiato")</f>
        <v>Latte Macchiato</v>
      </c>
      <c r="C523" s="12">
        <f>IFERROR(__xludf.DUMMYFUNCTION("""COMPUTED_VALUE"""),100.0)</f>
        <v>100</v>
      </c>
      <c r="D523" s="7">
        <f>IFERROR(__xludf.DUMMYFUNCTION("""COMPUTED_VALUE"""),2.7)</f>
        <v>2.7</v>
      </c>
      <c r="E523" s="16">
        <f>IFERROR(__xludf.DUMMYFUNCTION("""COMPUTED_VALUE"""),7.4)</f>
        <v>7.4</v>
      </c>
      <c r="F523" s="16">
        <f>IFERROR(__xludf.DUMMYFUNCTION("""COMPUTED_VALUE"""),3.9)</f>
        <v>3.9</v>
      </c>
      <c r="G523" s="16">
        <f>IFERROR(__xludf.DUMMYFUNCTION("""COMPUTED_VALUE"""),0.0)</f>
        <v>0</v>
      </c>
      <c r="H523" s="16">
        <f>IFERROR(__xludf.DUMMYFUNCTION("""COMPUTED_VALUE"""),75.5)</f>
        <v>75.5</v>
      </c>
    </row>
    <row r="524">
      <c r="A524" s="16" t="str">
        <f>IFERROR(__xludf.DUMMYFUNCTION("""COMPUTED_VALUE"""),"Какао/капучино")</f>
        <v>Какао/капучино</v>
      </c>
      <c r="B524" s="7" t="str">
        <f>IFERROR(__xludf.DUMMYFUNCTION("""COMPUTED_VALUE"""),"2в1 Jacobs Classic")</f>
        <v>2в1 Jacobs Classic</v>
      </c>
      <c r="C524" s="12">
        <f>IFERROR(__xludf.DUMMYFUNCTION("""COMPUTED_VALUE"""),100.0)</f>
        <v>100</v>
      </c>
      <c r="D524" s="7">
        <f>IFERROR(__xludf.DUMMYFUNCTION("""COMPUTED_VALUE"""),7.1)</f>
        <v>7.1</v>
      </c>
      <c r="E524" s="16">
        <f>IFERROR(__xludf.DUMMYFUNCTION("""COMPUTED_VALUE"""),72.0)</f>
        <v>72</v>
      </c>
      <c r="F524" s="16">
        <f>IFERROR(__xludf.DUMMYFUNCTION("""COMPUTED_VALUE"""),9.0)</f>
        <v>9</v>
      </c>
      <c r="G524" s="16">
        <f>IFERROR(__xludf.DUMMYFUNCTION("""COMPUTED_VALUE"""),2.5)</f>
        <v>2.5</v>
      </c>
      <c r="H524" s="16">
        <f>IFERROR(__xludf.DUMMYFUNCTION("""COMPUTED_VALUE"""),397.4)</f>
        <v>397.4</v>
      </c>
    </row>
    <row r="525">
      <c r="A525" s="16" t="str">
        <f>IFERROR(__xludf.DUMMYFUNCTION("""COMPUTED_VALUE"""),"Какао/капучино")</f>
        <v>Какао/капучино</v>
      </c>
      <c r="B525" s="7" t="str">
        <f>IFERROR(__xludf.DUMMYFUNCTION("""COMPUTED_VALUE"""),"Nescafe 3 in 1")</f>
        <v>Nescafe 3 in 1</v>
      </c>
      <c r="C525" s="12">
        <f>IFERROR(__xludf.DUMMYFUNCTION("""COMPUTED_VALUE"""),100.0)</f>
        <v>100</v>
      </c>
      <c r="D525" s="7">
        <f>IFERROR(__xludf.DUMMYFUNCTION("""COMPUTED_VALUE"""),1.3)</f>
        <v>1.3</v>
      </c>
      <c r="E525" s="16">
        <f>IFERROR(__xludf.DUMMYFUNCTION("""COMPUTED_VALUE"""),75.4)</f>
        <v>75.4</v>
      </c>
      <c r="F525" s="16">
        <f>IFERROR(__xludf.DUMMYFUNCTION("""COMPUTED_VALUE"""),13.2)</f>
        <v>13.2</v>
      </c>
      <c r="G525" s="16">
        <f>IFERROR(__xludf.DUMMYFUNCTION("""COMPUTED_VALUE"""),2.6)</f>
        <v>2.6</v>
      </c>
      <c r="H525" s="16">
        <f>IFERROR(__xludf.DUMMYFUNCTION("""COMPUTED_VALUE"""),425.6)</f>
        <v>425.6</v>
      </c>
    </row>
    <row r="526">
      <c r="A526" s="16" t="str">
        <f>IFERROR(__xludf.DUMMYFUNCTION("""COMPUTED_VALUE"""),"Какао/капучино")</f>
        <v>Какао/капучино</v>
      </c>
      <c r="B526" s="7" t="str">
        <f>IFERROR(__xludf.DUMMYFUNCTION("""COMPUTED_VALUE"""),"3в1 Jacobs Caramel")</f>
        <v>3в1 Jacobs Caramel</v>
      </c>
      <c r="C526" s="12">
        <f>IFERROR(__xludf.DUMMYFUNCTION("""COMPUTED_VALUE"""),100.0)</f>
        <v>100</v>
      </c>
      <c r="D526" s="7">
        <f>IFERROR(__xludf.DUMMYFUNCTION("""COMPUTED_VALUE"""),1.5)</f>
        <v>1.5</v>
      </c>
      <c r="E526" s="16">
        <f>IFERROR(__xludf.DUMMYFUNCTION("""COMPUTED_VALUE"""),81.0)</f>
        <v>81</v>
      </c>
      <c r="F526" s="16">
        <f>IFERROR(__xludf.DUMMYFUNCTION("""COMPUTED_VALUE"""),12.0)</f>
        <v>12</v>
      </c>
      <c r="G526" s="16">
        <f>IFERROR(__xludf.DUMMYFUNCTION("""COMPUTED_VALUE"""),1.2)</f>
        <v>1.2</v>
      </c>
      <c r="H526" s="16">
        <f>IFERROR(__xludf.DUMMYFUNCTION("""COMPUTED_VALUE"""),438.0)</f>
        <v>438</v>
      </c>
    </row>
    <row r="527">
      <c r="A527" s="16" t="str">
        <f>IFERROR(__xludf.DUMMYFUNCTION("""COMPUTED_VALUE"""),"Консервирани")</f>
        <v>Консервирани</v>
      </c>
      <c r="B527" s="7" t="str">
        <f>IFERROR(__xludf.DUMMYFUNCTION("""COMPUTED_VALUE"""),"Deroni - едро смляна лютеница.")</f>
        <v>Deroni - едро смляна лютеница.</v>
      </c>
      <c r="C527" s="12">
        <f>IFERROR(__xludf.DUMMYFUNCTION("""COMPUTED_VALUE"""),100.0)</f>
        <v>100</v>
      </c>
      <c r="D527" s="7">
        <f>IFERROR(__xludf.DUMMYFUNCTION("""COMPUTED_VALUE"""),1.7)</f>
        <v>1.7</v>
      </c>
      <c r="E527" s="16">
        <f>IFERROR(__xludf.DUMMYFUNCTION("""COMPUTED_VALUE"""),16.0)</f>
        <v>16</v>
      </c>
      <c r="F527" s="16">
        <f>IFERROR(__xludf.DUMMYFUNCTION("""COMPUTED_VALUE"""),8.9)</f>
        <v>8.9</v>
      </c>
      <c r="G527" s="16">
        <f>IFERROR(__xludf.DUMMYFUNCTION("""COMPUTED_VALUE"""),0.0)</f>
        <v>0</v>
      </c>
      <c r="H527" s="16">
        <f>IFERROR(__xludf.DUMMYFUNCTION("""COMPUTED_VALUE"""),150.9)</f>
        <v>150.9</v>
      </c>
    </row>
    <row r="528">
      <c r="A528" s="16" t="str">
        <f>IFERROR(__xludf.DUMMYFUNCTION("""COMPUTED_VALUE"""),"Консервирани")</f>
        <v>Консервирани</v>
      </c>
      <c r="B528" s="7" t="str">
        <f>IFERROR(__xludf.DUMMYFUNCTION("""COMPUTED_VALUE"""),"Червено цвекло (настъргано в буркан)")</f>
        <v>Червено цвекло (настъргано в буркан)</v>
      </c>
      <c r="C528" s="12">
        <f>IFERROR(__xludf.DUMMYFUNCTION("""COMPUTED_VALUE"""),100.0)</f>
        <v>100</v>
      </c>
      <c r="D528" s="7">
        <f>IFERROR(__xludf.DUMMYFUNCTION("""COMPUTED_VALUE"""),1.5)</f>
        <v>1.5</v>
      </c>
      <c r="E528" s="16">
        <f>IFERROR(__xludf.DUMMYFUNCTION("""COMPUTED_VALUE"""),11.0)</f>
        <v>11</v>
      </c>
      <c r="F528" s="16">
        <f>IFERROR(__xludf.DUMMYFUNCTION("""COMPUTED_VALUE"""),0.1)</f>
        <v>0.1</v>
      </c>
      <c r="G528" s="16">
        <f>IFERROR(__xludf.DUMMYFUNCTION("""COMPUTED_VALUE"""),0.0)</f>
        <v>0</v>
      </c>
      <c r="H528" s="16">
        <f>IFERROR(__xludf.DUMMYFUNCTION("""COMPUTED_VALUE"""),50.9)</f>
        <v>50.9</v>
      </c>
    </row>
    <row r="529">
      <c r="A529" s="16" t="str">
        <f>IFERROR(__xludf.DUMMYFUNCTION("""COMPUTED_VALUE"""),"Кореноплодни зеленчуци")</f>
        <v>Кореноплодни зеленчуци</v>
      </c>
      <c r="B529" s="7" t="str">
        <f>IFERROR(__xludf.DUMMYFUNCTION("""COMPUTED_VALUE"""),"Картофи (сурово състояние)")</f>
        <v>Картофи (сурово състояние)</v>
      </c>
      <c r="C529" s="12">
        <f>IFERROR(__xludf.DUMMYFUNCTION("""COMPUTED_VALUE"""),100.0)</f>
        <v>100</v>
      </c>
      <c r="D529" s="7">
        <f>IFERROR(__xludf.DUMMYFUNCTION("""COMPUTED_VALUE"""),2.0)</f>
        <v>2</v>
      </c>
      <c r="E529" s="16">
        <f>IFERROR(__xludf.DUMMYFUNCTION("""COMPUTED_VALUE"""),18.4)</f>
        <v>18.4</v>
      </c>
      <c r="F529" s="16">
        <f>IFERROR(__xludf.DUMMYFUNCTION("""COMPUTED_VALUE"""),0.1)</f>
        <v>0.1</v>
      </c>
      <c r="G529" s="16">
        <f>IFERROR(__xludf.DUMMYFUNCTION("""COMPUTED_VALUE"""),2.2)</f>
        <v>2.2</v>
      </c>
      <c r="H529" s="23">
        <f>IFERROR(__xludf.DUMMYFUNCTION("""COMPUTED_VALUE"""),82.5)</f>
        <v>82.5</v>
      </c>
    </row>
    <row r="530">
      <c r="A530" s="16" t="str">
        <f>IFERROR(__xludf.DUMMYFUNCTION("""COMPUTED_VALUE"""),"Кореноплодни зеленчуци")</f>
        <v>Кореноплодни зеленчуци</v>
      </c>
      <c r="B530" s="7" t="str">
        <f>IFERROR(__xludf.DUMMYFUNCTION("""COMPUTED_VALUE"""),"Картофи (варено състояние)")</f>
        <v>Картофи (варено състояние)</v>
      </c>
      <c r="C530" s="12" t="str">
        <f>IFERROR(__xludf.DUMMYFUNCTION("""COMPUTED_VALUE"""),"100")</f>
        <v>100</v>
      </c>
      <c r="D530" s="7">
        <f>IFERROR(__xludf.DUMMYFUNCTION("""COMPUTED_VALUE"""),1.5)</f>
        <v>1.5</v>
      </c>
      <c r="E530" s="16">
        <f>IFERROR(__xludf.DUMMYFUNCTION("""COMPUTED_VALUE"""),20.0)</f>
        <v>20</v>
      </c>
      <c r="F530" s="16">
        <f>IFERROR(__xludf.DUMMYFUNCTION("""COMPUTED_VALUE"""),0.0)</f>
        <v>0</v>
      </c>
      <c r="G530" s="16">
        <f>IFERROR(__xludf.DUMMYFUNCTION("""COMPUTED_VALUE"""),2.0)</f>
        <v>2</v>
      </c>
      <c r="H530" s="23">
        <f>IFERROR(__xludf.DUMMYFUNCTION("""COMPUTED_VALUE"""),86.0)</f>
        <v>86</v>
      </c>
    </row>
    <row r="531">
      <c r="A531" s="16" t="str">
        <f>IFERROR(__xludf.DUMMYFUNCTION("""COMPUTED_VALUE"""),"Кореноплодни зеленчуци")</f>
        <v>Кореноплодни зеленчуци</v>
      </c>
      <c r="B531" s="7" t="str">
        <f>IFERROR(__xludf.DUMMYFUNCTION("""COMPUTED_VALUE"""),"Моркови (сурово състояние)")</f>
        <v>Моркови (сурово състояние)</v>
      </c>
      <c r="C531" s="12">
        <f>IFERROR(__xludf.DUMMYFUNCTION("""COMPUTED_VALUE"""),100.0)</f>
        <v>100</v>
      </c>
      <c r="D531" s="7">
        <f>IFERROR(__xludf.DUMMYFUNCTION("""COMPUTED_VALUE"""),0.9)</f>
        <v>0.9</v>
      </c>
      <c r="E531" s="16">
        <f>IFERROR(__xludf.DUMMYFUNCTION("""COMPUTED_VALUE"""),9.58)</f>
        <v>9.58</v>
      </c>
      <c r="F531" s="16">
        <f>IFERROR(__xludf.DUMMYFUNCTION("""COMPUTED_VALUE"""),0.2)</f>
        <v>0.2</v>
      </c>
      <c r="G531" s="16">
        <f>IFERROR(__xludf.DUMMYFUNCTION("""COMPUTED_VALUE"""),2.9)</f>
        <v>2.9</v>
      </c>
      <c r="H531" s="23">
        <f>IFERROR(__xludf.DUMMYFUNCTION("""COMPUTED_VALUE"""),43.72)</f>
        <v>43.72</v>
      </c>
    </row>
    <row r="532">
      <c r="A532" s="16" t="str">
        <f>IFERROR(__xludf.DUMMYFUNCTION("""COMPUTED_VALUE"""),"Кореноплодни зеленчуци")</f>
        <v>Кореноплодни зеленчуци</v>
      </c>
      <c r="B532" s="7" t="str">
        <f>IFERROR(__xludf.DUMMYFUNCTION("""COMPUTED_VALUE"""),"Репички (сурово състояние)")</f>
        <v>Репички (сурово състояние)</v>
      </c>
      <c r="C532" s="12">
        <f>IFERROR(__xludf.DUMMYFUNCTION("""COMPUTED_VALUE"""),100.0)</f>
        <v>100</v>
      </c>
      <c r="D532" s="7">
        <f>IFERROR(__xludf.DUMMYFUNCTION("""COMPUTED_VALUE"""),0.6799999999999999)</f>
        <v>0.68</v>
      </c>
      <c r="E532" s="16">
        <f>IFERROR(__xludf.DUMMYFUNCTION("""COMPUTED_VALUE"""),3.5)</f>
        <v>3.5</v>
      </c>
      <c r="F532" s="16">
        <f>IFERROR(__xludf.DUMMYFUNCTION("""COMPUTED_VALUE"""),0.1)</f>
        <v>0.1</v>
      </c>
      <c r="G532" s="16">
        <f>IFERROR(__xludf.DUMMYFUNCTION("""COMPUTED_VALUE"""),1.6)</f>
        <v>1.6</v>
      </c>
      <c r="H532" s="23">
        <f>IFERROR(__xludf.DUMMYFUNCTION("""COMPUTED_VALUE"""),17.619999999999997)</f>
        <v>17.62</v>
      </c>
    </row>
    <row r="533">
      <c r="A533" s="16" t="str">
        <f>IFERROR(__xludf.DUMMYFUNCTION("""COMPUTED_VALUE"""),"Кореноплодни зеленчуци")</f>
        <v>Кореноплодни зеленчуци</v>
      </c>
      <c r="B533" s="7" t="str">
        <f>IFERROR(__xludf.DUMMYFUNCTION("""COMPUTED_VALUE"""),"Ряпа (сурово състояние)")</f>
        <v>Ряпа (сурово състояние)</v>
      </c>
      <c r="C533" s="12">
        <f>IFERROR(__xludf.DUMMYFUNCTION("""COMPUTED_VALUE"""),100.0)</f>
        <v>100</v>
      </c>
      <c r="D533" s="7">
        <f>IFERROR(__xludf.DUMMYFUNCTION("""COMPUTED_VALUE"""),0.8999999999999999)</f>
        <v>0.9</v>
      </c>
      <c r="E533" s="16">
        <f>IFERROR(__xludf.DUMMYFUNCTION("""COMPUTED_VALUE"""),6.43)</f>
        <v>6.43</v>
      </c>
      <c r="F533" s="16">
        <f>IFERROR(__xludf.DUMMYFUNCTION("""COMPUTED_VALUE"""),0.1)</f>
        <v>0.1</v>
      </c>
      <c r="G533" s="16">
        <f>IFERROR(__xludf.DUMMYFUNCTION("""COMPUTED_VALUE"""),1.8)</f>
        <v>1.8</v>
      </c>
      <c r="H533" s="23">
        <f>IFERROR(__xludf.DUMMYFUNCTION("""COMPUTED_VALUE"""),30.22)</f>
        <v>30.22</v>
      </c>
    </row>
    <row r="534">
      <c r="A534" s="16" t="str">
        <f>IFERROR(__xludf.DUMMYFUNCTION("""COMPUTED_VALUE"""),"Кореноплодни зеленчуци")</f>
        <v>Кореноплодни зеленчуци</v>
      </c>
      <c r="B534" s="7" t="str">
        <f>IFERROR(__xludf.DUMMYFUNCTION("""COMPUTED_VALUE"""),"Сладък картоф (сурово състояние)")</f>
        <v>Сладък картоф (сурово състояние)</v>
      </c>
      <c r="C534" s="12">
        <f>IFERROR(__xludf.DUMMYFUNCTION("""COMPUTED_VALUE"""),100.0)</f>
        <v>100</v>
      </c>
      <c r="D534" s="7">
        <f>IFERROR(__xludf.DUMMYFUNCTION("""COMPUTED_VALUE"""),1.5699999999999998)</f>
        <v>1.57</v>
      </c>
      <c r="E534" s="16">
        <f>IFERROR(__xludf.DUMMYFUNCTION("""COMPUTED_VALUE"""),20.1)</f>
        <v>20.1</v>
      </c>
      <c r="F534" s="16">
        <f>IFERROR(__xludf.DUMMYFUNCTION("""COMPUTED_VALUE"""),0.1)</f>
        <v>0.1</v>
      </c>
      <c r="G534" s="16">
        <f>IFERROR(__xludf.DUMMYFUNCTION("""COMPUTED_VALUE"""),3.0)</f>
        <v>3</v>
      </c>
      <c r="H534" s="23">
        <f>IFERROR(__xludf.DUMMYFUNCTION("""COMPUTED_VALUE"""),87.58000000000001)</f>
        <v>87.58</v>
      </c>
    </row>
    <row r="535">
      <c r="A535" s="16" t="str">
        <f>IFERROR(__xludf.DUMMYFUNCTION("""COMPUTED_VALUE"""),"Кореноплодни зеленчуци")</f>
        <v>Кореноплодни зеленчуци</v>
      </c>
      <c r="B535" s="7" t="str">
        <f>IFERROR(__xludf.DUMMYFUNCTION("""COMPUTED_VALUE"""),"Цвекло (сурово състояние)")</f>
        <v>Цвекло (сурово състояние)</v>
      </c>
      <c r="C535" s="12">
        <f>IFERROR(__xludf.DUMMYFUNCTION("""COMPUTED_VALUE"""),100.0)</f>
        <v>100</v>
      </c>
      <c r="D535" s="7">
        <f>IFERROR(__xludf.DUMMYFUNCTION("""COMPUTED_VALUE"""),1.6099999999999999)</f>
        <v>1.61</v>
      </c>
      <c r="E535" s="16">
        <f>IFERROR(__xludf.DUMMYFUNCTION("""COMPUTED_VALUE"""),9.56)</f>
        <v>9.56</v>
      </c>
      <c r="F535" s="16">
        <f>IFERROR(__xludf.DUMMYFUNCTION("""COMPUTED_VALUE"""),0.2)</f>
        <v>0.2</v>
      </c>
      <c r="G535" s="16">
        <f>IFERROR(__xludf.DUMMYFUNCTION("""COMPUTED_VALUE"""),2.8)</f>
        <v>2.8</v>
      </c>
      <c r="H535" s="23">
        <f>IFERROR(__xludf.DUMMYFUNCTION("""COMPUTED_VALUE"""),46.48)</f>
        <v>46.48</v>
      </c>
    </row>
    <row r="536">
      <c r="A536" s="16" t="str">
        <f>IFERROR(__xludf.DUMMYFUNCTION("""COMPUTED_VALUE"""),"Кореноплодни зеленчуци")</f>
        <v>Кореноплодни зеленчуци</v>
      </c>
      <c r="B536" s="7" t="str">
        <f>IFERROR(__xludf.DUMMYFUNCTION("""COMPUTED_VALUE"""),"Целина- корен (сурово състояние)")</f>
        <v>Целина- корен (сурово състояние)</v>
      </c>
      <c r="C536" s="12">
        <f>IFERROR(__xludf.DUMMYFUNCTION("""COMPUTED_VALUE"""),100.0)</f>
        <v>100</v>
      </c>
      <c r="D536" s="7">
        <f>IFERROR(__xludf.DUMMYFUNCTION("""COMPUTED_VALUE"""),1.5)</f>
        <v>1.5</v>
      </c>
      <c r="E536" s="16">
        <f>IFERROR(__xludf.DUMMYFUNCTION("""COMPUTED_VALUE"""),9.2)</f>
        <v>9.2</v>
      </c>
      <c r="F536" s="16">
        <f>IFERROR(__xludf.DUMMYFUNCTION("""COMPUTED_VALUE"""),0.3)</f>
        <v>0.3</v>
      </c>
      <c r="G536" s="16">
        <f>IFERROR(__xludf.DUMMYFUNCTION("""COMPUTED_VALUE"""),1.8)</f>
        <v>1.8</v>
      </c>
      <c r="H536" s="23">
        <f>IFERROR(__xludf.DUMMYFUNCTION("""COMPUTED_VALUE"""),45.5)</f>
        <v>45.5</v>
      </c>
    </row>
    <row r="537">
      <c r="A537" s="16" t="str">
        <f>IFERROR(__xludf.DUMMYFUNCTION("""COMPUTED_VALUE"""),"Кореноплодни зеленчуци")</f>
        <v>Кореноплодни зеленчуци</v>
      </c>
      <c r="B537" s="7" t="str">
        <f>IFERROR(__xludf.DUMMYFUNCTION("""COMPUTED_VALUE"""),"Сладък картоф (варен)")</f>
        <v>Сладък картоф (варен)</v>
      </c>
      <c r="C537" s="12">
        <f>IFERROR(__xludf.DUMMYFUNCTION("""COMPUTED_VALUE"""),100.0)</f>
        <v>100</v>
      </c>
      <c r="D537" s="7">
        <f>IFERROR(__xludf.DUMMYFUNCTION("""COMPUTED_VALUE"""),1.49)</f>
        <v>1.49</v>
      </c>
      <c r="E537" s="16">
        <f>IFERROR(__xludf.DUMMYFUNCTION("""COMPUTED_VALUE"""),27.48)</f>
        <v>27.48</v>
      </c>
      <c r="F537" s="16">
        <f>IFERROR(__xludf.DUMMYFUNCTION("""COMPUTED_VALUE"""),0.14)</f>
        <v>0.14</v>
      </c>
      <c r="G537" s="16">
        <f>IFERROR(__xludf.DUMMYFUNCTION("""COMPUTED_VALUE"""),3.9)</f>
        <v>3.9</v>
      </c>
      <c r="H537" s="23">
        <f>IFERROR(__xludf.DUMMYFUNCTION("""COMPUTED_VALUE"""),117.14)</f>
        <v>117.14</v>
      </c>
    </row>
    <row r="538">
      <c r="A538" s="16" t="str">
        <f>IFERROR(__xludf.DUMMYFUNCTION("""COMPUTED_VALUE"""),"Кореноплодни зеленчуци")</f>
        <v>Кореноплодни зеленчуци</v>
      </c>
      <c r="B538" s="7" t="str">
        <f>IFERROR(__xludf.DUMMYFUNCTION("""COMPUTED_VALUE"""),"Картофи Уеджис / Пикантни по селски - Фантастико")</f>
        <v>Картофи Уеджис / Пикантни по селски - Фантастико</v>
      </c>
      <c r="C538" s="12">
        <f>IFERROR(__xludf.DUMMYFUNCTION("""COMPUTED_VALUE"""),100.0)</f>
        <v>100</v>
      </c>
      <c r="D538" s="7">
        <f>IFERROR(__xludf.DUMMYFUNCTION("""COMPUTED_VALUE"""),2.7)</f>
        <v>2.7</v>
      </c>
      <c r="E538" s="16">
        <f>IFERROR(__xludf.DUMMYFUNCTION("""COMPUTED_VALUE"""),25.5)</f>
        <v>25.5</v>
      </c>
      <c r="F538" s="16">
        <f>IFERROR(__xludf.DUMMYFUNCTION("""COMPUTED_VALUE"""),2.2)</f>
        <v>2.2</v>
      </c>
      <c r="G538" s="16">
        <f>IFERROR(__xludf.DUMMYFUNCTION("""COMPUTED_VALUE"""),0.0)</f>
        <v>0</v>
      </c>
      <c r="H538" s="23">
        <f>IFERROR(__xludf.DUMMYFUNCTION("""COMPUTED_VALUE"""),132.6)</f>
        <v>132.6</v>
      </c>
    </row>
    <row r="539">
      <c r="A539" s="16" t="str">
        <f>IFERROR(__xludf.DUMMYFUNCTION("""COMPUTED_VALUE"""),"Кореноплодни зеленчуци")</f>
        <v>Кореноплодни зеленчуци</v>
      </c>
      <c r="B539" s="7" t="str">
        <f>IFERROR(__xludf.DUMMYFUNCTION("""COMPUTED_VALUE"""),"Картофи по селски Уеджис - Лидл")</f>
        <v>Картофи по селски Уеджис - Лидл</v>
      </c>
      <c r="C539" s="12">
        <f>IFERROR(__xludf.DUMMYFUNCTION("""COMPUTED_VALUE"""),100.0)</f>
        <v>100</v>
      </c>
      <c r="D539" s="7">
        <f>IFERROR(__xludf.DUMMYFUNCTION("""COMPUTED_VALUE"""),2.6)</f>
        <v>2.6</v>
      </c>
      <c r="E539" s="16">
        <f>IFERROR(__xludf.DUMMYFUNCTION("""COMPUTED_VALUE"""),20.0)</f>
        <v>20</v>
      </c>
      <c r="F539" s="16">
        <f>IFERROR(__xludf.DUMMYFUNCTION("""COMPUTED_VALUE"""),3.5)</f>
        <v>3.5</v>
      </c>
      <c r="G539" s="16">
        <f>IFERROR(__xludf.DUMMYFUNCTION("""COMPUTED_VALUE"""),0.0)</f>
        <v>0</v>
      </c>
      <c r="H539" s="23">
        <f>IFERROR(__xludf.DUMMYFUNCTION("""COMPUTED_VALUE"""),121.9)</f>
        <v>121.9</v>
      </c>
    </row>
    <row r="540">
      <c r="A540" s="16" t="str">
        <f>IFERROR(__xludf.DUMMYFUNCTION("""COMPUTED_VALUE"""),"Кореноплодни зеленчуци")</f>
        <v>Кореноплодни зеленчуци</v>
      </c>
      <c r="B540" s="7" t="str">
        <f>IFERROR(__xludf.DUMMYFUNCTION("""COMPUTED_VALUE"""),"Картофени ньоки със спанак (сурово състояние)")</f>
        <v>Картофени ньоки със спанак (сурово състояние)</v>
      </c>
      <c r="C540" s="7">
        <f>IFERROR(__xludf.DUMMYFUNCTION("""COMPUTED_VALUE"""),100.0)</f>
        <v>100</v>
      </c>
      <c r="D540" s="7">
        <f>IFERROR(__xludf.DUMMYFUNCTION("""COMPUTED_VALUE"""),4.0)</f>
        <v>4</v>
      </c>
      <c r="E540" s="16">
        <f>IFERROR(__xludf.DUMMYFUNCTION("""COMPUTED_VALUE"""),35.0)</f>
        <v>35</v>
      </c>
      <c r="F540" s="16">
        <f>IFERROR(__xludf.DUMMYFUNCTION("""COMPUTED_VALUE"""),0.1)</f>
        <v>0.1</v>
      </c>
      <c r="G540" s="16">
        <f>IFERROR(__xludf.DUMMYFUNCTION("""COMPUTED_VALUE"""),1.6)</f>
        <v>1.6</v>
      </c>
      <c r="H540" s="23">
        <f>IFERROR(__xludf.DUMMYFUNCTION("""COMPUTED_VALUE"""),156.9)</f>
        <v>156.9</v>
      </c>
    </row>
    <row r="541">
      <c r="A541" s="16" t="str">
        <f>IFERROR(__xludf.DUMMYFUNCTION("""COMPUTED_VALUE"""),"Лични рецепти")</f>
        <v>Лични рецепти</v>
      </c>
      <c r="B541" s="7" t="str">
        <f>IFERROR(__xludf.DUMMYFUNCTION("""COMPUTED_VALUE"""),"Зеленчуци на фурна")</f>
        <v>Зеленчуци на фурна</v>
      </c>
      <c r="C541" s="12">
        <f>IFERROR(__xludf.DUMMYFUNCTION("""COMPUTED_VALUE"""),100.0)</f>
        <v>100</v>
      </c>
      <c r="D541" s="7">
        <f>IFERROR(__xludf.DUMMYFUNCTION("""COMPUTED_VALUE"""),1.0)</f>
        <v>1</v>
      </c>
      <c r="E541" s="16">
        <f>IFERROR(__xludf.DUMMYFUNCTION("""COMPUTED_VALUE"""),6.7)</f>
        <v>6.7</v>
      </c>
      <c r="F541" s="16">
        <f>IFERROR(__xludf.DUMMYFUNCTION("""COMPUTED_VALUE"""),4.1)</f>
        <v>4.1</v>
      </c>
      <c r="G541" s="16">
        <f>IFERROR(__xludf.DUMMYFUNCTION("""COMPUTED_VALUE"""),1.8)</f>
        <v>1.8</v>
      </c>
      <c r="H541" s="23">
        <f>IFERROR(__xludf.DUMMYFUNCTION("""COMPUTED_VALUE"""),67.7)</f>
        <v>67.7</v>
      </c>
    </row>
    <row r="542">
      <c r="A542" s="16" t="str">
        <f>IFERROR(__xludf.DUMMYFUNCTION("""COMPUTED_VALUE"""),"Масла")</f>
        <v>Масла</v>
      </c>
      <c r="B542" s="7" t="str">
        <f>IFERROR(__xludf.DUMMYFUNCTION("""COMPUTED_VALUE"""),"Зехтин")</f>
        <v>Зехтин</v>
      </c>
      <c r="C542" s="12" t="str">
        <f>IFERROR(__xludf.DUMMYFUNCTION("""COMPUTED_VALUE"""),"100")</f>
        <v>100</v>
      </c>
      <c r="D542" s="7">
        <f>IFERROR(__xludf.DUMMYFUNCTION("""COMPUTED_VALUE"""),0.0)</f>
        <v>0</v>
      </c>
      <c r="E542" s="16">
        <f>IFERROR(__xludf.DUMMYFUNCTION("""COMPUTED_VALUE"""),0.0)</f>
        <v>0</v>
      </c>
      <c r="F542" s="16">
        <f>IFERROR(__xludf.DUMMYFUNCTION("""COMPUTED_VALUE"""),92.0)</f>
        <v>92</v>
      </c>
      <c r="G542" s="16">
        <f>IFERROR(__xludf.DUMMYFUNCTION("""COMPUTED_VALUE"""),0.0)</f>
        <v>0</v>
      </c>
      <c r="H542" s="23">
        <f>IFERROR(__xludf.DUMMYFUNCTION("""COMPUTED_VALUE"""),828.0)</f>
        <v>828</v>
      </c>
    </row>
    <row r="543">
      <c r="A543" s="16" t="str">
        <f>IFERROR(__xludf.DUMMYFUNCTION("""COMPUTED_VALUE"""),"Масла")</f>
        <v>Масла</v>
      </c>
      <c r="B543" s="7" t="str">
        <f>IFERROR(__xludf.DUMMYFUNCTION("""COMPUTED_VALUE"""),"Сусамово олио")</f>
        <v>Сусамово олио</v>
      </c>
      <c r="C543" s="12">
        <f>IFERROR(__xludf.DUMMYFUNCTION("""COMPUTED_VALUE"""),100.0)</f>
        <v>100</v>
      </c>
      <c r="D543" s="7">
        <f>IFERROR(__xludf.DUMMYFUNCTION("""COMPUTED_VALUE"""),0.0)</f>
        <v>0</v>
      </c>
      <c r="E543" s="16">
        <f>IFERROR(__xludf.DUMMYFUNCTION("""COMPUTED_VALUE"""),0.0)</f>
        <v>0</v>
      </c>
      <c r="F543" s="16">
        <f>IFERROR(__xludf.DUMMYFUNCTION("""COMPUTED_VALUE"""),100.0)</f>
        <v>100</v>
      </c>
      <c r="G543" s="16">
        <f>IFERROR(__xludf.DUMMYFUNCTION("""COMPUTED_VALUE"""),0.0)</f>
        <v>0</v>
      </c>
      <c r="H543" s="23">
        <f>IFERROR(__xludf.DUMMYFUNCTION("""COMPUTED_VALUE"""),900.0)</f>
        <v>900</v>
      </c>
    </row>
    <row r="544">
      <c r="A544" s="16" t="str">
        <f>IFERROR(__xludf.DUMMYFUNCTION("""COMPUTED_VALUE"""),"Масла")</f>
        <v>Масла</v>
      </c>
      <c r="B544" s="7" t="str">
        <f>IFERROR(__xludf.DUMMYFUNCTION("""COMPUTED_VALUE"""),"Спрей за готвене")</f>
        <v>Спрей за готвене</v>
      </c>
      <c r="C544" s="12">
        <f>IFERROR(__xludf.DUMMYFUNCTION("""COMPUTED_VALUE"""),100.0)</f>
        <v>100</v>
      </c>
      <c r="D544" s="7"/>
      <c r="E544" s="16"/>
      <c r="F544" s="16"/>
      <c r="G544" s="16"/>
      <c r="H544" s="23">
        <f>IFERROR(__xludf.DUMMYFUNCTION("""COMPUTED_VALUE"""),0.0)</f>
        <v>0</v>
      </c>
    </row>
    <row r="545">
      <c r="A545" s="16" t="str">
        <f>IFERROR(__xludf.DUMMYFUNCTION("""COMPUTED_VALUE"""),"Масла")</f>
        <v>Масла</v>
      </c>
      <c r="B545" s="7" t="str">
        <f>IFERROR(__xludf.DUMMYFUNCTION("""COMPUTED_VALUE"""),"Кокосово олио")</f>
        <v>Кокосово олио</v>
      </c>
      <c r="C545" s="12" t="str">
        <f>IFERROR(__xludf.DUMMYFUNCTION("""COMPUTED_VALUE"""),"100")</f>
        <v>100</v>
      </c>
      <c r="D545" s="7">
        <f>IFERROR(__xludf.DUMMYFUNCTION("""COMPUTED_VALUE"""),0.0)</f>
        <v>0</v>
      </c>
      <c r="E545" s="16">
        <f>IFERROR(__xludf.DUMMYFUNCTION("""COMPUTED_VALUE"""),0.0)</f>
        <v>0</v>
      </c>
      <c r="F545" s="16">
        <f>IFERROR(__xludf.DUMMYFUNCTION("""COMPUTED_VALUE"""),100.0)</f>
        <v>100</v>
      </c>
      <c r="G545" s="16">
        <f>IFERROR(__xludf.DUMMYFUNCTION("""COMPUTED_VALUE"""),0.0)</f>
        <v>0</v>
      </c>
      <c r="H545" s="23">
        <f>IFERROR(__xludf.DUMMYFUNCTION("""COMPUTED_VALUE"""),900.0)</f>
        <v>900</v>
      </c>
    </row>
    <row r="546">
      <c r="A546" s="16" t="str">
        <f>IFERROR(__xludf.DUMMYFUNCTION("""COMPUTED_VALUE"""),"Масла")</f>
        <v>Масла</v>
      </c>
      <c r="B546" s="7" t="str">
        <f>IFERROR(__xludf.DUMMYFUNCTION("""COMPUTED_VALUE"""),"Краве масло-82%")</f>
        <v>Краве масло-82%</v>
      </c>
      <c r="C546" s="12" t="str">
        <f>IFERROR(__xludf.DUMMYFUNCTION("""COMPUTED_VALUE"""),"100")</f>
        <v>100</v>
      </c>
      <c r="D546" s="7">
        <f>IFERROR(__xludf.DUMMYFUNCTION("""COMPUTED_VALUE"""),0.0)</f>
        <v>0</v>
      </c>
      <c r="E546" s="16">
        <f>IFERROR(__xludf.DUMMYFUNCTION("""COMPUTED_VALUE"""),0.0)</f>
        <v>0</v>
      </c>
      <c r="F546" s="16">
        <f>IFERROR(__xludf.DUMMYFUNCTION("""COMPUTED_VALUE"""),82.0)</f>
        <v>82</v>
      </c>
      <c r="G546" s="16">
        <f>IFERROR(__xludf.DUMMYFUNCTION("""COMPUTED_VALUE"""),0.0)</f>
        <v>0</v>
      </c>
      <c r="H546" s="23">
        <f>IFERROR(__xludf.DUMMYFUNCTION("""COMPUTED_VALUE"""),738.0)</f>
        <v>738</v>
      </c>
    </row>
    <row r="547">
      <c r="A547" s="16" t="str">
        <f>IFERROR(__xludf.DUMMYFUNCTION("""COMPUTED_VALUE"""),"Масла")</f>
        <v>Масла</v>
      </c>
      <c r="B547" s="7" t="str">
        <f>IFERROR(__xludf.DUMMYFUNCTION("""COMPUTED_VALUE"""),"Олио от авокадо")</f>
        <v>Олио от авокадо</v>
      </c>
      <c r="C547" s="12" t="str">
        <f>IFERROR(__xludf.DUMMYFUNCTION("""COMPUTED_VALUE"""),"100")</f>
        <v>100</v>
      </c>
      <c r="D547" s="7">
        <f>IFERROR(__xludf.DUMMYFUNCTION("""COMPUTED_VALUE"""),0.0)</f>
        <v>0</v>
      </c>
      <c r="E547" s="16">
        <f>IFERROR(__xludf.DUMMYFUNCTION("""COMPUTED_VALUE"""),0.0)</f>
        <v>0</v>
      </c>
      <c r="F547" s="16">
        <f>IFERROR(__xludf.DUMMYFUNCTION("""COMPUTED_VALUE"""),92.0)</f>
        <v>92</v>
      </c>
      <c r="G547" s="16">
        <f>IFERROR(__xludf.DUMMYFUNCTION("""COMPUTED_VALUE"""),0.0)</f>
        <v>0</v>
      </c>
      <c r="H547" s="23">
        <f>IFERROR(__xludf.DUMMYFUNCTION("""COMPUTED_VALUE"""),828.0)</f>
        <v>828</v>
      </c>
    </row>
    <row r="548">
      <c r="A548" s="16" t="str">
        <f>IFERROR(__xludf.DUMMYFUNCTION("""COMPUTED_VALUE"""),"Масла")</f>
        <v>Масла</v>
      </c>
      <c r="B548" s="7" t="str">
        <f>IFERROR(__xludf.DUMMYFUNCTION("""COMPUTED_VALUE"""),"Свинска мас")</f>
        <v>Свинска мас</v>
      </c>
      <c r="C548" s="12" t="str">
        <f>IFERROR(__xludf.DUMMYFUNCTION("""COMPUTED_VALUE"""),"100")</f>
        <v>100</v>
      </c>
      <c r="D548" s="7">
        <f>IFERROR(__xludf.DUMMYFUNCTION("""COMPUTED_VALUE"""),0.0)</f>
        <v>0</v>
      </c>
      <c r="E548" s="16">
        <f>IFERROR(__xludf.DUMMYFUNCTION("""COMPUTED_VALUE"""),0.0)</f>
        <v>0</v>
      </c>
      <c r="F548" s="16">
        <f>IFERROR(__xludf.DUMMYFUNCTION("""COMPUTED_VALUE"""),100.0)</f>
        <v>100</v>
      </c>
      <c r="G548" s="16">
        <f>IFERROR(__xludf.DUMMYFUNCTION("""COMPUTED_VALUE"""),0.0)</f>
        <v>0</v>
      </c>
      <c r="H548" s="23">
        <f>IFERROR(__xludf.DUMMYFUNCTION("""COMPUTED_VALUE"""),900.0)</f>
        <v>900</v>
      </c>
    </row>
    <row r="549">
      <c r="A549" s="16" t="str">
        <f>IFERROR(__xludf.DUMMYFUNCTION("""COMPUTED_VALUE"""),"Масла")</f>
        <v>Масла</v>
      </c>
      <c r="B549" s="7" t="str">
        <f>IFERROR(__xludf.DUMMYFUNCTION("""COMPUTED_VALUE"""),"Пaча мас")</f>
        <v>Пaча мас</v>
      </c>
      <c r="C549" s="12" t="str">
        <f>IFERROR(__xludf.DUMMYFUNCTION("""COMPUTED_VALUE"""),"100")</f>
        <v>100</v>
      </c>
      <c r="D549" s="7">
        <f>IFERROR(__xludf.DUMMYFUNCTION("""COMPUTED_VALUE"""),0.0)</f>
        <v>0</v>
      </c>
      <c r="E549" s="16">
        <f>IFERROR(__xludf.DUMMYFUNCTION("""COMPUTED_VALUE"""),0.0)</f>
        <v>0</v>
      </c>
      <c r="F549" s="16">
        <f>IFERROR(__xludf.DUMMYFUNCTION("""COMPUTED_VALUE"""),100.0)</f>
        <v>100</v>
      </c>
      <c r="G549" s="16">
        <f>IFERROR(__xludf.DUMMYFUNCTION("""COMPUTED_VALUE"""),0.0)</f>
        <v>0</v>
      </c>
      <c r="H549" s="23">
        <f>IFERROR(__xludf.DUMMYFUNCTION("""COMPUTED_VALUE"""),900.0)</f>
        <v>900</v>
      </c>
    </row>
    <row r="550">
      <c r="A550" s="16" t="str">
        <f>IFERROR(__xludf.DUMMYFUNCTION("""COMPUTED_VALUE"""),"Масла")</f>
        <v>Масла</v>
      </c>
      <c r="B550" s="7" t="str">
        <f>IFERROR(__xludf.DUMMYFUNCTION("""COMPUTED_VALUE"""),"Слънчогледово олио Vitae d'Oro")</f>
        <v>Слънчогледово олио Vitae d'Oro</v>
      </c>
      <c r="C550" s="12">
        <f>IFERROR(__xludf.DUMMYFUNCTION("""COMPUTED_VALUE"""),100.0)</f>
        <v>100</v>
      </c>
      <c r="D550" s="7">
        <f>IFERROR(__xludf.DUMMYFUNCTION("""COMPUTED_VALUE"""),0.0)</f>
        <v>0</v>
      </c>
      <c r="E550" s="16">
        <f>IFERROR(__xludf.DUMMYFUNCTION("""COMPUTED_VALUE"""),0.0)</f>
        <v>0</v>
      </c>
      <c r="F550" s="16">
        <f>IFERROR(__xludf.DUMMYFUNCTION("""COMPUTED_VALUE"""),92.0)</f>
        <v>92</v>
      </c>
      <c r="G550" s="16">
        <f>IFERROR(__xludf.DUMMYFUNCTION("""COMPUTED_VALUE"""),0.0)</f>
        <v>0</v>
      </c>
      <c r="H550" s="23">
        <f>IFERROR(__xludf.DUMMYFUNCTION("""COMPUTED_VALUE"""),828.0)</f>
        <v>828</v>
      </c>
    </row>
    <row r="551">
      <c r="A551" s="16" t="str">
        <f>IFERROR(__xludf.DUMMYFUNCTION("""COMPUTED_VALUE"""),"Масла")</f>
        <v>Масла</v>
      </c>
      <c r="B551" s="7" t="str">
        <f>IFERROR(__xludf.DUMMYFUNCTION("""COMPUTED_VALUE"""),"Масло ГХИ")</f>
        <v>Масло ГХИ</v>
      </c>
      <c r="C551" s="12">
        <f>IFERROR(__xludf.DUMMYFUNCTION("""COMPUTED_VALUE"""),100.0)</f>
        <v>100</v>
      </c>
      <c r="D551" s="7">
        <f>IFERROR(__xludf.DUMMYFUNCTION("""COMPUTED_VALUE"""),0.4)</f>
        <v>0.4</v>
      </c>
      <c r="E551" s="16">
        <f>IFERROR(__xludf.DUMMYFUNCTION("""COMPUTED_VALUE"""),0.0)</f>
        <v>0</v>
      </c>
      <c r="F551" s="16">
        <f>IFERROR(__xludf.DUMMYFUNCTION("""COMPUTED_VALUE"""),127.3)</f>
        <v>127.3</v>
      </c>
      <c r="G551" s="16">
        <f>IFERROR(__xludf.DUMMYFUNCTION("""COMPUTED_VALUE"""),0.0)</f>
        <v>0</v>
      </c>
      <c r="H551" s="23">
        <f>IFERROR(__xludf.DUMMYFUNCTION("""COMPUTED_VALUE"""),1147.3)</f>
        <v>1147.3</v>
      </c>
    </row>
    <row r="552">
      <c r="A552" s="16" t="str">
        <f>IFERROR(__xludf.DUMMYFUNCTION("""COMPUTED_VALUE"""),"Масла")</f>
        <v>Масла</v>
      </c>
      <c r="B552" s="7" t="str">
        <f>IFERROR(__xludf.DUMMYFUNCTION("""COMPUTED_VALUE"""),"Кокосово масло")</f>
        <v>Кокосово масло</v>
      </c>
      <c r="C552" s="12">
        <f>IFERROR(__xludf.DUMMYFUNCTION("""COMPUTED_VALUE"""),100.0)</f>
        <v>100</v>
      </c>
      <c r="D552" s="7">
        <f>IFERROR(__xludf.DUMMYFUNCTION("""COMPUTED_VALUE"""),0.0)</f>
        <v>0</v>
      </c>
      <c r="E552" s="16">
        <f>IFERROR(__xludf.DUMMYFUNCTION("""COMPUTED_VALUE"""),0.0)</f>
        <v>0</v>
      </c>
      <c r="F552" s="16">
        <f>IFERROR(__xludf.DUMMYFUNCTION("""COMPUTED_VALUE"""),100.0)</f>
        <v>100</v>
      </c>
      <c r="G552" s="16">
        <f>IFERROR(__xludf.DUMMYFUNCTION("""COMPUTED_VALUE"""),0.0)</f>
        <v>0</v>
      </c>
      <c r="H552" s="23">
        <f>IFERROR(__xludf.DUMMYFUNCTION("""COMPUTED_VALUE"""),900.0)</f>
        <v>900</v>
      </c>
    </row>
    <row r="553">
      <c r="A553" s="16" t="str">
        <f>IFERROR(__xludf.DUMMYFUNCTION("""COMPUTED_VALUE"""),"Масла")</f>
        <v>Масла</v>
      </c>
      <c r="B553" s="7" t="str">
        <f>IFERROR(__xludf.DUMMYFUNCTION("""COMPUTED_VALUE"""),"Ленено масло")</f>
        <v>Ленено масло</v>
      </c>
      <c r="C553" s="12">
        <f>IFERROR(__xludf.DUMMYFUNCTION("""COMPUTED_VALUE"""),100.0)</f>
        <v>100</v>
      </c>
      <c r="D553" s="7">
        <f>IFERROR(__xludf.DUMMYFUNCTION("""COMPUTED_VALUE"""),0.0)</f>
        <v>0</v>
      </c>
      <c r="E553" s="16">
        <f>IFERROR(__xludf.DUMMYFUNCTION("""COMPUTED_VALUE"""),0.0)</f>
        <v>0</v>
      </c>
      <c r="F553" s="16">
        <f>IFERROR(__xludf.DUMMYFUNCTION("""COMPUTED_VALUE"""),100.0)</f>
        <v>100</v>
      </c>
      <c r="G553" s="16">
        <f>IFERROR(__xludf.DUMMYFUNCTION("""COMPUTED_VALUE"""),0.0)</f>
        <v>0</v>
      </c>
      <c r="H553" s="23">
        <f>IFERROR(__xludf.DUMMYFUNCTION("""COMPUTED_VALUE"""),900.0)</f>
        <v>900</v>
      </c>
    </row>
    <row r="554">
      <c r="A554" s="16" t="str">
        <f>IFERROR(__xludf.DUMMYFUNCTION("""COMPUTED_VALUE"""),"Масла")</f>
        <v>Масла</v>
      </c>
      <c r="B554" s="7" t="str">
        <f>IFERROR(__xludf.DUMMYFUNCTION("""COMPUTED_VALUE"""),"Какаово масло")</f>
        <v>Какаово масло</v>
      </c>
      <c r="C554" s="12">
        <f>IFERROR(__xludf.DUMMYFUNCTION("""COMPUTED_VALUE"""),100.0)</f>
        <v>100</v>
      </c>
      <c r="D554" s="7">
        <f>IFERROR(__xludf.DUMMYFUNCTION("""COMPUTED_VALUE"""),0.0)</f>
        <v>0</v>
      </c>
      <c r="E554" s="16">
        <f>IFERROR(__xludf.DUMMYFUNCTION("""COMPUTED_VALUE"""),0.0)</f>
        <v>0</v>
      </c>
      <c r="F554" s="16">
        <f>IFERROR(__xludf.DUMMYFUNCTION("""COMPUTED_VALUE"""),100.0)</f>
        <v>100</v>
      </c>
      <c r="G554" s="16">
        <f>IFERROR(__xludf.DUMMYFUNCTION("""COMPUTED_VALUE"""),0.0)</f>
        <v>0</v>
      </c>
      <c r="H554" s="23">
        <f>IFERROR(__xludf.DUMMYFUNCTION("""COMPUTED_VALUE"""),900.0)</f>
        <v>900</v>
      </c>
    </row>
    <row r="555">
      <c r="A555" s="16" t="str">
        <f>IFERROR(__xludf.DUMMYFUNCTION("""COMPUTED_VALUE"""),"Масла")</f>
        <v>Масла</v>
      </c>
      <c r="B555" s="7" t="str">
        <f>IFERROR(__xludf.DUMMYFUNCTION("""COMPUTED_VALUE"""),"Шарлан - Балчо")</f>
        <v>Шарлан - Балчо</v>
      </c>
      <c r="C555" s="12">
        <f>IFERROR(__xludf.DUMMYFUNCTION("""COMPUTED_VALUE"""),100.0)</f>
        <v>100</v>
      </c>
      <c r="D555" s="7">
        <f>IFERROR(__xludf.DUMMYFUNCTION("""COMPUTED_VALUE"""),0.0)</f>
        <v>0</v>
      </c>
      <c r="E555" s="16">
        <f>IFERROR(__xludf.DUMMYFUNCTION("""COMPUTED_VALUE"""),0.0)</f>
        <v>0</v>
      </c>
      <c r="F555" s="16">
        <f>IFERROR(__xludf.DUMMYFUNCTION("""COMPUTED_VALUE"""),99.8)</f>
        <v>99.8</v>
      </c>
      <c r="G555" s="16">
        <f>IFERROR(__xludf.DUMMYFUNCTION("""COMPUTED_VALUE"""),0.0)</f>
        <v>0</v>
      </c>
      <c r="H555" s="23">
        <f>IFERROR(__xludf.DUMMYFUNCTION("""COMPUTED_VALUE"""),898.1999999999999)</f>
        <v>898.2</v>
      </c>
    </row>
    <row r="556">
      <c r="A556" s="16" t="str">
        <f>IFERROR(__xludf.DUMMYFUNCTION("""COMPUTED_VALUE"""),"Масла")</f>
        <v>Масла</v>
      </c>
      <c r="B556" s="7" t="str">
        <f>IFERROR(__xludf.DUMMYFUNCTION("""COMPUTED_VALUE"""),"Масло без лактоза")</f>
        <v>Масло без лактоза</v>
      </c>
      <c r="C556" s="12">
        <f>IFERROR(__xludf.DUMMYFUNCTION("""COMPUTED_VALUE"""),100.0)</f>
        <v>100</v>
      </c>
      <c r="D556" s="7">
        <f>IFERROR(__xludf.DUMMYFUNCTION("""COMPUTED_VALUE"""),0.7)</f>
        <v>0.7</v>
      </c>
      <c r="E556" s="16">
        <f>IFERROR(__xludf.DUMMYFUNCTION("""COMPUTED_VALUE"""),0.6)</f>
        <v>0.6</v>
      </c>
      <c r="F556" s="16">
        <f>IFERROR(__xludf.DUMMYFUNCTION("""COMPUTED_VALUE"""),82.0)</f>
        <v>82</v>
      </c>
      <c r="G556" s="16">
        <f>IFERROR(__xludf.DUMMYFUNCTION("""COMPUTED_VALUE"""),0.0)</f>
        <v>0</v>
      </c>
      <c r="H556" s="16">
        <f>IFERROR(__xludf.DUMMYFUNCTION("""COMPUTED_VALUE"""),743.2)</f>
        <v>743.2</v>
      </c>
    </row>
    <row r="557">
      <c r="A557" s="16" t="str">
        <f>IFERROR(__xludf.DUMMYFUNCTION("""COMPUTED_VALUE"""),"Мед/конфитюри")</f>
        <v>Мед/конфитюри</v>
      </c>
      <c r="B557" s="7" t="str">
        <f>IFERROR(__xludf.DUMMYFUNCTION("""COMPUTED_VALUE"""),"Пчелен мед")</f>
        <v>Пчелен мед</v>
      </c>
      <c r="C557" s="12">
        <f>IFERROR(__xludf.DUMMYFUNCTION("""COMPUTED_VALUE"""),100.0)</f>
        <v>100</v>
      </c>
      <c r="D557" s="7">
        <f>IFERROR(__xludf.DUMMYFUNCTION("""COMPUTED_VALUE"""),0.0)</f>
        <v>0</v>
      </c>
      <c r="E557" s="16">
        <f>IFERROR(__xludf.DUMMYFUNCTION("""COMPUTED_VALUE"""),82.0)</f>
        <v>82</v>
      </c>
      <c r="F557" s="16">
        <f>IFERROR(__xludf.DUMMYFUNCTION("""COMPUTED_VALUE"""),0.0)</f>
        <v>0</v>
      </c>
      <c r="G557" s="16">
        <f>IFERROR(__xludf.DUMMYFUNCTION("""COMPUTED_VALUE"""),0.0)</f>
        <v>0</v>
      </c>
      <c r="H557" s="23">
        <f>IFERROR(__xludf.DUMMYFUNCTION("""COMPUTED_VALUE"""),328.0)</f>
        <v>328</v>
      </c>
    </row>
    <row r="558">
      <c r="A558" s="16" t="str">
        <f>IFERROR(__xludf.DUMMYFUNCTION("""COMPUTED_VALUE"""),"Мед/конфитюри")</f>
        <v>Мед/конфитюри</v>
      </c>
      <c r="B558" s="7" t="str">
        <f>IFERROR(__xludf.DUMMYFUNCTION("""COMPUTED_VALUE"""),"Конфитюр (вскякакъв вид)")</f>
        <v>Конфитюр (вскякакъв вид)</v>
      </c>
      <c r="C558" s="12">
        <f>IFERROR(__xludf.DUMMYFUNCTION("""COMPUTED_VALUE"""),100.0)</f>
        <v>100</v>
      </c>
      <c r="D558" s="7">
        <f>IFERROR(__xludf.DUMMYFUNCTION("""COMPUTED_VALUE"""),0.0)</f>
        <v>0</v>
      </c>
      <c r="E558" s="16">
        <f>IFERROR(__xludf.DUMMYFUNCTION("""COMPUTED_VALUE"""),65.0)</f>
        <v>65</v>
      </c>
      <c r="F558" s="16">
        <f>IFERROR(__xludf.DUMMYFUNCTION("""COMPUTED_VALUE"""),0.0)</f>
        <v>0</v>
      </c>
      <c r="G558" s="16">
        <f>IFERROR(__xludf.DUMMYFUNCTION("""COMPUTED_VALUE"""),0.0)</f>
        <v>0</v>
      </c>
      <c r="H558" s="23">
        <f>IFERROR(__xludf.DUMMYFUNCTION("""COMPUTED_VALUE"""),260.0)</f>
        <v>260</v>
      </c>
    </row>
    <row r="559">
      <c r="A559" s="16" t="str">
        <f>IFERROR(__xludf.DUMMYFUNCTION("""COMPUTED_VALUE"""),"Мед/конфитюри")</f>
        <v>Мед/конфитюри</v>
      </c>
      <c r="B559" s="7" t="str">
        <f>IFERROR(__xludf.DUMMYFUNCTION("""COMPUTED_VALUE"""),"Мармалад (всякакъв вид)")</f>
        <v>Мармалад (всякакъв вид)</v>
      </c>
      <c r="C559" s="12">
        <f>IFERROR(__xludf.DUMMYFUNCTION("""COMPUTED_VALUE"""),100.0)</f>
        <v>100</v>
      </c>
      <c r="D559" s="7">
        <f>IFERROR(__xludf.DUMMYFUNCTION("""COMPUTED_VALUE"""),0.0)</f>
        <v>0</v>
      </c>
      <c r="E559" s="16">
        <f>IFERROR(__xludf.DUMMYFUNCTION("""COMPUTED_VALUE"""),65.0)</f>
        <v>65</v>
      </c>
      <c r="F559" s="16">
        <f>IFERROR(__xludf.DUMMYFUNCTION("""COMPUTED_VALUE"""),0.0)</f>
        <v>0</v>
      </c>
      <c r="G559" s="16">
        <f>IFERROR(__xludf.DUMMYFUNCTION("""COMPUTED_VALUE"""),0.0)</f>
        <v>0</v>
      </c>
      <c r="H559" s="23">
        <f>IFERROR(__xludf.DUMMYFUNCTION("""COMPUTED_VALUE"""),260.0)</f>
        <v>260</v>
      </c>
    </row>
    <row r="560">
      <c r="A560" s="16" t="str">
        <f>IFERROR(__xludf.DUMMYFUNCTION("""COMPUTED_VALUE"""),"Мед/конфитюри")</f>
        <v>Мед/конфитюри</v>
      </c>
      <c r="B560" s="7" t="str">
        <f>IFERROR(__xludf.DUMMYFUNCTION("""COMPUTED_VALUE"""),"Сладко (вскякакъв вид)")</f>
        <v>Сладко (вскякакъв вид)</v>
      </c>
      <c r="C560" s="12">
        <f>IFERROR(__xludf.DUMMYFUNCTION("""COMPUTED_VALUE"""),100.0)</f>
        <v>100</v>
      </c>
      <c r="D560" s="7">
        <f>IFERROR(__xludf.DUMMYFUNCTION("""COMPUTED_VALUE"""),0.0)</f>
        <v>0</v>
      </c>
      <c r="E560" s="16">
        <f>IFERROR(__xludf.DUMMYFUNCTION("""COMPUTED_VALUE"""),65.0)</f>
        <v>65</v>
      </c>
      <c r="F560" s="16">
        <f>IFERROR(__xludf.DUMMYFUNCTION("""COMPUTED_VALUE"""),0.0)</f>
        <v>0</v>
      </c>
      <c r="G560" s="16">
        <f>IFERROR(__xludf.DUMMYFUNCTION("""COMPUTED_VALUE"""),0.0)</f>
        <v>0</v>
      </c>
      <c r="H560" s="23">
        <f>IFERROR(__xludf.DUMMYFUNCTION("""COMPUTED_VALUE"""),260.0)</f>
        <v>260</v>
      </c>
    </row>
    <row r="561">
      <c r="A561" s="16" t="str">
        <f>IFERROR(__xludf.DUMMYFUNCTION("""COMPUTED_VALUE"""),"Мед/конфитюри")</f>
        <v>Мед/конфитюри</v>
      </c>
      <c r="B561" s="7" t="str">
        <f>IFERROR(__xludf.DUMMYFUNCTION("""COMPUTED_VALUE"""),"Кленов сироп - Maple Joe")</f>
        <v>Кленов сироп - Maple Joe</v>
      </c>
      <c r="C561" s="12">
        <f>IFERROR(__xludf.DUMMYFUNCTION("""COMPUTED_VALUE"""),100.0)</f>
        <v>100</v>
      </c>
      <c r="D561" s="7">
        <f>IFERROR(__xludf.DUMMYFUNCTION("""COMPUTED_VALUE"""),0.0)</f>
        <v>0</v>
      </c>
      <c r="E561" s="16">
        <f>IFERROR(__xludf.DUMMYFUNCTION("""COMPUTED_VALUE"""),66.4)</f>
        <v>66.4</v>
      </c>
      <c r="F561" s="16">
        <f>IFERROR(__xludf.DUMMYFUNCTION("""COMPUTED_VALUE"""),0.2)</f>
        <v>0.2</v>
      </c>
      <c r="G561" s="16">
        <f>IFERROR(__xludf.DUMMYFUNCTION("""COMPUTED_VALUE"""),0.0)</f>
        <v>0</v>
      </c>
      <c r="H561" s="23">
        <f>IFERROR(__xludf.DUMMYFUNCTION("""COMPUTED_VALUE"""),267.40000000000003)</f>
        <v>267.4</v>
      </c>
    </row>
    <row r="562">
      <c r="A562" s="16" t="str">
        <f>IFERROR(__xludf.DUMMYFUNCTION("""COMPUTED_VALUE"""),"Мед/конфитюри")</f>
        <v>Мед/конфитюри</v>
      </c>
      <c r="B562" s="7" t="str">
        <f>IFERROR(__xludf.DUMMYFUNCTION("""COMPUTED_VALUE"""),"Конфитюр за диабетици")</f>
        <v>Конфитюр за диабетици</v>
      </c>
      <c r="C562" s="12">
        <f>IFERROR(__xludf.DUMMYFUNCTION("""COMPUTED_VALUE"""),100.0)</f>
        <v>100</v>
      </c>
      <c r="D562" s="7">
        <f>IFERROR(__xludf.DUMMYFUNCTION("""COMPUTED_VALUE"""),0.0)</f>
        <v>0</v>
      </c>
      <c r="E562" s="16">
        <f>IFERROR(__xludf.DUMMYFUNCTION("""COMPUTED_VALUE"""),7.0)</f>
        <v>7</v>
      </c>
      <c r="F562" s="16">
        <f>IFERROR(__xludf.DUMMYFUNCTION("""COMPUTED_VALUE"""),0.0)</f>
        <v>0</v>
      </c>
      <c r="G562" s="16">
        <f>IFERROR(__xludf.DUMMYFUNCTION("""COMPUTED_VALUE"""),0.0)</f>
        <v>0</v>
      </c>
      <c r="H562" s="23">
        <f>IFERROR(__xludf.DUMMYFUNCTION("""COMPUTED_VALUE"""),28.0)</f>
        <v>28</v>
      </c>
    </row>
    <row r="563">
      <c r="A563" s="16" t="str">
        <f>IFERROR(__xludf.DUMMYFUNCTION("""COMPUTED_VALUE"""),"Мед/конфитюри")</f>
        <v>Мед/конфитюри</v>
      </c>
      <c r="B563" s="7" t="str">
        <f>IFERROR(__xludf.DUMMYFUNCTION("""COMPUTED_VALUE"""),"Локум Сладки времена")</f>
        <v>Локум Сладки времена</v>
      </c>
      <c r="C563" s="12">
        <f>IFERROR(__xludf.DUMMYFUNCTION("""COMPUTED_VALUE"""),100.0)</f>
        <v>100</v>
      </c>
      <c r="D563" s="7">
        <f>IFERROR(__xludf.DUMMYFUNCTION("""COMPUTED_VALUE"""),0.2)</f>
        <v>0.2</v>
      </c>
      <c r="E563" s="16">
        <f>IFERROR(__xludf.DUMMYFUNCTION("""COMPUTED_VALUE"""),85.0)</f>
        <v>85</v>
      </c>
      <c r="F563" s="16">
        <f>IFERROR(__xludf.DUMMYFUNCTION("""COMPUTED_VALUE"""),0.2)</f>
        <v>0.2</v>
      </c>
      <c r="G563" s="16">
        <f>IFERROR(__xludf.DUMMYFUNCTION("""COMPUTED_VALUE"""),0.0)</f>
        <v>0</v>
      </c>
      <c r="H563" s="23">
        <f>IFERROR(__xludf.DUMMYFUNCTION("""COMPUTED_VALUE"""),342.6)</f>
        <v>342.6</v>
      </c>
    </row>
    <row r="564">
      <c r="A564" s="16" t="str">
        <f>IFERROR(__xludf.DUMMYFUNCTION("""COMPUTED_VALUE"""),"Мед/конфитюри")</f>
        <v>Мед/конфитюри</v>
      </c>
      <c r="B564" s="7" t="str">
        <f>IFERROR(__xludf.DUMMYFUNCTION("""COMPUTED_VALUE"""),"Сладко Lowicz Праскова")</f>
        <v>Сладко Lowicz Праскова</v>
      </c>
      <c r="C564" s="12">
        <f>IFERROR(__xludf.DUMMYFUNCTION("""COMPUTED_VALUE"""),100.0)</f>
        <v>100</v>
      </c>
      <c r="D564" s="7">
        <f>IFERROR(__xludf.DUMMYFUNCTION("""COMPUTED_VALUE"""),0.9)</f>
        <v>0.9</v>
      </c>
      <c r="E564" s="16">
        <f>IFERROR(__xludf.DUMMYFUNCTION("""COMPUTED_VALUE"""),33.0)</f>
        <v>33</v>
      </c>
      <c r="F564" s="16">
        <f>IFERROR(__xludf.DUMMYFUNCTION("""COMPUTED_VALUE"""),0.5)</f>
        <v>0.5</v>
      </c>
      <c r="G564" s="16">
        <f>IFERROR(__xludf.DUMMYFUNCTION("""COMPUTED_VALUE"""),0.0)</f>
        <v>0</v>
      </c>
      <c r="H564" s="23">
        <f>IFERROR(__xludf.DUMMYFUNCTION("""COMPUTED_VALUE"""),140.1)</f>
        <v>140.1</v>
      </c>
    </row>
    <row r="565">
      <c r="A565" s="16" t="str">
        <f>IFERROR(__xludf.DUMMYFUNCTION("""COMPUTED_VALUE"""),"Мед/конфитюри")</f>
        <v>Мед/конфитюри</v>
      </c>
      <c r="B565" s="7" t="str">
        <f>IFERROR(__xludf.DUMMYFUNCTION("""COMPUTED_VALUE"""),"Сладко Lowicz Малина")</f>
        <v>Сладко Lowicz Малина</v>
      </c>
      <c r="C565" s="12">
        <f>IFERROR(__xludf.DUMMYFUNCTION("""COMPUTED_VALUE"""),100.0)</f>
        <v>100</v>
      </c>
      <c r="D565" s="7">
        <f>IFERROR(__xludf.DUMMYFUNCTION("""COMPUTED_VALUE"""),1.1)</f>
        <v>1.1</v>
      </c>
      <c r="E565" s="16">
        <f>IFERROR(__xludf.DUMMYFUNCTION("""COMPUTED_VALUE"""),30.0)</f>
        <v>30</v>
      </c>
      <c r="F565" s="16">
        <f>IFERROR(__xludf.DUMMYFUNCTION("""COMPUTED_VALUE"""),0.5)</f>
        <v>0.5</v>
      </c>
      <c r="G565" s="16">
        <f>IFERROR(__xludf.DUMMYFUNCTION("""COMPUTED_VALUE"""),0.0)</f>
        <v>0</v>
      </c>
      <c r="H565" s="23">
        <f>IFERROR(__xludf.DUMMYFUNCTION("""COMPUTED_VALUE"""),128.9)</f>
        <v>128.9</v>
      </c>
    </row>
    <row r="566">
      <c r="A566" s="16" t="str">
        <f>IFERROR(__xludf.DUMMYFUNCTION("""COMPUTED_VALUE"""),"Мед/конфитюри")</f>
        <v>Мед/конфитюри</v>
      </c>
      <c r="B566" s="7" t="str">
        <f>IFERROR(__xludf.DUMMYFUNCTION("""COMPUTED_VALUE"""),"Сладко Lowicz Малина")</f>
        <v>Сладко Lowicz Малина</v>
      </c>
      <c r="C566" s="12">
        <f>IFERROR(__xludf.DUMMYFUNCTION("""COMPUTED_VALUE"""),100.0)</f>
        <v>100</v>
      </c>
      <c r="D566" s="7">
        <f>IFERROR(__xludf.DUMMYFUNCTION("""COMPUTED_VALUE"""),1.1)</f>
        <v>1.1</v>
      </c>
      <c r="E566" s="16">
        <f>IFERROR(__xludf.DUMMYFUNCTION("""COMPUTED_VALUE"""),30.0)</f>
        <v>30</v>
      </c>
      <c r="F566" s="16">
        <f>IFERROR(__xludf.DUMMYFUNCTION("""COMPUTED_VALUE"""),0.5)</f>
        <v>0.5</v>
      </c>
      <c r="G566" s="16">
        <f>IFERROR(__xludf.DUMMYFUNCTION("""COMPUTED_VALUE"""),0.0)</f>
        <v>0</v>
      </c>
      <c r="H566" s="23">
        <f>IFERROR(__xludf.DUMMYFUNCTION("""COMPUTED_VALUE"""),128.9)</f>
        <v>128.9</v>
      </c>
    </row>
    <row r="567">
      <c r="A567" s="16" t="str">
        <f>IFERROR(__xludf.DUMMYFUNCTION("""COMPUTED_VALUE"""),"Мед/конфитюри")</f>
        <v>Мед/конфитюри</v>
      </c>
      <c r="B567" s="7" t="str">
        <f>IFERROR(__xludf.DUMMYFUNCTION("""COMPUTED_VALUE"""),"Сладко Lowicz Боровинка")</f>
        <v>Сладко Lowicz Боровинка</v>
      </c>
      <c r="C567" s="12">
        <f>IFERROR(__xludf.DUMMYFUNCTION("""COMPUTED_VALUE"""),100.0)</f>
        <v>100</v>
      </c>
      <c r="D567" s="7">
        <f>IFERROR(__xludf.DUMMYFUNCTION("""COMPUTED_VALUE"""),1.1)</f>
        <v>1.1</v>
      </c>
      <c r="E567" s="16">
        <f>IFERROR(__xludf.DUMMYFUNCTION("""COMPUTED_VALUE"""),28.0)</f>
        <v>28</v>
      </c>
      <c r="F567" s="16">
        <f>IFERROR(__xludf.DUMMYFUNCTION("""COMPUTED_VALUE"""),0.5)</f>
        <v>0.5</v>
      </c>
      <c r="G567" s="16">
        <f>IFERROR(__xludf.DUMMYFUNCTION("""COMPUTED_VALUE"""),0.0)</f>
        <v>0</v>
      </c>
      <c r="H567" s="23">
        <f>IFERROR(__xludf.DUMMYFUNCTION("""COMPUTED_VALUE"""),120.9)</f>
        <v>120.9</v>
      </c>
    </row>
    <row r="568">
      <c r="A568" s="16" t="str">
        <f>IFERROR(__xludf.DUMMYFUNCTION("""COMPUTED_VALUE"""),"Мед/конфитюри")</f>
        <v>Мед/конфитюри</v>
      </c>
      <c r="B568" s="7" t="str">
        <f>IFERROR(__xludf.DUMMYFUNCTION("""COMPUTED_VALUE"""),"Сладко Lowicz Череша")</f>
        <v>Сладко Lowicz Череша</v>
      </c>
      <c r="C568" s="12">
        <f>IFERROR(__xludf.DUMMYFUNCTION("""COMPUTED_VALUE"""),100.0)</f>
        <v>100</v>
      </c>
      <c r="D568" s="7">
        <f>IFERROR(__xludf.DUMMYFUNCTION("""COMPUTED_VALUE"""),0.8)</f>
        <v>0.8</v>
      </c>
      <c r="E568" s="16">
        <f>IFERROR(__xludf.DUMMYFUNCTION("""COMPUTED_VALUE"""),34.0)</f>
        <v>34</v>
      </c>
      <c r="F568" s="16">
        <f>IFERROR(__xludf.DUMMYFUNCTION("""COMPUTED_VALUE"""),0.5)</f>
        <v>0.5</v>
      </c>
      <c r="G568" s="16">
        <f>IFERROR(__xludf.DUMMYFUNCTION("""COMPUTED_VALUE"""),0.0)</f>
        <v>0</v>
      </c>
      <c r="H568" s="23">
        <f>IFERROR(__xludf.DUMMYFUNCTION("""COMPUTED_VALUE"""),143.7)</f>
        <v>143.7</v>
      </c>
    </row>
    <row r="569">
      <c r="A569" s="16" t="str">
        <f>IFERROR(__xludf.DUMMYFUNCTION("""COMPUTED_VALUE"""),"Мед/конфитюри")</f>
        <v>Мед/конфитюри</v>
      </c>
      <c r="B569" s="7" t="str">
        <f>IFERROR(__xludf.DUMMYFUNCTION("""COMPUTED_VALUE"""),"Сладко Lowicz Ягода")</f>
        <v>Сладко Lowicz Ягода</v>
      </c>
      <c r="C569" s="12">
        <f>IFERROR(__xludf.DUMMYFUNCTION("""COMPUTED_VALUE"""),100.0)</f>
        <v>100</v>
      </c>
      <c r="D569" s="7">
        <f>IFERROR(__xludf.DUMMYFUNCTION("""COMPUTED_VALUE"""),0.7)</f>
        <v>0.7</v>
      </c>
      <c r="E569" s="16">
        <f>IFERROR(__xludf.DUMMYFUNCTION("""COMPUTED_VALUE"""),33.0)</f>
        <v>33</v>
      </c>
      <c r="F569" s="16">
        <f>IFERROR(__xludf.DUMMYFUNCTION("""COMPUTED_VALUE"""),0.5)</f>
        <v>0.5</v>
      </c>
      <c r="G569" s="16">
        <f>IFERROR(__xludf.DUMMYFUNCTION("""COMPUTED_VALUE"""),0.0)</f>
        <v>0</v>
      </c>
      <c r="H569" s="23">
        <f>IFERROR(__xludf.DUMMYFUNCTION("""COMPUTED_VALUE"""),139.3)</f>
        <v>139.3</v>
      </c>
    </row>
    <row r="570">
      <c r="A570" s="16" t="str">
        <f>IFERROR(__xludf.DUMMYFUNCTION("""COMPUTED_VALUE"""),"Месо")</f>
        <v>Месо</v>
      </c>
      <c r="B570" s="7" t="str">
        <f>IFERROR(__xludf.DUMMYFUNCTION("""COMPUTED_VALUE"""),"Пилешки гърди (сурово състояние)")</f>
        <v>Пилешки гърди (сурово състояние)</v>
      </c>
      <c r="C570" s="12" t="str">
        <f>IFERROR(__xludf.DUMMYFUNCTION("""COMPUTED_VALUE"""),"100")</f>
        <v>100</v>
      </c>
      <c r="D570" s="7">
        <f>IFERROR(__xludf.DUMMYFUNCTION("""COMPUTED_VALUE"""),23.0)</f>
        <v>23</v>
      </c>
      <c r="E570" s="16">
        <f>IFERROR(__xludf.DUMMYFUNCTION("""COMPUTED_VALUE"""),0.0)</f>
        <v>0</v>
      </c>
      <c r="F570" s="16">
        <f>IFERROR(__xludf.DUMMYFUNCTION("""COMPUTED_VALUE"""),2.0)</f>
        <v>2</v>
      </c>
      <c r="G570" s="16">
        <f>IFERROR(__xludf.DUMMYFUNCTION("""COMPUTED_VALUE"""),0.0)</f>
        <v>0</v>
      </c>
      <c r="H570" s="23">
        <f>IFERROR(__xludf.DUMMYFUNCTION("""COMPUTED_VALUE"""),110.0)</f>
        <v>110</v>
      </c>
    </row>
    <row r="571">
      <c r="A571" s="16" t="str">
        <f>IFERROR(__xludf.DUMMYFUNCTION("""COMPUTED_VALUE"""),"Месо")</f>
        <v>Месо</v>
      </c>
      <c r="B571" s="7" t="str">
        <f>IFERROR(__xludf.DUMMYFUNCTION("""COMPUTED_VALUE"""),"Пилешки гърди/бонфиле (сготвено състояние)")</f>
        <v>Пилешки гърди/бонфиле (сготвено състояние)</v>
      </c>
      <c r="C571" s="12">
        <f>IFERROR(__xludf.DUMMYFUNCTION("""COMPUTED_VALUE"""),100.0)</f>
        <v>100</v>
      </c>
      <c r="D571" s="7">
        <f>IFERROR(__xludf.DUMMYFUNCTION("""COMPUTED_VALUE"""),30.0)</f>
        <v>30</v>
      </c>
      <c r="E571" s="16">
        <f>IFERROR(__xludf.DUMMYFUNCTION("""COMPUTED_VALUE"""),0.0)</f>
        <v>0</v>
      </c>
      <c r="F571" s="16">
        <f>IFERROR(__xludf.DUMMYFUNCTION("""COMPUTED_VALUE"""),4.0)</f>
        <v>4</v>
      </c>
      <c r="G571" s="16">
        <f>IFERROR(__xludf.DUMMYFUNCTION("""COMPUTED_VALUE"""),0.0)</f>
        <v>0</v>
      </c>
      <c r="H571" s="23">
        <f>IFERROR(__xludf.DUMMYFUNCTION("""COMPUTED_VALUE"""),110.0)</f>
        <v>110</v>
      </c>
    </row>
    <row r="572">
      <c r="A572" s="16" t="str">
        <f>IFERROR(__xludf.DUMMYFUNCTION("""COMPUTED_VALUE"""),"Месо")</f>
        <v>Месо</v>
      </c>
      <c r="B572" s="7" t="str">
        <f>IFERROR(__xludf.DUMMYFUNCTION("""COMPUTED_VALUE"""),"Пилешка пържола от бут без кожа (сурово състояние)")</f>
        <v>Пилешка пържола от бут без кожа (сурово състояние)</v>
      </c>
      <c r="C572" s="12">
        <f>IFERROR(__xludf.DUMMYFUNCTION("""COMPUTED_VALUE"""),100.0)</f>
        <v>100</v>
      </c>
      <c r="D572" s="7">
        <f>IFERROR(__xludf.DUMMYFUNCTION("""COMPUTED_VALUE"""),20.0)</f>
        <v>20</v>
      </c>
      <c r="E572" s="16">
        <f>IFERROR(__xludf.DUMMYFUNCTION("""COMPUTED_VALUE"""),0.0)</f>
        <v>0</v>
      </c>
      <c r="F572" s="16">
        <f>IFERROR(__xludf.DUMMYFUNCTION("""COMPUTED_VALUE"""),5.0)</f>
        <v>5</v>
      </c>
      <c r="G572" s="16">
        <f>IFERROR(__xludf.DUMMYFUNCTION("""COMPUTED_VALUE"""),0.0)</f>
        <v>0</v>
      </c>
      <c r="H572" s="23">
        <f>IFERROR(__xludf.DUMMYFUNCTION("""COMPUTED_VALUE"""),125.0)</f>
        <v>125</v>
      </c>
    </row>
    <row r="573">
      <c r="A573" s="16" t="str">
        <f>IFERROR(__xludf.DUMMYFUNCTION("""COMPUTED_VALUE"""),"Месо")</f>
        <v>Месо</v>
      </c>
      <c r="B573" s="7" t="str">
        <f>IFERROR(__xludf.DUMMYFUNCTION("""COMPUTED_VALUE"""),"Пилешка пържола от бут с кожа (сурово състояние)")</f>
        <v>Пилешка пържола от бут с кожа (сурово състояние)</v>
      </c>
      <c r="C573" s="12" t="str">
        <f>IFERROR(__xludf.DUMMYFUNCTION("""COMPUTED_VALUE"""),"100")</f>
        <v>100</v>
      </c>
      <c r="D573" s="7">
        <f>IFERROR(__xludf.DUMMYFUNCTION("""COMPUTED_VALUE"""),20.0)</f>
        <v>20</v>
      </c>
      <c r="E573" s="16">
        <f>IFERROR(__xludf.DUMMYFUNCTION("""COMPUTED_VALUE"""),0.0)</f>
        <v>0</v>
      </c>
      <c r="F573" s="16">
        <f>IFERROR(__xludf.DUMMYFUNCTION("""COMPUTED_VALUE"""),8.0)</f>
        <v>8</v>
      </c>
      <c r="G573" s="16">
        <f>IFERROR(__xludf.DUMMYFUNCTION("""COMPUTED_VALUE"""),0.0)</f>
        <v>0</v>
      </c>
      <c r="H573" s="23">
        <f>IFERROR(__xludf.DUMMYFUNCTION("""COMPUTED_VALUE"""),152.0)</f>
        <v>152</v>
      </c>
    </row>
    <row r="574">
      <c r="A574" s="16" t="str">
        <f>IFERROR(__xludf.DUMMYFUNCTION("""COMPUTED_VALUE"""),"Месо")</f>
        <v>Месо</v>
      </c>
      <c r="B574" s="7" t="str">
        <f>IFERROR(__xludf.DUMMYFUNCTION("""COMPUTED_VALUE"""),"Пилешки сърца (сурово състояние)")</f>
        <v>Пилешки сърца (сурово състояние)</v>
      </c>
      <c r="C574" s="12" t="str">
        <f>IFERROR(__xludf.DUMMYFUNCTION("""COMPUTED_VALUE"""),"100")</f>
        <v>100</v>
      </c>
      <c r="D574" s="7">
        <f>IFERROR(__xludf.DUMMYFUNCTION("""COMPUTED_VALUE"""),15.0)</f>
        <v>15</v>
      </c>
      <c r="E574" s="16">
        <f>IFERROR(__xludf.DUMMYFUNCTION("""COMPUTED_VALUE"""),0.0)</f>
        <v>0</v>
      </c>
      <c r="F574" s="16">
        <f>IFERROR(__xludf.DUMMYFUNCTION("""COMPUTED_VALUE"""),9.0)</f>
        <v>9</v>
      </c>
      <c r="G574" s="16">
        <f>IFERROR(__xludf.DUMMYFUNCTION("""COMPUTED_VALUE"""),0.0)</f>
        <v>0</v>
      </c>
      <c r="H574" s="23">
        <f>IFERROR(__xludf.DUMMYFUNCTION("""COMPUTED_VALUE"""),141.0)</f>
        <v>141</v>
      </c>
    </row>
    <row r="575">
      <c r="A575" s="16" t="str">
        <f>IFERROR(__xludf.DUMMYFUNCTION("""COMPUTED_VALUE"""),"Месо")</f>
        <v>Месо</v>
      </c>
      <c r="B575" s="7" t="str">
        <f>IFERROR(__xludf.DUMMYFUNCTION("""COMPUTED_VALUE"""),"Пилешки крилца (сурово състояние)")</f>
        <v>Пилешки крилца (сурово състояние)</v>
      </c>
      <c r="C575" s="12" t="str">
        <f>IFERROR(__xludf.DUMMYFUNCTION("""COMPUTED_VALUE"""),"100")</f>
        <v>100</v>
      </c>
      <c r="D575" s="7">
        <f>IFERROR(__xludf.DUMMYFUNCTION("""COMPUTED_VALUE"""),17.0)</f>
        <v>17</v>
      </c>
      <c r="E575" s="16">
        <f>IFERROR(__xludf.DUMMYFUNCTION("""COMPUTED_VALUE"""),0.0)</f>
        <v>0</v>
      </c>
      <c r="F575" s="16">
        <f>IFERROR(__xludf.DUMMYFUNCTION("""COMPUTED_VALUE"""),13.0)</f>
        <v>13</v>
      </c>
      <c r="G575" s="16">
        <f>IFERROR(__xludf.DUMMYFUNCTION("""COMPUTED_VALUE"""),0.0)</f>
        <v>0</v>
      </c>
      <c r="H575" s="23">
        <f>IFERROR(__xludf.DUMMYFUNCTION("""COMPUTED_VALUE"""),185.0)</f>
        <v>185</v>
      </c>
    </row>
    <row r="576">
      <c r="A576" s="16" t="str">
        <f>IFERROR(__xludf.DUMMYFUNCTION("""COMPUTED_VALUE"""),"Месо")</f>
        <v>Месо</v>
      </c>
      <c r="B576" s="7" t="str">
        <f>IFERROR(__xludf.DUMMYFUNCTION("""COMPUTED_VALUE"""),"Пуешки гърди (сурово състояние)")</f>
        <v>Пуешки гърди (сурово състояние)</v>
      </c>
      <c r="C576" s="12" t="str">
        <f>IFERROR(__xludf.DUMMYFUNCTION("""COMPUTED_VALUE"""),"100")</f>
        <v>100</v>
      </c>
      <c r="D576" s="7">
        <f>IFERROR(__xludf.DUMMYFUNCTION("""COMPUTED_VALUE"""),23.0)</f>
        <v>23</v>
      </c>
      <c r="E576" s="16">
        <f>IFERROR(__xludf.DUMMYFUNCTION("""COMPUTED_VALUE"""),0.0)</f>
        <v>0</v>
      </c>
      <c r="F576" s="16">
        <f>IFERROR(__xludf.DUMMYFUNCTION("""COMPUTED_VALUE"""),2.0)</f>
        <v>2</v>
      </c>
      <c r="G576" s="16">
        <f>IFERROR(__xludf.DUMMYFUNCTION("""COMPUTED_VALUE"""),0.0)</f>
        <v>0</v>
      </c>
      <c r="H576" s="23">
        <f>IFERROR(__xludf.DUMMYFUNCTION("""COMPUTED_VALUE"""),110.0)</f>
        <v>110</v>
      </c>
    </row>
    <row r="577">
      <c r="A577" s="16" t="str">
        <f>IFERROR(__xludf.DUMMYFUNCTION("""COMPUTED_VALUE"""),"Месо")</f>
        <v>Месо</v>
      </c>
      <c r="B577" s="7" t="str">
        <f>IFERROR(__xludf.DUMMYFUNCTION("""COMPUTED_VALUE"""),"Пуешка пържола от бутче (сурово състояние)")</f>
        <v>Пуешка пържола от бутче (сурово състояние)</v>
      </c>
      <c r="C577" s="12" t="str">
        <f>IFERROR(__xludf.DUMMYFUNCTION("""COMPUTED_VALUE"""),"100")</f>
        <v>100</v>
      </c>
      <c r="D577" s="7">
        <f>IFERROR(__xludf.DUMMYFUNCTION("""COMPUTED_VALUE"""),20.0)</f>
        <v>20</v>
      </c>
      <c r="E577" s="16">
        <f>IFERROR(__xludf.DUMMYFUNCTION("""COMPUTED_VALUE"""),0.0)</f>
        <v>0</v>
      </c>
      <c r="F577" s="16">
        <f>IFERROR(__xludf.DUMMYFUNCTION("""COMPUTED_VALUE"""),5.0)</f>
        <v>5</v>
      </c>
      <c r="G577" s="16">
        <f>IFERROR(__xludf.DUMMYFUNCTION("""COMPUTED_VALUE"""),0.0)</f>
        <v>0</v>
      </c>
      <c r="H577" s="23">
        <f>IFERROR(__xludf.DUMMYFUNCTION("""COMPUTED_VALUE"""),125.0)</f>
        <v>125</v>
      </c>
    </row>
    <row r="578">
      <c r="A578" s="16" t="str">
        <f>IFERROR(__xludf.DUMMYFUNCTION("""COMPUTED_VALUE"""),"Месо")</f>
        <v>Месо</v>
      </c>
      <c r="B578" s="7" t="str">
        <f>IFERROR(__xludf.DUMMYFUNCTION("""COMPUTED_VALUE"""),"Свинска вратна пържола (сурово състояние)")</f>
        <v>Свинска вратна пържола (сурово състояние)</v>
      </c>
      <c r="C578" s="12">
        <f>IFERROR(__xludf.DUMMYFUNCTION("""COMPUTED_VALUE"""),100.0)</f>
        <v>100</v>
      </c>
      <c r="D578" s="7">
        <f>IFERROR(__xludf.DUMMYFUNCTION("""COMPUTED_VALUE"""),20.0)</f>
        <v>20</v>
      </c>
      <c r="E578" s="16">
        <f>IFERROR(__xludf.DUMMYFUNCTION("""COMPUTED_VALUE"""),0.0)</f>
        <v>0</v>
      </c>
      <c r="F578" s="16">
        <f>IFERROR(__xludf.DUMMYFUNCTION("""COMPUTED_VALUE"""),12.0)</f>
        <v>12</v>
      </c>
      <c r="G578" s="16">
        <f>IFERROR(__xludf.DUMMYFUNCTION("""COMPUTED_VALUE"""),0.0)</f>
        <v>0</v>
      </c>
      <c r="H578" s="23">
        <f>IFERROR(__xludf.DUMMYFUNCTION("""COMPUTED_VALUE"""),188.0)</f>
        <v>188</v>
      </c>
    </row>
    <row r="579">
      <c r="A579" s="16" t="str">
        <f>IFERROR(__xludf.DUMMYFUNCTION("""COMPUTED_VALUE"""),"Месо")</f>
        <v>Месо</v>
      </c>
      <c r="B579" s="7" t="str">
        <f>IFERROR(__xludf.DUMMYFUNCTION("""COMPUTED_VALUE"""),"Свински котлет без кост (сурово състояние)")</f>
        <v>Свински котлет без кост (сурово състояние)</v>
      </c>
      <c r="C579" s="12" t="str">
        <f>IFERROR(__xludf.DUMMYFUNCTION("""COMPUTED_VALUE"""),"100")</f>
        <v>100</v>
      </c>
      <c r="D579" s="7">
        <f>IFERROR(__xludf.DUMMYFUNCTION("""COMPUTED_VALUE"""),20.0)</f>
        <v>20</v>
      </c>
      <c r="E579" s="16">
        <f>IFERROR(__xludf.DUMMYFUNCTION("""COMPUTED_VALUE"""),0.0)</f>
        <v>0</v>
      </c>
      <c r="F579" s="16">
        <f>IFERROR(__xludf.DUMMYFUNCTION("""COMPUTED_VALUE"""),8.0)</f>
        <v>8</v>
      </c>
      <c r="G579" s="16">
        <f>IFERROR(__xludf.DUMMYFUNCTION("""COMPUTED_VALUE"""),0.0)</f>
        <v>0</v>
      </c>
      <c r="H579" s="23">
        <f>IFERROR(__xludf.DUMMYFUNCTION("""COMPUTED_VALUE"""),152.0)</f>
        <v>152</v>
      </c>
    </row>
    <row r="580">
      <c r="A580" s="16" t="str">
        <f>IFERROR(__xludf.DUMMYFUNCTION("""COMPUTED_VALUE"""),"Месо")</f>
        <v>Месо</v>
      </c>
      <c r="B580" s="7" t="str">
        <f>IFERROR(__xludf.DUMMYFUNCTION("""COMPUTED_VALUE"""),"Свински котлет с кост (суров)")</f>
        <v>Свински котлет с кост (суров)</v>
      </c>
      <c r="C580" s="12">
        <f>IFERROR(__xludf.DUMMYFUNCTION("""COMPUTED_VALUE"""),100.0)</f>
        <v>100</v>
      </c>
      <c r="D580" s="7">
        <f>IFERROR(__xludf.DUMMYFUNCTION("""COMPUTED_VALUE"""),23.0)</f>
        <v>23</v>
      </c>
      <c r="E580" s="16">
        <f>IFERROR(__xludf.DUMMYFUNCTION("""COMPUTED_VALUE"""),0.0)</f>
        <v>0</v>
      </c>
      <c r="F580" s="16">
        <f>IFERROR(__xludf.DUMMYFUNCTION("""COMPUTED_VALUE"""),8.0)</f>
        <v>8</v>
      </c>
      <c r="G580" s="16">
        <f>IFERROR(__xludf.DUMMYFUNCTION("""COMPUTED_VALUE"""),0.0)</f>
        <v>0</v>
      </c>
      <c r="H580" s="23">
        <f>IFERROR(__xludf.DUMMYFUNCTION("""COMPUTED_VALUE"""),164.0)</f>
        <v>164</v>
      </c>
    </row>
    <row r="581">
      <c r="A581" s="16" t="str">
        <f>IFERROR(__xludf.DUMMYFUNCTION("""COMPUTED_VALUE"""),"Месо")</f>
        <v>Месо</v>
      </c>
      <c r="B581" s="7" t="str">
        <f>IFERROR(__xludf.DUMMYFUNCTION("""COMPUTED_VALUE"""),"Свинско бонфиле (сурово състояние)")</f>
        <v>Свинско бонфиле (сурово състояние)</v>
      </c>
      <c r="C581" s="12" t="str">
        <f>IFERROR(__xludf.DUMMYFUNCTION("""COMPUTED_VALUE"""),"100")</f>
        <v>100</v>
      </c>
      <c r="D581" s="7">
        <f>IFERROR(__xludf.DUMMYFUNCTION("""COMPUTED_VALUE"""),20.0)</f>
        <v>20</v>
      </c>
      <c r="E581" s="16">
        <f>IFERROR(__xludf.DUMMYFUNCTION("""COMPUTED_VALUE"""),0.0)</f>
        <v>0</v>
      </c>
      <c r="F581" s="16">
        <f>IFERROR(__xludf.DUMMYFUNCTION("""COMPUTED_VALUE"""),3.0)</f>
        <v>3</v>
      </c>
      <c r="G581" s="16">
        <f>IFERROR(__xludf.DUMMYFUNCTION("""COMPUTED_VALUE"""),0.0)</f>
        <v>0</v>
      </c>
      <c r="H581" s="23">
        <f>IFERROR(__xludf.DUMMYFUNCTION("""COMPUTED_VALUE"""),107.0)</f>
        <v>107</v>
      </c>
    </row>
    <row r="582">
      <c r="A582" s="16" t="str">
        <f>IFERROR(__xludf.DUMMYFUNCTION("""COMPUTED_VALUE"""),"Месо")</f>
        <v>Месо</v>
      </c>
      <c r="B582" s="7" t="str">
        <f>IFERROR(__xludf.DUMMYFUNCTION("""COMPUTED_VALUE"""),"Телешки шол (сурово състояние)")</f>
        <v>Телешки шол (сурово състояние)</v>
      </c>
      <c r="C582" s="12" t="str">
        <f>IFERROR(__xludf.DUMMYFUNCTION("""COMPUTED_VALUE"""),"100")</f>
        <v>100</v>
      </c>
      <c r="D582" s="7">
        <f>IFERROR(__xludf.DUMMYFUNCTION("""COMPUTED_VALUE"""),21.0)</f>
        <v>21</v>
      </c>
      <c r="E582" s="16">
        <f>IFERROR(__xludf.DUMMYFUNCTION("""COMPUTED_VALUE"""),0.0)</f>
        <v>0</v>
      </c>
      <c r="F582" s="16">
        <f>IFERROR(__xludf.DUMMYFUNCTION("""COMPUTED_VALUE"""),6.0)</f>
        <v>6</v>
      </c>
      <c r="G582" s="16">
        <f>IFERROR(__xludf.DUMMYFUNCTION("""COMPUTED_VALUE"""),0.0)</f>
        <v>0</v>
      </c>
      <c r="H582" s="23">
        <f>IFERROR(__xludf.DUMMYFUNCTION("""COMPUTED_VALUE"""),138.0)</f>
        <v>138</v>
      </c>
    </row>
    <row r="583">
      <c r="A583" s="16" t="str">
        <f>IFERROR(__xludf.DUMMYFUNCTION("""COMPUTED_VALUE"""),"Месо")</f>
        <v>Месо</v>
      </c>
      <c r="B583" s="7" t="str">
        <f>IFERROR(__xludf.DUMMYFUNCTION("""COMPUTED_VALUE"""),"Телешка плешка (сурово състояние)")</f>
        <v>Телешка плешка (сурово състояние)</v>
      </c>
      <c r="C583" s="12" t="str">
        <f>IFERROR(__xludf.DUMMYFUNCTION("""COMPUTED_VALUE"""),"100")</f>
        <v>100</v>
      </c>
      <c r="D583" s="7">
        <f>IFERROR(__xludf.DUMMYFUNCTION("""COMPUTED_VALUE"""),20.0)</f>
        <v>20</v>
      </c>
      <c r="E583" s="16">
        <f>IFERROR(__xludf.DUMMYFUNCTION("""COMPUTED_VALUE"""),0.0)</f>
        <v>0</v>
      </c>
      <c r="F583" s="16">
        <f>IFERROR(__xludf.DUMMYFUNCTION("""COMPUTED_VALUE"""),7.5)</f>
        <v>7.5</v>
      </c>
      <c r="G583" s="16">
        <f>IFERROR(__xludf.DUMMYFUNCTION("""COMPUTED_VALUE"""),0.0)</f>
        <v>0</v>
      </c>
      <c r="H583" s="23">
        <f>IFERROR(__xludf.DUMMYFUNCTION("""COMPUTED_VALUE"""),147.5)</f>
        <v>147.5</v>
      </c>
    </row>
    <row r="584">
      <c r="A584" s="16" t="str">
        <f>IFERROR(__xludf.DUMMYFUNCTION("""COMPUTED_VALUE"""),"Месо")</f>
        <v>Месо</v>
      </c>
      <c r="B584" s="7" t="str">
        <f>IFERROR(__xludf.DUMMYFUNCTION("""COMPUTED_VALUE"""),"Телешка пържола на скара")</f>
        <v>Телешка пържола на скара</v>
      </c>
      <c r="C584" s="12">
        <f>IFERROR(__xludf.DUMMYFUNCTION("""COMPUTED_VALUE"""),100.0)</f>
        <v>100</v>
      </c>
      <c r="D584" s="7">
        <f>IFERROR(__xludf.DUMMYFUNCTION("""COMPUTED_VALUE"""),18.8)</f>
        <v>18.8</v>
      </c>
      <c r="E584" s="16">
        <f>IFERROR(__xludf.DUMMYFUNCTION("""COMPUTED_VALUE"""),0.54)</f>
        <v>0.54</v>
      </c>
      <c r="F584" s="16">
        <f>IFERROR(__xludf.DUMMYFUNCTION("""COMPUTED_VALUE"""),3.68)</f>
        <v>3.68</v>
      </c>
      <c r="G584" s="16">
        <f>IFERROR(__xludf.DUMMYFUNCTION("""COMPUTED_VALUE"""),0.0)</f>
        <v>0</v>
      </c>
      <c r="H584" s="23">
        <f>IFERROR(__xludf.DUMMYFUNCTION("""COMPUTED_VALUE"""),110.48)</f>
        <v>110.48</v>
      </c>
    </row>
    <row r="585">
      <c r="A585" s="16" t="str">
        <f>IFERROR(__xludf.DUMMYFUNCTION("""COMPUTED_VALUE"""),"Месо")</f>
        <v>Месо</v>
      </c>
      <c r="B585" s="7" t="str">
        <f>IFERROR(__xludf.DUMMYFUNCTION("""COMPUTED_VALUE"""),"Филе Елена (Лидл)")</f>
        <v>Филе Елена (Лидл)</v>
      </c>
      <c r="C585" s="12">
        <f>IFERROR(__xludf.DUMMYFUNCTION("""COMPUTED_VALUE"""),100.0)</f>
        <v>100</v>
      </c>
      <c r="D585" s="7">
        <f>IFERROR(__xludf.DUMMYFUNCTION("""COMPUTED_VALUE"""),38.0)</f>
        <v>38</v>
      </c>
      <c r="E585" s="16">
        <f>IFERROR(__xludf.DUMMYFUNCTION("""COMPUTED_VALUE"""),2.8)</f>
        <v>2.8</v>
      </c>
      <c r="F585" s="16">
        <f>IFERROR(__xludf.DUMMYFUNCTION("""COMPUTED_VALUE"""),2.9)</f>
        <v>2.9</v>
      </c>
      <c r="G585" s="16">
        <f>IFERROR(__xludf.DUMMYFUNCTION("""COMPUTED_VALUE"""),0.0)</f>
        <v>0</v>
      </c>
      <c r="H585" s="23">
        <f>IFERROR(__xludf.DUMMYFUNCTION("""COMPUTED_VALUE"""),189.29999999999998)</f>
        <v>189.3</v>
      </c>
    </row>
    <row r="586">
      <c r="A586" s="16" t="str">
        <f>IFERROR(__xludf.DUMMYFUNCTION("""COMPUTED_VALUE"""),"Месо")</f>
        <v>Месо</v>
      </c>
      <c r="B586" s="7" t="str">
        <f>IFERROR(__xludf.DUMMYFUNCTION("""COMPUTED_VALUE"""),"Телешко дърпано (11 meats)")</f>
        <v>Телешко дърпано (11 meats)</v>
      </c>
      <c r="C586" s="12">
        <f>IFERROR(__xludf.DUMMYFUNCTION("""COMPUTED_VALUE"""),100.0)</f>
        <v>100</v>
      </c>
      <c r="D586" s="7">
        <f>IFERROR(__xludf.DUMMYFUNCTION("""COMPUTED_VALUE"""),27.0)</f>
        <v>27</v>
      </c>
      <c r="E586" s="16">
        <f>IFERROR(__xludf.DUMMYFUNCTION("""COMPUTED_VALUE"""),2.4)</f>
        <v>2.4</v>
      </c>
      <c r="F586" s="16">
        <f>IFERROR(__xludf.DUMMYFUNCTION("""COMPUTED_VALUE"""),6.25)</f>
        <v>6.25</v>
      </c>
      <c r="G586" s="16">
        <f>IFERROR(__xludf.DUMMYFUNCTION("""COMPUTED_VALUE"""),0.0)</f>
        <v>0</v>
      </c>
      <c r="H586" s="23">
        <f>IFERROR(__xludf.DUMMYFUNCTION("""COMPUTED_VALUE"""),173.85)</f>
        <v>173.85</v>
      </c>
    </row>
    <row r="587">
      <c r="A587" s="16" t="str">
        <f>IFERROR(__xludf.DUMMYFUNCTION("""COMPUTED_VALUE"""),"Месо")</f>
        <v>Месо</v>
      </c>
      <c r="B587" s="7" t="str">
        <f>IFERROR(__xludf.DUMMYFUNCTION("""COMPUTED_VALUE"""),"Пилешки бут без кост (11 meats)")</f>
        <v>Пилешки бут без кост (11 meats)</v>
      </c>
      <c r="C587" s="12">
        <f>IFERROR(__xludf.DUMMYFUNCTION("""COMPUTED_VALUE"""),100.0)</f>
        <v>100</v>
      </c>
      <c r="D587" s="7">
        <f>IFERROR(__xludf.DUMMYFUNCTION("""COMPUTED_VALUE"""),24.0)</f>
        <v>24</v>
      </c>
      <c r="E587" s="16">
        <f>IFERROR(__xludf.DUMMYFUNCTION("""COMPUTED_VALUE"""),0.5)</f>
        <v>0.5</v>
      </c>
      <c r="F587" s="16">
        <f>IFERROR(__xludf.DUMMYFUNCTION("""COMPUTED_VALUE"""),9.0)</f>
        <v>9</v>
      </c>
      <c r="G587" s="16">
        <f>IFERROR(__xludf.DUMMYFUNCTION("""COMPUTED_VALUE"""),0.0)</f>
        <v>0</v>
      </c>
      <c r="H587" s="23">
        <f>IFERROR(__xludf.DUMMYFUNCTION("""COMPUTED_VALUE"""),179.0)</f>
        <v>179</v>
      </c>
    </row>
    <row r="588">
      <c r="A588" s="16" t="str">
        <f>IFERROR(__xludf.DUMMYFUNCTION("""COMPUTED_VALUE"""),"Месо")</f>
        <v>Месо</v>
      </c>
      <c r="B588" s="7" t="str">
        <f>IFERROR(__xludf.DUMMYFUNCTION("""COMPUTED_VALUE"""),"Свинско дърпано (11 meats)")</f>
        <v>Свинско дърпано (11 meats)</v>
      </c>
      <c r="C588" s="12">
        <f>IFERROR(__xludf.DUMMYFUNCTION("""COMPUTED_VALUE"""),100.0)</f>
        <v>100</v>
      </c>
      <c r="D588" s="7">
        <f>IFERROR(__xludf.DUMMYFUNCTION("""COMPUTED_VALUE"""),19.0)</f>
        <v>19</v>
      </c>
      <c r="E588" s="16">
        <f>IFERROR(__xludf.DUMMYFUNCTION("""COMPUTED_VALUE"""),3.1)</f>
        <v>3.1</v>
      </c>
      <c r="F588" s="16">
        <f>IFERROR(__xludf.DUMMYFUNCTION("""COMPUTED_VALUE"""),7.7)</f>
        <v>7.7</v>
      </c>
      <c r="G588" s="16">
        <f>IFERROR(__xludf.DUMMYFUNCTION("""COMPUTED_VALUE"""),0.0)</f>
        <v>0</v>
      </c>
      <c r="H588" s="23">
        <f>IFERROR(__xludf.DUMMYFUNCTION("""COMPUTED_VALUE"""),157.7)</f>
        <v>157.7</v>
      </c>
    </row>
    <row r="589">
      <c r="A589" s="16" t="str">
        <f>IFERROR(__xludf.DUMMYFUNCTION("""COMPUTED_VALUE"""),"Месо")</f>
        <v>Месо</v>
      </c>
      <c r="B589" s="7" t="str">
        <f>IFERROR(__xludf.DUMMYFUNCTION("""COMPUTED_VALUE"""),"Бекон (сурово състояние)")</f>
        <v>Бекон (сурово състояние)</v>
      </c>
      <c r="C589" s="12">
        <f>IFERROR(__xludf.DUMMYFUNCTION("""COMPUTED_VALUE"""),100.0)</f>
        <v>100</v>
      </c>
      <c r="D589" s="7">
        <f>IFERROR(__xludf.DUMMYFUNCTION("""COMPUTED_VALUE"""),17.4)</f>
        <v>17.4</v>
      </c>
      <c r="E589" s="16">
        <f>IFERROR(__xludf.DUMMYFUNCTION("""COMPUTED_VALUE"""),0.5)</f>
        <v>0.5</v>
      </c>
      <c r="F589" s="16">
        <f>IFERROR(__xludf.DUMMYFUNCTION("""COMPUTED_VALUE"""),44.4)</f>
        <v>44.4</v>
      </c>
      <c r="G589" s="16">
        <f>IFERROR(__xludf.DUMMYFUNCTION("""COMPUTED_VALUE"""),0.0)</f>
        <v>0</v>
      </c>
      <c r="H589" s="23">
        <f>IFERROR(__xludf.DUMMYFUNCTION("""COMPUTED_VALUE"""),471.19999999999993)</f>
        <v>471.2</v>
      </c>
    </row>
    <row r="590">
      <c r="A590" s="16" t="str">
        <f>IFERROR(__xludf.DUMMYFUNCTION("""COMPUTED_VALUE"""),"Месо")</f>
        <v>Месо</v>
      </c>
      <c r="B590" s="7" t="str">
        <f>IFERROR(__xludf.DUMMYFUNCTION("""COMPUTED_VALUE"""),"Телешко месо (готвено)")</f>
        <v>Телешко месо (готвено)</v>
      </c>
      <c r="C590" s="12">
        <f>IFERROR(__xludf.DUMMYFUNCTION("""COMPUTED_VALUE"""),100.0)</f>
        <v>100</v>
      </c>
      <c r="D590" s="7">
        <f>IFERROR(__xludf.DUMMYFUNCTION("""COMPUTED_VALUE"""),30.1)</f>
        <v>30.1</v>
      </c>
      <c r="E590" s="16">
        <f>IFERROR(__xludf.DUMMYFUNCTION("""COMPUTED_VALUE"""),0.0)</f>
        <v>0</v>
      </c>
      <c r="F590" s="16">
        <f>IFERROR(__xludf.DUMMYFUNCTION("""COMPUTED_VALUE"""),11.39)</f>
        <v>11.39</v>
      </c>
      <c r="G590" s="16">
        <f>IFERROR(__xludf.DUMMYFUNCTION("""COMPUTED_VALUE"""),0.0)</f>
        <v>0</v>
      </c>
      <c r="H590" s="23">
        <f>IFERROR(__xludf.DUMMYFUNCTION("""COMPUTED_VALUE"""),222.91000000000003)</f>
        <v>222.91</v>
      </c>
    </row>
    <row r="591">
      <c r="A591" s="16" t="str">
        <f>IFERROR(__xludf.DUMMYFUNCTION("""COMPUTED_VALUE"""),"Месо")</f>
        <v>Месо</v>
      </c>
      <c r="B591" s="7" t="str">
        <f>IFERROR(__xludf.DUMMYFUNCTION("""COMPUTED_VALUE"""),"Пуешко месо (11meats)")</f>
        <v>Пуешко месо (11meats)</v>
      </c>
      <c r="C591" s="12">
        <f>IFERROR(__xludf.DUMMYFUNCTION("""COMPUTED_VALUE"""),100.0)</f>
        <v>100</v>
      </c>
      <c r="D591" s="7">
        <f>IFERROR(__xludf.DUMMYFUNCTION("""COMPUTED_VALUE"""),19.0)</f>
        <v>19</v>
      </c>
      <c r="E591" s="16">
        <f>IFERROR(__xludf.DUMMYFUNCTION("""COMPUTED_VALUE"""),1.8)</f>
        <v>1.8</v>
      </c>
      <c r="F591" s="16">
        <f>IFERROR(__xludf.DUMMYFUNCTION("""COMPUTED_VALUE"""),6.7)</f>
        <v>6.7</v>
      </c>
      <c r="G591" s="16">
        <f>IFERROR(__xludf.DUMMYFUNCTION("""COMPUTED_VALUE"""),0.0)</f>
        <v>0</v>
      </c>
      <c r="H591" s="23">
        <f>IFERROR(__xludf.DUMMYFUNCTION("""COMPUTED_VALUE"""),143.5)</f>
        <v>143.5</v>
      </c>
    </row>
    <row r="592">
      <c r="A592" s="16" t="str">
        <f>IFERROR(__xludf.DUMMYFUNCTION("""COMPUTED_VALUE"""),"Месо")</f>
        <v>Месо</v>
      </c>
      <c r="B592" s="7" t="str">
        <f>IFERROR(__xludf.DUMMYFUNCTION("""COMPUTED_VALUE"""),"Пилешка шунка (""Dulano""-Lildl)")</f>
        <v>Пилешка шунка ("Dulano"-Lildl)</v>
      </c>
      <c r="C592" s="12">
        <f>IFERROR(__xludf.DUMMYFUNCTION("""COMPUTED_VALUE"""),100.0)</f>
        <v>100</v>
      </c>
      <c r="D592" s="7">
        <f>IFERROR(__xludf.DUMMYFUNCTION("""COMPUTED_VALUE"""),20.0)</f>
        <v>20</v>
      </c>
      <c r="E592" s="16">
        <f>IFERROR(__xludf.DUMMYFUNCTION("""COMPUTED_VALUE"""),1.0)</f>
        <v>1</v>
      </c>
      <c r="F592" s="16">
        <f>IFERROR(__xludf.DUMMYFUNCTION("""COMPUTED_VALUE"""),2.0)</f>
        <v>2</v>
      </c>
      <c r="G592" s="16">
        <f>IFERROR(__xludf.DUMMYFUNCTION("""COMPUTED_VALUE"""),0.0)</f>
        <v>0</v>
      </c>
      <c r="H592" s="23">
        <f>IFERROR(__xludf.DUMMYFUNCTION("""COMPUTED_VALUE"""),102.0)</f>
        <v>102</v>
      </c>
    </row>
    <row r="593">
      <c r="A593" s="16" t="str">
        <f>IFERROR(__xludf.DUMMYFUNCTION("""COMPUTED_VALUE"""),"Месо")</f>
        <v>Месо</v>
      </c>
      <c r="B593" s="7" t="str">
        <f>IFERROR(__xludf.DUMMYFUNCTION("""COMPUTED_VALUE"""),"Телешко кюфте (печено)")</f>
        <v>Телешко кюфте (печено)</v>
      </c>
      <c r="C593" s="12">
        <f>IFERROR(__xludf.DUMMYFUNCTION("""COMPUTED_VALUE"""),100.0)</f>
        <v>100</v>
      </c>
      <c r="D593" s="7">
        <f>IFERROR(__xludf.DUMMYFUNCTION("""COMPUTED_VALUE"""),25.0)</f>
        <v>25</v>
      </c>
      <c r="E593" s="16">
        <f>IFERROR(__xludf.DUMMYFUNCTION("""COMPUTED_VALUE"""),0.0)</f>
        <v>0</v>
      </c>
      <c r="F593" s="16">
        <f>IFERROR(__xludf.DUMMYFUNCTION("""COMPUTED_VALUE"""),21.0)</f>
        <v>21</v>
      </c>
      <c r="G593" s="16">
        <f>IFERROR(__xludf.DUMMYFUNCTION("""COMPUTED_VALUE"""),0.0)</f>
        <v>0</v>
      </c>
      <c r="H593" s="23">
        <f>IFERROR(__xludf.DUMMYFUNCTION("""COMPUTED_VALUE"""),273.0)</f>
        <v>273</v>
      </c>
    </row>
    <row r="594">
      <c r="A594" s="16" t="str">
        <f>IFERROR(__xludf.DUMMYFUNCTION("""COMPUTED_VALUE"""),"Месо")</f>
        <v>Месо</v>
      </c>
      <c r="B594" s="7" t="str">
        <f>IFERROR(__xludf.DUMMYFUNCTION("""COMPUTED_VALUE"""),"Печено пилешко кюфте ”Меркез”")</f>
        <v>Печено пилешко кюфте ”Меркез”</v>
      </c>
      <c r="C594" s="12">
        <f>IFERROR(__xludf.DUMMYFUNCTION("""COMPUTED_VALUE"""),100.0)</f>
        <v>100</v>
      </c>
      <c r="D594" s="7">
        <f>IFERROR(__xludf.DUMMYFUNCTION("""COMPUTED_VALUE"""),16.59)</f>
        <v>16.59</v>
      </c>
      <c r="E594" s="16">
        <f>IFERROR(__xludf.DUMMYFUNCTION("""COMPUTED_VALUE"""),4.29)</f>
        <v>4.29</v>
      </c>
      <c r="F594" s="16">
        <f>IFERROR(__xludf.DUMMYFUNCTION("""COMPUTED_VALUE"""),19.0)</f>
        <v>19</v>
      </c>
      <c r="G594" s="16">
        <f>IFERROR(__xludf.DUMMYFUNCTION("""COMPUTED_VALUE"""),0.0)</f>
        <v>0</v>
      </c>
      <c r="H594" s="23">
        <f>IFERROR(__xludf.DUMMYFUNCTION("""COMPUTED_VALUE"""),254.51999999999998)</f>
        <v>254.52</v>
      </c>
    </row>
    <row r="595">
      <c r="A595" s="16" t="str">
        <f>IFERROR(__xludf.DUMMYFUNCTION("""COMPUTED_VALUE"""),"Месо")</f>
        <v>Месо</v>
      </c>
      <c r="B595" s="7" t="str">
        <f>IFERROR(__xludf.DUMMYFUNCTION("""COMPUTED_VALUE"""),"Телешка кайма (домашна) ")</f>
        <v>Телешка кайма (домашна) </v>
      </c>
      <c r="C595" s="12">
        <f>IFERROR(__xludf.DUMMYFUNCTION("""COMPUTED_VALUE"""),100.0)</f>
        <v>100</v>
      </c>
      <c r="D595" s="7">
        <f>IFERROR(__xludf.DUMMYFUNCTION("""COMPUTED_VALUE"""),21.0)</f>
        <v>21</v>
      </c>
      <c r="E595" s="16">
        <f>IFERROR(__xludf.DUMMYFUNCTION("""COMPUTED_VALUE"""),0.0)</f>
        <v>0</v>
      </c>
      <c r="F595" s="16">
        <f>IFERROR(__xludf.DUMMYFUNCTION("""COMPUTED_VALUE"""),11.0)</f>
        <v>11</v>
      </c>
      <c r="G595" s="16">
        <f>IFERROR(__xludf.DUMMYFUNCTION("""COMPUTED_VALUE"""),0.0)</f>
        <v>0</v>
      </c>
      <c r="H595" s="23">
        <f>IFERROR(__xludf.DUMMYFUNCTION("""COMPUTED_VALUE"""),183.0)</f>
        <v>183</v>
      </c>
    </row>
    <row r="596">
      <c r="A596" s="16" t="str">
        <f>IFERROR(__xludf.DUMMYFUNCTION("""COMPUTED_VALUE"""),"Месо")</f>
        <v>Месо</v>
      </c>
      <c r="B596" s="7" t="str">
        <f>IFERROR(__xludf.DUMMYFUNCTION("""COMPUTED_VALUE"""),"Пилешка пържола от бут без кожа (на скара)")</f>
        <v>Пилешка пържола от бут без кожа (на скара)</v>
      </c>
      <c r="C596" s="12">
        <f>IFERROR(__xludf.DUMMYFUNCTION("""COMPUTED_VALUE"""),100.0)</f>
        <v>100</v>
      </c>
      <c r="D596" s="7">
        <f>IFERROR(__xludf.DUMMYFUNCTION("""COMPUTED_VALUE"""),24.22)</f>
        <v>24.22</v>
      </c>
      <c r="E596" s="16">
        <f>IFERROR(__xludf.DUMMYFUNCTION("""COMPUTED_VALUE"""),0.0)</f>
        <v>0</v>
      </c>
      <c r="F596" s="16">
        <f>IFERROR(__xludf.DUMMYFUNCTION("""COMPUTED_VALUE"""),7.8)</f>
        <v>7.8</v>
      </c>
      <c r="G596" s="16">
        <f>IFERROR(__xludf.DUMMYFUNCTION("""COMPUTED_VALUE"""),0.0)</f>
        <v>0</v>
      </c>
      <c r="H596" s="23">
        <f>IFERROR(__xludf.DUMMYFUNCTION("""COMPUTED_VALUE"""),167.07999999999998)</f>
        <v>167.08</v>
      </c>
    </row>
    <row r="597">
      <c r="A597" s="16" t="str">
        <f>IFERROR(__xludf.DUMMYFUNCTION("""COMPUTED_VALUE"""),"Месо")</f>
        <v>Месо</v>
      </c>
      <c r="B597" s="7" t="str">
        <f>IFERROR(__xludf.DUMMYFUNCTION("""COMPUTED_VALUE"""),"Свинско бонфиле (на тиган, скара)")</f>
        <v>Свинско бонфиле (на тиган, скара)</v>
      </c>
      <c r="C597" s="12">
        <f>IFERROR(__xludf.DUMMYFUNCTION("""COMPUTED_VALUE"""),100.0)</f>
        <v>100</v>
      </c>
      <c r="D597" s="7">
        <f>IFERROR(__xludf.DUMMYFUNCTION("""COMPUTED_VALUE"""),28.95)</f>
        <v>28.95</v>
      </c>
      <c r="E597" s="16">
        <f>IFERROR(__xludf.DUMMYFUNCTION("""COMPUTED_VALUE"""),0.0)</f>
        <v>0</v>
      </c>
      <c r="F597" s="16">
        <f>IFERROR(__xludf.DUMMYFUNCTION("""COMPUTED_VALUE"""),5.0)</f>
        <v>5</v>
      </c>
      <c r="G597" s="16">
        <f>IFERROR(__xludf.DUMMYFUNCTION("""COMPUTED_VALUE"""),0.0)</f>
        <v>0</v>
      </c>
      <c r="H597" s="23">
        <f>IFERROR(__xludf.DUMMYFUNCTION("""COMPUTED_VALUE"""),160.8)</f>
        <v>160.8</v>
      </c>
    </row>
    <row r="598">
      <c r="A598" s="16" t="str">
        <f>IFERROR(__xludf.DUMMYFUNCTION("""COMPUTED_VALUE"""),"Месо")</f>
        <v>Месо</v>
      </c>
      <c r="B598" s="7" t="str">
        <f>IFERROR(__xludf.DUMMYFUNCTION("""COMPUTED_VALUE"""),"Пуешко филе (на тиган, скара)")</f>
        <v>Пуешко филе (на тиган, скара)</v>
      </c>
      <c r="C598" s="12">
        <f>IFERROR(__xludf.DUMMYFUNCTION("""COMPUTED_VALUE"""),100.0)</f>
        <v>100</v>
      </c>
      <c r="D598" s="7">
        <f>IFERROR(__xludf.DUMMYFUNCTION("""COMPUTED_VALUE"""),29.06)</f>
        <v>29.06</v>
      </c>
      <c r="E598" s="16">
        <f>IFERROR(__xludf.DUMMYFUNCTION("""COMPUTED_VALUE"""),0.0)</f>
        <v>0</v>
      </c>
      <c r="F598" s="16">
        <f>IFERROR(__xludf.DUMMYFUNCTION("""COMPUTED_VALUE"""),3.84)</f>
        <v>3.84</v>
      </c>
      <c r="G598" s="16">
        <f>IFERROR(__xludf.DUMMYFUNCTION("""COMPUTED_VALUE"""),0.0)</f>
        <v>0</v>
      </c>
      <c r="H598" s="23">
        <f>IFERROR(__xludf.DUMMYFUNCTION("""COMPUTED_VALUE"""),150.8)</f>
        <v>150.8</v>
      </c>
    </row>
    <row r="599">
      <c r="A599" s="16" t="str">
        <f>IFERROR(__xludf.DUMMYFUNCTION("""COMPUTED_VALUE"""),"Месо")</f>
        <v>Месо</v>
      </c>
      <c r="B599" s="7" t="str">
        <f>IFERROR(__xludf.DUMMYFUNCTION("""COMPUTED_VALUE"""),"Пилешки гърди (варени)")</f>
        <v>Пилешки гърди (варени)</v>
      </c>
      <c r="C599" s="12">
        <f>IFERROR(__xludf.DUMMYFUNCTION("""COMPUTED_VALUE"""),100.0)</f>
        <v>100</v>
      </c>
      <c r="D599" s="7">
        <f>IFERROR(__xludf.DUMMYFUNCTION("""COMPUTED_VALUE"""),28.0)</f>
        <v>28</v>
      </c>
      <c r="E599" s="16">
        <f>IFERROR(__xludf.DUMMYFUNCTION("""COMPUTED_VALUE"""),0.0)</f>
        <v>0</v>
      </c>
      <c r="F599" s="16">
        <f>IFERROR(__xludf.DUMMYFUNCTION("""COMPUTED_VALUE"""),3.0)</f>
        <v>3</v>
      </c>
      <c r="G599" s="16">
        <f>IFERROR(__xludf.DUMMYFUNCTION("""COMPUTED_VALUE"""),0.0)</f>
        <v>0</v>
      </c>
      <c r="H599" s="23">
        <f>IFERROR(__xludf.DUMMYFUNCTION("""COMPUTED_VALUE"""),102.0)</f>
        <v>102</v>
      </c>
    </row>
    <row r="600">
      <c r="A600" s="16" t="str">
        <f>IFERROR(__xludf.DUMMYFUNCTION("""COMPUTED_VALUE"""),"Месо")</f>
        <v>Месо</v>
      </c>
      <c r="B600" s="7" t="str">
        <f>IFERROR(__xludf.DUMMYFUNCTION("""COMPUTED_VALUE"""),"Деликатесна шунка (варена, Дулано)")</f>
        <v>Деликатесна шунка (варена, Дулано)</v>
      </c>
      <c r="C600" s="12">
        <f>IFERROR(__xludf.DUMMYFUNCTION("""COMPUTED_VALUE"""),100.0)</f>
        <v>100</v>
      </c>
      <c r="D600" s="7">
        <f>IFERROR(__xludf.DUMMYFUNCTION("""COMPUTED_VALUE"""),20.0)</f>
        <v>20</v>
      </c>
      <c r="E600" s="16">
        <f>IFERROR(__xludf.DUMMYFUNCTION("""COMPUTED_VALUE"""),1.0)</f>
        <v>1</v>
      </c>
      <c r="F600" s="16">
        <f>IFERROR(__xludf.DUMMYFUNCTION("""COMPUTED_VALUE"""),2.0)</f>
        <v>2</v>
      </c>
      <c r="G600" s="16">
        <f>IFERROR(__xludf.DUMMYFUNCTION("""COMPUTED_VALUE"""),0.0)</f>
        <v>0</v>
      </c>
      <c r="H600" s="23">
        <f>IFERROR(__xludf.DUMMYFUNCTION("""COMPUTED_VALUE"""),102.0)</f>
        <v>102</v>
      </c>
    </row>
    <row r="601">
      <c r="A601" s="16" t="str">
        <f>IFERROR(__xludf.DUMMYFUNCTION("""COMPUTED_VALUE"""),"Месо")</f>
        <v>Месо</v>
      </c>
      <c r="B601" s="7" t="str">
        <f>IFERROR(__xludf.DUMMYFUNCTION("""COMPUTED_VALUE"""),"Телешко филе (сурово)")</f>
        <v>Телешко филе (сурово)</v>
      </c>
      <c r="C601" s="12">
        <f>IFERROR(__xludf.DUMMYFUNCTION("""COMPUTED_VALUE"""),100.0)</f>
        <v>100</v>
      </c>
      <c r="D601" s="7">
        <f>IFERROR(__xludf.DUMMYFUNCTION("""COMPUTED_VALUE"""),21.0)</f>
        <v>21</v>
      </c>
      <c r="E601" s="16">
        <f>IFERROR(__xludf.DUMMYFUNCTION("""COMPUTED_VALUE"""),0.0)</f>
        <v>0</v>
      </c>
      <c r="F601" s="16">
        <f>IFERROR(__xludf.DUMMYFUNCTION("""COMPUTED_VALUE"""),3.0)</f>
        <v>3</v>
      </c>
      <c r="G601" s="16">
        <f>IFERROR(__xludf.DUMMYFUNCTION("""COMPUTED_VALUE"""),0.0)</f>
        <v>0</v>
      </c>
      <c r="H601" s="23">
        <f>IFERROR(__xludf.DUMMYFUNCTION("""COMPUTED_VALUE"""),111.0)</f>
        <v>111</v>
      </c>
    </row>
    <row r="602">
      <c r="A602" s="16" t="str">
        <f>IFERROR(__xludf.DUMMYFUNCTION("""COMPUTED_VALUE"""),"Месо")</f>
        <v>Месо</v>
      </c>
      <c r="B602" s="7" t="str">
        <f>IFERROR(__xludf.DUMMYFUNCTION("""COMPUTED_VALUE"""),"Свински врат Чех")</f>
        <v>Свински врат Чех</v>
      </c>
      <c r="C602" s="12">
        <f>IFERROR(__xludf.DUMMYFUNCTION("""COMPUTED_VALUE"""),100.0)</f>
        <v>100</v>
      </c>
      <c r="D602" s="7">
        <f>IFERROR(__xludf.DUMMYFUNCTION("""COMPUTED_VALUE"""),11.0)</f>
        <v>11</v>
      </c>
      <c r="E602" s="16">
        <f>IFERROR(__xludf.DUMMYFUNCTION("""COMPUTED_VALUE"""),1.2)</f>
        <v>1.2</v>
      </c>
      <c r="F602" s="16">
        <f>IFERROR(__xludf.DUMMYFUNCTION("""COMPUTED_VALUE"""),3.7)</f>
        <v>3.7</v>
      </c>
      <c r="G602" s="16">
        <f>IFERROR(__xludf.DUMMYFUNCTION("""COMPUTED_VALUE"""),0.0)</f>
        <v>0</v>
      </c>
      <c r="H602" s="23">
        <f>IFERROR(__xludf.DUMMYFUNCTION("""COMPUTED_VALUE"""),82.1)</f>
        <v>82.1</v>
      </c>
    </row>
    <row r="603">
      <c r="A603" s="16" t="str">
        <f>IFERROR(__xludf.DUMMYFUNCTION("""COMPUTED_VALUE"""),"Месо")</f>
        <v>Месо</v>
      </c>
      <c r="B603" s="7" t="str">
        <f>IFERROR(__xludf.DUMMYFUNCTION("""COMPUTED_VALUE"""),"Агнешки бут (печен)")</f>
        <v>Агнешки бут (печен)</v>
      </c>
      <c r="C603" s="12">
        <f>IFERROR(__xludf.DUMMYFUNCTION("""COMPUTED_VALUE"""),100.0)</f>
        <v>100</v>
      </c>
      <c r="D603" s="7">
        <f>IFERROR(__xludf.DUMMYFUNCTION("""COMPUTED_VALUE"""),26.2)</f>
        <v>26.2</v>
      </c>
      <c r="E603" s="16">
        <f>IFERROR(__xludf.DUMMYFUNCTION("""COMPUTED_VALUE"""),0.0)</f>
        <v>0</v>
      </c>
      <c r="F603" s="16">
        <f>IFERROR(__xludf.DUMMYFUNCTION("""COMPUTED_VALUE"""),14.42)</f>
        <v>14.42</v>
      </c>
      <c r="G603" s="16">
        <f>IFERROR(__xludf.DUMMYFUNCTION("""COMPUTED_VALUE"""),0.0)</f>
        <v>0</v>
      </c>
      <c r="H603" s="23">
        <f>IFERROR(__xludf.DUMMYFUNCTION("""COMPUTED_VALUE"""),234.57999999999998)</f>
        <v>234.58</v>
      </c>
    </row>
    <row r="604">
      <c r="A604" s="16" t="str">
        <f>IFERROR(__xludf.DUMMYFUNCTION("""COMPUTED_VALUE"""),"Месо")</f>
        <v>Месо</v>
      </c>
      <c r="B604" s="7" t="str">
        <f>IFERROR(__xludf.DUMMYFUNCTION("""COMPUTED_VALUE"""),"Телешка кайма 5% мазнини (сурова)")</f>
        <v>Телешка кайма 5% мазнини (сурова)</v>
      </c>
      <c r="C604" s="12">
        <f>IFERROR(__xludf.DUMMYFUNCTION("""COMPUTED_VALUE"""),100.0)</f>
        <v>100</v>
      </c>
      <c r="D604" s="7">
        <f>IFERROR(__xludf.DUMMYFUNCTION("""COMPUTED_VALUE"""),21.9)</f>
        <v>21.9</v>
      </c>
      <c r="E604" s="16">
        <f>IFERROR(__xludf.DUMMYFUNCTION("""COMPUTED_VALUE"""),0.0)</f>
        <v>0</v>
      </c>
      <c r="F604" s="16">
        <f>IFERROR(__xludf.DUMMYFUNCTION("""COMPUTED_VALUE"""),4.2)</f>
        <v>4.2</v>
      </c>
      <c r="G604" s="16">
        <f>IFERROR(__xludf.DUMMYFUNCTION("""COMPUTED_VALUE"""),0.0)</f>
        <v>0</v>
      </c>
      <c r="H604" s="23">
        <f>IFERROR(__xludf.DUMMYFUNCTION("""COMPUTED_VALUE"""),125.4)</f>
        <v>125.4</v>
      </c>
    </row>
    <row r="605">
      <c r="A605" s="16" t="str">
        <f>IFERROR(__xludf.DUMMYFUNCTION("""COMPUTED_VALUE"""),"Месо")</f>
        <v>Месо</v>
      </c>
      <c r="B605" s="7" t="str">
        <f>IFERROR(__xludf.DUMMYFUNCTION("""COMPUTED_VALUE"""),"Свинска кайма 5% мазнини (сурова)")</f>
        <v>Свинска кайма 5% мазнини (сурова)</v>
      </c>
      <c r="C605" s="12">
        <f>IFERROR(__xludf.DUMMYFUNCTION("""COMPUTED_VALUE"""),100.0)</f>
        <v>100</v>
      </c>
      <c r="D605" s="7">
        <f>IFERROR(__xludf.DUMMYFUNCTION("""COMPUTED_VALUE"""),21.0)</f>
        <v>21</v>
      </c>
      <c r="E605" s="16">
        <f>IFERROR(__xludf.DUMMYFUNCTION("""COMPUTED_VALUE"""),0.0)</f>
        <v>0</v>
      </c>
      <c r="F605" s="16">
        <f>IFERROR(__xludf.DUMMYFUNCTION("""COMPUTED_VALUE"""),4.7)</f>
        <v>4.7</v>
      </c>
      <c r="G605" s="16">
        <f>IFERROR(__xludf.DUMMYFUNCTION("""COMPUTED_VALUE"""),0.0)</f>
        <v>0</v>
      </c>
      <c r="H605" s="23">
        <f>IFERROR(__xludf.DUMMYFUNCTION("""COMPUTED_VALUE"""),126.30000000000001)</f>
        <v>126.3</v>
      </c>
    </row>
    <row r="606">
      <c r="A606" s="16" t="str">
        <f>IFERROR(__xludf.DUMMYFUNCTION("""COMPUTED_VALUE"""),"Месо")</f>
        <v>Месо</v>
      </c>
      <c r="B606" s="7" t="str">
        <f>IFERROR(__xludf.DUMMYFUNCTION("""COMPUTED_VALUE"""),"Конско месо (печено/варено)")</f>
        <v>Конско месо (печено/варено)</v>
      </c>
      <c r="C606" s="12">
        <f>IFERROR(__xludf.DUMMYFUNCTION("""COMPUTED_VALUE"""),100.0)</f>
        <v>100</v>
      </c>
      <c r="D606" s="7">
        <f>IFERROR(__xludf.DUMMYFUNCTION("""COMPUTED_VALUE"""),28.0)</f>
        <v>28</v>
      </c>
      <c r="E606" s="16">
        <f>IFERROR(__xludf.DUMMYFUNCTION("""COMPUTED_VALUE"""),0.0)</f>
        <v>0</v>
      </c>
      <c r="F606" s="16">
        <f>IFERROR(__xludf.DUMMYFUNCTION("""COMPUTED_VALUE"""),6.0)</f>
        <v>6</v>
      </c>
      <c r="G606" s="16">
        <f>IFERROR(__xludf.DUMMYFUNCTION("""COMPUTED_VALUE"""),0.0)</f>
        <v>0</v>
      </c>
      <c r="H606" s="23">
        <f>IFERROR(__xludf.DUMMYFUNCTION("""COMPUTED_VALUE"""),166.0)</f>
        <v>166</v>
      </c>
    </row>
    <row r="607">
      <c r="A607" s="16" t="str">
        <f>IFERROR(__xludf.DUMMYFUNCTION("""COMPUTED_VALUE"""),"Месо")</f>
        <v>Месо</v>
      </c>
      <c r="B607" s="7" t="str">
        <f>IFERROR(__xludf.DUMMYFUNCTION("""COMPUTED_VALUE"""),"Кайма - Black angus от мраморно говеждо месо (MEAT REVOLUTION) - Lild")</f>
        <v>Кайма - Black angus от мраморно говеждо месо (MEAT REVOLUTION) - Lild</v>
      </c>
      <c r="C607" s="12">
        <f>IFERROR(__xludf.DUMMYFUNCTION("""COMPUTED_VALUE"""),100.0)</f>
        <v>100</v>
      </c>
      <c r="D607" s="7">
        <f>IFERROR(__xludf.DUMMYFUNCTION("""COMPUTED_VALUE"""),16.0)</f>
        <v>16</v>
      </c>
      <c r="E607" s="16">
        <f>IFERROR(__xludf.DUMMYFUNCTION("""COMPUTED_VALUE"""),0.0)</f>
        <v>0</v>
      </c>
      <c r="F607" s="16">
        <f>IFERROR(__xludf.DUMMYFUNCTION("""COMPUTED_VALUE"""),18.0)</f>
        <v>18</v>
      </c>
      <c r="G607" s="16">
        <f>IFERROR(__xludf.DUMMYFUNCTION("""COMPUTED_VALUE"""),0.0)</f>
        <v>0</v>
      </c>
      <c r="H607" s="23">
        <f>IFERROR(__xludf.DUMMYFUNCTION("""COMPUTED_VALUE"""),226.0)</f>
        <v>226</v>
      </c>
    </row>
    <row r="608">
      <c r="A608" s="16" t="str">
        <f>IFERROR(__xludf.DUMMYFUNCTION("""COMPUTED_VALUE"""),"Месо")</f>
        <v>Месо</v>
      </c>
      <c r="B608" s="7" t="str">
        <f>IFERROR(__xludf.DUMMYFUNCTION("""COMPUTED_VALUE"""),"Пилешко бутче с кожа (печено)")</f>
        <v>Пилешко бутче с кожа (печено)</v>
      </c>
      <c r="C608" s="12">
        <f>IFERROR(__xludf.DUMMYFUNCTION("""COMPUTED_VALUE"""),100.0)</f>
        <v>100</v>
      </c>
      <c r="D608" s="7">
        <f>IFERROR(__xludf.DUMMYFUNCTION("""COMPUTED_VALUE"""),24.03)</f>
        <v>24.03</v>
      </c>
      <c r="E608" s="16">
        <f>IFERROR(__xludf.DUMMYFUNCTION("""COMPUTED_VALUE"""),0.0)</f>
        <v>0</v>
      </c>
      <c r="F608" s="16">
        <f>IFERROR(__xludf.DUMMYFUNCTION("""COMPUTED_VALUE"""),8.99)</f>
        <v>8.99</v>
      </c>
      <c r="G608" s="16">
        <f>IFERROR(__xludf.DUMMYFUNCTION("""COMPUTED_VALUE"""),0.0)</f>
        <v>0</v>
      </c>
      <c r="H608" s="23">
        <f>IFERROR(__xludf.DUMMYFUNCTION("""COMPUTED_VALUE"""),177.03)</f>
        <v>177.03</v>
      </c>
    </row>
    <row r="609">
      <c r="A609" s="16" t="str">
        <f>IFERROR(__xludf.DUMMYFUNCTION("""COMPUTED_VALUE"""),"Месо")</f>
        <v>Месо</v>
      </c>
      <c r="B609" s="7" t="str">
        <f>IFERROR(__xludf.DUMMYFUNCTION("""COMPUTED_VALUE"""),"Пуешка кайма 7% мазнини (сурова)")</f>
        <v>Пуешка кайма 7% мазнини (сурова)</v>
      </c>
      <c r="C609" s="12">
        <f>IFERROR(__xludf.DUMMYFUNCTION("""COMPUTED_VALUE"""),100.0)</f>
        <v>100</v>
      </c>
      <c r="D609" s="7">
        <f>IFERROR(__xludf.DUMMYFUNCTION("""COMPUTED_VALUE"""),20.0)</f>
        <v>20</v>
      </c>
      <c r="E609" s="16">
        <f>IFERROR(__xludf.DUMMYFUNCTION("""COMPUTED_VALUE"""),0.5)</f>
        <v>0.5</v>
      </c>
      <c r="F609" s="16">
        <f>IFERROR(__xludf.DUMMYFUNCTION("""COMPUTED_VALUE"""),4.4)</f>
        <v>4.4</v>
      </c>
      <c r="G609" s="16">
        <f>IFERROR(__xludf.DUMMYFUNCTION("""COMPUTED_VALUE"""),0.5)</f>
        <v>0.5</v>
      </c>
      <c r="H609" s="23">
        <f>IFERROR(__xludf.DUMMYFUNCTION("""COMPUTED_VALUE"""),121.6)</f>
        <v>121.6</v>
      </c>
    </row>
    <row r="610">
      <c r="A610" s="16" t="str">
        <f>IFERROR(__xludf.DUMMYFUNCTION("""COMPUTED_VALUE"""),"Месо")</f>
        <v>Месо</v>
      </c>
      <c r="B610" s="7" t="str">
        <f>IFERROR(__xludf.DUMMYFUNCTION("""COMPUTED_VALUE"""),"Адана кебаб (суров)")</f>
        <v>Адана кебаб (суров)</v>
      </c>
      <c r="C610" s="12">
        <f>IFERROR(__xludf.DUMMYFUNCTION("""COMPUTED_VALUE"""),100.0)</f>
        <v>100</v>
      </c>
      <c r="D610" s="7">
        <f>IFERROR(__xludf.DUMMYFUNCTION("""COMPUTED_VALUE"""),25.2)</f>
        <v>25.2</v>
      </c>
      <c r="E610" s="16">
        <f>IFERROR(__xludf.DUMMYFUNCTION("""COMPUTED_VALUE"""),3.11)</f>
        <v>3.11</v>
      </c>
      <c r="F610" s="16">
        <f>IFERROR(__xludf.DUMMYFUNCTION("""COMPUTED_VALUE"""),26.58)</f>
        <v>26.58</v>
      </c>
      <c r="G610" s="16">
        <f>IFERROR(__xludf.DUMMYFUNCTION("""COMPUTED_VALUE"""),0.0)</f>
        <v>0</v>
      </c>
      <c r="H610" s="23">
        <f>IFERROR(__xludf.DUMMYFUNCTION("""COMPUTED_VALUE"""),352.46)</f>
        <v>352.46</v>
      </c>
    </row>
    <row r="611">
      <c r="A611" s="16" t="str">
        <f>IFERROR(__xludf.DUMMYFUNCTION("""COMPUTED_VALUE"""),"Месо")</f>
        <v>Месо</v>
      </c>
      <c r="B611" s="7" t="str">
        <f>IFERROR(__xludf.DUMMYFUNCTION("""COMPUTED_VALUE"""),"Агнешко месо (печено/варено)")</f>
        <v>Агнешко месо (печено/варено)</v>
      </c>
      <c r="C611" s="12">
        <f>IFERROR(__xludf.DUMMYFUNCTION("""COMPUTED_VALUE"""),100.0)</f>
        <v>100</v>
      </c>
      <c r="D611" s="7">
        <f>IFERROR(__xludf.DUMMYFUNCTION("""COMPUTED_VALUE"""),25.51)</f>
        <v>25.51</v>
      </c>
      <c r="E611" s="16">
        <f>IFERROR(__xludf.DUMMYFUNCTION("""COMPUTED_VALUE"""),0.0)</f>
        <v>0</v>
      </c>
      <c r="F611" s="16">
        <f>IFERROR(__xludf.DUMMYFUNCTION("""COMPUTED_VALUE"""),18.01)</f>
        <v>18.01</v>
      </c>
      <c r="G611" s="16">
        <f>IFERROR(__xludf.DUMMYFUNCTION("""COMPUTED_VALUE"""),0.0)</f>
        <v>0</v>
      </c>
      <c r="H611" s="23">
        <f>IFERROR(__xludf.DUMMYFUNCTION("""COMPUTED_VALUE"""),264.13)</f>
        <v>264.13</v>
      </c>
    </row>
    <row r="612">
      <c r="A612" s="16" t="str">
        <f>IFERROR(__xludf.DUMMYFUNCTION("""COMPUTED_VALUE"""),"Месо")</f>
        <v>Месо</v>
      </c>
      <c r="B612" s="7" t="str">
        <f>IFERROR(__xludf.DUMMYFUNCTION("""COMPUTED_VALUE"""),"Свински наденици ( 50% мазнини)")</f>
        <v>Свински наденици ( 50% мазнини)</v>
      </c>
      <c r="C612" s="12">
        <f>IFERROR(__xludf.DUMMYFUNCTION("""COMPUTED_VALUE"""),100.0)</f>
        <v>100</v>
      </c>
      <c r="D612" s="7">
        <f>IFERROR(__xludf.DUMMYFUNCTION("""COMPUTED_VALUE"""),18.9)</f>
        <v>18.9</v>
      </c>
      <c r="E612" s="16">
        <f>IFERROR(__xludf.DUMMYFUNCTION("""COMPUTED_VALUE"""),7.6)</f>
        <v>7.6</v>
      </c>
      <c r="F612" s="16">
        <f>IFERROR(__xludf.DUMMYFUNCTION("""COMPUTED_VALUE"""),9.4)</f>
        <v>9.4</v>
      </c>
      <c r="G612" s="16">
        <f>IFERROR(__xludf.DUMMYFUNCTION("""COMPUTED_VALUE"""),1.5)</f>
        <v>1.5</v>
      </c>
      <c r="H612" s="23">
        <f>IFERROR(__xludf.DUMMYFUNCTION("""COMPUTED_VALUE"""),190.60000000000002)</f>
        <v>190.6</v>
      </c>
    </row>
    <row r="613">
      <c r="A613" s="16" t="str">
        <f>IFERROR(__xludf.DUMMYFUNCTION("""COMPUTED_VALUE"""),"Месо")</f>
        <v>Месо</v>
      </c>
      <c r="B613" s="7" t="str">
        <f>IFERROR(__xludf.DUMMYFUNCTION("""COMPUTED_VALUE"""),"Black angus бургер (сурово състояние) Лидл")</f>
        <v>Black angus бургер (сурово състояние) Лидл</v>
      </c>
      <c r="C613" s="12">
        <f>IFERROR(__xludf.DUMMYFUNCTION("""COMPUTED_VALUE"""),100.0)</f>
        <v>100</v>
      </c>
      <c r="D613" s="7">
        <f>IFERROR(__xludf.DUMMYFUNCTION("""COMPUTED_VALUE"""),16.0)</f>
        <v>16</v>
      </c>
      <c r="E613" s="16">
        <f>IFERROR(__xludf.DUMMYFUNCTION("""COMPUTED_VALUE"""),2.6)</f>
        <v>2.6</v>
      </c>
      <c r="F613" s="16">
        <f>IFERROR(__xludf.DUMMYFUNCTION("""COMPUTED_VALUE"""),20.0)</f>
        <v>20</v>
      </c>
      <c r="G613" s="16">
        <f>IFERROR(__xludf.DUMMYFUNCTION("""COMPUTED_VALUE"""),0.8)</f>
        <v>0.8</v>
      </c>
      <c r="H613" s="23">
        <f>IFERROR(__xludf.DUMMYFUNCTION("""COMPUTED_VALUE"""),254.4)</f>
        <v>254.4</v>
      </c>
    </row>
    <row r="614">
      <c r="A614" s="16" t="str">
        <f>IFERROR(__xludf.DUMMYFUNCTION("""COMPUTED_VALUE"""),"Месо")</f>
        <v>Месо</v>
      </c>
      <c r="B614" s="7" t="str">
        <f>IFERROR(__xludf.DUMMYFUNCTION("""COMPUTED_VALUE"""),"Шницели от охладено свинско месо - Lidl (суров)")</f>
        <v>Шницели от охладено свинско месо - Lidl (суров)</v>
      </c>
      <c r="C614" s="12">
        <f>IFERROR(__xludf.DUMMYFUNCTION("""COMPUTED_VALUE"""),100.0)</f>
        <v>100</v>
      </c>
      <c r="D614" s="7">
        <f>IFERROR(__xludf.DUMMYFUNCTION("""COMPUTED_VALUE"""),20.0)</f>
        <v>20</v>
      </c>
      <c r="E614" s="16">
        <f>IFERROR(__xludf.DUMMYFUNCTION("""COMPUTED_VALUE"""),0.0)</f>
        <v>0</v>
      </c>
      <c r="F614" s="16">
        <f>IFERROR(__xludf.DUMMYFUNCTION("""COMPUTED_VALUE"""),8.8)</f>
        <v>8.8</v>
      </c>
      <c r="G614" s="16">
        <f>IFERROR(__xludf.DUMMYFUNCTION("""COMPUTED_VALUE"""),0.0)</f>
        <v>0</v>
      </c>
      <c r="H614" s="23">
        <f>IFERROR(__xludf.DUMMYFUNCTION("""COMPUTED_VALUE"""),184.8)</f>
        <v>184.8</v>
      </c>
    </row>
    <row r="615">
      <c r="A615" s="16" t="str">
        <f>IFERROR(__xludf.DUMMYFUNCTION("""COMPUTED_VALUE"""),"Месо")</f>
        <v>Месо</v>
      </c>
      <c r="B615" s="7" t="str">
        <f>IFERROR(__xludf.DUMMYFUNCTION("""COMPUTED_VALUE"""),"Пуешка кайма 2%")</f>
        <v>Пуешка кайма 2%</v>
      </c>
      <c r="C615" s="12">
        <f>IFERROR(__xludf.DUMMYFUNCTION("""COMPUTED_VALUE"""),100.0)</f>
        <v>100</v>
      </c>
      <c r="D615" s="7">
        <f>IFERROR(__xludf.DUMMYFUNCTION("""COMPUTED_VALUE"""),20.0)</f>
        <v>20</v>
      </c>
      <c r="E615" s="16">
        <f>IFERROR(__xludf.DUMMYFUNCTION("""COMPUTED_VALUE"""),0.0)</f>
        <v>0</v>
      </c>
      <c r="F615" s="16">
        <f>IFERROR(__xludf.DUMMYFUNCTION("""COMPUTED_VALUE"""),2.0)</f>
        <v>2</v>
      </c>
      <c r="G615" s="16">
        <f>IFERROR(__xludf.DUMMYFUNCTION("""COMPUTED_VALUE"""),0.0)</f>
        <v>0</v>
      </c>
      <c r="H615" s="23">
        <f>IFERROR(__xludf.DUMMYFUNCTION("""COMPUTED_VALUE"""),144.9)</f>
        <v>144.9</v>
      </c>
    </row>
    <row r="616">
      <c r="A616" s="16" t="str">
        <f>IFERROR(__xludf.DUMMYFUNCTION("""COMPUTED_VALUE"""),"Месо")</f>
        <v>Месо</v>
      </c>
      <c r="B616" s="7" t="str">
        <f>IFERROR(__xludf.DUMMYFUNCTION("""COMPUTED_VALUE"""),"Варена шунка (Pikok - Lidl)")</f>
        <v>Варена шунка (Pikok - Lidl)</v>
      </c>
      <c r="C616" s="12">
        <f>IFERROR(__xludf.DUMMYFUNCTION("""COMPUTED_VALUE"""),100.0)</f>
        <v>100</v>
      </c>
      <c r="D616" s="7">
        <f>IFERROR(__xludf.DUMMYFUNCTION("""COMPUTED_VALUE"""),14.3)</f>
        <v>14.3</v>
      </c>
      <c r="E616" s="16">
        <f>IFERROR(__xludf.DUMMYFUNCTION("""COMPUTED_VALUE"""),3.0)</f>
        <v>3</v>
      </c>
      <c r="F616" s="16">
        <f>IFERROR(__xludf.DUMMYFUNCTION("""COMPUTED_VALUE"""),4.0)</f>
        <v>4</v>
      </c>
      <c r="G616" s="16">
        <f>IFERROR(__xludf.DUMMYFUNCTION("""COMPUTED_VALUE"""),0.0)</f>
        <v>0</v>
      </c>
      <c r="H616" s="23">
        <f>IFERROR(__xludf.DUMMYFUNCTION("""COMPUTED_VALUE"""),105.2)</f>
        <v>105.2</v>
      </c>
    </row>
    <row r="617">
      <c r="A617" s="16" t="str">
        <f>IFERROR(__xludf.DUMMYFUNCTION("""COMPUTED_VALUE"""),"Месо")</f>
        <v>Месо</v>
      </c>
      <c r="B617" s="7" t="str">
        <f>IFERROR(__xludf.DUMMYFUNCTION("""COMPUTED_VALUE"""),"Блек ангъс брекфаст сосиджис (Black angus breakfast sausages) Vivenda")</f>
        <v>Блек ангъс брекфаст сосиджис (Black angus breakfast sausages) Vivenda</v>
      </c>
      <c r="C617" s="12">
        <f>IFERROR(__xludf.DUMMYFUNCTION("""COMPUTED_VALUE"""),100.0)</f>
        <v>100</v>
      </c>
      <c r="D617" s="7">
        <f>IFERROR(__xludf.DUMMYFUNCTION("""COMPUTED_VALUE"""),16.9)</f>
        <v>16.9</v>
      </c>
      <c r="E617" s="16">
        <f>IFERROR(__xludf.DUMMYFUNCTION("""COMPUTED_VALUE"""),0.5)</f>
        <v>0.5</v>
      </c>
      <c r="F617" s="16">
        <f>IFERROR(__xludf.DUMMYFUNCTION("""COMPUTED_VALUE"""),12.3)</f>
        <v>12.3</v>
      </c>
      <c r="G617" s="16">
        <f>IFERROR(__xludf.DUMMYFUNCTION("""COMPUTED_VALUE"""),0.0)</f>
        <v>0</v>
      </c>
      <c r="H617" s="23">
        <f>IFERROR(__xludf.DUMMYFUNCTION("""COMPUTED_VALUE"""),180.3)</f>
        <v>180.3</v>
      </c>
    </row>
    <row r="618">
      <c r="A618" s="16" t="str">
        <f>IFERROR(__xludf.DUMMYFUNCTION("""COMPUTED_VALUE"""),"Месо")</f>
        <v>Месо</v>
      </c>
      <c r="B618" s="7" t="str">
        <f>IFERROR(__xludf.DUMMYFUNCTION("""COMPUTED_VALUE"""),"Свински наденици (45% мазнини) Алди")</f>
        <v>Свински наденици (45% мазнини) Алди</v>
      </c>
      <c r="C618" s="12">
        <f>IFERROR(__xludf.DUMMYFUNCTION("""COMPUTED_VALUE"""),100.0)</f>
        <v>100</v>
      </c>
      <c r="D618" s="7">
        <f>IFERROR(__xludf.DUMMYFUNCTION("""COMPUTED_VALUE"""),16.0)</f>
        <v>16</v>
      </c>
      <c r="E618" s="16">
        <f>IFERROR(__xludf.DUMMYFUNCTION("""COMPUTED_VALUE"""),7.9)</f>
        <v>7.9</v>
      </c>
      <c r="F618" s="16">
        <f>IFERROR(__xludf.DUMMYFUNCTION("""COMPUTED_VALUE"""),9.2)</f>
        <v>9.2</v>
      </c>
      <c r="G618" s="16">
        <f>IFERROR(__xludf.DUMMYFUNCTION("""COMPUTED_VALUE"""),1.4)</f>
        <v>1.4</v>
      </c>
      <c r="H618" s="23">
        <f>IFERROR(__xludf.DUMMYFUNCTION("""COMPUTED_VALUE"""),178.39999999999998)</f>
        <v>178.4</v>
      </c>
    </row>
    <row r="619">
      <c r="A619" s="16" t="str">
        <f>IFERROR(__xludf.DUMMYFUNCTION("""COMPUTED_VALUE"""),"Месо")</f>
        <v>Месо</v>
      </c>
      <c r="B619" s="7" t="str">
        <f>IFERROR(__xludf.DUMMYFUNCTION("""COMPUTED_VALUE"""),"Пилешка пушена шунка ""Фирма - Браво""")</f>
        <v>Пилешка пушена шунка "Фирма - Браво"</v>
      </c>
      <c r="C619" s="12">
        <f>IFERROR(__xludf.DUMMYFUNCTION("""COMPUTED_VALUE"""),100.0)</f>
        <v>100</v>
      </c>
      <c r="D619" s="7">
        <f>IFERROR(__xludf.DUMMYFUNCTION("""COMPUTED_VALUE"""),18.5)</f>
        <v>18.5</v>
      </c>
      <c r="E619" s="16">
        <f>IFERROR(__xludf.DUMMYFUNCTION("""COMPUTED_VALUE"""),0.1)</f>
        <v>0.1</v>
      </c>
      <c r="F619" s="16">
        <f>IFERROR(__xludf.DUMMYFUNCTION("""COMPUTED_VALUE"""),1.2)</f>
        <v>1.2</v>
      </c>
      <c r="G619" s="16">
        <f>IFERROR(__xludf.DUMMYFUNCTION("""COMPUTED_VALUE"""),0.0)</f>
        <v>0</v>
      </c>
      <c r="H619" s="23">
        <f>IFERROR(__xludf.DUMMYFUNCTION("""COMPUTED_VALUE"""),85.2)</f>
        <v>85.2</v>
      </c>
    </row>
    <row r="620">
      <c r="A620" s="16" t="str">
        <f>IFERROR(__xludf.DUMMYFUNCTION("""COMPUTED_VALUE"""),"Месо")</f>
        <v>Месо</v>
      </c>
      <c r="B620" s="7" t="str">
        <f>IFERROR(__xludf.DUMMYFUNCTION("""COMPUTED_VALUE"""),"Пуешко филе КФМ")</f>
        <v>Пуешко филе КФМ</v>
      </c>
      <c r="C620" s="12">
        <f>IFERROR(__xludf.DUMMYFUNCTION("""COMPUTED_VALUE"""),100.0)</f>
        <v>100</v>
      </c>
      <c r="D620" s="7">
        <f>IFERROR(__xludf.DUMMYFUNCTION("""COMPUTED_VALUE"""),16.9)</f>
        <v>16.9</v>
      </c>
      <c r="E620" s="16">
        <f>IFERROR(__xludf.DUMMYFUNCTION("""COMPUTED_VALUE"""),1.9)</f>
        <v>1.9</v>
      </c>
      <c r="F620" s="16">
        <f>IFERROR(__xludf.DUMMYFUNCTION("""COMPUTED_VALUE"""),1.1)</f>
        <v>1.1</v>
      </c>
      <c r="G620" s="16">
        <f>IFERROR(__xludf.DUMMYFUNCTION("""COMPUTED_VALUE"""),0.0)</f>
        <v>0</v>
      </c>
      <c r="H620" s="23">
        <f>IFERROR(__xludf.DUMMYFUNCTION("""COMPUTED_VALUE"""),85.1)</f>
        <v>85.1</v>
      </c>
    </row>
    <row r="621">
      <c r="A621" s="16" t="str">
        <f>IFERROR(__xludf.DUMMYFUNCTION("""COMPUTED_VALUE"""),"Месо")</f>
        <v>Месо</v>
      </c>
      <c r="B621" s="7" t="str">
        <f>IFERROR(__xludf.DUMMYFUNCTION("""COMPUTED_VALUE"""),"Телешка пастърма слайс от ""АБА ЕООД""")</f>
        <v>Телешка пастърма слайс от "АБА ЕООД"</v>
      </c>
      <c r="C621" s="12">
        <f>IFERROR(__xludf.DUMMYFUNCTION("""COMPUTED_VALUE"""),100.0)</f>
        <v>100</v>
      </c>
      <c r="D621" s="7">
        <f>IFERROR(__xludf.DUMMYFUNCTION("""COMPUTED_VALUE"""),32.0)</f>
        <v>32</v>
      </c>
      <c r="E621" s="16">
        <f>IFERROR(__xludf.DUMMYFUNCTION("""COMPUTED_VALUE"""),0.0)</f>
        <v>0</v>
      </c>
      <c r="F621" s="16">
        <f>IFERROR(__xludf.DUMMYFUNCTION("""COMPUTED_VALUE"""),2.0)</f>
        <v>2</v>
      </c>
      <c r="G621" s="16">
        <f>IFERROR(__xludf.DUMMYFUNCTION("""COMPUTED_VALUE"""),0.0)</f>
        <v>0</v>
      </c>
      <c r="H621" s="23">
        <f>IFERROR(__xludf.DUMMYFUNCTION("""COMPUTED_VALUE"""),146.0)</f>
        <v>146</v>
      </c>
    </row>
    <row r="622">
      <c r="A622" s="16" t="str">
        <f>IFERROR(__xludf.DUMMYFUNCTION("""COMPUTED_VALUE"""),"Месо")</f>
        <v>Месо</v>
      </c>
      <c r="B622" s="7" t="str">
        <f>IFERROR(__xludf.DUMMYFUNCTION("""COMPUTED_VALUE"""),"Шунка Виенска Премиум КФМ")</f>
        <v>Шунка Виенска Премиум КФМ</v>
      </c>
      <c r="C622" s="12">
        <f>IFERROR(__xludf.DUMMYFUNCTION("""COMPUTED_VALUE"""),100.0)</f>
        <v>100</v>
      </c>
      <c r="D622" s="7">
        <f>IFERROR(__xludf.DUMMYFUNCTION("""COMPUTED_VALUE"""),18.9)</f>
        <v>18.9</v>
      </c>
      <c r="E622" s="16">
        <f>IFERROR(__xludf.DUMMYFUNCTION("""COMPUTED_VALUE"""),1.0)</f>
        <v>1</v>
      </c>
      <c r="F622" s="16">
        <f>IFERROR(__xludf.DUMMYFUNCTION("""COMPUTED_VALUE"""),1.0)</f>
        <v>1</v>
      </c>
      <c r="G622" s="16">
        <f>IFERROR(__xludf.DUMMYFUNCTION("""COMPUTED_VALUE"""),0.0)</f>
        <v>0</v>
      </c>
      <c r="H622" s="23">
        <f>IFERROR(__xludf.DUMMYFUNCTION("""COMPUTED_VALUE"""),88.6)</f>
        <v>88.6</v>
      </c>
    </row>
    <row r="623">
      <c r="A623" s="16" t="str">
        <f>IFERROR(__xludf.DUMMYFUNCTION("""COMPUTED_VALUE"""),"Месо")</f>
        <v>Месо</v>
      </c>
      <c r="B623" s="7" t="str">
        <f>IFERROR(__xludf.DUMMYFUNCTION("""COMPUTED_VALUE"""),"Луканка Маджаров (черен етикет)")</f>
        <v>Луканка Маджаров (черен етикет)</v>
      </c>
      <c r="C623" s="12">
        <f>IFERROR(__xludf.DUMMYFUNCTION("""COMPUTED_VALUE"""),100.0)</f>
        <v>100</v>
      </c>
      <c r="D623" s="7">
        <f>IFERROR(__xludf.DUMMYFUNCTION("""COMPUTED_VALUE"""),25.0)</f>
        <v>25</v>
      </c>
      <c r="E623" s="16">
        <f>IFERROR(__xludf.DUMMYFUNCTION("""COMPUTED_VALUE"""),1.4)</f>
        <v>1.4</v>
      </c>
      <c r="F623" s="16">
        <f>IFERROR(__xludf.DUMMYFUNCTION("""COMPUTED_VALUE"""),30.0)</f>
        <v>30</v>
      </c>
      <c r="G623" s="16">
        <f>IFERROR(__xludf.DUMMYFUNCTION("""COMPUTED_VALUE"""),0.0)</f>
        <v>0</v>
      </c>
      <c r="H623" s="23">
        <f>IFERROR(__xludf.DUMMYFUNCTION("""COMPUTED_VALUE"""),375.6)</f>
        <v>375.6</v>
      </c>
    </row>
    <row r="624">
      <c r="A624" s="16" t="str">
        <f>IFERROR(__xludf.DUMMYFUNCTION("""COMPUTED_VALUE"""),"Месо")</f>
        <v>Месо</v>
      </c>
      <c r="B624" s="7" t="str">
        <f>IFERROR(__xludf.DUMMYFUNCTION("""COMPUTED_VALUE"""),"Кюфтета от свинско и говеждо месо със сос с гъби - LIDL")</f>
        <v>Кюфтета от свинско и говеждо месо със сос с гъби - LIDL</v>
      </c>
      <c r="C624" s="12">
        <f>IFERROR(__xludf.DUMMYFUNCTION("""COMPUTED_VALUE"""),100.0)</f>
        <v>100</v>
      </c>
      <c r="D624" s="7">
        <f>IFERROR(__xludf.DUMMYFUNCTION("""COMPUTED_VALUE"""),12.0)</f>
        <v>12</v>
      </c>
      <c r="E624" s="16">
        <f>IFERROR(__xludf.DUMMYFUNCTION("""COMPUTED_VALUE"""),1.8)</f>
        <v>1.8</v>
      </c>
      <c r="F624" s="16">
        <f>IFERROR(__xludf.DUMMYFUNCTION("""COMPUTED_VALUE"""),23.5)</f>
        <v>23.5</v>
      </c>
      <c r="G624" s="16">
        <f>IFERROR(__xludf.DUMMYFUNCTION("""COMPUTED_VALUE"""),0.0)</f>
        <v>0</v>
      </c>
      <c r="H624" s="23">
        <f>IFERROR(__xludf.DUMMYFUNCTION("""COMPUTED_VALUE"""),266.7)</f>
        <v>266.7</v>
      </c>
    </row>
    <row r="625">
      <c r="A625" s="16" t="str">
        <f>IFERROR(__xludf.DUMMYFUNCTION("""COMPUTED_VALUE"""),"Месо")</f>
        <v>Месо</v>
      </c>
      <c r="B625" s="7" t="str">
        <f>IFERROR(__xludf.DUMMYFUNCTION("""COMPUTED_VALUE"""),"Свинско контрафиле (сурово)")</f>
        <v>Свинско контрафиле (сурово)</v>
      </c>
      <c r="C625" s="12">
        <f>IFERROR(__xludf.DUMMYFUNCTION("""COMPUTED_VALUE"""),100.0)</f>
        <v>100</v>
      </c>
      <c r="D625" s="7">
        <f>IFERROR(__xludf.DUMMYFUNCTION("""COMPUTED_VALUE"""),21.43)</f>
        <v>21.43</v>
      </c>
      <c r="E625" s="16">
        <f>IFERROR(__xludf.DUMMYFUNCTION("""COMPUTED_VALUE"""),0.0)</f>
        <v>0</v>
      </c>
      <c r="F625" s="16">
        <f>IFERROR(__xludf.DUMMYFUNCTION("""COMPUTED_VALUE"""),5.66)</f>
        <v>5.66</v>
      </c>
      <c r="G625" s="16">
        <f>IFERROR(__xludf.DUMMYFUNCTION("""COMPUTED_VALUE"""),0.0)</f>
        <v>0</v>
      </c>
      <c r="H625" s="23">
        <f>IFERROR(__xludf.DUMMYFUNCTION("""COMPUTED_VALUE"""),136.66)</f>
        <v>136.66</v>
      </c>
    </row>
    <row r="626">
      <c r="A626" s="16" t="str">
        <f>IFERROR(__xludf.DUMMYFUNCTION("""COMPUTED_VALUE"""),"Месо")</f>
        <v>Месо</v>
      </c>
      <c r="B626" s="7" t="str">
        <f>IFERROR(__xludf.DUMMYFUNCTION("""COMPUTED_VALUE"""),"Прошуто Кото")</f>
        <v>Прошуто Кото</v>
      </c>
      <c r="C626" s="12">
        <f>IFERROR(__xludf.DUMMYFUNCTION("""COMPUTED_VALUE"""),100.0)</f>
        <v>100</v>
      </c>
      <c r="D626" s="7">
        <f>IFERROR(__xludf.DUMMYFUNCTION("""COMPUTED_VALUE"""),20.0)</f>
        <v>20</v>
      </c>
      <c r="E626" s="16">
        <f>IFERROR(__xludf.DUMMYFUNCTION("""COMPUTED_VALUE"""),2.0)</f>
        <v>2</v>
      </c>
      <c r="F626" s="16">
        <f>IFERROR(__xludf.DUMMYFUNCTION("""COMPUTED_VALUE"""),3.0)</f>
        <v>3</v>
      </c>
      <c r="G626" s="16">
        <f>IFERROR(__xludf.DUMMYFUNCTION("""COMPUTED_VALUE"""),0.0)</f>
        <v>0</v>
      </c>
      <c r="H626" s="23">
        <f>IFERROR(__xludf.DUMMYFUNCTION("""COMPUTED_VALUE"""),115.0)</f>
        <v>115</v>
      </c>
    </row>
    <row r="627">
      <c r="A627" s="16" t="str">
        <f>IFERROR(__xludf.DUMMYFUNCTION("""COMPUTED_VALUE"""),"Месо")</f>
        <v>Месо</v>
      </c>
      <c r="B627" s="7" t="str">
        <f>IFERROR(__xludf.DUMMYFUNCTION("""COMPUTED_VALUE"""),"Пастет Апетит / Николина")</f>
        <v>Пастет Апетит / Николина</v>
      </c>
      <c r="C627" s="12">
        <f>IFERROR(__xludf.DUMMYFUNCTION("""COMPUTED_VALUE"""),100.0)</f>
        <v>100</v>
      </c>
      <c r="D627" s="7">
        <f>IFERROR(__xludf.DUMMYFUNCTION("""COMPUTED_VALUE"""),8.2)</f>
        <v>8.2</v>
      </c>
      <c r="E627" s="16">
        <f>IFERROR(__xludf.DUMMYFUNCTION("""COMPUTED_VALUE"""),1.7)</f>
        <v>1.7</v>
      </c>
      <c r="F627" s="16">
        <f>IFERROR(__xludf.DUMMYFUNCTION("""COMPUTED_VALUE"""),13.0)</f>
        <v>13</v>
      </c>
      <c r="G627" s="16"/>
      <c r="H627" s="23">
        <f>IFERROR(__xludf.DUMMYFUNCTION("""COMPUTED_VALUE"""),156.6)</f>
        <v>156.6</v>
      </c>
    </row>
    <row r="628">
      <c r="A628" s="16" t="str">
        <f>IFERROR(__xludf.DUMMYFUNCTION("""COMPUTED_VALUE"""),"Месо")</f>
        <v>Месо</v>
      </c>
      <c r="B628" s="7" t="str">
        <f>IFERROR(__xludf.DUMMYFUNCTION("""COMPUTED_VALUE"""),"Пушено свинско филе ""Тандем""")</f>
        <v>Пушено свинско филе "Тандем"</v>
      </c>
      <c r="C628" s="12">
        <f>IFERROR(__xludf.DUMMYFUNCTION("""COMPUTED_VALUE"""),100.0)</f>
        <v>100</v>
      </c>
      <c r="D628" s="7">
        <f>IFERROR(__xludf.DUMMYFUNCTION("""COMPUTED_VALUE"""),18.0)</f>
        <v>18</v>
      </c>
      <c r="E628" s="16">
        <f>IFERROR(__xludf.DUMMYFUNCTION("""COMPUTED_VALUE"""),0.5)</f>
        <v>0.5</v>
      </c>
      <c r="F628" s="16">
        <f>IFERROR(__xludf.DUMMYFUNCTION("""COMPUTED_VALUE"""),3.0)</f>
        <v>3</v>
      </c>
      <c r="G628" s="16">
        <f>IFERROR(__xludf.DUMMYFUNCTION("""COMPUTED_VALUE"""),0.1)</f>
        <v>0.1</v>
      </c>
      <c r="H628" s="23">
        <f>IFERROR(__xludf.DUMMYFUNCTION("""COMPUTED_VALUE"""),101.0)</f>
        <v>101</v>
      </c>
    </row>
    <row r="629">
      <c r="A629" s="16" t="str">
        <f>IFERROR(__xludf.DUMMYFUNCTION("""COMPUTED_VALUE"""),"Месо")</f>
        <v>Месо</v>
      </c>
      <c r="B629" s="7" t="str">
        <f>IFERROR(__xludf.DUMMYFUNCTION("""COMPUTED_VALUE"""),"Телешки бургер (сурово състояние)")</f>
        <v>Телешки бургер (сурово състояние)</v>
      </c>
      <c r="C629" s="12">
        <f>IFERROR(__xludf.DUMMYFUNCTION("""COMPUTED_VALUE"""),100.0)</f>
        <v>100</v>
      </c>
      <c r="D629" s="7">
        <f>IFERROR(__xludf.DUMMYFUNCTION("""COMPUTED_VALUE"""),15.44)</f>
        <v>15.44</v>
      </c>
      <c r="E629" s="16">
        <f>IFERROR(__xludf.DUMMYFUNCTION("""COMPUTED_VALUE"""),2.47)</f>
        <v>2.47</v>
      </c>
      <c r="F629" s="16">
        <f>IFERROR(__xludf.DUMMYFUNCTION("""COMPUTED_VALUE"""),6.89)</f>
        <v>6.89</v>
      </c>
      <c r="G629" s="16">
        <f>IFERROR(__xludf.DUMMYFUNCTION("""COMPUTED_VALUE"""),1.87)</f>
        <v>1.87</v>
      </c>
      <c r="H629" s="23">
        <f>IFERROR(__xludf.DUMMYFUNCTION("""COMPUTED_VALUE"""),133.65)</f>
        <v>133.65</v>
      </c>
    </row>
    <row r="630">
      <c r="A630" s="16" t="str">
        <f>IFERROR(__xludf.DUMMYFUNCTION("""COMPUTED_VALUE"""),"Месо")</f>
        <v>Месо</v>
      </c>
      <c r="B630" s="7" t="str">
        <f>IFERROR(__xludf.DUMMYFUNCTION("""COMPUTED_VALUE"""),"Пилешко филе - шишче (сготвено)")</f>
        <v>Пилешко филе - шишче (сготвено)</v>
      </c>
      <c r="C630" s="12">
        <f>IFERROR(__xludf.DUMMYFUNCTION("""COMPUTED_VALUE"""),100.0)</f>
        <v>100</v>
      </c>
      <c r="D630" s="7">
        <f>IFERROR(__xludf.DUMMYFUNCTION("""COMPUTED_VALUE"""),30.0)</f>
        <v>30</v>
      </c>
      <c r="E630" s="16">
        <f>IFERROR(__xludf.DUMMYFUNCTION("""COMPUTED_VALUE"""),1.1)</f>
        <v>1.1</v>
      </c>
      <c r="F630" s="16">
        <f>IFERROR(__xludf.DUMMYFUNCTION("""COMPUTED_VALUE"""),3.0)</f>
        <v>3</v>
      </c>
      <c r="G630" s="16">
        <f>IFERROR(__xludf.DUMMYFUNCTION("""COMPUTED_VALUE"""),0.0)</f>
        <v>0</v>
      </c>
      <c r="H630" s="23">
        <f>IFERROR(__xludf.DUMMYFUNCTION("""COMPUTED_VALUE"""),111.30000000000001)</f>
        <v>111.3</v>
      </c>
    </row>
    <row r="631">
      <c r="A631" s="16" t="str">
        <f>IFERROR(__xludf.DUMMYFUNCTION("""COMPUTED_VALUE"""),"Месо")</f>
        <v>Месо</v>
      </c>
      <c r="B631" s="7" t="str">
        <f>IFERROR(__xludf.DUMMYFUNCTION("""COMPUTED_VALUE"""),"Кайма Абердин Ангус (сурова)  - Tesco finest")</f>
        <v>Кайма Абердин Ангус (сурова)  - Tesco finest</v>
      </c>
      <c r="C631" s="12">
        <f>IFERROR(__xludf.DUMMYFUNCTION("""COMPUTED_VALUE"""),100.0)</f>
        <v>100</v>
      </c>
      <c r="D631" s="7">
        <f>IFERROR(__xludf.DUMMYFUNCTION("""COMPUTED_VALUE"""),19.7)</f>
        <v>19.7</v>
      </c>
      <c r="E631" s="16">
        <f>IFERROR(__xludf.DUMMYFUNCTION("""COMPUTED_VALUE"""),0.0)</f>
        <v>0</v>
      </c>
      <c r="F631" s="16">
        <f>IFERROR(__xludf.DUMMYFUNCTION("""COMPUTED_VALUE"""),14.5)</f>
        <v>14.5</v>
      </c>
      <c r="G631" s="16">
        <f>IFERROR(__xludf.DUMMYFUNCTION("""COMPUTED_VALUE"""),0.0)</f>
        <v>0</v>
      </c>
      <c r="H631" s="23">
        <f>IFERROR(__xludf.DUMMYFUNCTION("""COMPUTED_VALUE"""),209.3)</f>
        <v>209.3</v>
      </c>
    </row>
    <row r="632">
      <c r="A632" s="16" t="str">
        <f>IFERROR(__xludf.DUMMYFUNCTION("""COMPUTED_VALUE"""),"Месо")</f>
        <v>Месо</v>
      </c>
      <c r="B632" s="7" t="str">
        <f>IFERROR(__xludf.DUMMYFUNCTION("""COMPUTED_VALUE"""),"Кренвирши Лидл варено пушени")</f>
        <v>Кренвирши Лидл варено пушени</v>
      </c>
      <c r="C632" s="12">
        <f>IFERROR(__xludf.DUMMYFUNCTION("""COMPUTED_VALUE"""),100.0)</f>
        <v>100</v>
      </c>
      <c r="D632" s="7">
        <f>IFERROR(__xludf.DUMMYFUNCTION("""COMPUTED_VALUE"""),13.1)</f>
        <v>13.1</v>
      </c>
      <c r="E632" s="16">
        <f>IFERROR(__xludf.DUMMYFUNCTION("""COMPUTED_VALUE"""),1.0)</f>
        <v>1</v>
      </c>
      <c r="F632" s="16">
        <f>IFERROR(__xludf.DUMMYFUNCTION("""COMPUTED_VALUE"""),23.0)</f>
        <v>23</v>
      </c>
      <c r="G632" s="16">
        <f>IFERROR(__xludf.DUMMYFUNCTION("""COMPUTED_VALUE"""),8.5)</f>
        <v>8.5</v>
      </c>
      <c r="H632" s="23">
        <f>IFERROR(__xludf.DUMMYFUNCTION("""COMPUTED_VALUE"""),263.4)</f>
        <v>263.4</v>
      </c>
    </row>
    <row r="633">
      <c r="A633" s="16" t="str">
        <f>IFERROR(__xludf.DUMMYFUNCTION("""COMPUTED_VALUE"""),"Месо")</f>
        <v>Месо</v>
      </c>
      <c r="B633" s="7" t="str">
        <f>IFERROR(__xludf.DUMMYFUNCTION("""COMPUTED_VALUE"""),"Телешко Buon Pascolo (в консерва)")</f>
        <v>Телешко Buon Pascolo (в консерва)</v>
      </c>
      <c r="C633" s="12">
        <f>IFERROR(__xludf.DUMMYFUNCTION("""COMPUTED_VALUE"""),100.0)</f>
        <v>100</v>
      </c>
      <c r="D633" s="7">
        <f>IFERROR(__xludf.DUMMYFUNCTION("""COMPUTED_VALUE"""),11.0)</f>
        <v>11</v>
      </c>
      <c r="E633" s="16">
        <f>IFERROR(__xludf.DUMMYFUNCTION("""COMPUTED_VALUE"""),0.6)</f>
        <v>0.6</v>
      </c>
      <c r="F633" s="16">
        <f>IFERROR(__xludf.DUMMYFUNCTION("""COMPUTED_VALUE"""),1.5)</f>
        <v>1.5</v>
      </c>
      <c r="G633" s="16">
        <f>IFERROR(__xludf.DUMMYFUNCTION("""COMPUTED_VALUE"""),0.0)</f>
        <v>0</v>
      </c>
      <c r="H633" s="23">
        <f>IFERROR(__xludf.DUMMYFUNCTION("""COMPUTED_VALUE"""),59.9)</f>
        <v>59.9</v>
      </c>
    </row>
    <row r="634">
      <c r="A634" s="16" t="str">
        <f>IFERROR(__xludf.DUMMYFUNCTION("""COMPUTED_VALUE"""),"Месо")</f>
        <v>Месо</v>
      </c>
      <c r="B634" s="7" t="str">
        <f>IFERROR(__xludf.DUMMYFUNCTION("""COMPUTED_VALUE"""),"Ловджийски наденички охладени Лидл")</f>
        <v>Ловджийски наденички охладени Лидл</v>
      </c>
      <c r="C634" s="12">
        <f>IFERROR(__xludf.DUMMYFUNCTION("""COMPUTED_VALUE"""),100.0)</f>
        <v>100</v>
      </c>
      <c r="D634" s="7">
        <f>IFERROR(__xludf.DUMMYFUNCTION("""COMPUTED_VALUE"""),14.0)</f>
        <v>14</v>
      </c>
      <c r="E634" s="16">
        <f>IFERROR(__xludf.DUMMYFUNCTION("""COMPUTED_VALUE"""),1.8)</f>
        <v>1.8</v>
      </c>
      <c r="F634" s="16">
        <f>IFERROR(__xludf.DUMMYFUNCTION("""COMPUTED_VALUE"""),28.0)</f>
        <v>28</v>
      </c>
      <c r="G634" s="16">
        <f>IFERROR(__xludf.DUMMYFUNCTION("""COMPUTED_VALUE"""),0.0)</f>
        <v>0</v>
      </c>
      <c r="H634" s="23">
        <f>IFERROR(__xludf.DUMMYFUNCTION("""COMPUTED_VALUE"""),315.2)</f>
        <v>315.2</v>
      </c>
    </row>
    <row r="635">
      <c r="A635" s="16" t="str">
        <f>IFERROR(__xludf.DUMMYFUNCTION("""COMPUTED_VALUE"""),"Месо")</f>
        <v>Месо</v>
      </c>
      <c r="B635" s="7" t="str">
        <f>IFERROR(__xludf.DUMMYFUNCTION("""COMPUTED_VALUE"""),"Пилешки дробчета (сготвено състояние)")</f>
        <v>Пилешки дробчета (сготвено състояние)</v>
      </c>
      <c r="C635" s="12">
        <f>IFERROR(__xludf.DUMMYFUNCTION("""COMPUTED_VALUE"""),100.0)</f>
        <v>100</v>
      </c>
      <c r="D635" s="7">
        <f>IFERROR(__xludf.DUMMYFUNCTION("""COMPUTED_VALUE"""),25.78)</f>
        <v>25.78</v>
      </c>
      <c r="E635" s="16">
        <f>IFERROR(__xludf.DUMMYFUNCTION("""COMPUTED_VALUE"""),1.11)</f>
        <v>1.11</v>
      </c>
      <c r="F635" s="16">
        <f>IFERROR(__xludf.DUMMYFUNCTION("""COMPUTED_VALUE"""),6.43)</f>
        <v>6.43</v>
      </c>
      <c r="G635" s="16">
        <f>IFERROR(__xludf.DUMMYFUNCTION("""COMPUTED_VALUE"""),0.0)</f>
        <v>0</v>
      </c>
      <c r="H635" s="23">
        <f>IFERROR(__xludf.DUMMYFUNCTION("""COMPUTED_VALUE"""),165.43)</f>
        <v>165.43</v>
      </c>
    </row>
    <row r="636">
      <c r="A636" s="16" t="str">
        <f>IFERROR(__xludf.DUMMYFUNCTION("""COMPUTED_VALUE"""),"Месо")</f>
        <v>Месо</v>
      </c>
      <c r="B636" s="7" t="str">
        <f>IFERROR(__xludf.DUMMYFUNCTION("""COMPUTED_VALUE"""),"Свински джолан (сурово състояние)")</f>
        <v>Свински джолан (сурово състояние)</v>
      </c>
      <c r="C636" s="12">
        <f>IFERROR(__xludf.DUMMYFUNCTION("""COMPUTED_VALUE"""),100.0)</f>
        <v>100</v>
      </c>
      <c r="D636" s="7">
        <f>IFERROR(__xludf.DUMMYFUNCTION("""COMPUTED_VALUE"""),20.6)</f>
        <v>20.6</v>
      </c>
      <c r="E636" s="16">
        <f>IFERROR(__xludf.DUMMYFUNCTION("""COMPUTED_VALUE"""),0.0)</f>
        <v>0</v>
      </c>
      <c r="F636" s="16">
        <f>IFERROR(__xludf.DUMMYFUNCTION("""COMPUTED_VALUE"""),5.6)</f>
        <v>5.6</v>
      </c>
      <c r="G636" s="16">
        <f>IFERROR(__xludf.DUMMYFUNCTION("""COMPUTED_VALUE"""),0.0)</f>
        <v>0</v>
      </c>
      <c r="H636" s="23">
        <f>IFERROR(__xludf.DUMMYFUNCTION("""COMPUTED_VALUE"""),132.8)</f>
        <v>132.8</v>
      </c>
    </row>
    <row r="637">
      <c r="A637" s="16" t="str">
        <f>IFERROR(__xludf.DUMMYFUNCTION("""COMPUTED_VALUE"""),"Месо")</f>
        <v>Месо</v>
      </c>
      <c r="B637" s="7" t="str">
        <f>IFERROR(__xludf.DUMMYFUNCTION("""COMPUTED_VALUE"""),"Печени патешки гърди Дулано Лидл")</f>
        <v>Печени патешки гърди Дулано Лидл</v>
      </c>
      <c r="C637" s="12">
        <f>IFERROR(__xludf.DUMMYFUNCTION("""COMPUTED_VALUE"""),100.0)</f>
        <v>100</v>
      </c>
      <c r="D637" s="7">
        <f>IFERROR(__xludf.DUMMYFUNCTION("""COMPUTED_VALUE"""),21.1)</f>
        <v>21.1</v>
      </c>
      <c r="E637" s="16">
        <f>IFERROR(__xludf.DUMMYFUNCTION("""COMPUTED_VALUE"""),0.5)</f>
        <v>0.5</v>
      </c>
      <c r="F637" s="16">
        <f>IFERROR(__xludf.DUMMYFUNCTION("""COMPUTED_VALUE"""),2.0)</f>
        <v>2</v>
      </c>
      <c r="G637" s="16">
        <f>IFERROR(__xludf.DUMMYFUNCTION("""COMPUTED_VALUE"""),0.0)</f>
        <v>0</v>
      </c>
      <c r="H637" s="23">
        <f>IFERROR(__xludf.DUMMYFUNCTION("""COMPUTED_VALUE"""),104.4)</f>
        <v>104.4</v>
      </c>
    </row>
    <row r="638">
      <c r="A638" s="16" t="str">
        <f>IFERROR(__xludf.DUMMYFUNCTION("""COMPUTED_VALUE"""),"Месо")</f>
        <v>Месо</v>
      </c>
      <c r="B638" s="7" t="str">
        <f>IFERROR(__xludf.DUMMYFUNCTION("""COMPUTED_VALUE"""),"Пуешки бут (варен)")</f>
        <v>Пуешки бут (варен)</v>
      </c>
      <c r="C638" s="12">
        <f>IFERROR(__xludf.DUMMYFUNCTION("""COMPUTED_VALUE"""),100.0)</f>
        <v>100</v>
      </c>
      <c r="D638" s="7">
        <f>IFERROR(__xludf.DUMMYFUNCTION("""COMPUTED_VALUE"""),30.0)</f>
        <v>30</v>
      </c>
      <c r="E638" s="16">
        <f>IFERROR(__xludf.DUMMYFUNCTION("""COMPUTED_VALUE"""),0.0)</f>
        <v>0</v>
      </c>
      <c r="F638" s="16">
        <f>IFERROR(__xludf.DUMMYFUNCTION("""COMPUTED_VALUE"""),7.0)</f>
        <v>7</v>
      </c>
      <c r="G638" s="16">
        <f>IFERROR(__xludf.DUMMYFUNCTION("""COMPUTED_VALUE"""),0.0)</f>
        <v>0</v>
      </c>
      <c r="H638" s="23">
        <f>IFERROR(__xludf.DUMMYFUNCTION("""COMPUTED_VALUE"""),183.0)</f>
        <v>183</v>
      </c>
    </row>
    <row r="639">
      <c r="A639" s="16" t="str">
        <f>IFERROR(__xludf.DUMMYFUNCTION("""COMPUTED_VALUE"""),"Месо")</f>
        <v>Месо</v>
      </c>
      <c r="B639" s="7" t="str">
        <f>IFERROR(__xludf.DUMMYFUNCTION("""COMPUTED_VALUE"""),"Пуешки гърди (варени)")</f>
        <v>Пуешки гърди (варени)</v>
      </c>
      <c r="C639" s="12">
        <f>IFERROR(__xludf.DUMMYFUNCTION("""COMPUTED_VALUE"""),100.0)</f>
        <v>100</v>
      </c>
      <c r="D639" s="7">
        <f>IFERROR(__xludf.DUMMYFUNCTION("""COMPUTED_VALUE"""),30.0)</f>
        <v>30</v>
      </c>
      <c r="E639" s="16">
        <f>IFERROR(__xludf.DUMMYFUNCTION("""COMPUTED_VALUE"""),0.0)</f>
        <v>0</v>
      </c>
      <c r="F639" s="16">
        <f>IFERROR(__xludf.DUMMYFUNCTION("""COMPUTED_VALUE"""),4.0)</f>
        <v>4</v>
      </c>
      <c r="G639" s="16">
        <f>IFERROR(__xludf.DUMMYFUNCTION("""COMPUTED_VALUE"""),0.0)</f>
        <v>0</v>
      </c>
      <c r="H639" s="23">
        <f>IFERROR(__xludf.DUMMYFUNCTION("""COMPUTED_VALUE"""),156.0)</f>
        <v>156</v>
      </c>
    </row>
    <row r="640">
      <c r="A640" s="16" t="str">
        <f>IFERROR(__xludf.DUMMYFUNCTION("""COMPUTED_VALUE"""),"Месо")</f>
        <v>Месо</v>
      </c>
      <c r="B640" s="7" t="str">
        <f>IFERROR(__xludf.DUMMYFUNCTION("""COMPUTED_VALUE"""),"Свинки бут (варен)")</f>
        <v>Свинки бут (варен)</v>
      </c>
      <c r="C640" s="12">
        <f>IFERROR(__xludf.DUMMYFUNCTION("""COMPUTED_VALUE"""),100.0)</f>
        <v>100</v>
      </c>
      <c r="D640" s="7">
        <f>IFERROR(__xludf.DUMMYFUNCTION("""COMPUTED_VALUE"""),27.0)</f>
        <v>27</v>
      </c>
      <c r="E640" s="16">
        <f>IFERROR(__xludf.DUMMYFUNCTION("""COMPUTED_VALUE"""),0.0)</f>
        <v>0</v>
      </c>
      <c r="F640" s="16">
        <f>IFERROR(__xludf.DUMMYFUNCTION("""COMPUTED_VALUE"""),18.0)</f>
        <v>18</v>
      </c>
      <c r="G640" s="16">
        <f>IFERROR(__xludf.DUMMYFUNCTION("""COMPUTED_VALUE"""),0.0)</f>
        <v>0</v>
      </c>
      <c r="H640" s="23">
        <f>IFERROR(__xludf.DUMMYFUNCTION("""COMPUTED_VALUE"""),270.0)</f>
        <v>270</v>
      </c>
    </row>
    <row r="641">
      <c r="A641" s="16" t="str">
        <f>IFERROR(__xludf.DUMMYFUNCTION("""COMPUTED_VALUE"""),"Месо")</f>
        <v>Месо</v>
      </c>
      <c r="B641" s="7" t="str">
        <f>IFERROR(__xludf.DUMMYFUNCTION("""COMPUTED_VALUE"""),"Свинско контра филе (печено)")</f>
        <v>Свинско контра филе (печено)</v>
      </c>
      <c r="C641" s="12">
        <f>IFERROR(__xludf.DUMMYFUNCTION("""COMPUTED_VALUE"""),100.0)</f>
        <v>100</v>
      </c>
      <c r="D641" s="7">
        <f>IFERROR(__xludf.DUMMYFUNCTION("""COMPUTED_VALUE"""),30.0)</f>
        <v>30</v>
      </c>
      <c r="E641" s="16">
        <f>IFERROR(__xludf.DUMMYFUNCTION("""COMPUTED_VALUE"""),0.0)</f>
        <v>0</v>
      </c>
      <c r="F641" s="16">
        <f>IFERROR(__xludf.DUMMYFUNCTION("""COMPUTED_VALUE"""),7.0)</f>
        <v>7</v>
      </c>
      <c r="G641" s="16">
        <f>IFERROR(__xludf.DUMMYFUNCTION("""COMPUTED_VALUE"""),0.0)</f>
        <v>0</v>
      </c>
      <c r="H641" s="23">
        <f>IFERROR(__xludf.DUMMYFUNCTION("""COMPUTED_VALUE"""),183.0)</f>
        <v>183</v>
      </c>
    </row>
    <row r="642">
      <c r="A642" s="16" t="str">
        <f>IFERROR(__xludf.DUMMYFUNCTION("""COMPUTED_VALUE"""),"Месо")</f>
        <v>Месо</v>
      </c>
      <c r="B642" s="7" t="str">
        <f>IFERROR(__xludf.DUMMYFUNCTION("""COMPUTED_VALUE"""),"Шунка Браво (свинска)")</f>
        <v>Шунка Браво (свинска)</v>
      </c>
      <c r="C642" s="12">
        <f>IFERROR(__xludf.DUMMYFUNCTION("""COMPUTED_VALUE"""),100.0)</f>
        <v>100</v>
      </c>
      <c r="D642" s="7">
        <f>IFERROR(__xludf.DUMMYFUNCTION("""COMPUTED_VALUE"""),14.0)</f>
        <v>14</v>
      </c>
      <c r="E642" s="16">
        <f>IFERROR(__xludf.DUMMYFUNCTION("""COMPUTED_VALUE"""),2.2)</f>
        <v>2.2</v>
      </c>
      <c r="F642" s="16">
        <f>IFERROR(__xludf.DUMMYFUNCTION("""COMPUTED_VALUE"""),1.0)</f>
        <v>1</v>
      </c>
      <c r="G642" s="16">
        <f>IFERROR(__xludf.DUMMYFUNCTION("""COMPUTED_VALUE"""),0.0)</f>
        <v>0</v>
      </c>
      <c r="H642" s="23">
        <f>IFERROR(__xludf.DUMMYFUNCTION("""COMPUTED_VALUE"""),73.8)</f>
        <v>73.8</v>
      </c>
    </row>
    <row r="643">
      <c r="A643" s="16" t="str">
        <f>IFERROR(__xludf.DUMMYFUNCTION("""COMPUTED_VALUE"""),"Месо")</f>
        <v>Месо</v>
      </c>
      <c r="B643" s="7" t="str">
        <f>IFERROR(__xludf.DUMMYFUNCTION("""COMPUTED_VALUE"""),"Кюфтета свински на скара")</f>
        <v>Кюфтета свински на скара</v>
      </c>
      <c r="C643" s="12">
        <f>IFERROR(__xludf.DUMMYFUNCTION("""COMPUTED_VALUE"""),100.0)</f>
        <v>100</v>
      </c>
      <c r="D643" s="7">
        <f>IFERROR(__xludf.DUMMYFUNCTION("""COMPUTED_VALUE"""),30.2)</f>
        <v>30.2</v>
      </c>
      <c r="E643" s="16">
        <f>IFERROR(__xludf.DUMMYFUNCTION("""COMPUTED_VALUE"""),11.5)</f>
        <v>11.5</v>
      </c>
      <c r="F643" s="16">
        <f>IFERROR(__xludf.DUMMYFUNCTION("""COMPUTED_VALUE"""),18.0)</f>
        <v>18</v>
      </c>
      <c r="G643" s="16">
        <f>IFERROR(__xludf.DUMMYFUNCTION("""COMPUTED_VALUE"""),0.0)</f>
        <v>0</v>
      </c>
      <c r="H643" s="23">
        <f>IFERROR(__xludf.DUMMYFUNCTION("""COMPUTED_VALUE"""),283.8)</f>
        <v>283.8</v>
      </c>
    </row>
    <row r="644">
      <c r="A644" s="16" t="str">
        <f>IFERROR(__xludf.DUMMYFUNCTION("""COMPUTED_VALUE"""),"Месо")</f>
        <v>Месо</v>
      </c>
      <c r="B644" s="7" t="str">
        <f>IFERROR(__xludf.DUMMYFUNCTION("""COMPUTED_VALUE"""),"Кюфтета От младо телешко Лидл")</f>
        <v>Кюфтета От младо телешко Лидл</v>
      </c>
      <c r="C644" s="12">
        <f>IFERROR(__xludf.DUMMYFUNCTION("""COMPUTED_VALUE"""),100.0)</f>
        <v>100</v>
      </c>
      <c r="D644" s="7">
        <f>IFERROR(__xludf.DUMMYFUNCTION("""COMPUTED_VALUE"""),14.0)</f>
        <v>14</v>
      </c>
      <c r="E644" s="16">
        <f>IFERROR(__xludf.DUMMYFUNCTION("""COMPUTED_VALUE"""),2.4)</f>
        <v>2.4</v>
      </c>
      <c r="F644" s="16">
        <f>IFERROR(__xludf.DUMMYFUNCTION("""COMPUTED_VALUE"""),19.6)</f>
        <v>19.6</v>
      </c>
      <c r="G644" s="16">
        <f>IFERROR(__xludf.DUMMYFUNCTION("""COMPUTED_VALUE"""),0.0)</f>
        <v>0</v>
      </c>
      <c r="H644" s="23">
        <f>IFERROR(__xludf.DUMMYFUNCTION("""COMPUTED_VALUE"""),242.0)</f>
        <v>242</v>
      </c>
    </row>
    <row r="645">
      <c r="A645" s="16" t="str">
        <f>IFERROR(__xludf.DUMMYFUNCTION("""COMPUTED_VALUE"""),"Месо")</f>
        <v>Месо</v>
      </c>
      <c r="B645" s="7" t="str">
        <f>IFERROR(__xludf.DUMMYFUNCTION("""COMPUTED_VALUE"""),"Заек (сурово състояние)")</f>
        <v>Заек (сурово състояние)</v>
      </c>
      <c r="C645" s="12">
        <f>IFERROR(__xludf.DUMMYFUNCTION("""COMPUTED_VALUE"""),100.0)</f>
        <v>100</v>
      </c>
      <c r="D645" s="7">
        <f>IFERROR(__xludf.DUMMYFUNCTION("""COMPUTED_VALUE"""),20.1)</f>
        <v>20.1</v>
      </c>
      <c r="E645" s="16">
        <f>IFERROR(__xludf.DUMMYFUNCTION("""COMPUTED_VALUE"""),0.5)</f>
        <v>0.5</v>
      </c>
      <c r="F645" s="16">
        <f>IFERROR(__xludf.DUMMYFUNCTION("""COMPUTED_VALUE"""),5.6)</f>
        <v>5.6</v>
      </c>
      <c r="G645" s="16">
        <f>IFERROR(__xludf.DUMMYFUNCTION("""COMPUTED_VALUE"""),0.0)</f>
        <v>0</v>
      </c>
      <c r="H645" s="23">
        <f>IFERROR(__xludf.DUMMYFUNCTION("""COMPUTED_VALUE"""),132.8)</f>
        <v>132.8</v>
      </c>
    </row>
    <row r="646">
      <c r="A646" s="16" t="str">
        <f>IFERROR(__xludf.DUMMYFUNCTION("""COMPUTED_VALUE"""),"Месо")</f>
        <v>Месо</v>
      </c>
      <c r="B646" s="7" t="str">
        <f>IFERROR(__xludf.DUMMYFUNCTION("""COMPUTED_VALUE"""),"Свински котлет с кост (на скара)")</f>
        <v>Свински котлет с кост (на скара)</v>
      </c>
      <c r="C646" s="12">
        <f>IFERROR(__xludf.DUMMYFUNCTION("""COMPUTED_VALUE"""),100.0)</f>
        <v>100</v>
      </c>
      <c r="D646" s="7">
        <f>IFERROR(__xludf.DUMMYFUNCTION("""COMPUTED_VALUE"""),26.76)</f>
        <v>26.76</v>
      </c>
      <c r="E646" s="16">
        <f>IFERROR(__xludf.DUMMYFUNCTION("""COMPUTED_VALUE"""),0.0)</f>
        <v>0</v>
      </c>
      <c r="F646" s="16">
        <f>IFERROR(__xludf.DUMMYFUNCTION("""COMPUTED_VALUE"""),7.29)</f>
        <v>7.29</v>
      </c>
      <c r="G646" s="16">
        <f>IFERROR(__xludf.DUMMYFUNCTION("""COMPUTED_VALUE"""),0.0)</f>
        <v>0</v>
      </c>
      <c r="H646" s="23">
        <f>IFERROR(__xludf.DUMMYFUNCTION("""COMPUTED_VALUE"""),172.65)</f>
        <v>172.65</v>
      </c>
    </row>
    <row r="647">
      <c r="A647" s="16" t="str">
        <f>IFERROR(__xludf.DUMMYFUNCTION("""COMPUTED_VALUE"""),"Месо")</f>
        <v>Месо</v>
      </c>
      <c r="B647" s="7" t="str">
        <f>IFERROR(__xludf.DUMMYFUNCTION("""COMPUTED_VALUE"""),"Хамон Лидл")</f>
        <v>Хамон Лидл</v>
      </c>
      <c r="C647" s="12">
        <f>IFERROR(__xludf.DUMMYFUNCTION("""COMPUTED_VALUE"""),100.0)</f>
        <v>100</v>
      </c>
      <c r="D647" s="7">
        <f>IFERROR(__xludf.DUMMYFUNCTION("""COMPUTED_VALUE"""),30.0)</f>
        <v>30</v>
      </c>
      <c r="E647" s="16">
        <f>IFERROR(__xludf.DUMMYFUNCTION("""COMPUTED_VALUE"""),1.0)</f>
        <v>1</v>
      </c>
      <c r="F647" s="16">
        <f>IFERROR(__xludf.DUMMYFUNCTION("""COMPUTED_VALUE"""),12.0)</f>
        <v>12</v>
      </c>
      <c r="G647" s="16">
        <f>IFERROR(__xludf.DUMMYFUNCTION("""COMPUTED_VALUE"""),0.0)</f>
        <v>0</v>
      </c>
      <c r="H647" s="23">
        <f>IFERROR(__xludf.DUMMYFUNCTION("""COMPUTED_VALUE"""),232.0)</f>
        <v>232</v>
      </c>
    </row>
    <row r="648">
      <c r="A648" s="16" t="str">
        <f>IFERROR(__xludf.DUMMYFUNCTION("""COMPUTED_VALUE"""),"Месо")</f>
        <v>Месо</v>
      </c>
      <c r="B648" s="7" t="str">
        <f>IFERROR(__xludf.DUMMYFUNCTION("""COMPUTED_VALUE"""),"Пастърма от пилешки гърди Woods Foods")</f>
        <v>Пастърма от пилешки гърди Woods Foods</v>
      </c>
      <c r="C648" s="12">
        <f>IFERROR(__xludf.DUMMYFUNCTION("""COMPUTED_VALUE"""),100.0)</f>
        <v>100</v>
      </c>
      <c r="D648" s="7">
        <f>IFERROR(__xludf.DUMMYFUNCTION("""COMPUTED_VALUE"""),23.18)</f>
        <v>23.18</v>
      </c>
      <c r="E648" s="16">
        <f>IFERROR(__xludf.DUMMYFUNCTION("""COMPUTED_VALUE"""),0.55)</f>
        <v>0.55</v>
      </c>
      <c r="F648" s="16">
        <f>IFERROR(__xludf.DUMMYFUNCTION("""COMPUTED_VALUE"""),1.34)</f>
        <v>1.34</v>
      </c>
      <c r="G648" s="16">
        <f>IFERROR(__xludf.DUMMYFUNCTION("""COMPUTED_VALUE"""),0.0)</f>
        <v>0</v>
      </c>
      <c r="H648" s="23">
        <f>IFERROR(__xludf.DUMMYFUNCTION("""COMPUTED_VALUE"""),106.98)</f>
        <v>106.98</v>
      </c>
    </row>
    <row r="649">
      <c r="A649" s="16" t="str">
        <f>IFERROR(__xludf.DUMMYFUNCTION("""COMPUTED_VALUE"""),"Месо")</f>
        <v>Месо</v>
      </c>
      <c r="B649" s="7" t="str">
        <f>IFERROR(__xludf.DUMMYFUNCTION("""COMPUTED_VALUE"""),"Пуешко филе БРАВО (варено-пушено)")</f>
        <v>Пуешко филе БРАВО (варено-пушено)</v>
      </c>
      <c r="C649" s="12">
        <f>IFERROR(__xludf.DUMMYFUNCTION("""COMPUTED_VALUE"""),100.0)</f>
        <v>100</v>
      </c>
      <c r="D649" s="7">
        <f>IFERROR(__xludf.DUMMYFUNCTION("""COMPUTED_VALUE"""),13.0)</f>
        <v>13</v>
      </c>
      <c r="E649" s="16">
        <f>IFERROR(__xludf.DUMMYFUNCTION("""COMPUTED_VALUE"""),2.0)</f>
        <v>2</v>
      </c>
      <c r="F649" s="16">
        <f>IFERROR(__xludf.DUMMYFUNCTION("""COMPUTED_VALUE"""),2.14)</f>
        <v>2.14</v>
      </c>
      <c r="G649" s="16">
        <f>IFERROR(__xludf.DUMMYFUNCTION("""COMPUTED_VALUE"""),0.0)</f>
        <v>0</v>
      </c>
      <c r="H649" s="23">
        <f>IFERROR(__xludf.DUMMYFUNCTION("""COMPUTED_VALUE"""),79.26)</f>
        <v>79.26</v>
      </c>
    </row>
    <row r="650">
      <c r="A650" s="16" t="str">
        <f>IFERROR(__xludf.DUMMYFUNCTION("""COMPUTED_VALUE"""),"Месо")</f>
        <v>Месо</v>
      </c>
      <c r="B650" s="7" t="str">
        <f>IFERROR(__xludf.DUMMYFUNCTION("""COMPUTED_VALUE"""),"Пастърма Говежда Еко Мес")</f>
        <v>Пастърма Говежда Еко Мес</v>
      </c>
      <c r="C650" s="12">
        <f>IFERROR(__xludf.DUMMYFUNCTION("""COMPUTED_VALUE"""),100.0)</f>
        <v>100</v>
      </c>
      <c r="D650" s="7">
        <f>IFERROR(__xludf.DUMMYFUNCTION("""COMPUTED_VALUE"""),41.0)</f>
        <v>41</v>
      </c>
      <c r="E650" s="16">
        <f>IFERROR(__xludf.DUMMYFUNCTION("""COMPUTED_VALUE"""),1.9)</f>
        <v>1.9</v>
      </c>
      <c r="F650" s="16">
        <f>IFERROR(__xludf.DUMMYFUNCTION("""COMPUTED_VALUE"""),5.7)</f>
        <v>5.7</v>
      </c>
      <c r="G650" s="16">
        <f>IFERROR(__xludf.DUMMYFUNCTION("""COMPUTED_VALUE"""),0.0)</f>
        <v>0</v>
      </c>
      <c r="H650" s="23">
        <f>IFERROR(__xludf.DUMMYFUNCTION("""COMPUTED_VALUE"""),222.9)</f>
        <v>222.9</v>
      </c>
    </row>
    <row r="651">
      <c r="A651" s="16" t="str">
        <f>IFERROR(__xludf.DUMMYFUNCTION("""COMPUTED_VALUE"""),"Месо")</f>
        <v>Месо</v>
      </c>
      <c r="B651" s="7" t="str">
        <f>IFERROR(__xludf.DUMMYFUNCTION("""COMPUTED_VALUE"""),"Прошуто Кото Дулано (Lidl)")</f>
        <v>Прошуто Кото Дулано (Lidl)</v>
      </c>
      <c r="C651" s="12">
        <f>IFERROR(__xludf.DUMMYFUNCTION("""COMPUTED_VALUE"""),100.0)</f>
        <v>100</v>
      </c>
      <c r="D651" s="7">
        <f>IFERROR(__xludf.DUMMYFUNCTION("""COMPUTED_VALUE"""),20.0)</f>
        <v>20</v>
      </c>
      <c r="E651" s="16">
        <f>IFERROR(__xludf.DUMMYFUNCTION("""COMPUTED_VALUE"""),2.0)</f>
        <v>2</v>
      </c>
      <c r="F651" s="16">
        <f>IFERROR(__xludf.DUMMYFUNCTION("""COMPUTED_VALUE"""),3.0)</f>
        <v>3</v>
      </c>
      <c r="G651" s="16">
        <f>IFERROR(__xludf.DUMMYFUNCTION("""COMPUTED_VALUE"""),0.0)</f>
        <v>0</v>
      </c>
      <c r="H651" s="23">
        <f>IFERROR(__xludf.DUMMYFUNCTION("""COMPUTED_VALUE"""),115.0)</f>
        <v>115</v>
      </c>
    </row>
    <row r="652">
      <c r="A652" s="16" t="str">
        <f>IFERROR(__xludf.DUMMYFUNCTION("""COMPUTED_VALUE"""),"Месо")</f>
        <v>Месо</v>
      </c>
      <c r="B652" s="7" t="str">
        <f>IFERROR(__xludf.DUMMYFUNCTION("""COMPUTED_VALUE"""),"Шварцвалдска шунка, суровопушена (Lidl)")</f>
        <v>Шварцвалдска шунка, суровопушена (Lidl)</v>
      </c>
      <c r="C652" s="12">
        <f>IFERROR(__xludf.DUMMYFUNCTION("""COMPUTED_VALUE"""),100.0)</f>
        <v>100</v>
      </c>
      <c r="D652" s="7">
        <f>IFERROR(__xludf.DUMMYFUNCTION("""COMPUTED_VALUE"""),25.0)</f>
        <v>25</v>
      </c>
      <c r="E652" s="16">
        <f>IFERROR(__xludf.DUMMYFUNCTION("""COMPUTED_VALUE"""),1.0)</f>
        <v>1</v>
      </c>
      <c r="F652" s="16">
        <f>IFERROR(__xludf.DUMMYFUNCTION("""COMPUTED_VALUE"""),15.0)</f>
        <v>15</v>
      </c>
      <c r="G652" s="16">
        <f>IFERROR(__xludf.DUMMYFUNCTION("""COMPUTED_VALUE"""),0.0)</f>
        <v>0</v>
      </c>
      <c r="H652" s="23">
        <f>IFERROR(__xludf.DUMMYFUNCTION("""COMPUTED_VALUE"""),239.0)</f>
        <v>239</v>
      </c>
    </row>
    <row r="653">
      <c r="A653" s="16" t="str">
        <f>IFERROR(__xludf.DUMMYFUNCTION("""COMPUTED_VALUE"""),"Месо")</f>
        <v>Месо</v>
      </c>
      <c r="B653" s="7" t="str">
        <f>IFERROR(__xludf.DUMMYFUNCTION("""COMPUTED_VALUE"""),"Шунка Тандем Класик")</f>
        <v>Шунка Тандем Класик</v>
      </c>
      <c r="C653" s="12">
        <f>IFERROR(__xludf.DUMMYFUNCTION("""COMPUTED_VALUE"""),100.0)</f>
        <v>100</v>
      </c>
      <c r="D653" s="7">
        <f>IFERROR(__xludf.DUMMYFUNCTION("""COMPUTED_VALUE"""),14.0)</f>
        <v>14</v>
      </c>
      <c r="E653" s="16">
        <f>IFERROR(__xludf.DUMMYFUNCTION("""COMPUTED_VALUE"""),2.6)</f>
        <v>2.6</v>
      </c>
      <c r="F653" s="16">
        <f>IFERROR(__xludf.DUMMYFUNCTION("""COMPUTED_VALUE"""),3.0)</f>
        <v>3</v>
      </c>
      <c r="G653" s="16">
        <f>IFERROR(__xludf.DUMMYFUNCTION("""COMPUTED_VALUE"""),0.0)</f>
        <v>0</v>
      </c>
      <c r="H653" s="23">
        <f>IFERROR(__xludf.DUMMYFUNCTION("""COMPUTED_VALUE"""),93.4)</f>
        <v>93.4</v>
      </c>
    </row>
    <row r="654">
      <c r="A654" s="16" t="str">
        <f>IFERROR(__xludf.DUMMYFUNCTION("""COMPUTED_VALUE"""),"Месо")</f>
        <v>Месо</v>
      </c>
      <c r="B654" s="7" t="str">
        <f>IFERROR(__xludf.DUMMYFUNCTION("""COMPUTED_VALUE"""),"Свинска вратна пържола (печена)")</f>
        <v>Свинска вратна пържола (печена)</v>
      </c>
      <c r="C654" s="12">
        <f>IFERROR(__xludf.DUMMYFUNCTION("""COMPUTED_VALUE"""),100.0)</f>
        <v>100</v>
      </c>
      <c r="D654" s="7">
        <f>IFERROR(__xludf.DUMMYFUNCTION("""COMPUTED_VALUE"""),25.6)</f>
        <v>25.6</v>
      </c>
      <c r="E654" s="16">
        <f>IFERROR(__xludf.DUMMYFUNCTION("""COMPUTED_VALUE"""),0.0)</f>
        <v>0</v>
      </c>
      <c r="F654" s="16">
        <f>IFERROR(__xludf.DUMMYFUNCTION("""COMPUTED_VALUE"""),16.6)</f>
        <v>16.6</v>
      </c>
      <c r="G654" s="16">
        <f>IFERROR(__xludf.DUMMYFUNCTION("""COMPUTED_VALUE"""),0.0)</f>
        <v>0</v>
      </c>
      <c r="H654" s="23">
        <f>IFERROR(__xludf.DUMMYFUNCTION("""COMPUTED_VALUE"""),251.8)</f>
        <v>251.8</v>
      </c>
    </row>
    <row r="655">
      <c r="A655" s="16" t="str">
        <f>IFERROR(__xludf.DUMMYFUNCTION("""COMPUTED_VALUE"""),"Месо")</f>
        <v>Месо</v>
      </c>
      <c r="B655" s="7" t="str">
        <f>IFERROR(__xludf.DUMMYFUNCTION("""COMPUTED_VALUE"""),"Панагюрска луканка маджаров")</f>
        <v>Панагюрска луканка маджаров</v>
      </c>
      <c r="C655" s="12">
        <f>IFERROR(__xludf.DUMMYFUNCTION("""COMPUTED_VALUE"""),100.0)</f>
        <v>100</v>
      </c>
      <c r="D655" s="7">
        <f>IFERROR(__xludf.DUMMYFUNCTION("""COMPUTED_VALUE"""),28.0)</f>
        <v>28</v>
      </c>
      <c r="E655" s="16">
        <f>IFERROR(__xludf.DUMMYFUNCTION("""COMPUTED_VALUE"""),2.4)</f>
        <v>2.4</v>
      </c>
      <c r="F655" s="16">
        <f>IFERROR(__xludf.DUMMYFUNCTION("""COMPUTED_VALUE"""),29.0)</f>
        <v>29</v>
      </c>
      <c r="G655" s="16">
        <f>IFERROR(__xludf.DUMMYFUNCTION("""COMPUTED_VALUE"""),1.0)</f>
        <v>1</v>
      </c>
      <c r="H655" s="23">
        <f>IFERROR(__xludf.DUMMYFUNCTION("""COMPUTED_VALUE"""),382.6)</f>
        <v>382.6</v>
      </c>
    </row>
    <row r="656">
      <c r="A656" s="16" t="str">
        <f>IFERROR(__xludf.DUMMYFUNCTION("""COMPUTED_VALUE"""),"Месо")</f>
        <v>Месо</v>
      </c>
      <c r="B656" s="7" t="str">
        <f>IFERROR(__xludf.DUMMYFUNCTION("""COMPUTED_VALUE"""),"Телешки Дроб (суров)")</f>
        <v>Телешки Дроб (суров)</v>
      </c>
      <c r="C656" s="12">
        <f>IFERROR(__xludf.DUMMYFUNCTION("""COMPUTED_VALUE"""),100.0)</f>
        <v>100</v>
      </c>
      <c r="D656" s="7">
        <f>IFERROR(__xludf.DUMMYFUNCTION("""COMPUTED_VALUE"""),19.93)</f>
        <v>19.93</v>
      </c>
      <c r="E656" s="16">
        <f>IFERROR(__xludf.DUMMYFUNCTION("""COMPUTED_VALUE"""),2.91)</f>
        <v>2.91</v>
      </c>
      <c r="F656" s="16">
        <f>IFERROR(__xludf.DUMMYFUNCTION("""COMPUTED_VALUE"""),4.85)</f>
        <v>4.85</v>
      </c>
      <c r="G656" s="16">
        <f>IFERROR(__xludf.DUMMYFUNCTION("""COMPUTED_VALUE"""),0.0)</f>
        <v>0</v>
      </c>
      <c r="H656" s="23">
        <f>IFERROR(__xludf.DUMMYFUNCTION("""COMPUTED_VALUE"""),135.01)</f>
        <v>135.01</v>
      </c>
    </row>
    <row r="657">
      <c r="A657" s="16" t="str">
        <f>IFERROR(__xludf.DUMMYFUNCTION("""COMPUTED_VALUE"""),"Месо")</f>
        <v>Месо</v>
      </c>
      <c r="B657" s="7" t="str">
        <f>IFERROR(__xludf.DUMMYFUNCTION("""COMPUTED_VALUE"""),"Свински бут варено-пушен Baroni")</f>
        <v>Свински бут варено-пушен Baroni</v>
      </c>
      <c r="C657" s="12">
        <f>IFERROR(__xludf.DUMMYFUNCTION("""COMPUTED_VALUE"""),100.0)</f>
        <v>100</v>
      </c>
      <c r="D657" s="7">
        <f>IFERROR(__xludf.DUMMYFUNCTION("""COMPUTED_VALUE"""),15.0)</f>
        <v>15</v>
      </c>
      <c r="E657" s="16">
        <f>IFERROR(__xludf.DUMMYFUNCTION("""COMPUTED_VALUE"""),1.7)</f>
        <v>1.7</v>
      </c>
      <c r="F657" s="16">
        <f>IFERROR(__xludf.DUMMYFUNCTION("""COMPUTED_VALUE"""),3.0)</f>
        <v>3</v>
      </c>
      <c r="G657" s="16">
        <f>IFERROR(__xludf.DUMMYFUNCTION("""COMPUTED_VALUE"""),0.0)</f>
        <v>0</v>
      </c>
      <c r="H657" s="23">
        <f>IFERROR(__xludf.DUMMYFUNCTION("""COMPUTED_VALUE"""),93.8)</f>
        <v>93.8</v>
      </c>
    </row>
    <row r="658">
      <c r="A658" s="16" t="str">
        <f>IFERROR(__xludf.DUMMYFUNCTION("""COMPUTED_VALUE"""),"Месо")</f>
        <v>Месо</v>
      </c>
      <c r="B658" s="7" t="str">
        <f>IFERROR(__xludf.DUMMYFUNCTION("""COMPUTED_VALUE"""),"Прошуто Крудо - Fratelli Beretta")</f>
        <v>Прошуто Крудо - Fratelli Beretta</v>
      </c>
      <c r="C658" s="12">
        <f>IFERROR(__xludf.DUMMYFUNCTION("""COMPUTED_VALUE"""),100.0)</f>
        <v>100</v>
      </c>
      <c r="D658" s="7">
        <f>IFERROR(__xludf.DUMMYFUNCTION("""COMPUTED_VALUE"""),25.5)</f>
        <v>25.5</v>
      </c>
      <c r="E658" s="16">
        <f>IFERROR(__xludf.DUMMYFUNCTION("""COMPUTED_VALUE"""),0.5)</f>
        <v>0.5</v>
      </c>
      <c r="F658" s="16">
        <f>IFERROR(__xludf.DUMMYFUNCTION("""COMPUTED_VALUE"""),14.0)</f>
        <v>14</v>
      </c>
      <c r="G658" s="16">
        <f>IFERROR(__xludf.DUMMYFUNCTION("""COMPUTED_VALUE"""),0.0)</f>
        <v>0</v>
      </c>
      <c r="H658" s="23">
        <f>IFERROR(__xludf.DUMMYFUNCTION("""COMPUTED_VALUE"""),230.0)</f>
        <v>230</v>
      </c>
    </row>
    <row r="659">
      <c r="A659" s="16" t="str">
        <f>IFERROR(__xludf.DUMMYFUNCTION("""COMPUTED_VALUE"""),"Месо")</f>
        <v>Месо</v>
      </c>
      <c r="B659" s="7" t="str">
        <f>IFERROR(__xludf.DUMMYFUNCTION("""COMPUTED_VALUE"""),"Кюфтета от свинско месо (lidl)")</f>
        <v>Кюфтета от свинско месо (lidl)</v>
      </c>
      <c r="C659" s="12">
        <f>IFERROR(__xludf.DUMMYFUNCTION("""COMPUTED_VALUE"""),100.0)</f>
        <v>100</v>
      </c>
      <c r="D659" s="7">
        <f>IFERROR(__xludf.DUMMYFUNCTION("""COMPUTED_VALUE"""),13.2)</f>
        <v>13.2</v>
      </c>
      <c r="E659" s="16">
        <f>IFERROR(__xludf.DUMMYFUNCTION("""COMPUTED_VALUE"""),1.0)</f>
        <v>1</v>
      </c>
      <c r="F659" s="16">
        <f>IFERROR(__xludf.DUMMYFUNCTION("""COMPUTED_VALUE"""),24.0)</f>
        <v>24</v>
      </c>
      <c r="G659" s="16">
        <f>IFERROR(__xludf.DUMMYFUNCTION("""COMPUTED_VALUE"""),0.0)</f>
        <v>0</v>
      </c>
      <c r="H659" s="23">
        <f>IFERROR(__xludf.DUMMYFUNCTION("""COMPUTED_VALUE"""),272.8)</f>
        <v>272.8</v>
      </c>
    </row>
    <row r="660">
      <c r="A660" s="16" t="str">
        <f>IFERROR(__xludf.DUMMYFUNCTION("""COMPUTED_VALUE"""),"Месо")</f>
        <v>Месо</v>
      </c>
      <c r="B660" s="7" t="str">
        <f>IFERROR(__xludf.DUMMYFUNCTION("""COMPUTED_VALUE"""),"Пуешко месо от бутче Pikok (Буркан)")</f>
        <v>Пуешко месо от бутче Pikok (Буркан)</v>
      </c>
      <c r="C660" s="12">
        <f>IFERROR(__xludf.DUMMYFUNCTION("""COMPUTED_VALUE"""),100.0)</f>
        <v>100</v>
      </c>
      <c r="D660" s="7">
        <f>IFERROR(__xludf.DUMMYFUNCTION("""COMPUTED_VALUE"""),15.0)</f>
        <v>15</v>
      </c>
      <c r="E660" s="16">
        <f>IFERROR(__xludf.DUMMYFUNCTION("""COMPUTED_VALUE"""),1.3)</f>
        <v>1.3</v>
      </c>
      <c r="F660" s="16">
        <f>IFERROR(__xludf.DUMMYFUNCTION("""COMPUTED_VALUE"""),5.5)</f>
        <v>5.5</v>
      </c>
      <c r="G660" s="16">
        <f>IFERROR(__xludf.DUMMYFUNCTION("""COMPUTED_VALUE"""),0.0)</f>
        <v>0</v>
      </c>
      <c r="H660" s="23">
        <f>IFERROR(__xludf.DUMMYFUNCTION("""COMPUTED_VALUE"""),114.7)</f>
        <v>114.7</v>
      </c>
    </row>
    <row r="661">
      <c r="A661" s="16" t="str">
        <f>IFERROR(__xludf.DUMMYFUNCTION("""COMPUTED_VALUE"""),"Месо")</f>
        <v>Месо</v>
      </c>
      <c r="B661" s="7" t="str">
        <f>IFERROR(__xludf.DUMMYFUNCTION("""COMPUTED_VALUE"""),"Македонска наденица")</f>
        <v>Македонска наденица</v>
      </c>
      <c r="C661" s="12">
        <f>IFERROR(__xludf.DUMMYFUNCTION("""COMPUTED_VALUE"""),100.0)</f>
        <v>100</v>
      </c>
      <c r="D661" s="7">
        <f>IFERROR(__xludf.DUMMYFUNCTION("""COMPUTED_VALUE"""),14.0)</f>
        <v>14</v>
      </c>
      <c r="E661" s="16">
        <f>IFERROR(__xludf.DUMMYFUNCTION("""COMPUTED_VALUE"""),1.2)</f>
        <v>1.2</v>
      </c>
      <c r="F661" s="16">
        <f>IFERROR(__xludf.DUMMYFUNCTION("""COMPUTED_VALUE"""),20.0)</f>
        <v>20</v>
      </c>
      <c r="G661" s="16">
        <f>IFERROR(__xludf.DUMMYFUNCTION("""COMPUTED_VALUE"""),0.0)</f>
        <v>0</v>
      </c>
      <c r="H661" s="23">
        <f>IFERROR(__xludf.DUMMYFUNCTION("""COMPUTED_VALUE"""),240.8)</f>
        <v>240.8</v>
      </c>
    </row>
    <row r="662">
      <c r="A662" s="16" t="str">
        <f>IFERROR(__xludf.DUMMYFUNCTION("""COMPUTED_VALUE"""),"Месо")</f>
        <v>Месо</v>
      </c>
      <c r="B662" s="7" t="str">
        <f>IFERROR(__xludf.DUMMYFUNCTION("""COMPUTED_VALUE"""),"Шунка свинска - Кен")</f>
        <v>Шунка свинска - Кен</v>
      </c>
      <c r="C662" s="12">
        <f>IFERROR(__xludf.DUMMYFUNCTION("""COMPUTED_VALUE"""),100.0)</f>
        <v>100</v>
      </c>
      <c r="D662" s="7">
        <f>IFERROR(__xludf.DUMMYFUNCTION("""COMPUTED_VALUE"""),13.0)</f>
        <v>13</v>
      </c>
      <c r="E662" s="16">
        <f>IFERROR(__xludf.DUMMYFUNCTION("""COMPUTED_VALUE"""),2.7)</f>
        <v>2.7</v>
      </c>
      <c r="F662" s="16">
        <f>IFERROR(__xludf.DUMMYFUNCTION("""COMPUTED_VALUE"""),8.3)</f>
        <v>8.3</v>
      </c>
      <c r="G662" s="16">
        <f>IFERROR(__xludf.DUMMYFUNCTION("""COMPUTED_VALUE"""),0.0)</f>
        <v>0</v>
      </c>
      <c r="H662" s="23">
        <f>IFERROR(__xludf.DUMMYFUNCTION("""COMPUTED_VALUE"""),137.5)</f>
        <v>137.5</v>
      </c>
    </row>
    <row r="663">
      <c r="A663" s="16" t="str">
        <f>IFERROR(__xludf.DUMMYFUNCTION("""COMPUTED_VALUE"""),"Месо")</f>
        <v>Месо</v>
      </c>
      <c r="B663" s="7" t="str">
        <f>IFERROR(__xludf.DUMMYFUNCTION("""COMPUTED_VALUE"""),"Охлюви сурови")</f>
        <v>Охлюви сурови</v>
      </c>
      <c r="C663" s="12">
        <f>IFERROR(__xludf.DUMMYFUNCTION("""COMPUTED_VALUE"""),100.0)</f>
        <v>100</v>
      </c>
      <c r="D663" s="7">
        <f>IFERROR(__xludf.DUMMYFUNCTION("""COMPUTED_VALUE"""),16.1)</f>
        <v>16.1</v>
      </c>
      <c r="E663" s="16">
        <f>IFERROR(__xludf.DUMMYFUNCTION("""COMPUTED_VALUE"""),2.0)</f>
        <v>2</v>
      </c>
      <c r="F663" s="16">
        <f>IFERROR(__xludf.DUMMYFUNCTION("""COMPUTED_VALUE"""),1.4)</f>
        <v>1.4</v>
      </c>
      <c r="G663" s="16">
        <f>IFERROR(__xludf.DUMMYFUNCTION("""COMPUTED_VALUE"""),0.0)</f>
        <v>0</v>
      </c>
      <c r="H663" s="23">
        <f>IFERROR(__xludf.DUMMYFUNCTION("""COMPUTED_VALUE"""),85.0)</f>
        <v>85</v>
      </c>
    </row>
    <row r="664">
      <c r="A664" s="16" t="str">
        <f>IFERROR(__xludf.DUMMYFUNCTION("""COMPUTED_VALUE"""),"Месо")</f>
        <v>Месо</v>
      </c>
      <c r="B664" s="7" t="str">
        <f>IFERROR(__xludf.DUMMYFUNCTION("""COMPUTED_VALUE"""),"Пършута слайс сурово сушен свински бут")</f>
        <v>Пършута слайс сурово сушен свински бут</v>
      </c>
      <c r="C664" s="12">
        <f>IFERROR(__xludf.DUMMYFUNCTION("""COMPUTED_VALUE"""),100.0)</f>
        <v>100</v>
      </c>
      <c r="D664" s="7">
        <f>IFERROR(__xludf.DUMMYFUNCTION("""COMPUTED_VALUE"""),24.0)</f>
        <v>24</v>
      </c>
      <c r="E664" s="16">
        <f>IFERROR(__xludf.DUMMYFUNCTION("""COMPUTED_VALUE"""),1.0)</f>
        <v>1</v>
      </c>
      <c r="F664" s="16">
        <f>IFERROR(__xludf.DUMMYFUNCTION("""COMPUTED_VALUE"""),11.0)</f>
        <v>11</v>
      </c>
      <c r="G664" s="16">
        <f>IFERROR(__xludf.DUMMYFUNCTION("""COMPUTED_VALUE"""),0.0)</f>
        <v>0</v>
      </c>
      <c r="H664" s="23">
        <f>IFERROR(__xludf.DUMMYFUNCTION("""COMPUTED_VALUE"""),199.0)</f>
        <v>199</v>
      </c>
    </row>
    <row r="665">
      <c r="A665" s="16" t="str">
        <f>IFERROR(__xludf.DUMMYFUNCTION("""COMPUTED_VALUE"""),"Месо")</f>
        <v>Месо</v>
      </c>
      <c r="B665" s="7" t="str">
        <f>IFERROR(__xludf.DUMMYFUNCTION("""COMPUTED_VALUE"""),"Кайма Народен (пакетче)")</f>
        <v>Кайма Народен (пакетче)</v>
      </c>
      <c r="C665" s="12">
        <f>IFERROR(__xludf.DUMMYFUNCTION("""COMPUTED_VALUE"""),100.0)</f>
        <v>100</v>
      </c>
      <c r="D665" s="7">
        <f>IFERROR(__xludf.DUMMYFUNCTION("""COMPUTED_VALUE"""),13.3)</f>
        <v>13.3</v>
      </c>
      <c r="E665" s="16">
        <f>IFERROR(__xludf.DUMMYFUNCTION("""COMPUTED_VALUE"""),1.7)</f>
        <v>1.7</v>
      </c>
      <c r="F665" s="16">
        <f>IFERROR(__xludf.DUMMYFUNCTION("""COMPUTED_VALUE"""),15.3)</f>
        <v>15.3</v>
      </c>
      <c r="G665" s="16">
        <f>IFERROR(__xludf.DUMMYFUNCTION("""COMPUTED_VALUE"""),0.0)</f>
        <v>0</v>
      </c>
      <c r="H665" s="23">
        <f>IFERROR(__xludf.DUMMYFUNCTION("""COMPUTED_VALUE"""),197.70000000000002)</f>
        <v>197.7</v>
      </c>
    </row>
    <row r="666">
      <c r="A666" s="16" t="str">
        <f>IFERROR(__xludf.DUMMYFUNCTION("""COMPUTED_VALUE"""),"Месо")</f>
        <v>Месо</v>
      </c>
      <c r="B666" s="7" t="str">
        <f>IFERROR(__xludf.DUMMYFUNCTION("""COMPUTED_VALUE"""),"Пуешко филе Pikok 87% месо (варено-пушено)")</f>
        <v>Пуешко филе Pikok 87% месо (варено-пушено)</v>
      </c>
      <c r="C666" s="12">
        <f>IFERROR(__xludf.DUMMYFUNCTION("""COMPUTED_VALUE"""),100.0)</f>
        <v>100</v>
      </c>
      <c r="D666" s="7">
        <f>IFERROR(__xludf.DUMMYFUNCTION("""COMPUTED_VALUE"""),20.0)</f>
        <v>20</v>
      </c>
      <c r="E666" s="16">
        <f>IFERROR(__xludf.DUMMYFUNCTION("""COMPUTED_VALUE"""),3.3)</f>
        <v>3.3</v>
      </c>
      <c r="F666" s="16">
        <f>IFERROR(__xludf.DUMMYFUNCTION("""COMPUTED_VALUE"""),1.5)</f>
        <v>1.5</v>
      </c>
      <c r="G666" s="16">
        <f>IFERROR(__xludf.DUMMYFUNCTION("""COMPUTED_VALUE"""),0.0)</f>
        <v>0</v>
      </c>
      <c r="H666" s="23">
        <f>IFERROR(__xludf.DUMMYFUNCTION("""COMPUTED_VALUE"""),106.7)</f>
        <v>106.7</v>
      </c>
    </row>
    <row r="667">
      <c r="A667" s="16" t="str">
        <f>IFERROR(__xludf.DUMMYFUNCTION("""COMPUTED_VALUE"""),"Месо")</f>
        <v>Месо</v>
      </c>
      <c r="B667" s="7" t="str">
        <f>IFERROR(__xludf.DUMMYFUNCTION("""COMPUTED_VALUE"""),"Телешка кайма от младо теле - Лидл")</f>
        <v>Телешка кайма от младо теле - Лидл</v>
      </c>
      <c r="C667" s="12">
        <f>IFERROR(__xludf.DUMMYFUNCTION("""COMPUTED_VALUE"""),100.0)</f>
        <v>100</v>
      </c>
      <c r="D667" s="7">
        <f>IFERROR(__xludf.DUMMYFUNCTION("""COMPUTED_VALUE"""),15.9)</f>
        <v>15.9</v>
      </c>
      <c r="E667" s="16">
        <f>IFERROR(__xludf.DUMMYFUNCTION("""COMPUTED_VALUE"""),0.7)</f>
        <v>0.7</v>
      </c>
      <c r="F667" s="16">
        <f>IFERROR(__xludf.DUMMYFUNCTION("""COMPUTED_VALUE"""),22.5)</f>
        <v>22.5</v>
      </c>
      <c r="G667" s="16">
        <f>IFERROR(__xludf.DUMMYFUNCTION("""COMPUTED_VALUE"""),0.0)</f>
        <v>0</v>
      </c>
      <c r="H667" s="23">
        <f>IFERROR(__xludf.DUMMYFUNCTION("""COMPUTED_VALUE"""),268.9)</f>
        <v>268.9</v>
      </c>
    </row>
    <row r="668">
      <c r="A668" s="16" t="str">
        <f>IFERROR(__xludf.DUMMYFUNCTION("""COMPUTED_VALUE"""),"Месо")</f>
        <v>Месо</v>
      </c>
      <c r="B668" s="7" t="str">
        <f>IFERROR(__xludf.DUMMYFUNCTION("""COMPUTED_VALUE"""),"Печена пилешка пържола “Меркез”")</f>
        <v>Печена пилешка пържола “Меркез”</v>
      </c>
      <c r="C668" s="12">
        <f>IFERROR(__xludf.DUMMYFUNCTION("""COMPUTED_VALUE"""),100.0)</f>
        <v>100</v>
      </c>
      <c r="D668" s="7">
        <f>IFERROR(__xludf.DUMMYFUNCTION("""COMPUTED_VALUE"""),18.78)</f>
        <v>18.78</v>
      </c>
      <c r="E668" s="16">
        <f>IFERROR(__xludf.DUMMYFUNCTION("""COMPUTED_VALUE"""),2.2)</f>
        <v>2.2</v>
      </c>
      <c r="F668" s="16">
        <f>IFERROR(__xludf.DUMMYFUNCTION("""COMPUTED_VALUE"""),14.18)</f>
        <v>14.18</v>
      </c>
      <c r="G668" s="16">
        <f>IFERROR(__xludf.DUMMYFUNCTION("""COMPUTED_VALUE"""),0.0)</f>
        <v>0</v>
      </c>
      <c r="H668" s="23">
        <f>IFERROR(__xludf.DUMMYFUNCTION("""COMPUTED_VALUE"""),211.54000000000002)</f>
        <v>211.54</v>
      </c>
    </row>
    <row r="669">
      <c r="A669" s="16" t="str">
        <f>IFERROR(__xludf.DUMMYFUNCTION("""COMPUTED_VALUE"""),"Месо")</f>
        <v>Месо</v>
      </c>
      <c r="B669" s="7" t="str">
        <f>IFERROR(__xludf.DUMMYFUNCTION("""COMPUTED_VALUE"""),"Пилешко Бутче - Варено Пушено - Pikok Lidl")</f>
        <v>Пилешко Бутче - Варено Пушено - Pikok Lidl</v>
      </c>
      <c r="C669" s="12">
        <f>IFERROR(__xludf.DUMMYFUNCTION("""COMPUTED_VALUE"""),100.0)</f>
        <v>100</v>
      </c>
      <c r="D669" s="7">
        <f>IFERROR(__xludf.DUMMYFUNCTION("""COMPUTED_VALUE"""),17.0)</f>
        <v>17</v>
      </c>
      <c r="E669" s="16">
        <f>IFERROR(__xludf.DUMMYFUNCTION("""COMPUTED_VALUE"""),1.5)</f>
        <v>1.5</v>
      </c>
      <c r="F669" s="16">
        <f>IFERROR(__xludf.DUMMYFUNCTION("""COMPUTED_VALUE"""),9.5)</f>
        <v>9.5</v>
      </c>
      <c r="G669" s="16">
        <f>IFERROR(__xludf.DUMMYFUNCTION("""COMPUTED_VALUE"""),0.0)</f>
        <v>0</v>
      </c>
      <c r="H669" s="23">
        <f>IFERROR(__xludf.DUMMYFUNCTION("""COMPUTED_VALUE"""),159.5)</f>
        <v>159.5</v>
      </c>
    </row>
    <row r="670">
      <c r="A670" s="16" t="str">
        <f>IFERROR(__xludf.DUMMYFUNCTION("""COMPUTED_VALUE"""),"Месо")</f>
        <v>Месо</v>
      </c>
      <c r="B670" s="7" t="str">
        <f>IFERROR(__xludf.DUMMYFUNCTION("""COMPUTED_VALUE"""),"Beef Jerky (сготвено състояние)")</f>
        <v>Beef Jerky (сготвено състояние)</v>
      </c>
      <c r="C670" s="12">
        <f>IFERROR(__xludf.DUMMYFUNCTION("""COMPUTED_VALUE"""),100.0)</f>
        <v>100</v>
      </c>
      <c r="D670" s="7">
        <f>IFERROR(__xludf.DUMMYFUNCTION("""COMPUTED_VALUE"""),39.0)</f>
        <v>39</v>
      </c>
      <c r="E670" s="16">
        <f>IFERROR(__xludf.DUMMYFUNCTION("""COMPUTED_VALUE"""),16.0)</f>
        <v>16</v>
      </c>
      <c r="F670" s="16">
        <f>IFERROR(__xludf.DUMMYFUNCTION("""COMPUTED_VALUE"""),3.9)</f>
        <v>3.9</v>
      </c>
      <c r="G670" s="16">
        <f>IFERROR(__xludf.DUMMYFUNCTION("""COMPUTED_VALUE"""),0.0)</f>
        <v>0</v>
      </c>
      <c r="H670" s="23">
        <f>IFERROR(__xludf.DUMMYFUNCTION("""COMPUTED_VALUE"""),255.1)</f>
        <v>255.1</v>
      </c>
    </row>
    <row r="671">
      <c r="A671" s="16" t="str">
        <f>IFERROR(__xludf.DUMMYFUNCTION("""COMPUTED_VALUE"""),"Месо")</f>
        <v>Месо</v>
      </c>
      <c r="B671" s="7" t="str">
        <f>IFERROR(__xludf.DUMMYFUNCTION("""COMPUTED_VALUE"""),"Мариновано пуешко филе (сурово състояние)")</f>
        <v>Мариновано пуешко филе (сурово състояние)</v>
      </c>
      <c r="C671" s="12">
        <f>IFERROR(__xludf.DUMMYFUNCTION("""COMPUTED_VALUE"""),100.0)</f>
        <v>100</v>
      </c>
      <c r="D671" s="7">
        <f>IFERROR(__xludf.DUMMYFUNCTION("""COMPUTED_VALUE"""),19.0)</f>
        <v>19</v>
      </c>
      <c r="E671" s="16">
        <f>IFERROR(__xludf.DUMMYFUNCTION("""COMPUTED_VALUE"""),2.0)</f>
        <v>2</v>
      </c>
      <c r="F671" s="16">
        <f>IFERROR(__xludf.DUMMYFUNCTION("""COMPUTED_VALUE"""),3.0)</f>
        <v>3</v>
      </c>
      <c r="G671" s="16">
        <f>IFERROR(__xludf.DUMMYFUNCTION("""COMPUTED_VALUE"""),0.0)</f>
        <v>0</v>
      </c>
      <c r="H671" s="23">
        <f>IFERROR(__xludf.DUMMYFUNCTION("""COMPUTED_VALUE"""),111.0)</f>
        <v>111</v>
      </c>
    </row>
    <row r="672">
      <c r="A672" s="16" t="str">
        <f>IFERROR(__xludf.DUMMYFUNCTION("""COMPUTED_VALUE"""),"Месо")</f>
        <v>Месо</v>
      </c>
      <c r="B672" s="7" t="str">
        <f>IFERROR(__xludf.DUMMYFUNCTION("""COMPUTED_VALUE"""),"Пуешко филе в марината (сурово състояние)")</f>
        <v>Пуешко филе в марината (сурово състояние)</v>
      </c>
      <c r="C672" s="12">
        <f>IFERROR(__xludf.DUMMYFUNCTION("""COMPUTED_VALUE"""),100.0)</f>
        <v>100</v>
      </c>
      <c r="D672" s="7">
        <f>IFERROR(__xludf.DUMMYFUNCTION("""COMPUTED_VALUE"""),19.0)</f>
        <v>19</v>
      </c>
      <c r="E672" s="16">
        <f>IFERROR(__xludf.DUMMYFUNCTION("""COMPUTED_VALUE"""),2.0)</f>
        <v>2</v>
      </c>
      <c r="F672" s="16">
        <f>IFERROR(__xludf.DUMMYFUNCTION("""COMPUTED_VALUE"""),3.0)</f>
        <v>3</v>
      </c>
      <c r="G672" s="16">
        <f>IFERROR(__xludf.DUMMYFUNCTION("""COMPUTED_VALUE"""),0.0)</f>
        <v>0</v>
      </c>
      <c r="H672" s="23">
        <f>IFERROR(__xludf.DUMMYFUNCTION("""COMPUTED_VALUE"""),111.0)</f>
        <v>111</v>
      </c>
    </row>
    <row r="673">
      <c r="A673" s="16" t="str">
        <f>IFERROR(__xludf.DUMMYFUNCTION("""COMPUTED_VALUE"""),"Месо")</f>
        <v>Месо</v>
      </c>
      <c r="B673" s="7" t="str">
        <f>IFERROR(__xludf.DUMMYFUNCTION("""COMPUTED_VALUE"""),"Адана Кебап на Шиш - Lidl")</f>
        <v>Адана Кебап на Шиш - Lidl</v>
      </c>
      <c r="C673" s="12">
        <f>IFERROR(__xludf.DUMMYFUNCTION("""COMPUTED_VALUE"""),100.0)</f>
        <v>100</v>
      </c>
      <c r="D673" s="7">
        <f>IFERROR(__xludf.DUMMYFUNCTION("""COMPUTED_VALUE"""),15.8)</f>
        <v>15.8</v>
      </c>
      <c r="E673" s="16">
        <f>IFERROR(__xludf.DUMMYFUNCTION("""COMPUTED_VALUE"""),1.8)</f>
        <v>1.8</v>
      </c>
      <c r="F673" s="16">
        <f>IFERROR(__xludf.DUMMYFUNCTION("""COMPUTED_VALUE"""),24.5)</f>
        <v>24.5</v>
      </c>
      <c r="G673" s="16">
        <f>IFERROR(__xludf.DUMMYFUNCTION("""COMPUTED_VALUE"""),0.0)</f>
        <v>0</v>
      </c>
      <c r="H673" s="23">
        <f>IFERROR(__xludf.DUMMYFUNCTION("""COMPUTED_VALUE"""),290.9)</f>
        <v>290.9</v>
      </c>
    </row>
    <row r="674">
      <c r="A674" s="16" t="str">
        <f>IFERROR(__xludf.DUMMYFUNCTION("""COMPUTED_VALUE"""),"Месо")</f>
        <v>Месо</v>
      </c>
      <c r="B674" s="7" t="str">
        <f>IFERROR(__xludf.DUMMYFUNCTION("""COMPUTED_VALUE"""),"Шунка Маджаров (варено-пушена)")</f>
        <v>Шунка Маджаров (варено-пушена)</v>
      </c>
      <c r="C674" s="12">
        <f>IFERROR(__xludf.DUMMYFUNCTION("""COMPUTED_VALUE"""),100.0)</f>
        <v>100</v>
      </c>
      <c r="D674" s="7">
        <f>IFERROR(__xludf.DUMMYFUNCTION("""COMPUTED_VALUE"""),17.0)</f>
        <v>17</v>
      </c>
      <c r="E674" s="16">
        <f>IFERROR(__xludf.DUMMYFUNCTION("""COMPUTED_VALUE"""),3.2)</f>
        <v>3.2</v>
      </c>
      <c r="F674" s="16">
        <f>IFERROR(__xludf.DUMMYFUNCTION("""COMPUTED_VALUE"""),2.8)</f>
        <v>2.8</v>
      </c>
      <c r="G674" s="16">
        <f>IFERROR(__xludf.DUMMYFUNCTION("""COMPUTED_VALUE"""),0.0)</f>
        <v>0</v>
      </c>
      <c r="H674" s="23">
        <f>IFERROR(__xludf.DUMMYFUNCTION("""COMPUTED_VALUE"""),106.0)</f>
        <v>106</v>
      </c>
    </row>
    <row r="675">
      <c r="A675" s="16" t="str">
        <f>IFERROR(__xludf.DUMMYFUNCTION("""COMPUTED_VALUE"""),"Месо")</f>
        <v>Месо</v>
      </c>
      <c r="B675" s="7" t="str">
        <f>IFERROR(__xludf.DUMMYFUNCTION("""COMPUTED_VALUE"""),"Пастет от биволско месо (WOODS FOODS)")</f>
        <v>Пастет от биволско месо (WOODS FOODS)</v>
      </c>
      <c r="C675" s="12">
        <f>IFERROR(__xludf.DUMMYFUNCTION("""COMPUTED_VALUE"""),100.0)</f>
        <v>100</v>
      </c>
      <c r="D675" s="7">
        <f>IFERROR(__xludf.DUMMYFUNCTION("""COMPUTED_VALUE"""),13.67)</f>
        <v>13.67</v>
      </c>
      <c r="E675" s="16">
        <f>IFERROR(__xludf.DUMMYFUNCTION("""COMPUTED_VALUE"""),0.82)</f>
        <v>0.82</v>
      </c>
      <c r="F675" s="16">
        <f>IFERROR(__xludf.DUMMYFUNCTION("""COMPUTED_VALUE"""),11.79)</f>
        <v>11.79</v>
      </c>
      <c r="G675" s="16">
        <f>IFERROR(__xludf.DUMMYFUNCTION("""COMPUTED_VALUE"""),0.0)</f>
        <v>0</v>
      </c>
      <c r="H675" s="23">
        <f>IFERROR(__xludf.DUMMYFUNCTION("""COMPUTED_VALUE"""),164.07)</f>
        <v>164.07</v>
      </c>
    </row>
    <row r="676">
      <c r="A676" s="16" t="str">
        <f>IFERROR(__xludf.DUMMYFUNCTION("""COMPUTED_VALUE"""),"Месо")</f>
        <v>Месо</v>
      </c>
      <c r="B676" s="7" t="str">
        <f>IFERROR(__xludf.DUMMYFUNCTION("""COMPUTED_VALUE"""),"Пилешки дробчета (сурови)")</f>
        <v>Пилешки дробчета (сурови)</v>
      </c>
      <c r="C676" s="12">
        <f>IFERROR(__xludf.DUMMYFUNCTION("""COMPUTED_VALUE"""),100.0)</f>
        <v>100</v>
      </c>
      <c r="D676" s="7">
        <f>IFERROR(__xludf.DUMMYFUNCTION("""COMPUTED_VALUE"""),17.0)</f>
        <v>17</v>
      </c>
      <c r="E676" s="16">
        <f>IFERROR(__xludf.DUMMYFUNCTION("""COMPUTED_VALUE"""),0.75)</f>
        <v>0.75</v>
      </c>
      <c r="F676" s="16">
        <f>IFERROR(__xludf.DUMMYFUNCTION("""COMPUTED_VALUE"""),4.9)</f>
        <v>4.9</v>
      </c>
      <c r="G676" s="16">
        <f>IFERROR(__xludf.DUMMYFUNCTION("""COMPUTED_VALUE"""),0.0)</f>
        <v>0</v>
      </c>
      <c r="H676" s="23">
        <f>IFERROR(__xludf.DUMMYFUNCTION("""COMPUTED_VALUE"""),115.1)</f>
        <v>115.1</v>
      </c>
    </row>
    <row r="677">
      <c r="A677" s="16" t="str">
        <f>IFERROR(__xludf.DUMMYFUNCTION("""COMPUTED_VALUE"""),"Месо")</f>
        <v>Месо</v>
      </c>
      <c r="B677" s="7" t="str">
        <f>IFERROR(__xludf.DUMMYFUNCTION("""COMPUTED_VALUE"""),"Пуешки кренвирши (мини, Меско)")</f>
        <v>Пуешки кренвирши (мини, Меско)</v>
      </c>
      <c r="C677" s="12">
        <f>IFERROR(__xludf.DUMMYFUNCTION("""COMPUTED_VALUE"""),100.0)</f>
        <v>100</v>
      </c>
      <c r="D677" s="7">
        <f>IFERROR(__xludf.DUMMYFUNCTION("""COMPUTED_VALUE"""),11.0)</f>
        <v>11</v>
      </c>
      <c r="E677" s="16">
        <f>IFERROR(__xludf.DUMMYFUNCTION("""COMPUTED_VALUE"""),1.8)</f>
        <v>1.8</v>
      </c>
      <c r="F677" s="16">
        <f>IFERROR(__xludf.DUMMYFUNCTION("""COMPUTED_VALUE"""),24.0)</f>
        <v>24</v>
      </c>
      <c r="G677" s="16">
        <f>IFERROR(__xludf.DUMMYFUNCTION("""COMPUTED_VALUE"""),0.0)</f>
        <v>0</v>
      </c>
      <c r="H677" s="23">
        <f>IFERROR(__xludf.DUMMYFUNCTION("""COMPUTED_VALUE"""),267.2)</f>
        <v>267.2</v>
      </c>
    </row>
    <row r="678">
      <c r="A678" s="16" t="str">
        <f>IFERROR(__xludf.DUMMYFUNCTION("""COMPUTED_VALUE"""),"Месо")</f>
        <v>Месо</v>
      </c>
      <c r="B678" s="7" t="str">
        <f>IFERROR(__xludf.DUMMYFUNCTION("""COMPUTED_VALUE"""),"Пуешка шунка Тандем")</f>
        <v>Пуешка шунка Тандем</v>
      </c>
      <c r="C678" s="12">
        <f>IFERROR(__xludf.DUMMYFUNCTION("""COMPUTED_VALUE"""),100.0)</f>
        <v>100</v>
      </c>
      <c r="D678" s="7">
        <f>IFERROR(__xludf.DUMMYFUNCTION("""COMPUTED_VALUE"""),18.0)</f>
        <v>18</v>
      </c>
      <c r="E678" s="16">
        <f>IFERROR(__xludf.DUMMYFUNCTION("""COMPUTED_VALUE"""),1.5)</f>
        <v>1.5</v>
      </c>
      <c r="F678" s="16">
        <f>IFERROR(__xludf.DUMMYFUNCTION("""COMPUTED_VALUE"""),2.0)</f>
        <v>2</v>
      </c>
      <c r="G678" s="16">
        <f>IFERROR(__xludf.DUMMYFUNCTION("""COMPUTED_VALUE"""),0.7)</f>
        <v>0.7</v>
      </c>
      <c r="H678" s="23">
        <f>IFERROR(__xludf.DUMMYFUNCTION("""COMPUTED_VALUE"""),96.0)</f>
        <v>96</v>
      </c>
    </row>
    <row r="679">
      <c r="A679" s="16" t="str">
        <f>IFERROR(__xludf.DUMMYFUNCTION("""COMPUTED_VALUE"""),"Месо")</f>
        <v>Месо</v>
      </c>
      <c r="B679" s="7" t="str">
        <f>IFERROR(__xludf.DUMMYFUNCTION("""COMPUTED_VALUE"""),"Пуешки гърди, осолени, варени, печени, нарязани (Dulano)")</f>
        <v>Пуешки гърди, осолени, варени, печени, нарязани (Dulano)</v>
      </c>
      <c r="C679" s="12">
        <f>IFERROR(__xludf.DUMMYFUNCTION("""COMPUTED_VALUE"""),100.0)</f>
        <v>100</v>
      </c>
      <c r="D679" s="7">
        <f>IFERROR(__xludf.DUMMYFUNCTION("""COMPUTED_VALUE"""),22.0)</f>
        <v>22</v>
      </c>
      <c r="E679" s="16">
        <f>IFERROR(__xludf.DUMMYFUNCTION("""COMPUTED_VALUE"""),2.0)</f>
        <v>2</v>
      </c>
      <c r="F679" s="16">
        <f>IFERROR(__xludf.DUMMYFUNCTION("""COMPUTED_VALUE"""),2.0)</f>
        <v>2</v>
      </c>
      <c r="G679" s="16">
        <f>IFERROR(__xludf.DUMMYFUNCTION("""COMPUTED_VALUE"""),0.0)</f>
        <v>0</v>
      </c>
      <c r="H679" s="23">
        <f>IFERROR(__xludf.DUMMYFUNCTION("""COMPUTED_VALUE"""),114.0)</f>
        <v>114</v>
      </c>
    </row>
    <row r="680">
      <c r="A680" s="16" t="str">
        <f>IFERROR(__xludf.DUMMYFUNCTION("""COMPUTED_VALUE"""),"Месо")</f>
        <v>Месо</v>
      </c>
      <c r="B680" s="7" t="str">
        <f>IFERROR(__xludf.DUMMYFUNCTION("""COMPUTED_VALUE"""),"Шунка Бут - Слайс - Тандем")</f>
        <v>Шунка Бут - Слайс - Тандем</v>
      </c>
      <c r="C680" s="12">
        <f>IFERROR(__xludf.DUMMYFUNCTION("""COMPUTED_VALUE"""),100.0)</f>
        <v>100</v>
      </c>
      <c r="D680" s="7">
        <f>IFERROR(__xludf.DUMMYFUNCTION("""COMPUTED_VALUE"""),17.0)</f>
        <v>17</v>
      </c>
      <c r="E680" s="16">
        <f>IFERROR(__xludf.DUMMYFUNCTION("""COMPUTED_VALUE"""),0.5)</f>
        <v>0.5</v>
      </c>
      <c r="F680" s="16">
        <f>IFERROR(__xludf.DUMMYFUNCTION("""COMPUTED_VALUE"""),3.0)</f>
        <v>3</v>
      </c>
      <c r="G680" s="16">
        <f>IFERROR(__xludf.DUMMYFUNCTION("""COMPUTED_VALUE"""),0.1)</f>
        <v>0.1</v>
      </c>
      <c r="H680" s="23">
        <f>IFERROR(__xludf.DUMMYFUNCTION("""COMPUTED_VALUE"""),97.0)</f>
        <v>97</v>
      </c>
    </row>
    <row r="681">
      <c r="A681" s="16" t="str">
        <f>IFERROR(__xludf.DUMMYFUNCTION("""COMPUTED_VALUE"""),"Месо")</f>
        <v>Месо</v>
      </c>
      <c r="B681" s="7" t="str">
        <f>IFERROR(__xludf.DUMMYFUNCTION("""COMPUTED_VALUE"""),"Шунка от свински бут - Пикок / Pikok")</f>
        <v>Шунка от свински бут - Пикок / Pikok</v>
      </c>
      <c r="C681" s="12">
        <f>IFERROR(__xludf.DUMMYFUNCTION("""COMPUTED_VALUE"""),100.0)</f>
        <v>100</v>
      </c>
      <c r="D681" s="7">
        <f>IFERROR(__xludf.DUMMYFUNCTION("""COMPUTED_VALUE"""),14.0)</f>
        <v>14</v>
      </c>
      <c r="E681" s="16">
        <f>IFERROR(__xludf.DUMMYFUNCTION("""COMPUTED_VALUE"""),2.2)</f>
        <v>2.2</v>
      </c>
      <c r="F681" s="16">
        <f>IFERROR(__xludf.DUMMYFUNCTION("""COMPUTED_VALUE"""),2.3)</f>
        <v>2.3</v>
      </c>
      <c r="G681" s="16">
        <f>IFERROR(__xludf.DUMMYFUNCTION("""COMPUTED_VALUE"""),0.0)</f>
        <v>0</v>
      </c>
      <c r="H681" s="23">
        <f>IFERROR(__xludf.DUMMYFUNCTION("""COMPUTED_VALUE"""),85.5)</f>
        <v>85.5</v>
      </c>
    </row>
    <row r="682">
      <c r="A682" s="16" t="str">
        <f>IFERROR(__xludf.DUMMYFUNCTION("""COMPUTED_VALUE"""),"Месо")</f>
        <v>Месо</v>
      </c>
      <c r="B682" s="7" t="str">
        <f>IFERROR(__xludf.DUMMYFUNCTION("""COMPUTED_VALUE"""),"Шунка, варено-пушена, нарязана Dulano")</f>
        <v>Шунка, варено-пушена, нарязана Dulano</v>
      </c>
      <c r="C682" s="12">
        <f>IFERROR(__xludf.DUMMYFUNCTION("""COMPUTED_VALUE"""),100.0)</f>
        <v>100</v>
      </c>
      <c r="D682" s="7">
        <f>IFERROR(__xludf.DUMMYFUNCTION("""COMPUTED_VALUE"""),20.0)</f>
        <v>20</v>
      </c>
      <c r="E682" s="16">
        <f>IFERROR(__xludf.DUMMYFUNCTION("""COMPUTED_VALUE"""),1.0)</f>
        <v>1</v>
      </c>
      <c r="F682" s="16">
        <f>IFERROR(__xludf.DUMMYFUNCTION("""COMPUTED_VALUE"""),4.5)</f>
        <v>4.5</v>
      </c>
      <c r="G682" s="16">
        <f>IFERROR(__xludf.DUMMYFUNCTION("""COMPUTED_VALUE"""),0.0)</f>
        <v>0</v>
      </c>
      <c r="H682" s="23">
        <f>IFERROR(__xludf.DUMMYFUNCTION("""COMPUTED_VALUE"""),124.5)</f>
        <v>124.5</v>
      </c>
    </row>
    <row r="683">
      <c r="A683" s="16" t="str">
        <f>IFERROR(__xludf.DUMMYFUNCTION("""COMPUTED_VALUE"""),"Месо")</f>
        <v>Месо</v>
      </c>
      <c r="B683" s="7" t="str">
        <f>IFERROR(__xludf.DUMMYFUNCTION("""COMPUTED_VALUE"""),"Немска грил наденица - Alpen Fest - Lidl")</f>
        <v>Немска грил наденица - Alpen Fest - Lidl</v>
      </c>
      <c r="C683" s="12">
        <f>IFERROR(__xludf.DUMMYFUNCTION("""COMPUTED_VALUE"""),100.0)</f>
        <v>100</v>
      </c>
      <c r="D683" s="7">
        <f>IFERROR(__xludf.DUMMYFUNCTION("""COMPUTED_VALUE"""),14.0)</f>
        <v>14</v>
      </c>
      <c r="E683" s="16">
        <f>IFERROR(__xludf.DUMMYFUNCTION("""COMPUTED_VALUE"""),1.0)</f>
        <v>1</v>
      </c>
      <c r="F683" s="16">
        <f>IFERROR(__xludf.DUMMYFUNCTION("""COMPUTED_VALUE"""),22.6)</f>
        <v>22.6</v>
      </c>
      <c r="G683" s="16">
        <f>IFERROR(__xludf.DUMMYFUNCTION("""COMPUTED_VALUE"""),0.0)</f>
        <v>0</v>
      </c>
      <c r="H683" s="23">
        <f>IFERROR(__xludf.DUMMYFUNCTION("""COMPUTED_VALUE"""),263.4)</f>
        <v>263.4</v>
      </c>
    </row>
    <row r="684">
      <c r="A684" s="16" t="str">
        <f>IFERROR(__xludf.DUMMYFUNCTION("""COMPUTED_VALUE"""),"Месо")</f>
        <v>Месо</v>
      </c>
      <c r="B684" s="7" t="str">
        <f>IFERROR(__xludf.DUMMYFUNCTION("""COMPUTED_VALUE"""),"Карначе (сурово)")</f>
        <v>Карначе (сурово)</v>
      </c>
      <c r="C684" s="12">
        <f>IFERROR(__xludf.DUMMYFUNCTION("""COMPUTED_VALUE"""),100.0)</f>
        <v>100</v>
      </c>
      <c r="D684" s="7">
        <f>IFERROR(__xludf.DUMMYFUNCTION("""COMPUTED_VALUE"""),13.6)</f>
        <v>13.6</v>
      </c>
      <c r="E684" s="16">
        <f>IFERROR(__xludf.DUMMYFUNCTION("""COMPUTED_VALUE"""),0.94)</f>
        <v>0.94</v>
      </c>
      <c r="F684" s="16">
        <f>IFERROR(__xludf.DUMMYFUNCTION("""COMPUTED_VALUE"""),23.57)</f>
        <v>23.57</v>
      </c>
      <c r="G684" s="16">
        <f>IFERROR(__xludf.DUMMYFUNCTION("""COMPUTED_VALUE"""),0.0)</f>
        <v>0</v>
      </c>
      <c r="H684" s="23">
        <f>IFERROR(__xludf.DUMMYFUNCTION("""COMPUTED_VALUE"""),270.28999999999996)</f>
        <v>270.29</v>
      </c>
    </row>
    <row r="685">
      <c r="A685" s="16" t="str">
        <f>IFERROR(__xludf.DUMMYFUNCTION("""COMPUTED_VALUE"""),"Месо")</f>
        <v>Месо</v>
      </c>
      <c r="B685" s="7" t="str">
        <f>IFERROR(__xludf.DUMMYFUNCTION("""COMPUTED_VALUE"""),"Бекон LIDL (сурово състояние)")</f>
        <v>Бекон LIDL (сурово състояние)</v>
      </c>
      <c r="C685" s="12">
        <f>IFERROR(__xludf.DUMMYFUNCTION("""COMPUTED_VALUE"""),100.0)</f>
        <v>100</v>
      </c>
      <c r="D685" s="7">
        <f>IFERROR(__xludf.DUMMYFUNCTION("""COMPUTED_VALUE"""),31.0)</f>
        <v>31</v>
      </c>
      <c r="E685" s="16">
        <f>IFERROR(__xludf.DUMMYFUNCTION("""COMPUTED_VALUE"""),0.1)</f>
        <v>0.1</v>
      </c>
      <c r="F685" s="16">
        <f>IFERROR(__xludf.DUMMYFUNCTION("""COMPUTED_VALUE"""),15.0)</f>
        <v>15</v>
      </c>
      <c r="G685" s="16">
        <f>IFERROR(__xludf.DUMMYFUNCTION("""COMPUTED_VALUE"""),0.0)</f>
        <v>0</v>
      </c>
      <c r="H685" s="23">
        <f>IFERROR(__xludf.DUMMYFUNCTION("""COMPUTED_VALUE"""),259.4)</f>
        <v>259.4</v>
      </c>
    </row>
    <row r="686">
      <c r="A686" s="16" t="str">
        <f>IFERROR(__xludf.DUMMYFUNCTION("""COMPUTED_VALUE"""),"Месо")</f>
        <v>Месо</v>
      </c>
      <c r="B686" s="7" t="str">
        <f>IFERROR(__xludf.DUMMYFUNCTION("""COMPUTED_VALUE"""),"Млечно телешко смляно месо - Вивенда")</f>
        <v>Млечно телешко смляно месо - Вивенда</v>
      </c>
      <c r="C686" s="12">
        <f>IFERROR(__xludf.DUMMYFUNCTION("""COMPUTED_VALUE"""),100.0)</f>
        <v>100</v>
      </c>
      <c r="D686" s="7">
        <f>IFERROR(__xludf.DUMMYFUNCTION("""COMPUTED_VALUE"""),18.4)</f>
        <v>18.4</v>
      </c>
      <c r="E686" s="16">
        <f>IFERROR(__xludf.DUMMYFUNCTION("""COMPUTED_VALUE"""),0.0)</f>
        <v>0</v>
      </c>
      <c r="F686" s="16">
        <f>IFERROR(__xludf.DUMMYFUNCTION("""COMPUTED_VALUE"""),4.9)</f>
        <v>4.9</v>
      </c>
      <c r="G686" s="16">
        <f>IFERROR(__xludf.DUMMYFUNCTION("""COMPUTED_VALUE"""),0.0)</f>
        <v>0</v>
      </c>
      <c r="H686" s="23">
        <f>IFERROR(__xludf.DUMMYFUNCTION("""COMPUTED_VALUE"""),117.69999999999999)</f>
        <v>117.7</v>
      </c>
    </row>
    <row r="687">
      <c r="A687" s="16" t="str">
        <f>IFERROR(__xludf.DUMMYFUNCTION("""COMPUTED_VALUE"""),"Месо")</f>
        <v>Месо</v>
      </c>
      <c r="B687" s="7" t="str">
        <f>IFERROR(__xludf.DUMMYFUNCTION("""COMPUTED_VALUE"""),"Бургер от младо телешко (сурово състояние)")</f>
        <v>Бургер от младо телешко (сурово състояние)</v>
      </c>
      <c r="C687" s="12">
        <f>IFERROR(__xludf.DUMMYFUNCTION("""COMPUTED_VALUE"""),100.0)</f>
        <v>100</v>
      </c>
      <c r="D687" s="7">
        <f>IFERROR(__xludf.DUMMYFUNCTION("""COMPUTED_VALUE"""),14.8)</f>
        <v>14.8</v>
      </c>
      <c r="E687" s="16">
        <f>IFERROR(__xludf.DUMMYFUNCTION("""COMPUTED_VALUE"""),2.4)</f>
        <v>2.4</v>
      </c>
      <c r="F687" s="16">
        <f>IFERROR(__xludf.DUMMYFUNCTION("""COMPUTED_VALUE"""),19.8)</f>
        <v>19.8</v>
      </c>
      <c r="G687" s="16">
        <f>IFERROR(__xludf.DUMMYFUNCTION("""COMPUTED_VALUE"""),0.8)</f>
        <v>0.8</v>
      </c>
      <c r="H687" s="23">
        <f>IFERROR(__xludf.DUMMYFUNCTION("""COMPUTED_VALUE"""),247.0)</f>
        <v>247</v>
      </c>
    </row>
    <row r="688">
      <c r="A688" s="16" t="str">
        <f>IFERROR(__xludf.DUMMYFUNCTION("""COMPUTED_VALUE"""),"Месо")</f>
        <v>Месо</v>
      </c>
      <c r="B688" s="7" t="str">
        <f>IFERROR(__xludf.DUMMYFUNCTION("""COMPUTED_VALUE"""),"Пилешко Бутче без кожа, задушено (сготвено състояние)")</f>
        <v>Пилешко Бутче без кожа, задушено (сготвено състояние)</v>
      </c>
      <c r="C688" s="12">
        <f>IFERROR(__xludf.DUMMYFUNCTION("""COMPUTED_VALUE"""),100.0)</f>
        <v>100</v>
      </c>
      <c r="D688" s="7">
        <f>IFERROR(__xludf.DUMMYFUNCTION("""COMPUTED_VALUE"""),26.26)</f>
        <v>26.26</v>
      </c>
      <c r="E688" s="16">
        <f>IFERROR(__xludf.DUMMYFUNCTION("""COMPUTED_VALUE"""),0.0)</f>
        <v>0</v>
      </c>
      <c r="F688" s="16">
        <f>IFERROR(__xludf.DUMMYFUNCTION("""COMPUTED_VALUE"""),8.06)</f>
        <v>8.06</v>
      </c>
      <c r="G688" s="16">
        <f>IFERROR(__xludf.DUMMYFUNCTION("""COMPUTED_VALUE"""),0.0)</f>
        <v>0</v>
      </c>
      <c r="H688" s="23">
        <f>IFERROR(__xludf.DUMMYFUNCTION("""COMPUTED_VALUE"""),177.58)</f>
        <v>177.58</v>
      </c>
    </row>
    <row r="689">
      <c r="A689" s="16" t="str">
        <f>IFERROR(__xludf.DUMMYFUNCTION("""COMPUTED_VALUE"""),"Месо")</f>
        <v>Месо</v>
      </c>
      <c r="B689" s="7" t="str">
        <f>IFERROR(__xludf.DUMMYFUNCTION("""COMPUTED_VALUE"""),"Пилешко Бутче без кожа (печено)")</f>
        <v>Пилешко Бутче без кожа (печено)</v>
      </c>
      <c r="C689" s="12">
        <f>IFERROR(__xludf.DUMMYFUNCTION("""COMPUTED_VALUE"""),100.0)</f>
        <v>100</v>
      </c>
      <c r="D689" s="7">
        <f>IFERROR(__xludf.DUMMYFUNCTION("""COMPUTED_VALUE"""),24.22)</f>
        <v>24.22</v>
      </c>
      <c r="E689" s="16">
        <f>IFERROR(__xludf.DUMMYFUNCTION("""COMPUTED_VALUE"""),0.0)</f>
        <v>0</v>
      </c>
      <c r="F689" s="16">
        <f>IFERROR(__xludf.DUMMYFUNCTION("""COMPUTED_VALUE"""),7.8)</f>
        <v>7.8</v>
      </c>
      <c r="G689" s="16">
        <f>IFERROR(__xludf.DUMMYFUNCTION("""COMPUTED_VALUE"""),0.0)</f>
        <v>0</v>
      </c>
      <c r="H689" s="23">
        <f>IFERROR(__xludf.DUMMYFUNCTION("""COMPUTED_VALUE"""),167.07999999999998)</f>
        <v>167.08</v>
      </c>
    </row>
    <row r="690">
      <c r="A690" s="16" t="str">
        <f>IFERROR(__xludf.DUMMYFUNCTION("""COMPUTED_VALUE"""),"Месо")</f>
        <v>Месо</v>
      </c>
      <c r="B690" s="7" t="str">
        <f>IFERROR(__xludf.DUMMYFUNCTION("""COMPUTED_VALUE"""),"Деликатесно свинско филе Дулано")</f>
        <v>Деликатесно свинско филе Дулано</v>
      </c>
      <c r="C690" s="12">
        <f>IFERROR(__xludf.DUMMYFUNCTION("""COMPUTED_VALUE"""),100.0)</f>
        <v>100</v>
      </c>
      <c r="D690" s="7">
        <f>IFERROR(__xludf.DUMMYFUNCTION("""COMPUTED_VALUE"""),21.0)</f>
        <v>21</v>
      </c>
      <c r="E690" s="16">
        <f>IFERROR(__xludf.DUMMYFUNCTION("""COMPUTED_VALUE"""),2.0)</f>
        <v>2</v>
      </c>
      <c r="F690" s="16">
        <f>IFERROR(__xludf.DUMMYFUNCTION("""COMPUTED_VALUE"""),3.0)</f>
        <v>3</v>
      </c>
      <c r="G690" s="16">
        <f>IFERROR(__xludf.DUMMYFUNCTION("""COMPUTED_VALUE"""),0.0)</f>
        <v>0</v>
      </c>
      <c r="H690" s="23">
        <f>IFERROR(__xludf.DUMMYFUNCTION("""COMPUTED_VALUE"""),119.0)</f>
        <v>119</v>
      </c>
    </row>
    <row r="691">
      <c r="A691" s="16" t="str">
        <f>IFERROR(__xludf.DUMMYFUNCTION("""COMPUTED_VALUE"""),"Месо")</f>
        <v>Месо</v>
      </c>
      <c r="B691" s="7" t="str">
        <f>IFERROR(__xludf.DUMMYFUNCTION("""COMPUTED_VALUE"""),"Телешко бон филе (сурово състояние)")</f>
        <v>Телешко бон филе (сурово състояние)</v>
      </c>
      <c r="C691" s="12">
        <f>IFERROR(__xludf.DUMMYFUNCTION("""COMPUTED_VALUE"""),100.0)</f>
        <v>100</v>
      </c>
      <c r="D691" s="7">
        <f>IFERROR(__xludf.DUMMYFUNCTION("""COMPUTED_VALUE"""),22.1)</f>
        <v>22.1</v>
      </c>
      <c r="E691" s="16">
        <f>IFERROR(__xludf.DUMMYFUNCTION("""COMPUTED_VALUE"""),0.0)</f>
        <v>0</v>
      </c>
      <c r="F691" s="16">
        <f>IFERROR(__xludf.DUMMYFUNCTION("""COMPUTED_VALUE"""),6.5)</f>
        <v>6.5</v>
      </c>
      <c r="G691" s="16">
        <f>IFERROR(__xludf.DUMMYFUNCTION("""COMPUTED_VALUE"""),0.0)</f>
        <v>0</v>
      </c>
      <c r="H691" s="23">
        <f>IFERROR(__xludf.DUMMYFUNCTION("""COMPUTED_VALUE"""),146.9)</f>
        <v>146.9</v>
      </c>
    </row>
    <row r="692">
      <c r="A692" s="16" t="str">
        <f>IFERROR(__xludf.DUMMYFUNCTION("""COMPUTED_VALUE"""),"Месо")</f>
        <v>Месо</v>
      </c>
      <c r="B692" s="7" t="str">
        <f>IFERROR(__xludf.DUMMYFUNCTION("""COMPUTED_VALUE"""),"Свинска Шунка Baroni - Lidl")</f>
        <v>Свинска Шунка Baroni - Lidl</v>
      </c>
      <c r="C692" s="12">
        <f>IFERROR(__xludf.DUMMYFUNCTION("""COMPUTED_VALUE"""),100.0)</f>
        <v>100</v>
      </c>
      <c r="D692" s="7">
        <f>IFERROR(__xludf.DUMMYFUNCTION("""COMPUTED_VALUE"""),12.5)</f>
        <v>12.5</v>
      </c>
      <c r="E692" s="16">
        <f>IFERROR(__xludf.DUMMYFUNCTION("""COMPUTED_VALUE"""),2.0)</f>
        <v>2</v>
      </c>
      <c r="F692" s="16">
        <f>IFERROR(__xludf.DUMMYFUNCTION("""COMPUTED_VALUE"""),6.0)</f>
        <v>6</v>
      </c>
      <c r="G692" s="16">
        <f>IFERROR(__xludf.DUMMYFUNCTION("""COMPUTED_VALUE"""),0.0)</f>
        <v>0</v>
      </c>
      <c r="H692" s="23">
        <f>IFERROR(__xludf.DUMMYFUNCTION("""COMPUTED_VALUE"""),112.0)</f>
        <v>112</v>
      </c>
    </row>
    <row r="693">
      <c r="A693" s="16" t="str">
        <f>IFERROR(__xludf.DUMMYFUNCTION("""COMPUTED_VALUE"""),"Месо")</f>
        <v>Месо</v>
      </c>
      <c r="B693" s="7" t="str">
        <f>IFERROR(__xludf.DUMMYFUNCTION("""COMPUTED_VALUE"""),"Пуешко филе ОРЕХИТЕ - варено-пушено")</f>
        <v>Пуешко филе ОРЕХИТЕ - варено-пушено</v>
      </c>
      <c r="C693" s="12">
        <f>IFERROR(__xludf.DUMMYFUNCTION("""COMPUTED_VALUE"""),100.0)</f>
        <v>100</v>
      </c>
      <c r="D693" s="7">
        <f>IFERROR(__xludf.DUMMYFUNCTION("""COMPUTED_VALUE"""),15.0)</f>
        <v>15</v>
      </c>
      <c r="E693" s="16">
        <f>IFERROR(__xludf.DUMMYFUNCTION("""COMPUTED_VALUE"""),2.1)</f>
        <v>2.1</v>
      </c>
      <c r="F693" s="16">
        <f>IFERROR(__xludf.DUMMYFUNCTION("""COMPUTED_VALUE"""),1.0)</f>
        <v>1</v>
      </c>
      <c r="G693" s="16">
        <f>IFERROR(__xludf.DUMMYFUNCTION("""COMPUTED_VALUE"""),0.0)</f>
        <v>0</v>
      </c>
      <c r="H693" s="23">
        <f>IFERROR(__xludf.DUMMYFUNCTION("""COMPUTED_VALUE"""),77.4)</f>
        <v>77.4</v>
      </c>
    </row>
    <row r="694">
      <c r="A694" s="16" t="str">
        <f>IFERROR(__xludf.DUMMYFUNCTION("""COMPUTED_VALUE"""),"Месо")</f>
        <v>Месо</v>
      </c>
      <c r="B694" s="7" t="str">
        <f>IFERROR(__xludf.DUMMYFUNCTION("""COMPUTED_VALUE"""),"Свински бут (печен)")</f>
        <v>Свински бут (печен)</v>
      </c>
      <c r="C694" s="7">
        <f>IFERROR(__xludf.DUMMYFUNCTION("""COMPUTED_VALUE"""),100.0)</f>
        <v>100</v>
      </c>
      <c r="D694" s="7">
        <f>IFERROR(__xludf.DUMMYFUNCTION("""COMPUTED_VALUE"""),27.0)</f>
        <v>27</v>
      </c>
      <c r="E694" s="16">
        <f>IFERROR(__xludf.DUMMYFUNCTION("""COMPUTED_VALUE"""),0.0)</f>
        <v>0</v>
      </c>
      <c r="F694" s="16">
        <f>IFERROR(__xludf.DUMMYFUNCTION("""COMPUTED_VALUE"""),13.0)</f>
        <v>13</v>
      </c>
      <c r="G694" s="16">
        <f>IFERROR(__xludf.DUMMYFUNCTION("""COMPUTED_VALUE"""),0.0)</f>
        <v>0</v>
      </c>
      <c r="H694" s="16">
        <f>IFERROR(__xludf.DUMMYFUNCTION("""COMPUTED_VALUE"""),225.0)</f>
        <v>225</v>
      </c>
    </row>
    <row r="695">
      <c r="A695" s="16" t="str">
        <f>IFERROR(__xludf.DUMMYFUNCTION("""COMPUTED_VALUE"""),"Месо")</f>
        <v>Месо</v>
      </c>
      <c r="B695" s="7" t="str">
        <f>IFERROR(__xludf.DUMMYFUNCTION("""COMPUTED_VALUE"""),"Шунка от свинско месо, варено-пушена Пикок / Pikok")</f>
        <v>Шунка от свинско месо, варено-пушена Пикок / Pikok</v>
      </c>
      <c r="C695" s="7">
        <f>IFERROR(__xludf.DUMMYFUNCTION("""COMPUTED_VALUE"""),100.0)</f>
        <v>100</v>
      </c>
      <c r="D695" s="7">
        <f>IFERROR(__xludf.DUMMYFUNCTION("""COMPUTED_VALUE"""),20.0)</f>
        <v>20</v>
      </c>
      <c r="E695" s="16">
        <f>IFERROR(__xludf.DUMMYFUNCTION("""COMPUTED_VALUE"""),2.0)</f>
        <v>2</v>
      </c>
      <c r="F695" s="16">
        <f>IFERROR(__xludf.DUMMYFUNCTION("""COMPUTED_VALUE"""),3.0)</f>
        <v>3</v>
      </c>
      <c r="G695" s="16">
        <f>IFERROR(__xludf.DUMMYFUNCTION("""COMPUTED_VALUE"""),0.0)</f>
        <v>0</v>
      </c>
      <c r="H695" s="16">
        <f>IFERROR(__xludf.DUMMYFUNCTION("""COMPUTED_VALUE"""),115.0)</f>
        <v>115</v>
      </c>
    </row>
    <row r="696">
      <c r="A696" s="16" t="str">
        <f>IFERROR(__xludf.DUMMYFUNCTION("""COMPUTED_VALUE"""),"Месо")</f>
        <v>Месо</v>
      </c>
      <c r="B696" s="7" t="str">
        <f>IFERROR(__xludf.DUMMYFUNCTION("""COMPUTED_VALUE"""),"Филе Елена")</f>
        <v>Филе Елена</v>
      </c>
      <c r="C696" s="12">
        <f>IFERROR(__xludf.DUMMYFUNCTION("""COMPUTED_VALUE"""),100.0)</f>
        <v>100</v>
      </c>
      <c r="D696" s="7">
        <f>IFERROR(__xludf.DUMMYFUNCTION("""COMPUTED_VALUE"""),40.0)</f>
        <v>40</v>
      </c>
      <c r="E696" s="16">
        <f>IFERROR(__xludf.DUMMYFUNCTION("""COMPUTED_VALUE"""),1.0)</f>
        <v>1</v>
      </c>
      <c r="F696" s="16">
        <f>IFERROR(__xludf.DUMMYFUNCTION("""COMPUTED_VALUE"""),3.0)</f>
        <v>3</v>
      </c>
      <c r="G696" s="16">
        <f>IFERROR(__xludf.DUMMYFUNCTION("""COMPUTED_VALUE"""),0.0)</f>
        <v>0</v>
      </c>
      <c r="H696" s="16">
        <f>IFERROR(__xludf.DUMMYFUNCTION("""COMPUTED_VALUE"""),191.0)</f>
        <v>191</v>
      </c>
    </row>
    <row r="697">
      <c r="A697" s="16" t="str">
        <f>IFERROR(__xludf.DUMMYFUNCTION("""COMPUTED_VALUE"""),"Месо")</f>
        <v>Месо</v>
      </c>
      <c r="B697" s="7" t="str">
        <f>IFERROR(__xludf.DUMMYFUNCTION("""COMPUTED_VALUE"""),"Горнооряховски суджук ""Стефанов""")</f>
        <v>Горнооряховски суджук "Стефанов"</v>
      </c>
      <c r="C697" s="12">
        <f>IFERROR(__xludf.DUMMYFUNCTION("""COMPUTED_VALUE"""),100.0)</f>
        <v>100</v>
      </c>
      <c r="D697" s="7">
        <f>IFERROR(__xludf.DUMMYFUNCTION("""COMPUTED_VALUE"""),28.7)</f>
        <v>28.7</v>
      </c>
      <c r="E697" s="16">
        <f>IFERROR(__xludf.DUMMYFUNCTION("""COMPUTED_VALUE"""),1.8)</f>
        <v>1.8</v>
      </c>
      <c r="F697" s="16">
        <f>IFERROR(__xludf.DUMMYFUNCTION("""COMPUTED_VALUE"""),29.0)</f>
        <v>29</v>
      </c>
      <c r="G697" s="16">
        <f>IFERROR(__xludf.DUMMYFUNCTION("""COMPUTED_VALUE"""),0.0)</f>
        <v>0</v>
      </c>
      <c r="H697" s="16">
        <f>IFERROR(__xludf.DUMMYFUNCTION("""COMPUTED_VALUE"""),383.0)</f>
        <v>383</v>
      </c>
    </row>
    <row r="698">
      <c r="A698" s="16" t="str">
        <f>IFERROR(__xludf.DUMMYFUNCTION("""COMPUTED_VALUE"""),"Месо")</f>
        <v>Месо</v>
      </c>
      <c r="B698" s="7" t="str">
        <f>IFERROR(__xludf.DUMMYFUNCTION("""COMPUTED_VALUE"""),"Глиган - готвен, печен")</f>
        <v>Глиган - готвен, печен</v>
      </c>
      <c r="C698" s="12">
        <f>IFERROR(__xludf.DUMMYFUNCTION("""COMPUTED_VALUE"""),100.0)</f>
        <v>100</v>
      </c>
      <c r="D698" s="7">
        <f>IFERROR(__xludf.DUMMYFUNCTION("""COMPUTED_VALUE"""),28.3)</f>
        <v>28.3</v>
      </c>
      <c r="E698" s="16">
        <f>IFERROR(__xludf.DUMMYFUNCTION("""COMPUTED_VALUE"""),0.0)</f>
        <v>0</v>
      </c>
      <c r="F698" s="16">
        <f>IFERROR(__xludf.DUMMYFUNCTION("""COMPUTED_VALUE"""),4.38)</f>
        <v>4.38</v>
      </c>
      <c r="G698" s="16">
        <f>IFERROR(__xludf.DUMMYFUNCTION("""COMPUTED_VALUE"""),0.0)</f>
        <v>0</v>
      </c>
      <c r="H698" s="16">
        <f>IFERROR(__xludf.DUMMYFUNCTION("""COMPUTED_VALUE"""),152.62)</f>
        <v>152.62</v>
      </c>
    </row>
    <row r="699">
      <c r="A699" s="16" t="str">
        <f>IFERROR(__xludf.DUMMYFUNCTION("""COMPUTED_VALUE"""),"Месо")</f>
        <v>Месо</v>
      </c>
      <c r="B699" s="7" t="str">
        <f>IFERROR(__xludf.DUMMYFUNCTION("""COMPUTED_VALUE"""),"Телешко HEREFORD (консерва)")</f>
        <v>Телешко HEREFORD (консерва)</v>
      </c>
      <c r="C699" s="12">
        <f>IFERROR(__xludf.DUMMYFUNCTION("""COMPUTED_VALUE"""),100.0)</f>
        <v>100</v>
      </c>
      <c r="D699" s="7">
        <f>IFERROR(__xludf.DUMMYFUNCTION("""COMPUTED_VALUE"""),24.2)</f>
        <v>24.2</v>
      </c>
      <c r="E699" s="16">
        <f>IFERROR(__xludf.DUMMYFUNCTION("""COMPUTED_VALUE"""),0.5)</f>
        <v>0.5</v>
      </c>
      <c r="F699" s="16">
        <f>IFERROR(__xludf.DUMMYFUNCTION("""COMPUTED_VALUE"""),14.8)</f>
        <v>14.8</v>
      </c>
      <c r="G699" s="16">
        <f>IFERROR(__xludf.DUMMYFUNCTION("""COMPUTED_VALUE"""),0.0)</f>
        <v>0</v>
      </c>
      <c r="H699" s="16">
        <f>IFERROR(__xludf.DUMMYFUNCTION("""COMPUTED_VALUE"""),232.0)</f>
        <v>232</v>
      </c>
    </row>
    <row r="700">
      <c r="A700" s="16" t="str">
        <f>IFERROR(__xludf.DUMMYFUNCTION("""COMPUTED_VALUE"""),"Месо")</f>
        <v>Месо</v>
      </c>
      <c r="B700" s="7" t="str">
        <f>IFERROR(__xludf.DUMMYFUNCTION("""COMPUTED_VALUE"""),"Телешки шол (сготвено състояние)")</f>
        <v>Телешки шол (сготвено състояние)</v>
      </c>
      <c r="C700" s="12">
        <f>IFERROR(__xludf.DUMMYFUNCTION("""COMPUTED_VALUE"""),100.0)</f>
        <v>100</v>
      </c>
      <c r="D700" s="7">
        <f>IFERROR(__xludf.DUMMYFUNCTION("""COMPUTED_VALUE"""),31.0)</f>
        <v>31</v>
      </c>
      <c r="E700" s="16">
        <f>IFERROR(__xludf.DUMMYFUNCTION("""COMPUTED_VALUE"""),0.0)</f>
        <v>0</v>
      </c>
      <c r="F700" s="16">
        <f>IFERROR(__xludf.DUMMYFUNCTION("""COMPUTED_VALUE"""),9.0)</f>
        <v>9</v>
      </c>
      <c r="G700" s="16">
        <f>IFERROR(__xludf.DUMMYFUNCTION("""COMPUTED_VALUE"""),0.0)</f>
        <v>0</v>
      </c>
      <c r="H700" s="16">
        <f>IFERROR(__xludf.DUMMYFUNCTION("""COMPUTED_VALUE"""),205.0)</f>
        <v>205</v>
      </c>
    </row>
    <row r="701">
      <c r="A701" s="16" t="str">
        <f>IFERROR(__xludf.DUMMYFUNCTION("""COMPUTED_VALUE"""),"Месо")</f>
        <v>Месо</v>
      </c>
      <c r="B701" s="7" t="str">
        <f>IFERROR(__xludf.DUMMYFUNCTION("""COMPUTED_VALUE"""),"Кайма от телешки шол (сготвено състояние)")</f>
        <v>Кайма от телешки шол (сготвено състояние)</v>
      </c>
      <c r="C701" s="12">
        <f>IFERROR(__xludf.DUMMYFUNCTION("""COMPUTED_VALUE"""),100.0)</f>
        <v>100</v>
      </c>
      <c r="D701" s="7">
        <f>IFERROR(__xludf.DUMMYFUNCTION("""COMPUTED_VALUE"""),30.0)</f>
        <v>30</v>
      </c>
      <c r="E701" s="16">
        <f>IFERROR(__xludf.DUMMYFUNCTION("""COMPUTED_VALUE"""),0.0)</f>
        <v>0</v>
      </c>
      <c r="F701" s="16">
        <f>IFERROR(__xludf.DUMMYFUNCTION("""COMPUTED_VALUE"""),8.0)</f>
        <v>8</v>
      </c>
      <c r="G701" s="16">
        <f>IFERROR(__xludf.DUMMYFUNCTION("""COMPUTED_VALUE"""),0.0)</f>
        <v>0</v>
      </c>
      <c r="H701" s="16">
        <f>IFERROR(__xludf.DUMMYFUNCTION("""COMPUTED_VALUE"""),138.0)</f>
        <v>138</v>
      </c>
    </row>
    <row r="702">
      <c r="A702" s="16" t="str">
        <f>IFERROR(__xludf.DUMMYFUNCTION("""COMPUTED_VALUE"""),"Месо")</f>
        <v>Месо</v>
      </c>
      <c r="B702" s="7" t="str">
        <f>IFERROR(__xludf.DUMMYFUNCTION("""COMPUTED_VALUE"""),"Сурово сушено свинско контрафиле Dulano")</f>
        <v>Сурово сушено свинско контрафиле Dulano</v>
      </c>
      <c r="C702" s="12">
        <f>IFERROR(__xludf.DUMMYFUNCTION("""COMPUTED_VALUE"""),100.0)</f>
        <v>100</v>
      </c>
      <c r="D702" s="7">
        <f>IFERROR(__xludf.DUMMYFUNCTION("""COMPUTED_VALUE"""),28.0)</f>
        <v>28</v>
      </c>
      <c r="E702" s="16">
        <f>IFERROR(__xludf.DUMMYFUNCTION("""COMPUTED_VALUE"""),1.0)</f>
        <v>1</v>
      </c>
      <c r="F702" s="16">
        <f>IFERROR(__xludf.DUMMYFUNCTION("""COMPUTED_VALUE"""),2.0)</f>
        <v>2</v>
      </c>
      <c r="G702" s="16">
        <f>IFERROR(__xludf.DUMMYFUNCTION("""COMPUTED_VALUE"""),0.0)</f>
        <v>0</v>
      </c>
      <c r="H702" s="16">
        <f>IFERROR(__xludf.DUMMYFUNCTION("""COMPUTED_VALUE"""),134.0)</f>
        <v>134</v>
      </c>
    </row>
    <row r="703">
      <c r="A703" s="16" t="str">
        <f>IFERROR(__xludf.DUMMYFUNCTION("""COMPUTED_VALUE"""),"Месо")</f>
        <v>Месо</v>
      </c>
      <c r="B703" s="7" t="str">
        <f>IFERROR(__xludf.DUMMYFUNCTION("""COMPUTED_VALUE"""),"Пилешко роле - Меско")</f>
        <v>Пилешко роле - Меско</v>
      </c>
      <c r="C703" s="12">
        <f>IFERROR(__xludf.DUMMYFUNCTION("""COMPUTED_VALUE"""),100.0)</f>
        <v>100</v>
      </c>
      <c r="D703" s="7">
        <f>IFERROR(__xludf.DUMMYFUNCTION("""COMPUTED_VALUE"""),18.0)</f>
        <v>18</v>
      </c>
      <c r="E703" s="16">
        <f>IFERROR(__xludf.DUMMYFUNCTION("""COMPUTED_VALUE"""),2.5)</f>
        <v>2.5</v>
      </c>
      <c r="F703" s="16">
        <f>IFERROR(__xludf.DUMMYFUNCTION("""COMPUTED_VALUE"""),1.5)</f>
        <v>1.5</v>
      </c>
      <c r="G703" s="16">
        <f>IFERROR(__xludf.DUMMYFUNCTION("""COMPUTED_VALUE"""),0.0)</f>
        <v>0</v>
      </c>
      <c r="H703" s="16">
        <f>IFERROR(__xludf.DUMMYFUNCTION("""COMPUTED_VALUE"""),95.5)</f>
        <v>95.5</v>
      </c>
    </row>
    <row r="704">
      <c r="A704" s="16" t="str">
        <f>IFERROR(__xludf.DUMMYFUNCTION("""COMPUTED_VALUE"""),"Месо")</f>
        <v>Месо</v>
      </c>
      <c r="B704" s="7" t="str">
        <f>IFERROR(__xludf.DUMMYFUNCTION("""COMPUTED_VALUE"""),"Пилешко месо в желе (Dulno)")</f>
        <v>Пилешко месо в желе (Dulno)</v>
      </c>
      <c r="C704" s="12">
        <f>IFERROR(__xludf.DUMMYFUNCTION("""COMPUTED_VALUE"""),100.0)</f>
        <v>100</v>
      </c>
      <c r="D704" s="7">
        <f>IFERROR(__xludf.DUMMYFUNCTION("""COMPUTED_VALUE"""),14.0)</f>
        <v>14</v>
      </c>
      <c r="E704" s="16">
        <f>IFERROR(__xludf.DUMMYFUNCTION("""COMPUTED_VALUE"""),2.0)</f>
        <v>2</v>
      </c>
      <c r="F704" s="16">
        <f>IFERROR(__xludf.DUMMYFUNCTION("""COMPUTED_VALUE"""),1.0)</f>
        <v>1</v>
      </c>
      <c r="G704" s="16">
        <f>IFERROR(__xludf.DUMMYFUNCTION("""COMPUTED_VALUE"""),0.0)</f>
        <v>0</v>
      </c>
      <c r="H704" s="16">
        <f>IFERROR(__xludf.DUMMYFUNCTION("""COMPUTED_VALUE"""),73.0)</f>
        <v>73</v>
      </c>
    </row>
    <row r="705">
      <c r="A705" s="16" t="str">
        <f>IFERROR(__xludf.DUMMYFUNCTION("""COMPUTED_VALUE"""),"Месо")</f>
        <v>Месо</v>
      </c>
      <c r="B705" s="7" t="str">
        <f>IFERROR(__xludf.DUMMYFUNCTION("""COMPUTED_VALUE"""),"Сушено филе ""Родна стряха""")</f>
        <v>Сушено филе "Родна стряха"</v>
      </c>
      <c r="C705" s="12">
        <f>IFERROR(__xludf.DUMMYFUNCTION("""COMPUTED_VALUE"""),100.0)</f>
        <v>100</v>
      </c>
      <c r="D705" s="7">
        <f>IFERROR(__xludf.DUMMYFUNCTION("""COMPUTED_VALUE"""),31.0)</f>
        <v>31</v>
      </c>
      <c r="E705" s="16">
        <f>IFERROR(__xludf.DUMMYFUNCTION("""COMPUTED_VALUE"""),0.0)</f>
        <v>0</v>
      </c>
      <c r="F705" s="16">
        <f>IFERROR(__xludf.DUMMYFUNCTION("""COMPUTED_VALUE"""),4.5)</f>
        <v>4.5</v>
      </c>
      <c r="G705" s="16">
        <f>IFERROR(__xludf.DUMMYFUNCTION("""COMPUTED_VALUE"""),0.0)</f>
        <v>0</v>
      </c>
      <c r="H705" s="16">
        <f>IFERROR(__xludf.DUMMYFUNCTION("""COMPUTED_VALUE"""),164.5)</f>
        <v>164.5</v>
      </c>
    </row>
    <row r="706">
      <c r="A706" s="16" t="str">
        <f>IFERROR(__xludf.DUMMYFUNCTION("""COMPUTED_VALUE"""),"Месо")</f>
        <v>Месо</v>
      </c>
      <c r="B706" s="7" t="str">
        <f>IFERROR(__xludf.DUMMYFUNCTION("""COMPUTED_VALUE"""),"Пуешки дроб (сурово състояние)")</f>
        <v>Пуешки дроб (сурово състояние)</v>
      </c>
      <c r="C706" s="12">
        <f>IFERROR(__xludf.DUMMYFUNCTION("""COMPUTED_VALUE"""),100.0)</f>
        <v>100</v>
      </c>
      <c r="D706" s="7">
        <f>IFERROR(__xludf.DUMMYFUNCTION("""COMPUTED_VALUE"""),18.0)</f>
        <v>18</v>
      </c>
      <c r="E706" s="16">
        <f>IFERROR(__xludf.DUMMYFUNCTION("""COMPUTED_VALUE"""),0.0)</f>
        <v>0</v>
      </c>
      <c r="F706" s="16">
        <f>IFERROR(__xludf.DUMMYFUNCTION("""COMPUTED_VALUE"""),5.0)</f>
        <v>5</v>
      </c>
      <c r="G706" s="16">
        <f>IFERROR(__xludf.DUMMYFUNCTION("""COMPUTED_VALUE"""),0.0)</f>
        <v>0</v>
      </c>
      <c r="H706" s="16">
        <f>IFERROR(__xludf.DUMMYFUNCTION("""COMPUTED_VALUE"""),117.0)</f>
        <v>117</v>
      </c>
    </row>
    <row r="707">
      <c r="A707" s="16" t="str">
        <f>IFERROR(__xludf.DUMMYFUNCTION("""COMPUTED_VALUE"""),"Месо")</f>
        <v>Месо</v>
      </c>
      <c r="B707" s="7" t="str">
        <f>IFERROR(__xludf.DUMMYFUNCTION("""COMPUTED_VALUE"""),"BEEF JERKY TERIYAKI")</f>
        <v>BEEF JERKY TERIYAKI</v>
      </c>
      <c r="C707" s="12">
        <f>IFERROR(__xludf.DUMMYFUNCTION("""COMPUTED_VALUE"""),100.0)</f>
        <v>100</v>
      </c>
      <c r="D707" s="7">
        <f>IFERROR(__xludf.DUMMYFUNCTION("""COMPUTED_VALUE"""),39.0)</f>
        <v>39</v>
      </c>
      <c r="E707" s="16">
        <f>IFERROR(__xludf.DUMMYFUNCTION("""COMPUTED_VALUE"""),21.0)</f>
        <v>21</v>
      </c>
      <c r="F707" s="16">
        <f>IFERROR(__xludf.DUMMYFUNCTION("""COMPUTED_VALUE"""),3.7)</f>
        <v>3.7</v>
      </c>
      <c r="G707" s="16">
        <f>IFERROR(__xludf.DUMMYFUNCTION("""COMPUTED_VALUE"""),0.5)</f>
        <v>0.5</v>
      </c>
      <c r="H707" s="16">
        <f>IFERROR(__xludf.DUMMYFUNCTION("""COMPUTED_VALUE"""),273.3)</f>
        <v>273.3</v>
      </c>
    </row>
    <row r="708">
      <c r="A708" s="16" t="str">
        <f>IFERROR(__xludf.DUMMYFUNCTION("""COMPUTED_VALUE"""),"Месо")</f>
        <v>Месо</v>
      </c>
      <c r="B708" s="7" t="str">
        <f>IFERROR(__xludf.DUMMYFUNCTION("""COMPUTED_VALUE"""),"Свински Врат (стек), суров")</f>
        <v>Свински Врат (стек), суров</v>
      </c>
      <c r="C708" s="12">
        <f>IFERROR(__xludf.DUMMYFUNCTION("""COMPUTED_VALUE"""),100.0)</f>
        <v>100</v>
      </c>
      <c r="D708" s="7">
        <f>IFERROR(__xludf.DUMMYFUNCTION("""COMPUTED_VALUE"""),17.42)</f>
        <v>17.42</v>
      </c>
      <c r="E708" s="16">
        <f>IFERROR(__xludf.DUMMYFUNCTION("""COMPUTED_VALUE"""),0.0)</f>
        <v>0</v>
      </c>
      <c r="F708" s="16">
        <f>IFERROR(__xludf.DUMMYFUNCTION("""COMPUTED_VALUE"""),12.36)</f>
        <v>12.36</v>
      </c>
      <c r="G708" s="16">
        <f>IFERROR(__xludf.DUMMYFUNCTION("""COMPUTED_VALUE"""),0.0)</f>
        <v>0</v>
      </c>
      <c r="H708" s="16">
        <f>IFERROR(__xludf.DUMMYFUNCTION("""COMPUTED_VALUE"""),180.92000000000002)</f>
        <v>180.92</v>
      </c>
    </row>
    <row r="709">
      <c r="A709" s="16" t="str">
        <f>IFERROR(__xludf.DUMMYFUNCTION("""COMPUTED_VALUE"""),"Месо")</f>
        <v>Месо</v>
      </c>
      <c r="B709" s="7" t="str">
        <f>IFERROR(__xludf.DUMMYFUNCTION("""COMPUTED_VALUE"""),"Детски пуешки кремвирши Лидл")</f>
        <v>Детски пуешки кремвирши Лидл</v>
      </c>
      <c r="C709" s="12">
        <f>IFERROR(__xludf.DUMMYFUNCTION("""COMPUTED_VALUE"""),100.0)</f>
        <v>100</v>
      </c>
      <c r="D709" s="7">
        <f>IFERROR(__xludf.DUMMYFUNCTION("""COMPUTED_VALUE"""),15.0)</f>
        <v>15</v>
      </c>
      <c r="E709" s="16">
        <f>IFERROR(__xludf.DUMMYFUNCTION("""COMPUTED_VALUE"""),0.9)</f>
        <v>0.9</v>
      </c>
      <c r="F709" s="16">
        <f>IFERROR(__xludf.DUMMYFUNCTION("""COMPUTED_VALUE"""),14.0)</f>
        <v>14</v>
      </c>
      <c r="G709" s="16">
        <f>IFERROR(__xludf.DUMMYFUNCTION("""COMPUTED_VALUE"""),0.0)</f>
        <v>0</v>
      </c>
      <c r="H709" s="16">
        <f>IFERROR(__xludf.DUMMYFUNCTION("""COMPUTED_VALUE"""),189.6)</f>
        <v>189.6</v>
      </c>
    </row>
    <row r="710">
      <c r="A710" s="16" t="str">
        <f>IFERROR(__xludf.DUMMYFUNCTION("""COMPUTED_VALUE"""),"Месо")</f>
        <v>Месо</v>
      </c>
      <c r="B710" s="7" t="str">
        <f>IFERROR(__xludf.DUMMYFUNCTION("""COMPUTED_VALUE"""),"Пилешко бутче с кост( долната част ) сурово състояние")</f>
        <v>Пилешко бутче с кост( долната част ) сурово състояние</v>
      </c>
      <c r="C710" s="12">
        <f>IFERROR(__xludf.DUMMYFUNCTION("""COMPUTED_VALUE"""),100.0)</f>
        <v>100</v>
      </c>
      <c r="D710" s="7">
        <f>IFERROR(__xludf.DUMMYFUNCTION("""COMPUTED_VALUE"""),18.5)</f>
        <v>18.5</v>
      </c>
      <c r="E710" s="16">
        <f>IFERROR(__xludf.DUMMYFUNCTION("""COMPUTED_VALUE"""),0.0)</f>
        <v>0</v>
      </c>
      <c r="F710" s="16">
        <f>IFERROR(__xludf.DUMMYFUNCTION("""COMPUTED_VALUE"""),6.5)</f>
        <v>6.5</v>
      </c>
      <c r="G710" s="16">
        <f>IFERROR(__xludf.DUMMYFUNCTION("""COMPUTED_VALUE"""),0.0)</f>
        <v>0</v>
      </c>
      <c r="H710" s="16">
        <f>IFERROR(__xludf.DUMMYFUNCTION("""COMPUTED_VALUE"""),132.5)</f>
        <v>132.5</v>
      </c>
    </row>
    <row r="711">
      <c r="A711" s="16" t="str">
        <f>IFERROR(__xludf.DUMMYFUNCTION("""COMPUTED_VALUE"""),"Месо")</f>
        <v>Месо</v>
      </c>
      <c r="B711" s="7" t="str">
        <f>IFERROR(__xludf.DUMMYFUNCTION("""COMPUTED_VALUE"""),"Джолан - Свински желиран ЕКО МЕС (за директна консумация)")</f>
        <v>Джолан - Свински желиран ЕКО МЕС (за директна консумация)</v>
      </c>
      <c r="C711" s="12">
        <f>IFERROR(__xludf.DUMMYFUNCTION("""COMPUTED_VALUE"""),100.0)</f>
        <v>100</v>
      </c>
      <c r="D711" s="7">
        <f>IFERROR(__xludf.DUMMYFUNCTION("""COMPUTED_VALUE"""),21.0)</f>
        <v>21</v>
      </c>
      <c r="E711" s="16">
        <f>IFERROR(__xludf.DUMMYFUNCTION("""COMPUTED_VALUE"""),0.6)</f>
        <v>0.6</v>
      </c>
      <c r="F711" s="16">
        <f>IFERROR(__xludf.DUMMYFUNCTION("""COMPUTED_VALUE"""),4.3)</f>
        <v>4.3</v>
      </c>
      <c r="G711" s="16">
        <f>IFERROR(__xludf.DUMMYFUNCTION("""COMPUTED_VALUE"""),0.0)</f>
        <v>0</v>
      </c>
      <c r="H711" s="16">
        <f>IFERROR(__xludf.DUMMYFUNCTION("""COMPUTED_VALUE"""),125.1)</f>
        <v>125.1</v>
      </c>
    </row>
    <row r="712">
      <c r="A712" s="16" t="str">
        <f>IFERROR(__xludf.DUMMYFUNCTION("""COMPUTED_VALUE"""),"Месо")</f>
        <v>Месо</v>
      </c>
      <c r="B712" s="7" t="str">
        <f>IFERROR(__xludf.DUMMYFUNCTION("""COMPUTED_VALUE"""),"Свинска Плешка (печена)")</f>
        <v>Свинска Плешка (печена)</v>
      </c>
      <c r="C712" s="12">
        <f>IFERROR(__xludf.DUMMYFUNCTION("""COMPUTED_VALUE"""),100.0)</f>
        <v>100</v>
      </c>
      <c r="D712" s="7">
        <f>IFERROR(__xludf.DUMMYFUNCTION("""COMPUTED_VALUE"""),30.0)</f>
        <v>30</v>
      </c>
      <c r="E712" s="16">
        <f>IFERROR(__xludf.DUMMYFUNCTION("""COMPUTED_VALUE"""),0.0)</f>
        <v>0</v>
      </c>
      <c r="F712" s="16">
        <f>IFERROR(__xludf.DUMMYFUNCTION("""COMPUTED_VALUE"""),21.39)</f>
        <v>21.39</v>
      </c>
      <c r="G712" s="16">
        <f>IFERROR(__xludf.DUMMYFUNCTION("""COMPUTED_VALUE"""),0.0)</f>
        <v>0</v>
      </c>
      <c r="H712" s="16">
        <f>IFERROR(__xludf.DUMMYFUNCTION("""COMPUTED_VALUE"""),285.63)</f>
        <v>285.63</v>
      </c>
    </row>
    <row r="713">
      <c r="A713" s="16" t="str">
        <f>IFERROR(__xludf.DUMMYFUNCTION("""COMPUTED_VALUE"""),"Месо")</f>
        <v>Месо</v>
      </c>
      <c r="B713" s="7" t="str">
        <f>IFERROR(__xludf.DUMMYFUNCTION("""COMPUTED_VALUE"""),"Пилешки салам Gutfried")</f>
        <v>Пилешки салам Gutfried</v>
      </c>
      <c r="C713" s="12">
        <f>IFERROR(__xludf.DUMMYFUNCTION("""COMPUTED_VALUE"""),100.0)</f>
        <v>100</v>
      </c>
      <c r="D713" s="7">
        <f>IFERROR(__xludf.DUMMYFUNCTION("""COMPUTED_VALUE"""),15.0)</f>
        <v>15</v>
      </c>
      <c r="E713" s="16">
        <f>IFERROR(__xludf.DUMMYFUNCTION("""COMPUTED_VALUE"""),0.5)</f>
        <v>0.5</v>
      </c>
      <c r="F713" s="16">
        <f>IFERROR(__xludf.DUMMYFUNCTION("""COMPUTED_VALUE"""),12.0)</f>
        <v>12</v>
      </c>
      <c r="G713" s="16">
        <f>IFERROR(__xludf.DUMMYFUNCTION("""COMPUTED_VALUE"""),0.0)</f>
        <v>0</v>
      </c>
      <c r="H713" s="16">
        <f>IFERROR(__xludf.DUMMYFUNCTION("""COMPUTED_VALUE"""),170.0)</f>
        <v>170</v>
      </c>
    </row>
    <row r="714">
      <c r="A714" s="16" t="str">
        <f>IFERROR(__xludf.DUMMYFUNCTION("""COMPUTED_VALUE"""),"Месо")</f>
        <v>Месо</v>
      </c>
      <c r="B714" s="7" t="str">
        <f>IFERROR(__xludf.DUMMYFUNCTION("""COMPUTED_VALUE"""),"Пуешки шницел (суров)")</f>
        <v>Пуешки шницел (суров)</v>
      </c>
      <c r="C714" s="12">
        <f>IFERROR(__xludf.DUMMYFUNCTION("""COMPUTED_VALUE"""),100.0)</f>
        <v>100</v>
      </c>
      <c r="D714" s="7">
        <f>IFERROR(__xludf.DUMMYFUNCTION("""COMPUTED_VALUE"""),23.0)</f>
        <v>23</v>
      </c>
      <c r="E714" s="16">
        <f>IFERROR(__xludf.DUMMYFUNCTION("""COMPUTED_VALUE"""),0.0)</f>
        <v>0</v>
      </c>
      <c r="F714" s="16">
        <f>IFERROR(__xludf.DUMMYFUNCTION("""COMPUTED_VALUE"""),2.0)</f>
        <v>2</v>
      </c>
      <c r="G714" s="16">
        <f>IFERROR(__xludf.DUMMYFUNCTION("""COMPUTED_VALUE"""),0.0)</f>
        <v>0</v>
      </c>
      <c r="H714" s="16">
        <f>IFERROR(__xludf.DUMMYFUNCTION("""COMPUTED_VALUE"""),110.0)</f>
        <v>110</v>
      </c>
    </row>
    <row r="715">
      <c r="A715" s="16" t="str">
        <f>IFERROR(__xludf.DUMMYFUNCTION("""COMPUTED_VALUE"""),"Месо")</f>
        <v>Месо</v>
      </c>
      <c r="B715" s="7" t="str">
        <f>IFERROR(__xludf.DUMMYFUNCTION("""COMPUTED_VALUE"""),"Мексико микс - ЛИДЛ")</f>
        <v>Мексико микс - ЛИДЛ</v>
      </c>
      <c r="C715" s="12">
        <f>IFERROR(__xludf.DUMMYFUNCTION("""COMPUTED_VALUE"""),100.0)</f>
        <v>100</v>
      </c>
      <c r="D715" s="7">
        <f>IFERROR(__xludf.DUMMYFUNCTION("""COMPUTED_VALUE"""),2.9)</f>
        <v>2.9</v>
      </c>
      <c r="E715" s="16">
        <f>IFERROR(__xludf.DUMMYFUNCTION("""COMPUTED_VALUE"""),13.7)</f>
        <v>13.7</v>
      </c>
      <c r="F715" s="16">
        <f>IFERROR(__xludf.DUMMYFUNCTION("""COMPUTED_VALUE"""),0.1)</f>
        <v>0.1</v>
      </c>
      <c r="G715" s="16">
        <f>IFERROR(__xludf.DUMMYFUNCTION("""COMPUTED_VALUE"""),0.0)</f>
        <v>0</v>
      </c>
      <c r="H715" s="16">
        <f>IFERROR(__xludf.DUMMYFUNCTION("""COMPUTED_VALUE"""),67.3)</f>
        <v>67.3</v>
      </c>
    </row>
    <row r="716">
      <c r="A716" s="16" t="str">
        <f>IFERROR(__xludf.DUMMYFUNCTION("""COMPUTED_VALUE"""),"Млечни")</f>
        <v>Млечни</v>
      </c>
      <c r="B716" s="7" t="str">
        <f>IFERROR(__xludf.DUMMYFUNCTION("""COMPUTED_VALUE"""),"SKYR PILOS BLUEBERRY")</f>
        <v>SKYR PILOS BLUEBERRY</v>
      </c>
      <c r="C716" s="12">
        <f>IFERROR(__xludf.DUMMYFUNCTION("""COMPUTED_VALUE"""),100.0)</f>
        <v>100</v>
      </c>
      <c r="D716" s="7">
        <f>IFERROR(__xludf.DUMMYFUNCTION("""COMPUTED_VALUE"""),8.9)</f>
        <v>8.9</v>
      </c>
      <c r="E716" s="16">
        <f>IFERROR(__xludf.DUMMYFUNCTION("""COMPUTED_VALUE"""),4.6)</f>
        <v>4.6</v>
      </c>
      <c r="F716" s="16">
        <f>IFERROR(__xludf.DUMMYFUNCTION("""COMPUTED_VALUE"""),0.2)</f>
        <v>0.2</v>
      </c>
      <c r="G716" s="16">
        <f>IFERROR(__xludf.DUMMYFUNCTION("""COMPUTED_VALUE"""),0.0)</f>
        <v>0</v>
      </c>
      <c r="H716" s="23">
        <f>IFERROR(__xludf.DUMMYFUNCTION("""COMPUTED_VALUE"""),55.8)</f>
        <v>55.8</v>
      </c>
    </row>
    <row r="717">
      <c r="A717" s="16" t="str">
        <f>IFERROR(__xludf.DUMMYFUNCTION("""COMPUTED_VALUE"""),"Млечни")</f>
        <v>Млечни</v>
      </c>
      <c r="B717" s="7" t="str">
        <f>IFERROR(__xludf.DUMMYFUNCTION("""COMPUTED_VALUE"""),"Крем за мазане Pilos (Light)")</f>
        <v>Крем за мазане Pilos (Light)</v>
      </c>
      <c r="C717" s="12">
        <f>IFERROR(__xludf.DUMMYFUNCTION("""COMPUTED_VALUE"""),100.0)</f>
        <v>100</v>
      </c>
      <c r="D717" s="7">
        <f>IFERROR(__xludf.DUMMYFUNCTION("""COMPUTED_VALUE"""),7.5)</f>
        <v>7.5</v>
      </c>
      <c r="E717" s="16">
        <f>IFERROR(__xludf.DUMMYFUNCTION("""COMPUTED_VALUE"""),3.3)</f>
        <v>3.3</v>
      </c>
      <c r="F717" s="16">
        <f>IFERROR(__xludf.DUMMYFUNCTION("""COMPUTED_VALUE"""),8.0)</f>
        <v>8</v>
      </c>
      <c r="G717" s="16">
        <f>IFERROR(__xludf.DUMMYFUNCTION("""COMPUTED_VALUE"""),0.0)</f>
        <v>0</v>
      </c>
      <c r="H717" s="23">
        <f>IFERROR(__xludf.DUMMYFUNCTION("""COMPUTED_VALUE"""),115.2)</f>
        <v>115.2</v>
      </c>
    </row>
    <row r="718">
      <c r="A718" s="16" t="str">
        <f>IFERROR(__xludf.DUMMYFUNCTION("""COMPUTED_VALUE"""),"Млечни")</f>
        <v>Млечни</v>
      </c>
      <c r="B718" s="7" t="str">
        <f>IFERROR(__xludf.DUMMYFUNCTION("""COMPUTED_VALUE"""),"Скир - плодов 0% (Лидъл)")</f>
        <v>Скир - плодов 0% (Лидъл)</v>
      </c>
      <c r="C718" s="12">
        <f>IFERROR(__xludf.DUMMYFUNCTION("""COMPUTED_VALUE"""),100.0)</f>
        <v>100</v>
      </c>
      <c r="D718" s="7">
        <f>IFERROR(__xludf.DUMMYFUNCTION("""COMPUTED_VALUE"""),8.8)</f>
        <v>8.8</v>
      </c>
      <c r="E718" s="16">
        <f>IFERROR(__xludf.DUMMYFUNCTION("""COMPUTED_VALUE"""),4.1)</f>
        <v>4.1</v>
      </c>
      <c r="F718" s="16">
        <f>IFERROR(__xludf.DUMMYFUNCTION("""COMPUTED_VALUE"""),0.2)</f>
        <v>0.2</v>
      </c>
      <c r="G718" s="16">
        <f>IFERROR(__xludf.DUMMYFUNCTION("""COMPUTED_VALUE"""),0.5)</f>
        <v>0.5</v>
      </c>
      <c r="H718" s="23">
        <f>IFERROR(__xludf.DUMMYFUNCTION("""COMPUTED_VALUE"""),53.4)</f>
        <v>53.4</v>
      </c>
    </row>
    <row r="719">
      <c r="A719" s="16" t="str">
        <f>IFERROR(__xludf.DUMMYFUNCTION("""COMPUTED_VALUE"""),"Млечни")</f>
        <v>Млечни</v>
      </c>
      <c r="B719" s="7" t="str">
        <f>IFERROR(__xludf.DUMMYFUNCTION("""COMPUTED_VALUE"""),"High Protein Pudding (milbona/милбона)")</f>
        <v>High Protein Pudding (milbona/милбона)</v>
      </c>
      <c r="C719" s="12">
        <f>IFERROR(__xludf.DUMMYFUNCTION("""COMPUTED_VALUE"""),100.0)</f>
        <v>100</v>
      </c>
      <c r="D719" s="7">
        <f>IFERROR(__xludf.DUMMYFUNCTION("""COMPUTED_VALUE"""),10.0)</f>
        <v>10</v>
      </c>
      <c r="E719" s="16">
        <f>IFERROR(__xludf.DUMMYFUNCTION("""COMPUTED_VALUE"""),5.2)</f>
        <v>5.2</v>
      </c>
      <c r="F719" s="16">
        <f>IFERROR(__xludf.DUMMYFUNCTION("""COMPUTED_VALUE"""),1.5)</f>
        <v>1.5</v>
      </c>
      <c r="G719" s="16">
        <f>IFERROR(__xludf.DUMMYFUNCTION("""COMPUTED_VALUE"""),0.0)</f>
        <v>0</v>
      </c>
      <c r="H719" s="23">
        <f>IFERROR(__xludf.DUMMYFUNCTION("""COMPUTED_VALUE"""),74.3)</f>
        <v>74.3</v>
      </c>
    </row>
    <row r="720">
      <c r="A720" s="16" t="str">
        <f>IFERROR(__xludf.DUMMYFUNCTION("""COMPUTED_VALUE"""),"Млечни")</f>
        <v>Млечни</v>
      </c>
      <c r="B720" s="7" t="str">
        <f>IFERROR(__xludf.DUMMYFUNCTION("""COMPUTED_VALUE"""),"Milbona Skyr natur")</f>
        <v>Milbona Skyr natur</v>
      </c>
      <c r="C720" s="12">
        <f>IFERROR(__xludf.DUMMYFUNCTION("""COMPUTED_VALUE"""),100.0)</f>
        <v>100</v>
      </c>
      <c r="D720" s="7">
        <f>IFERROR(__xludf.DUMMYFUNCTION("""COMPUTED_VALUE"""),11.0)</f>
        <v>11</v>
      </c>
      <c r="E720" s="16">
        <f>IFERROR(__xludf.DUMMYFUNCTION("""COMPUTED_VALUE"""),4.0)</f>
        <v>4</v>
      </c>
      <c r="F720" s="16">
        <f>IFERROR(__xludf.DUMMYFUNCTION("""COMPUTED_VALUE"""),0.2)</f>
        <v>0.2</v>
      </c>
      <c r="G720" s="16">
        <f>IFERROR(__xludf.DUMMYFUNCTION("""COMPUTED_VALUE"""),0.0)</f>
        <v>0</v>
      </c>
      <c r="H720" s="23">
        <f>IFERROR(__xludf.DUMMYFUNCTION("""COMPUTED_VALUE"""),61.8)</f>
        <v>61.8</v>
      </c>
    </row>
    <row r="721">
      <c r="A721" s="16" t="str">
        <f>IFERROR(__xludf.DUMMYFUNCTION("""COMPUTED_VALUE"""),"Млечни")</f>
        <v>Млечни</v>
      </c>
      <c r="B721" s="7" t="str">
        <f>IFERROR(__xludf.DUMMYFUNCTION("""COMPUTED_VALUE"""),"Mild Skyr Exquisa")</f>
        <v>Mild Skyr Exquisa</v>
      </c>
      <c r="C721" s="12">
        <f>IFERROR(__xludf.DUMMYFUNCTION("""COMPUTED_VALUE"""),100.0)</f>
        <v>100</v>
      </c>
      <c r="D721" s="7">
        <f>IFERROR(__xludf.DUMMYFUNCTION("""COMPUTED_VALUE"""),11.0)</f>
        <v>11</v>
      </c>
      <c r="E721" s="16">
        <f>IFERROR(__xludf.DUMMYFUNCTION("""COMPUTED_VALUE"""),4.0)</f>
        <v>4</v>
      </c>
      <c r="F721" s="16">
        <f>IFERROR(__xludf.DUMMYFUNCTION("""COMPUTED_VALUE"""),0.2)</f>
        <v>0.2</v>
      </c>
      <c r="G721" s="16">
        <f>IFERROR(__xludf.DUMMYFUNCTION("""COMPUTED_VALUE"""),0.0)</f>
        <v>0</v>
      </c>
      <c r="H721" s="23">
        <f>IFERROR(__xludf.DUMMYFUNCTION("""COMPUTED_VALUE"""),61.8)</f>
        <v>61.8</v>
      </c>
    </row>
    <row r="722">
      <c r="A722" s="16" t="str">
        <f>IFERROR(__xludf.DUMMYFUNCTION("""COMPUTED_VALUE"""),"Млечни")</f>
        <v>Млечни</v>
      </c>
      <c r="B722" s="7" t="str">
        <f>IFERROR(__xludf.DUMMYFUNCTION("""COMPUTED_VALUE"""),"Alpro мляко с протеин")</f>
        <v>Alpro мляко с протеин</v>
      </c>
      <c r="C722" s="12">
        <f>IFERROR(__xludf.DUMMYFUNCTION("""COMPUTED_VALUE"""),100.0)</f>
        <v>100</v>
      </c>
      <c r="D722" s="7">
        <f>IFERROR(__xludf.DUMMYFUNCTION("""COMPUTED_VALUE"""),5.0)</f>
        <v>5</v>
      </c>
      <c r="E722" s="16">
        <f>IFERROR(__xludf.DUMMYFUNCTION("""COMPUTED_VALUE"""),2.5)</f>
        <v>2.5</v>
      </c>
      <c r="F722" s="16">
        <f>IFERROR(__xludf.DUMMYFUNCTION("""COMPUTED_VALUE"""),2.8)</f>
        <v>2.8</v>
      </c>
      <c r="G722" s="16">
        <f>IFERROR(__xludf.DUMMYFUNCTION("""COMPUTED_VALUE"""),0.0)</f>
        <v>0</v>
      </c>
      <c r="H722" s="23">
        <f>IFERROR(__xludf.DUMMYFUNCTION("""COMPUTED_VALUE"""),55.2)</f>
        <v>55.2</v>
      </c>
    </row>
    <row r="723">
      <c r="A723" s="16" t="str">
        <f>IFERROR(__xludf.DUMMYFUNCTION("""COMPUTED_VALUE"""),"Млечни")</f>
        <v>Млечни</v>
      </c>
      <c r="B723" s="7" t="str">
        <f>IFERROR(__xludf.DUMMYFUNCTION("""COMPUTED_VALUE"""),"Високо протеиново кисело мляко (Mercadona)")</f>
        <v>Високо протеиново кисело мляко (Mercadona)</v>
      </c>
      <c r="C723" s="12">
        <f>IFERROR(__xludf.DUMMYFUNCTION("""COMPUTED_VALUE"""),100.0)</f>
        <v>100</v>
      </c>
      <c r="D723" s="7">
        <f>IFERROR(__xludf.DUMMYFUNCTION("""COMPUTED_VALUE"""),10.0)</f>
        <v>10</v>
      </c>
      <c r="E723" s="16">
        <f>IFERROR(__xludf.DUMMYFUNCTION("""COMPUTED_VALUE"""),3.1)</f>
        <v>3.1</v>
      </c>
      <c r="F723" s="16">
        <f>IFERROR(__xludf.DUMMYFUNCTION("""COMPUTED_VALUE"""),0.5)</f>
        <v>0.5</v>
      </c>
      <c r="G723" s="16">
        <f>IFERROR(__xludf.DUMMYFUNCTION("""COMPUTED_VALUE"""),0.0)</f>
        <v>0</v>
      </c>
      <c r="H723" s="16">
        <f>IFERROR(__xludf.DUMMYFUNCTION("""COMPUTED_VALUE"""),56.9)</f>
        <v>56.9</v>
      </c>
    </row>
    <row r="724">
      <c r="A724" s="16" t="str">
        <f>IFERROR(__xludf.DUMMYFUNCTION("""COMPUTED_VALUE"""),"Млечни")</f>
        <v>Млечни</v>
      </c>
      <c r="B724" s="7" t="str">
        <f>IFERROR(__xludf.DUMMYFUNCTION("""COMPUTED_VALUE"""),"High Protein Milk Product Различни плодови варианти")</f>
        <v>High Protein Milk Product Различни плодови варианти</v>
      </c>
      <c r="C724" s="12">
        <f>IFERROR(__xludf.DUMMYFUNCTION("""COMPUTED_VALUE"""),100.0)</f>
        <v>100</v>
      </c>
      <c r="D724" s="7">
        <f>IFERROR(__xludf.DUMMYFUNCTION("""COMPUTED_VALUE"""),10.0)</f>
        <v>10</v>
      </c>
      <c r="E724" s="16">
        <f>IFERROR(__xludf.DUMMYFUNCTION("""COMPUTED_VALUE"""),6.0)</f>
        <v>6</v>
      </c>
      <c r="F724" s="16">
        <f>IFERROR(__xludf.DUMMYFUNCTION("""COMPUTED_VALUE"""),0.3)</f>
        <v>0.3</v>
      </c>
      <c r="G724" s="16">
        <f>IFERROR(__xludf.DUMMYFUNCTION("""COMPUTED_VALUE"""),0.0)</f>
        <v>0</v>
      </c>
      <c r="H724" s="16">
        <f>IFERROR(__xludf.DUMMYFUNCTION("""COMPUTED_VALUE"""),66.7)</f>
        <v>66.7</v>
      </c>
    </row>
    <row r="725">
      <c r="A725" s="16" t="str">
        <f>IFERROR(__xludf.DUMMYFUNCTION("""COMPUTED_VALUE"""),"Млечни")</f>
        <v>Млечни</v>
      </c>
      <c r="B725" s="7" t="str">
        <f>IFERROR(__xludf.DUMMYFUNCTION("""COMPUTED_VALUE"""),"Извара Олимпус")</f>
        <v>Извара Олимпус</v>
      </c>
      <c r="C725" s="12" t="str">
        <f>IFERROR(__xludf.DUMMYFUNCTION("""COMPUTED_VALUE"""),"100")</f>
        <v>100</v>
      </c>
      <c r="D725" s="7">
        <f>IFERROR(__xludf.DUMMYFUNCTION("""COMPUTED_VALUE"""),14.0)</f>
        <v>14</v>
      </c>
      <c r="E725" s="16">
        <f>IFERROR(__xludf.DUMMYFUNCTION("""COMPUTED_VALUE"""),4.0)</f>
        <v>4</v>
      </c>
      <c r="F725" s="16">
        <f>IFERROR(__xludf.DUMMYFUNCTION("""COMPUTED_VALUE"""),2.0)</f>
        <v>2</v>
      </c>
      <c r="G725" s="16">
        <f>IFERROR(__xludf.DUMMYFUNCTION("""COMPUTED_VALUE"""),0.0)</f>
        <v>0</v>
      </c>
      <c r="H725" s="23">
        <f>IFERROR(__xludf.DUMMYFUNCTION("""COMPUTED_VALUE"""),90.0)</f>
        <v>90</v>
      </c>
    </row>
    <row r="726">
      <c r="A726" s="16" t="str">
        <f>IFERROR(__xludf.DUMMYFUNCTION("""COMPUTED_VALUE"""),"Млечни")</f>
        <v>Млечни</v>
      </c>
      <c r="B726" s="7" t="str">
        <f>IFERROR(__xludf.DUMMYFUNCTION("""COMPUTED_VALUE"""),"Извара Жоси")</f>
        <v>Извара Жоси</v>
      </c>
      <c r="C726" s="12" t="str">
        <f>IFERROR(__xludf.DUMMYFUNCTION("""COMPUTED_VALUE"""),"100")</f>
        <v>100</v>
      </c>
      <c r="D726" s="7">
        <f>IFERROR(__xludf.DUMMYFUNCTION("""COMPUTED_VALUE"""),13.0)</f>
        <v>13</v>
      </c>
      <c r="E726" s="16">
        <f>IFERROR(__xludf.DUMMYFUNCTION("""COMPUTED_VALUE"""),2.0)</f>
        <v>2</v>
      </c>
      <c r="F726" s="16">
        <f>IFERROR(__xludf.DUMMYFUNCTION("""COMPUTED_VALUE"""),1.0)</f>
        <v>1</v>
      </c>
      <c r="G726" s="16">
        <f>IFERROR(__xludf.DUMMYFUNCTION("""COMPUTED_VALUE"""),0.0)</f>
        <v>0</v>
      </c>
      <c r="H726" s="23">
        <f>IFERROR(__xludf.DUMMYFUNCTION("""COMPUTED_VALUE"""),69.0)</f>
        <v>69</v>
      </c>
    </row>
    <row r="727">
      <c r="A727" s="16" t="str">
        <f>IFERROR(__xludf.DUMMYFUNCTION("""COMPUTED_VALUE"""),"Млечни")</f>
        <v>Млечни</v>
      </c>
      <c r="B727" s="7" t="str">
        <f>IFERROR(__xludf.DUMMYFUNCTION("""COMPUTED_VALUE"""),"Извара Маджаров")</f>
        <v>Извара Маджаров</v>
      </c>
      <c r="C727" s="12" t="str">
        <f>IFERROR(__xludf.DUMMYFUNCTION("""COMPUTED_VALUE"""),"100")</f>
        <v>100</v>
      </c>
      <c r="D727" s="7">
        <f>IFERROR(__xludf.DUMMYFUNCTION("""COMPUTED_VALUE"""),13.0)</f>
        <v>13</v>
      </c>
      <c r="E727" s="16">
        <f>IFERROR(__xludf.DUMMYFUNCTION("""COMPUTED_VALUE"""),2.0)</f>
        <v>2</v>
      </c>
      <c r="F727" s="16">
        <f>IFERROR(__xludf.DUMMYFUNCTION("""COMPUTED_VALUE"""),5.0)</f>
        <v>5</v>
      </c>
      <c r="G727" s="16">
        <f>IFERROR(__xludf.DUMMYFUNCTION("""COMPUTED_VALUE"""),0.0)</f>
        <v>0</v>
      </c>
      <c r="H727" s="23">
        <f>IFERROR(__xludf.DUMMYFUNCTION("""COMPUTED_VALUE"""),105.0)</f>
        <v>105</v>
      </c>
    </row>
    <row r="728">
      <c r="A728" s="16" t="str">
        <f>IFERROR(__xludf.DUMMYFUNCTION("""COMPUTED_VALUE"""),"Млечни")</f>
        <v>Млечни</v>
      </c>
      <c r="B728" s="7" t="str">
        <f>IFERROR(__xludf.DUMMYFUNCTION("""COMPUTED_VALUE"""),"Скир - натурален")</f>
        <v>Скир - натурален</v>
      </c>
      <c r="C728" s="12" t="str">
        <f>IFERROR(__xludf.DUMMYFUNCTION("""COMPUTED_VALUE"""),"100")</f>
        <v>100</v>
      </c>
      <c r="D728" s="7">
        <f>IFERROR(__xludf.DUMMYFUNCTION("""COMPUTED_VALUE"""),11.0)</f>
        <v>11</v>
      </c>
      <c r="E728" s="16">
        <f>IFERROR(__xludf.DUMMYFUNCTION("""COMPUTED_VALUE"""),4.0)</f>
        <v>4</v>
      </c>
      <c r="F728" s="16">
        <f>IFERROR(__xludf.DUMMYFUNCTION("""COMPUTED_VALUE"""),0.0)</f>
        <v>0</v>
      </c>
      <c r="G728" s="16">
        <f>IFERROR(__xludf.DUMMYFUNCTION("""COMPUTED_VALUE"""),0.0)</f>
        <v>0</v>
      </c>
      <c r="H728" s="23">
        <f>IFERROR(__xludf.DUMMYFUNCTION("""COMPUTED_VALUE"""),60.0)</f>
        <v>60</v>
      </c>
    </row>
    <row r="729">
      <c r="A729" s="16" t="str">
        <f>IFERROR(__xludf.DUMMYFUNCTION("""COMPUTED_VALUE"""),"Млечни")</f>
        <v>Млечни</v>
      </c>
      <c r="B729" s="7" t="str">
        <f>IFERROR(__xludf.DUMMYFUNCTION("""COMPUTED_VALUE"""),"Котидж сирене-Лидъл (пълномаслено)")</f>
        <v>Котидж сирене-Лидъл (пълномаслено)</v>
      </c>
      <c r="C729" s="12" t="str">
        <f>IFERROR(__xludf.DUMMYFUNCTION("""COMPUTED_VALUE"""),"100")</f>
        <v>100</v>
      </c>
      <c r="D729" s="7">
        <f>IFERROR(__xludf.DUMMYFUNCTION("""COMPUTED_VALUE"""),12.0)</f>
        <v>12</v>
      </c>
      <c r="E729" s="16">
        <f>IFERROR(__xludf.DUMMYFUNCTION("""COMPUTED_VALUE"""),3.0)</f>
        <v>3</v>
      </c>
      <c r="F729" s="16">
        <f>IFERROR(__xludf.DUMMYFUNCTION("""COMPUTED_VALUE"""),5.0)</f>
        <v>5</v>
      </c>
      <c r="G729" s="16">
        <f>IFERROR(__xludf.DUMMYFUNCTION("""COMPUTED_VALUE"""),0.0)</f>
        <v>0</v>
      </c>
      <c r="H729" s="23">
        <f>IFERROR(__xludf.DUMMYFUNCTION("""COMPUTED_VALUE"""),105.0)</f>
        <v>105</v>
      </c>
    </row>
    <row r="730">
      <c r="A730" s="16" t="str">
        <f>IFERROR(__xludf.DUMMYFUNCTION("""COMPUTED_VALUE"""),"Млечни")</f>
        <v>Млечни</v>
      </c>
      <c r="B730" s="7" t="str">
        <f>IFERROR(__xludf.DUMMYFUNCTION("""COMPUTED_VALUE"""),"Котидж сирене-Лидъл (обезмаслено)")</f>
        <v>Котидж сирене-Лидъл (обезмаслено)</v>
      </c>
      <c r="C730" s="12" t="str">
        <f>IFERROR(__xludf.DUMMYFUNCTION("""COMPUTED_VALUE"""),"100")</f>
        <v>100</v>
      </c>
      <c r="D730" s="7">
        <f>IFERROR(__xludf.DUMMYFUNCTION("""COMPUTED_VALUE"""),12.0)</f>
        <v>12</v>
      </c>
      <c r="E730" s="16">
        <f>IFERROR(__xludf.DUMMYFUNCTION("""COMPUTED_VALUE"""),3.0)</f>
        <v>3</v>
      </c>
      <c r="F730" s="16">
        <f>IFERROR(__xludf.DUMMYFUNCTION("""COMPUTED_VALUE"""),0.0)</f>
        <v>0</v>
      </c>
      <c r="G730" s="16">
        <f>IFERROR(__xludf.DUMMYFUNCTION("""COMPUTED_VALUE"""),0.0)</f>
        <v>0</v>
      </c>
      <c r="H730" s="23">
        <f>IFERROR(__xludf.DUMMYFUNCTION("""COMPUTED_VALUE"""),60.0)</f>
        <v>60</v>
      </c>
    </row>
    <row r="731">
      <c r="A731" s="16" t="str">
        <f>IFERROR(__xludf.DUMMYFUNCTION("""COMPUTED_VALUE"""),"Млечни")</f>
        <v>Млечни</v>
      </c>
      <c r="B731" s="7" t="str">
        <f>IFERROR(__xludf.DUMMYFUNCTION("""COMPUTED_VALUE"""),"Бяло сирене (стандартно/пълномаслено)")</f>
        <v>Бяло сирене (стандартно/пълномаслено)</v>
      </c>
      <c r="C731" s="12" t="str">
        <f>IFERROR(__xludf.DUMMYFUNCTION("""COMPUTED_VALUE"""),"100")</f>
        <v>100</v>
      </c>
      <c r="D731" s="7">
        <f>IFERROR(__xludf.DUMMYFUNCTION("""COMPUTED_VALUE"""),18.0)</f>
        <v>18</v>
      </c>
      <c r="E731" s="16">
        <f>IFERROR(__xludf.DUMMYFUNCTION("""COMPUTED_VALUE"""),0.0)</f>
        <v>0</v>
      </c>
      <c r="F731" s="16">
        <f>IFERROR(__xludf.DUMMYFUNCTION("""COMPUTED_VALUE"""),23.0)</f>
        <v>23</v>
      </c>
      <c r="G731" s="16">
        <f>IFERROR(__xludf.DUMMYFUNCTION("""COMPUTED_VALUE"""),0.0)</f>
        <v>0</v>
      </c>
      <c r="H731" s="23">
        <f>IFERROR(__xludf.DUMMYFUNCTION("""COMPUTED_VALUE"""),279.0)</f>
        <v>279</v>
      </c>
    </row>
    <row r="732">
      <c r="A732" s="16" t="str">
        <f>IFERROR(__xludf.DUMMYFUNCTION("""COMPUTED_VALUE"""),"Млечни")</f>
        <v>Млечни</v>
      </c>
      <c r="B732" s="7" t="str">
        <f>IFERROR(__xludf.DUMMYFUNCTION("""COMPUTED_VALUE"""),"Сирене Рикота (стандартно/пълномаслено)")</f>
        <v>Сирене Рикота (стандартно/пълномаслено)</v>
      </c>
      <c r="C732" s="12" t="str">
        <f>IFERROR(__xludf.DUMMYFUNCTION("""COMPUTED_VALUE"""),"100")</f>
        <v>100</v>
      </c>
      <c r="D732" s="7">
        <f>IFERROR(__xludf.DUMMYFUNCTION("""COMPUTED_VALUE"""),10.0)</f>
        <v>10</v>
      </c>
      <c r="E732" s="16">
        <f>IFERROR(__xludf.DUMMYFUNCTION("""COMPUTED_VALUE"""),3.0)</f>
        <v>3</v>
      </c>
      <c r="F732" s="16">
        <f>IFERROR(__xludf.DUMMYFUNCTION("""COMPUTED_VALUE"""),13.0)</f>
        <v>13</v>
      </c>
      <c r="G732" s="16">
        <f>IFERROR(__xludf.DUMMYFUNCTION("""COMPUTED_VALUE"""),0.0)</f>
        <v>0</v>
      </c>
      <c r="H732" s="23">
        <f>IFERROR(__xludf.DUMMYFUNCTION("""COMPUTED_VALUE"""),169.0)</f>
        <v>169</v>
      </c>
    </row>
    <row r="733">
      <c r="A733" s="16" t="str">
        <f>IFERROR(__xludf.DUMMYFUNCTION("""COMPUTED_VALUE"""),"Млечни")</f>
        <v>Млечни</v>
      </c>
      <c r="B733" s="7" t="str">
        <f>IFERROR(__xludf.DUMMYFUNCTION("""COMPUTED_VALUE"""),"Кашкавал (стандартен/пълномаслен)")</f>
        <v>Кашкавал (стандартен/пълномаслен)</v>
      </c>
      <c r="C733" s="12" t="str">
        <f>IFERROR(__xludf.DUMMYFUNCTION("""COMPUTED_VALUE"""),"100")</f>
        <v>100</v>
      </c>
      <c r="D733" s="7">
        <f>IFERROR(__xludf.DUMMYFUNCTION("""COMPUTED_VALUE"""),24.0)</f>
        <v>24</v>
      </c>
      <c r="E733" s="16">
        <f>IFERROR(__xludf.DUMMYFUNCTION("""COMPUTED_VALUE"""),1.0)</f>
        <v>1</v>
      </c>
      <c r="F733" s="16">
        <f>IFERROR(__xludf.DUMMYFUNCTION("""COMPUTED_VALUE"""),28.0)</f>
        <v>28</v>
      </c>
      <c r="G733" s="16">
        <f>IFERROR(__xludf.DUMMYFUNCTION("""COMPUTED_VALUE"""),0.0)</f>
        <v>0</v>
      </c>
      <c r="H733" s="23">
        <f>IFERROR(__xludf.DUMMYFUNCTION("""COMPUTED_VALUE"""),352.0)</f>
        <v>352</v>
      </c>
    </row>
    <row r="734">
      <c r="A734" s="16" t="str">
        <f>IFERROR(__xludf.DUMMYFUNCTION("""COMPUTED_VALUE"""),"Млечни")</f>
        <v>Млечни</v>
      </c>
      <c r="B734" s="7" t="str">
        <f>IFERROR(__xludf.DUMMYFUNCTION("""COMPUTED_VALUE"""),"Гауда (стандартна/пълномаслена)")</f>
        <v>Гауда (стандартна/пълномаслена)</v>
      </c>
      <c r="C734" s="12" t="str">
        <f>IFERROR(__xludf.DUMMYFUNCTION("""COMPUTED_VALUE"""),"100")</f>
        <v>100</v>
      </c>
      <c r="D734" s="7">
        <f>IFERROR(__xludf.DUMMYFUNCTION("""COMPUTED_VALUE"""),25.0)</f>
        <v>25</v>
      </c>
      <c r="E734" s="16">
        <f>IFERROR(__xludf.DUMMYFUNCTION("""COMPUTED_VALUE"""),2.0)</f>
        <v>2</v>
      </c>
      <c r="F734" s="16">
        <f>IFERROR(__xludf.DUMMYFUNCTION("""COMPUTED_VALUE"""),27.0)</f>
        <v>27</v>
      </c>
      <c r="G734" s="16">
        <f>IFERROR(__xludf.DUMMYFUNCTION("""COMPUTED_VALUE"""),0.0)</f>
        <v>0</v>
      </c>
      <c r="H734" s="23">
        <f>IFERROR(__xludf.DUMMYFUNCTION("""COMPUTED_VALUE"""),351.0)</f>
        <v>351</v>
      </c>
    </row>
    <row r="735">
      <c r="A735" s="16" t="str">
        <f>IFERROR(__xludf.DUMMYFUNCTION("""COMPUTED_VALUE"""),"Млечни")</f>
        <v>Млечни</v>
      </c>
      <c r="B735" s="7" t="str">
        <f>IFERROR(__xludf.DUMMYFUNCTION("""COMPUTED_VALUE"""),"Кисело мляко 0%")</f>
        <v>Кисело мляко 0%</v>
      </c>
      <c r="C735" s="12" t="str">
        <f>IFERROR(__xludf.DUMMYFUNCTION("""COMPUTED_VALUE"""),"100")</f>
        <v>100</v>
      </c>
      <c r="D735" s="7">
        <f>IFERROR(__xludf.DUMMYFUNCTION("""COMPUTED_VALUE"""),3.0)</f>
        <v>3</v>
      </c>
      <c r="E735" s="16">
        <f>IFERROR(__xludf.DUMMYFUNCTION("""COMPUTED_VALUE"""),5.0)</f>
        <v>5</v>
      </c>
      <c r="F735" s="16">
        <f>IFERROR(__xludf.DUMMYFUNCTION("""COMPUTED_VALUE"""),0.0)</f>
        <v>0</v>
      </c>
      <c r="G735" s="16">
        <f>IFERROR(__xludf.DUMMYFUNCTION("""COMPUTED_VALUE"""),0.0)</f>
        <v>0</v>
      </c>
      <c r="H735" s="23">
        <f>IFERROR(__xludf.DUMMYFUNCTION("""COMPUTED_VALUE"""),32.0)</f>
        <v>32</v>
      </c>
    </row>
    <row r="736">
      <c r="A736" s="16" t="str">
        <f>IFERROR(__xludf.DUMMYFUNCTION("""COMPUTED_VALUE"""),"Млечни")</f>
        <v>Млечни</v>
      </c>
      <c r="B736" s="7" t="str">
        <f>IFERROR(__xludf.DUMMYFUNCTION("""COMPUTED_VALUE"""),"Кисело мляко 2%")</f>
        <v>Кисело мляко 2%</v>
      </c>
      <c r="C736" s="12" t="str">
        <f>IFERROR(__xludf.DUMMYFUNCTION("""COMPUTED_VALUE"""),"100")</f>
        <v>100</v>
      </c>
      <c r="D736" s="7">
        <f>IFERROR(__xludf.DUMMYFUNCTION("""COMPUTED_VALUE"""),3.0)</f>
        <v>3</v>
      </c>
      <c r="E736" s="16">
        <f>IFERROR(__xludf.DUMMYFUNCTION("""COMPUTED_VALUE"""),5.0)</f>
        <v>5</v>
      </c>
      <c r="F736" s="16">
        <f>IFERROR(__xludf.DUMMYFUNCTION("""COMPUTED_VALUE"""),2.0)</f>
        <v>2</v>
      </c>
      <c r="G736" s="16">
        <f>IFERROR(__xludf.DUMMYFUNCTION("""COMPUTED_VALUE"""),0.0)</f>
        <v>0</v>
      </c>
      <c r="H736" s="23">
        <f>IFERROR(__xludf.DUMMYFUNCTION("""COMPUTED_VALUE"""),50.0)</f>
        <v>50</v>
      </c>
    </row>
    <row r="737">
      <c r="A737" s="16" t="str">
        <f>IFERROR(__xludf.DUMMYFUNCTION("""COMPUTED_VALUE"""),"Млечни")</f>
        <v>Млечни</v>
      </c>
      <c r="B737" s="7" t="str">
        <f>IFERROR(__xludf.DUMMYFUNCTION("""COMPUTED_VALUE"""),"Кисело мляко 3,6%")</f>
        <v>Кисело мляко 3,6%</v>
      </c>
      <c r="C737" s="12" t="str">
        <f>IFERROR(__xludf.DUMMYFUNCTION("""COMPUTED_VALUE"""),"100")</f>
        <v>100</v>
      </c>
      <c r="D737" s="7">
        <f>IFERROR(__xludf.DUMMYFUNCTION("""COMPUTED_VALUE"""),3.0)</f>
        <v>3</v>
      </c>
      <c r="E737" s="16">
        <f>IFERROR(__xludf.DUMMYFUNCTION("""COMPUTED_VALUE"""),5.0)</f>
        <v>5</v>
      </c>
      <c r="F737" s="16">
        <f>IFERROR(__xludf.DUMMYFUNCTION("""COMPUTED_VALUE"""),3.6)</f>
        <v>3.6</v>
      </c>
      <c r="G737" s="16">
        <f>IFERROR(__xludf.DUMMYFUNCTION("""COMPUTED_VALUE"""),0.0)</f>
        <v>0</v>
      </c>
      <c r="H737" s="23">
        <f>IFERROR(__xludf.DUMMYFUNCTION("""COMPUTED_VALUE"""),64.4)</f>
        <v>64.4</v>
      </c>
    </row>
    <row r="738">
      <c r="A738" s="16" t="str">
        <f>IFERROR(__xludf.DUMMYFUNCTION("""COMPUTED_VALUE"""),"Млечни")</f>
        <v>Млечни</v>
      </c>
      <c r="B738" s="7" t="str">
        <f>IFERROR(__xludf.DUMMYFUNCTION("""COMPUTED_VALUE"""),"Kисело мляко Верея 5%")</f>
        <v>Kисело мляко Верея 5%</v>
      </c>
      <c r="C738" s="12">
        <f>IFERROR(__xludf.DUMMYFUNCTION("""COMPUTED_VALUE"""),100.0)</f>
        <v>100</v>
      </c>
      <c r="D738" s="7">
        <f>IFERROR(__xludf.DUMMYFUNCTION("""COMPUTED_VALUE"""),4.0)</f>
        <v>4</v>
      </c>
      <c r="E738" s="16">
        <f>IFERROR(__xludf.DUMMYFUNCTION("""COMPUTED_VALUE"""),4.6)</f>
        <v>4.6</v>
      </c>
      <c r="F738" s="16">
        <f>IFERROR(__xludf.DUMMYFUNCTION("""COMPUTED_VALUE"""),5.0)</f>
        <v>5</v>
      </c>
      <c r="G738" s="16">
        <f>IFERROR(__xludf.DUMMYFUNCTION("""COMPUTED_VALUE"""),0.0)</f>
        <v>0</v>
      </c>
      <c r="H738" s="23">
        <f>IFERROR(__xludf.DUMMYFUNCTION("""COMPUTED_VALUE"""),79.4)</f>
        <v>79.4</v>
      </c>
    </row>
    <row r="739">
      <c r="A739" s="16" t="str">
        <f>IFERROR(__xludf.DUMMYFUNCTION("""COMPUTED_VALUE"""),"Млечни")</f>
        <v>Млечни</v>
      </c>
      <c r="B739" s="7" t="str">
        <f>IFERROR(__xludf.DUMMYFUNCTION("""COMPUTED_VALUE"""),"Прясно мляко 2%")</f>
        <v>Прясно мляко 2%</v>
      </c>
      <c r="C739" s="12" t="str">
        <f>IFERROR(__xludf.DUMMYFUNCTION("""COMPUTED_VALUE"""),"100")</f>
        <v>100</v>
      </c>
      <c r="D739" s="7">
        <f>IFERROR(__xludf.DUMMYFUNCTION("""COMPUTED_VALUE"""),3.0)</f>
        <v>3</v>
      </c>
      <c r="E739" s="16">
        <f>IFERROR(__xludf.DUMMYFUNCTION("""COMPUTED_VALUE"""),5.0)</f>
        <v>5</v>
      </c>
      <c r="F739" s="16">
        <f>IFERROR(__xludf.DUMMYFUNCTION("""COMPUTED_VALUE"""),2.0)</f>
        <v>2</v>
      </c>
      <c r="G739" s="16">
        <f>IFERROR(__xludf.DUMMYFUNCTION("""COMPUTED_VALUE"""),0.0)</f>
        <v>0</v>
      </c>
      <c r="H739" s="23">
        <f>IFERROR(__xludf.DUMMYFUNCTION("""COMPUTED_VALUE"""),50.0)</f>
        <v>50</v>
      </c>
    </row>
    <row r="740">
      <c r="A740" s="16" t="str">
        <f>IFERROR(__xludf.DUMMYFUNCTION("""COMPUTED_VALUE"""),"Млечни")</f>
        <v>Млечни</v>
      </c>
      <c r="B740" s="7" t="str">
        <f>IFERROR(__xludf.DUMMYFUNCTION("""COMPUTED_VALUE"""),"Прясно мляко 3,6%")</f>
        <v>Прясно мляко 3,6%</v>
      </c>
      <c r="C740" s="12" t="str">
        <f>IFERROR(__xludf.DUMMYFUNCTION("""COMPUTED_VALUE"""),"100")</f>
        <v>100</v>
      </c>
      <c r="D740" s="7">
        <f>IFERROR(__xludf.DUMMYFUNCTION("""COMPUTED_VALUE"""),3.0)</f>
        <v>3</v>
      </c>
      <c r="E740" s="16">
        <f>IFERROR(__xludf.DUMMYFUNCTION("""COMPUTED_VALUE"""),5.0)</f>
        <v>5</v>
      </c>
      <c r="F740" s="16">
        <f>IFERROR(__xludf.DUMMYFUNCTION("""COMPUTED_VALUE"""),3.6)</f>
        <v>3.6</v>
      </c>
      <c r="G740" s="16">
        <f>IFERROR(__xludf.DUMMYFUNCTION("""COMPUTED_VALUE"""),0.0)</f>
        <v>0</v>
      </c>
      <c r="H740" s="23">
        <f>IFERROR(__xludf.DUMMYFUNCTION("""COMPUTED_VALUE"""),64.4)</f>
        <v>64.4</v>
      </c>
    </row>
    <row r="741">
      <c r="A741" s="16" t="str">
        <f>IFERROR(__xludf.DUMMYFUNCTION("""COMPUTED_VALUE"""),"Млечни")</f>
        <v>Млечни</v>
      </c>
      <c r="B741" s="7" t="str">
        <f>IFERROR(__xludf.DUMMYFUNCTION("""COMPUTED_VALUE"""),"Филаделфия ""Милка""")</f>
        <v>Филаделфия "Милка"</v>
      </c>
      <c r="C741" s="12">
        <f>IFERROR(__xludf.DUMMYFUNCTION("""COMPUTED_VALUE"""),100.0)</f>
        <v>100</v>
      </c>
      <c r="D741" s="7">
        <f>IFERROR(__xludf.DUMMYFUNCTION("""COMPUTED_VALUE"""),6.0)</f>
        <v>6</v>
      </c>
      <c r="E741" s="16">
        <f>IFERROR(__xludf.DUMMYFUNCTION("""COMPUTED_VALUE"""),34.0)</f>
        <v>34</v>
      </c>
      <c r="F741" s="16">
        <f>IFERROR(__xludf.DUMMYFUNCTION("""COMPUTED_VALUE"""),13.5)</f>
        <v>13.5</v>
      </c>
      <c r="G741" s="16" t="str">
        <f>IFERROR(__xludf.DUMMYFUNCTION("""COMPUTED_VALUE"""),"0")</f>
        <v>0</v>
      </c>
      <c r="H741" s="23">
        <f>IFERROR(__xludf.DUMMYFUNCTION("""COMPUTED_VALUE"""),281.5)</f>
        <v>281.5</v>
      </c>
    </row>
    <row r="742">
      <c r="A742" s="16" t="str">
        <f>IFERROR(__xludf.DUMMYFUNCTION("""COMPUTED_VALUE"""),"Млечни")</f>
        <v>Млечни</v>
      </c>
      <c r="B742" s="7" t="str">
        <f>IFERROR(__xludf.DUMMYFUNCTION("""COMPUTED_VALUE"""),"Пилос страчатела")</f>
        <v>Пилос страчатела</v>
      </c>
      <c r="C742" s="12">
        <f>IFERROR(__xludf.DUMMYFUNCTION("""COMPUTED_VALUE"""),100.0)</f>
        <v>100</v>
      </c>
      <c r="D742" s="7">
        <f>IFERROR(__xludf.DUMMYFUNCTION("""COMPUTED_VALUE"""),2.7)</f>
        <v>2.7</v>
      </c>
      <c r="E742" s="16">
        <f>IFERROR(__xludf.DUMMYFUNCTION("""COMPUTED_VALUE"""),15.0)</f>
        <v>15</v>
      </c>
      <c r="F742" s="16">
        <f>IFERROR(__xludf.DUMMYFUNCTION("""COMPUTED_VALUE"""),8.8)</f>
        <v>8.8</v>
      </c>
      <c r="G742" s="16" t="str">
        <f>IFERROR(__xludf.DUMMYFUNCTION("""COMPUTED_VALUE"""),"0")</f>
        <v>0</v>
      </c>
      <c r="H742" s="23">
        <f>IFERROR(__xludf.DUMMYFUNCTION("""COMPUTED_VALUE"""),150.0)</f>
        <v>150</v>
      </c>
    </row>
    <row r="743">
      <c r="A743" s="16" t="str">
        <f>IFERROR(__xludf.DUMMYFUNCTION("""COMPUTED_VALUE"""),"Млечни")</f>
        <v>Млечни</v>
      </c>
      <c r="B743" s="7" t="str">
        <f>IFERROR(__xludf.DUMMYFUNCTION("""COMPUTED_VALUE"""),"Милбона йогурт")</f>
        <v>Милбона йогурт</v>
      </c>
      <c r="C743" s="12">
        <f>IFERROR(__xludf.DUMMYFUNCTION("""COMPUTED_VALUE"""),100.0)</f>
        <v>100</v>
      </c>
      <c r="D743" s="7">
        <f>IFERROR(__xludf.DUMMYFUNCTION("""COMPUTED_VALUE"""),4.2)</f>
        <v>4.2</v>
      </c>
      <c r="E743" s="16">
        <f>IFERROR(__xludf.DUMMYFUNCTION("""COMPUTED_VALUE"""),13.9)</f>
        <v>13.9</v>
      </c>
      <c r="F743" s="16">
        <f>IFERROR(__xludf.DUMMYFUNCTION("""COMPUTED_VALUE"""),0.1)</f>
        <v>0.1</v>
      </c>
      <c r="G743" s="16" t="str">
        <f>IFERROR(__xludf.DUMMYFUNCTION("""COMPUTED_VALUE"""),"0")</f>
        <v>0</v>
      </c>
      <c r="H743" s="23">
        <f>IFERROR(__xludf.DUMMYFUNCTION("""COMPUTED_VALUE"""),73.30000000000001)</f>
        <v>73.3</v>
      </c>
    </row>
    <row r="744">
      <c r="A744" s="16" t="str">
        <f>IFERROR(__xludf.DUMMYFUNCTION("""COMPUTED_VALUE"""),"Млечни")</f>
        <v>Млечни</v>
      </c>
      <c r="B744" s="7" t="str">
        <f>IFERROR(__xludf.DUMMYFUNCTION("""COMPUTED_VALUE"""),"Сладкарска сметана")</f>
        <v>Сладкарска сметана</v>
      </c>
      <c r="C744" s="12">
        <f>IFERROR(__xludf.DUMMYFUNCTION("""COMPUTED_VALUE"""),100.0)</f>
        <v>100</v>
      </c>
      <c r="D744" s="7">
        <f>IFERROR(__xludf.DUMMYFUNCTION("""COMPUTED_VALUE"""),0.0)</f>
        <v>0</v>
      </c>
      <c r="E744" s="16">
        <f>IFERROR(__xludf.DUMMYFUNCTION("""COMPUTED_VALUE"""),12.0)</f>
        <v>12</v>
      </c>
      <c r="F744" s="16">
        <f>IFERROR(__xludf.DUMMYFUNCTION("""COMPUTED_VALUE"""),25.0)</f>
        <v>25</v>
      </c>
      <c r="G744" s="16" t="str">
        <f>IFERROR(__xludf.DUMMYFUNCTION("""COMPUTED_VALUE"""),"0")</f>
        <v>0</v>
      </c>
      <c r="H744" s="23">
        <f>IFERROR(__xludf.DUMMYFUNCTION("""COMPUTED_VALUE"""),273.0)</f>
        <v>273</v>
      </c>
    </row>
    <row r="745">
      <c r="A745" s="16" t="str">
        <f>IFERROR(__xludf.DUMMYFUNCTION("""COMPUTED_VALUE"""),"Млечни")</f>
        <v>Млечни</v>
      </c>
      <c r="B745" s="7" t="str">
        <f>IFERROR(__xludf.DUMMYFUNCTION("""COMPUTED_VALUE"""),"Сметанов спрей")</f>
        <v>Сметанов спрей</v>
      </c>
      <c r="C745" s="12">
        <f>IFERROR(__xludf.DUMMYFUNCTION("""COMPUTED_VALUE"""),100.0)</f>
        <v>100</v>
      </c>
      <c r="D745" s="7">
        <f>IFERROR(__xludf.DUMMYFUNCTION("""COMPUTED_VALUE"""),3.0)</f>
        <v>3</v>
      </c>
      <c r="E745" s="16">
        <f>IFERROR(__xludf.DUMMYFUNCTION("""COMPUTED_VALUE"""),12.0)</f>
        <v>12</v>
      </c>
      <c r="F745" s="16">
        <f>IFERROR(__xludf.DUMMYFUNCTION("""COMPUTED_VALUE"""),20.0)</f>
        <v>20</v>
      </c>
      <c r="G745" s="16" t="str">
        <f>IFERROR(__xludf.DUMMYFUNCTION("""COMPUTED_VALUE"""),"0")</f>
        <v>0</v>
      </c>
      <c r="H745" s="23">
        <f>IFERROR(__xludf.DUMMYFUNCTION("""COMPUTED_VALUE"""),240.0)</f>
        <v>240</v>
      </c>
    </row>
    <row r="746">
      <c r="A746" s="16" t="str">
        <f>IFERROR(__xludf.DUMMYFUNCTION("""COMPUTED_VALUE"""),"Млечни")</f>
        <v>Млечни</v>
      </c>
      <c r="B746" s="7" t="str">
        <f>IFERROR(__xludf.DUMMYFUNCTION("""COMPUTED_VALUE"""),"Плодов Skyr Пилос ЛИДЛ")</f>
        <v>Плодов Skyr Пилос ЛИДЛ</v>
      </c>
      <c r="C746" s="12">
        <f>IFERROR(__xludf.DUMMYFUNCTION("""COMPUTED_VALUE"""),100.0)</f>
        <v>100</v>
      </c>
      <c r="D746" s="7">
        <f>IFERROR(__xludf.DUMMYFUNCTION("""COMPUTED_VALUE"""),4.5)</f>
        <v>4.5</v>
      </c>
      <c r="E746" s="16">
        <f>IFERROR(__xludf.DUMMYFUNCTION("""COMPUTED_VALUE"""),8.9)</f>
        <v>8.9</v>
      </c>
      <c r="F746" s="16">
        <f>IFERROR(__xludf.DUMMYFUNCTION("""COMPUTED_VALUE"""),0.2)</f>
        <v>0.2</v>
      </c>
      <c r="G746" s="16" t="str">
        <f>IFERROR(__xludf.DUMMYFUNCTION("""COMPUTED_VALUE"""),"0")</f>
        <v>0</v>
      </c>
      <c r="H746" s="23">
        <f>IFERROR(__xludf.DUMMYFUNCTION("""COMPUTED_VALUE"""),55.4)</f>
        <v>55.4</v>
      </c>
    </row>
    <row r="747">
      <c r="A747" s="16" t="str">
        <f>IFERROR(__xludf.DUMMYFUNCTION("""COMPUTED_VALUE"""),"Млечни")</f>
        <v>Млечни</v>
      </c>
      <c r="B747" s="7" t="str">
        <f>IFERROR(__xludf.DUMMYFUNCTION("""COMPUTED_VALUE"""),"Извара Домлян")</f>
        <v>Извара Домлян</v>
      </c>
      <c r="C747" s="12">
        <f>IFERROR(__xludf.DUMMYFUNCTION("""COMPUTED_VALUE"""),100.0)</f>
        <v>100</v>
      </c>
      <c r="D747" s="7">
        <f>IFERROR(__xludf.DUMMYFUNCTION("""COMPUTED_VALUE"""),13.0)</f>
        <v>13</v>
      </c>
      <c r="E747" s="16">
        <f>IFERROR(__xludf.DUMMYFUNCTION("""COMPUTED_VALUE"""),5.4)</f>
        <v>5.4</v>
      </c>
      <c r="F747" s="16">
        <f>IFERROR(__xludf.DUMMYFUNCTION("""COMPUTED_VALUE"""),1.4)</f>
        <v>1.4</v>
      </c>
      <c r="G747" s="16" t="str">
        <f>IFERROR(__xludf.DUMMYFUNCTION("""COMPUTED_VALUE"""),"0")</f>
        <v>0</v>
      </c>
      <c r="H747" s="23">
        <f>IFERROR(__xludf.DUMMYFUNCTION("""COMPUTED_VALUE"""),86.19999999999999)</f>
        <v>86.2</v>
      </c>
    </row>
    <row r="748">
      <c r="A748" s="16" t="str">
        <f>IFERROR(__xludf.DUMMYFUNCTION("""COMPUTED_VALUE"""),"Млечни")</f>
        <v>Млечни</v>
      </c>
      <c r="B748" s="7" t="str">
        <f>IFERROR(__xludf.DUMMYFUNCTION("""COMPUTED_VALUE"""),"Йогурт 10% Пилос")</f>
        <v>Йогурт 10% Пилос</v>
      </c>
      <c r="C748" s="12">
        <f>IFERROR(__xludf.DUMMYFUNCTION("""COMPUTED_VALUE"""),100.0)</f>
        <v>100</v>
      </c>
      <c r="D748" s="7">
        <f>IFERROR(__xludf.DUMMYFUNCTION("""COMPUTED_VALUE"""),3.8)</f>
        <v>3.8</v>
      </c>
      <c r="E748" s="16">
        <f>IFERROR(__xludf.DUMMYFUNCTION("""COMPUTED_VALUE"""),5.0)</f>
        <v>5</v>
      </c>
      <c r="F748" s="16">
        <f>IFERROR(__xludf.DUMMYFUNCTION("""COMPUTED_VALUE"""),10.0)</f>
        <v>10</v>
      </c>
      <c r="G748" s="16" t="str">
        <f>IFERROR(__xludf.DUMMYFUNCTION("""COMPUTED_VALUE"""),"0")</f>
        <v>0</v>
      </c>
      <c r="H748" s="23">
        <f>IFERROR(__xludf.DUMMYFUNCTION("""COMPUTED_VALUE"""),125.2)</f>
        <v>125.2</v>
      </c>
    </row>
    <row r="749">
      <c r="A749" s="16" t="str">
        <f>IFERROR(__xludf.DUMMYFUNCTION("""COMPUTED_VALUE"""),"Млечни")</f>
        <v>Млечни</v>
      </c>
      <c r="B749" s="7" t="str">
        <f>IFERROR(__xludf.DUMMYFUNCTION("""COMPUTED_VALUE"""),"Рикота")</f>
        <v>Рикота</v>
      </c>
      <c r="C749" s="12">
        <f>IFERROR(__xludf.DUMMYFUNCTION("""COMPUTED_VALUE"""),100.0)</f>
        <v>100</v>
      </c>
      <c r="D749" s="7">
        <f>IFERROR(__xludf.DUMMYFUNCTION("""COMPUTED_VALUE"""),8.0)</f>
        <v>8</v>
      </c>
      <c r="E749" s="16">
        <f>IFERROR(__xludf.DUMMYFUNCTION("""COMPUTED_VALUE"""),5.0)</f>
        <v>5</v>
      </c>
      <c r="F749" s="16">
        <f>IFERROR(__xludf.DUMMYFUNCTION("""COMPUTED_VALUE"""),13.0)</f>
        <v>13</v>
      </c>
      <c r="G749" s="16" t="str">
        <f>IFERROR(__xludf.DUMMYFUNCTION("""COMPUTED_VALUE"""),"0")</f>
        <v>0</v>
      </c>
      <c r="H749" s="23">
        <f>IFERROR(__xludf.DUMMYFUNCTION("""COMPUTED_VALUE"""),169.0)</f>
        <v>169</v>
      </c>
    </row>
    <row r="750">
      <c r="A750" s="16" t="str">
        <f>IFERROR(__xludf.DUMMYFUNCTION("""COMPUTED_VALUE"""),"Млечни")</f>
        <v>Млечни</v>
      </c>
      <c r="B750" s="7" t="str">
        <f>IFERROR(__xludf.DUMMYFUNCTION("""COMPUTED_VALUE"""),"Филаделфия")</f>
        <v>Филаделфия</v>
      </c>
      <c r="C750" s="12">
        <f>IFERROR(__xludf.DUMMYFUNCTION("""COMPUTED_VALUE"""),100.0)</f>
        <v>100</v>
      </c>
      <c r="D750" s="7">
        <f>IFERROR(__xludf.DUMMYFUNCTION("""COMPUTED_VALUE"""),5.0)</f>
        <v>5</v>
      </c>
      <c r="E750" s="16">
        <f>IFERROR(__xludf.DUMMYFUNCTION("""COMPUTED_VALUE"""),5.0)</f>
        <v>5</v>
      </c>
      <c r="F750" s="16">
        <f>IFERROR(__xludf.DUMMYFUNCTION("""COMPUTED_VALUE"""),20.0)</f>
        <v>20</v>
      </c>
      <c r="G750" s="16" t="str">
        <f>IFERROR(__xludf.DUMMYFUNCTION("""COMPUTED_VALUE"""),"0")</f>
        <v>0</v>
      </c>
      <c r="H750" s="23">
        <f>IFERROR(__xludf.DUMMYFUNCTION("""COMPUTED_VALUE"""),220.0)</f>
        <v>220</v>
      </c>
    </row>
    <row r="751">
      <c r="A751" s="16" t="str">
        <f>IFERROR(__xludf.DUMMYFUNCTION("""COMPUTED_VALUE"""),"Млечни")</f>
        <v>Млечни</v>
      </c>
      <c r="B751" s="7" t="str">
        <f>IFERROR(__xludf.DUMMYFUNCTION("""COMPUTED_VALUE"""),"Филаделфия Лайт")</f>
        <v>Филаделфия Лайт</v>
      </c>
      <c r="C751" s="12">
        <f>IFERROR(__xludf.DUMMYFUNCTION("""COMPUTED_VALUE"""),100.0)</f>
        <v>100</v>
      </c>
      <c r="D751" s="7">
        <f>IFERROR(__xludf.DUMMYFUNCTION("""COMPUTED_VALUE"""),7.0)</f>
        <v>7</v>
      </c>
      <c r="E751" s="16">
        <f>IFERROR(__xludf.DUMMYFUNCTION("""COMPUTED_VALUE"""),5.0)</f>
        <v>5</v>
      </c>
      <c r="F751" s="16">
        <f>IFERROR(__xludf.DUMMYFUNCTION("""COMPUTED_VALUE"""),11.0)</f>
        <v>11</v>
      </c>
      <c r="G751" s="16" t="str">
        <f>IFERROR(__xludf.DUMMYFUNCTION("""COMPUTED_VALUE"""),"0")</f>
        <v>0</v>
      </c>
      <c r="H751" s="23">
        <f>IFERROR(__xludf.DUMMYFUNCTION("""COMPUTED_VALUE"""),147.0)</f>
        <v>147</v>
      </c>
    </row>
    <row r="752">
      <c r="A752" s="16" t="str">
        <f>IFERROR(__xludf.DUMMYFUNCTION("""COMPUTED_VALUE"""),"Млечни")</f>
        <v>Млечни</v>
      </c>
      <c r="B752" s="7" t="str">
        <f>IFERROR(__xludf.DUMMYFUNCTION("""COMPUTED_VALUE"""),"Exquisa 0.2%")</f>
        <v>Exquisa 0.2%</v>
      </c>
      <c r="C752" s="12">
        <f>IFERROR(__xludf.DUMMYFUNCTION("""COMPUTED_VALUE"""),100.0)</f>
        <v>100</v>
      </c>
      <c r="D752" s="7">
        <f>IFERROR(__xludf.DUMMYFUNCTION("""COMPUTED_VALUE"""),10.0)</f>
        <v>10</v>
      </c>
      <c r="E752" s="16">
        <f>IFERROR(__xludf.DUMMYFUNCTION("""COMPUTED_VALUE"""),4.8)</f>
        <v>4.8</v>
      </c>
      <c r="F752" s="16">
        <f>IFERROR(__xludf.DUMMYFUNCTION("""COMPUTED_VALUE"""),0.0)</f>
        <v>0</v>
      </c>
      <c r="G752" s="16" t="str">
        <f>IFERROR(__xludf.DUMMYFUNCTION("""COMPUTED_VALUE"""),"0")</f>
        <v>0</v>
      </c>
      <c r="H752" s="23">
        <f>IFERROR(__xludf.DUMMYFUNCTION("""COMPUTED_VALUE"""),59.2)</f>
        <v>59.2</v>
      </c>
    </row>
    <row r="753">
      <c r="A753" s="16" t="str">
        <f>IFERROR(__xludf.DUMMYFUNCTION("""COMPUTED_VALUE"""),"Млечни")</f>
        <v>Млечни</v>
      </c>
      <c r="B753" s="7" t="str">
        <f>IFERROR(__xludf.DUMMYFUNCTION("""COMPUTED_VALUE"""),"Прясно мляко 3.2%")</f>
        <v>Прясно мляко 3.2%</v>
      </c>
      <c r="C753" s="12">
        <f>IFERROR(__xludf.DUMMYFUNCTION("""COMPUTED_VALUE"""),100.0)</f>
        <v>100</v>
      </c>
      <c r="D753" s="7">
        <f>IFERROR(__xludf.DUMMYFUNCTION("""COMPUTED_VALUE"""),3.2)</f>
        <v>3.2</v>
      </c>
      <c r="E753" s="16">
        <f>IFERROR(__xludf.DUMMYFUNCTION("""COMPUTED_VALUE"""),4.8)</f>
        <v>4.8</v>
      </c>
      <c r="F753" s="16">
        <f>IFERROR(__xludf.DUMMYFUNCTION("""COMPUTED_VALUE"""),3.3)</f>
        <v>3.3</v>
      </c>
      <c r="G753" s="16" t="str">
        <f>IFERROR(__xludf.DUMMYFUNCTION("""COMPUTED_VALUE"""),"0")</f>
        <v>0</v>
      </c>
      <c r="H753" s="23">
        <f>IFERROR(__xludf.DUMMYFUNCTION("""COMPUTED_VALUE"""),61.7)</f>
        <v>61.7</v>
      </c>
    </row>
    <row r="754">
      <c r="A754" s="16" t="str">
        <f>IFERROR(__xludf.DUMMYFUNCTION("""COMPUTED_VALUE"""),"Млечни")</f>
        <v>Млечни</v>
      </c>
      <c r="B754" s="7" t="str">
        <f>IFERROR(__xludf.DUMMYFUNCTION("""COMPUTED_VALUE"""),"Мляко Верея 3.7%")</f>
        <v>Мляко Верея 3.7%</v>
      </c>
      <c r="C754" s="12">
        <f>IFERROR(__xludf.DUMMYFUNCTION("""COMPUTED_VALUE"""),100.0)</f>
        <v>100</v>
      </c>
      <c r="D754" s="7">
        <f>IFERROR(__xludf.DUMMYFUNCTION("""COMPUTED_VALUE"""),3.3)</f>
        <v>3.3</v>
      </c>
      <c r="E754" s="16">
        <f>IFERROR(__xludf.DUMMYFUNCTION("""COMPUTED_VALUE"""),4.7)</f>
        <v>4.7</v>
      </c>
      <c r="F754" s="16">
        <f>IFERROR(__xludf.DUMMYFUNCTION("""COMPUTED_VALUE"""),3.7)</f>
        <v>3.7</v>
      </c>
      <c r="G754" s="16" t="str">
        <f>IFERROR(__xludf.DUMMYFUNCTION("""COMPUTED_VALUE"""),"0")</f>
        <v>0</v>
      </c>
      <c r="H754" s="23">
        <f>IFERROR(__xludf.DUMMYFUNCTION("""COMPUTED_VALUE"""),65.30000000000001)</f>
        <v>65.3</v>
      </c>
    </row>
    <row r="755">
      <c r="A755" s="16" t="str">
        <f>IFERROR(__xludf.DUMMYFUNCTION("""COMPUTED_VALUE"""),"Млечни")</f>
        <v>Млечни</v>
      </c>
      <c r="B755" s="7" t="str">
        <f>IFERROR(__xludf.DUMMYFUNCTION("""COMPUTED_VALUE"""),"Прясно мляко - Олимпус 1.7%")</f>
        <v>Прясно мляко - Олимпус 1.7%</v>
      </c>
      <c r="C755" s="12">
        <f>IFERROR(__xludf.DUMMYFUNCTION("""COMPUTED_VALUE"""),100.0)</f>
        <v>100</v>
      </c>
      <c r="D755" s="7">
        <f>IFERROR(__xludf.DUMMYFUNCTION("""COMPUTED_VALUE"""),3.1)</f>
        <v>3.1</v>
      </c>
      <c r="E755" s="16">
        <f>IFERROR(__xludf.DUMMYFUNCTION("""COMPUTED_VALUE"""),4.7)</f>
        <v>4.7</v>
      </c>
      <c r="F755" s="16">
        <f>IFERROR(__xludf.DUMMYFUNCTION("""COMPUTED_VALUE"""),1.7)</f>
        <v>1.7</v>
      </c>
      <c r="G755" s="16" t="str">
        <f>IFERROR(__xludf.DUMMYFUNCTION("""COMPUTED_VALUE"""),"0")</f>
        <v>0</v>
      </c>
      <c r="H755" s="23">
        <f>IFERROR(__xludf.DUMMYFUNCTION("""COMPUTED_VALUE"""),46.5)</f>
        <v>46.5</v>
      </c>
    </row>
    <row r="756">
      <c r="A756" s="16" t="str">
        <f>IFERROR(__xludf.DUMMYFUNCTION("""COMPUTED_VALUE"""),"Млечни")</f>
        <v>Млечни</v>
      </c>
      <c r="B756" s="7" t="str">
        <f>IFERROR(__xludf.DUMMYFUNCTION("""COMPUTED_VALUE"""),"Прясно мляко Верея 1.7%")</f>
        <v>Прясно мляко Верея 1.7%</v>
      </c>
      <c r="C756" s="12">
        <f>IFERROR(__xludf.DUMMYFUNCTION("""COMPUTED_VALUE"""),100.0)</f>
        <v>100</v>
      </c>
      <c r="D756" s="7">
        <f>IFERROR(__xludf.DUMMYFUNCTION("""COMPUTED_VALUE"""),3.3)</f>
        <v>3.3</v>
      </c>
      <c r="E756" s="16">
        <f>IFERROR(__xludf.DUMMYFUNCTION("""COMPUTED_VALUE"""),4.7)</f>
        <v>4.7</v>
      </c>
      <c r="F756" s="16">
        <f>IFERROR(__xludf.DUMMYFUNCTION("""COMPUTED_VALUE"""),1.7)</f>
        <v>1.7</v>
      </c>
      <c r="G756" s="16" t="str">
        <f>IFERROR(__xludf.DUMMYFUNCTION("""COMPUTED_VALUE"""),"0")</f>
        <v>0</v>
      </c>
      <c r="H756" s="23">
        <f>IFERROR(__xludf.DUMMYFUNCTION("""COMPUTED_VALUE"""),47.3)</f>
        <v>47.3</v>
      </c>
    </row>
    <row r="757">
      <c r="A757" s="16" t="str">
        <f>IFERROR(__xludf.DUMMYFUNCTION("""COMPUTED_VALUE"""),"Млечни")</f>
        <v>Млечни</v>
      </c>
      <c r="B757" s="7" t="str">
        <f>IFERROR(__xludf.DUMMYFUNCTION("""COMPUTED_VALUE"""),"Вердаре Кисело Мляко - 4.5%")</f>
        <v>Вердаре Кисело Мляко - 4.5%</v>
      </c>
      <c r="C757" s="12">
        <f>IFERROR(__xludf.DUMMYFUNCTION("""COMPUTED_VALUE"""),100.0)</f>
        <v>100</v>
      </c>
      <c r="D757" s="7">
        <f>IFERROR(__xludf.DUMMYFUNCTION("""COMPUTED_VALUE"""),3.6)</f>
        <v>3.6</v>
      </c>
      <c r="E757" s="16">
        <f>IFERROR(__xludf.DUMMYFUNCTION("""COMPUTED_VALUE"""),4.5)</f>
        <v>4.5</v>
      </c>
      <c r="F757" s="16">
        <f>IFERROR(__xludf.DUMMYFUNCTION("""COMPUTED_VALUE"""),4.5)</f>
        <v>4.5</v>
      </c>
      <c r="G757" s="16" t="str">
        <f>IFERROR(__xludf.DUMMYFUNCTION("""COMPUTED_VALUE"""),"0")</f>
        <v>0</v>
      </c>
      <c r="H757" s="23">
        <f>IFERROR(__xludf.DUMMYFUNCTION("""COMPUTED_VALUE"""),72.9)</f>
        <v>72.9</v>
      </c>
    </row>
    <row r="758">
      <c r="A758" s="16" t="str">
        <f>IFERROR(__xludf.DUMMYFUNCTION("""COMPUTED_VALUE"""),"Млечни")</f>
        <v>Млечни</v>
      </c>
      <c r="B758" s="7" t="str">
        <f>IFERROR(__xludf.DUMMYFUNCTION("""COMPUTED_VALUE"""),"Кисело мляко Боженци 2%")</f>
        <v>Кисело мляко Боженци 2%</v>
      </c>
      <c r="C758" s="12">
        <f>IFERROR(__xludf.DUMMYFUNCTION("""COMPUTED_VALUE"""),100.0)</f>
        <v>100</v>
      </c>
      <c r="D758" s="7">
        <f>IFERROR(__xludf.DUMMYFUNCTION("""COMPUTED_VALUE"""),3.6)</f>
        <v>3.6</v>
      </c>
      <c r="E758" s="16">
        <f>IFERROR(__xludf.DUMMYFUNCTION("""COMPUTED_VALUE"""),4.5)</f>
        <v>4.5</v>
      </c>
      <c r="F758" s="16">
        <f>IFERROR(__xludf.DUMMYFUNCTION("""COMPUTED_VALUE"""),2.0)</f>
        <v>2</v>
      </c>
      <c r="G758" s="16" t="str">
        <f>IFERROR(__xludf.DUMMYFUNCTION("""COMPUTED_VALUE"""),"0")</f>
        <v>0</v>
      </c>
      <c r="H758" s="23">
        <f>IFERROR(__xludf.DUMMYFUNCTION("""COMPUTED_VALUE"""),50.4)</f>
        <v>50.4</v>
      </c>
    </row>
    <row r="759">
      <c r="A759" s="16" t="str">
        <f>IFERROR(__xludf.DUMMYFUNCTION("""COMPUTED_VALUE"""),"Млечни")</f>
        <v>Млечни</v>
      </c>
      <c r="B759" s="7" t="str">
        <f>IFERROR(__xludf.DUMMYFUNCTION("""COMPUTED_VALUE"""),"Кисело мляко Боженци 4%")</f>
        <v>Кисело мляко Боженци 4%</v>
      </c>
      <c r="C759" s="12">
        <f>IFERROR(__xludf.DUMMYFUNCTION("""COMPUTED_VALUE"""),100.0)</f>
        <v>100</v>
      </c>
      <c r="D759" s="7">
        <f>IFERROR(__xludf.DUMMYFUNCTION("""COMPUTED_VALUE"""),3.8)</f>
        <v>3.8</v>
      </c>
      <c r="E759" s="16">
        <f>IFERROR(__xludf.DUMMYFUNCTION("""COMPUTED_VALUE"""),4.4)</f>
        <v>4.4</v>
      </c>
      <c r="F759" s="16">
        <f>IFERROR(__xludf.DUMMYFUNCTION("""COMPUTED_VALUE"""),4.0)</f>
        <v>4</v>
      </c>
      <c r="G759" s="16" t="str">
        <f>IFERROR(__xludf.DUMMYFUNCTION("""COMPUTED_VALUE"""),"0")</f>
        <v>0</v>
      </c>
      <c r="H759" s="23">
        <f>IFERROR(__xludf.DUMMYFUNCTION("""COMPUTED_VALUE"""),68.8)</f>
        <v>68.8</v>
      </c>
    </row>
    <row r="760">
      <c r="A760" s="16" t="str">
        <f>IFERROR(__xludf.DUMMYFUNCTION("""COMPUTED_VALUE"""),"Млечни")</f>
        <v>Млечни</v>
      </c>
      <c r="B760" s="7" t="str">
        <f>IFERROR(__xludf.DUMMYFUNCTION("""COMPUTED_VALUE"""),"Прясно мляко 0.1%")</f>
        <v>Прясно мляко 0.1%</v>
      </c>
      <c r="C760" s="12">
        <f>IFERROR(__xludf.DUMMYFUNCTION("""COMPUTED_VALUE"""),100.0)</f>
        <v>100</v>
      </c>
      <c r="D760" s="7">
        <f>IFERROR(__xludf.DUMMYFUNCTION("""COMPUTED_VALUE"""),3.2)</f>
        <v>3.2</v>
      </c>
      <c r="E760" s="16">
        <f>IFERROR(__xludf.DUMMYFUNCTION("""COMPUTED_VALUE"""),4.5)</f>
        <v>4.5</v>
      </c>
      <c r="F760" s="16">
        <f>IFERROR(__xludf.DUMMYFUNCTION("""COMPUTED_VALUE"""),0.0)</f>
        <v>0</v>
      </c>
      <c r="G760" s="16" t="str">
        <f>IFERROR(__xludf.DUMMYFUNCTION("""COMPUTED_VALUE"""),"0")</f>
        <v>0</v>
      </c>
      <c r="H760" s="23">
        <f>IFERROR(__xludf.DUMMYFUNCTION("""COMPUTED_VALUE"""),30.8)</f>
        <v>30.8</v>
      </c>
    </row>
    <row r="761">
      <c r="A761" s="16" t="str">
        <f>IFERROR(__xludf.DUMMYFUNCTION("""COMPUTED_VALUE"""),"Млечни")</f>
        <v>Млечни</v>
      </c>
      <c r="B761" s="7" t="str">
        <f>IFERROR(__xludf.DUMMYFUNCTION("""COMPUTED_VALUE"""),"Прясно мляко 1.5%")</f>
        <v>Прясно мляко 1.5%</v>
      </c>
      <c r="C761" s="12">
        <f>IFERROR(__xludf.DUMMYFUNCTION("""COMPUTED_VALUE"""),100.0)</f>
        <v>100</v>
      </c>
      <c r="D761" s="7">
        <f>IFERROR(__xludf.DUMMYFUNCTION("""COMPUTED_VALUE"""),3.0)</f>
        <v>3</v>
      </c>
      <c r="E761" s="16">
        <f>IFERROR(__xludf.DUMMYFUNCTION("""COMPUTED_VALUE"""),4.5)</f>
        <v>4.5</v>
      </c>
      <c r="F761" s="16">
        <f>IFERROR(__xludf.DUMMYFUNCTION("""COMPUTED_VALUE"""),1.5)</f>
        <v>1.5</v>
      </c>
      <c r="G761" s="16" t="str">
        <f>IFERROR(__xludf.DUMMYFUNCTION("""COMPUTED_VALUE"""),"0")</f>
        <v>0</v>
      </c>
      <c r="H761" s="23">
        <f>IFERROR(__xludf.DUMMYFUNCTION("""COMPUTED_VALUE"""),43.5)</f>
        <v>43.5</v>
      </c>
    </row>
    <row r="762">
      <c r="A762" s="16" t="str">
        <f>IFERROR(__xludf.DUMMYFUNCTION("""COMPUTED_VALUE"""),"Млечни")</f>
        <v>Млечни</v>
      </c>
      <c r="B762" s="7" t="str">
        <f>IFERROR(__xludf.DUMMYFUNCTION("""COMPUTED_VALUE"""),"Кисело мляко ""Сребърна"" 3.6%")</f>
        <v>Кисело мляко "Сребърна" 3.6%</v>
      </c>
      <c r="C762" s="12">
        <f>IFERROR(__xludf.DUMMYFUNCTION("""COMPUTED_VALUE"""),100.0)</f>
        <v>100</v>
      </c>
      <c r="D762" s="7">
        <f>IFERROR(__xludf.DUMMYFUNCTION("""COMPUTED_VALUE"""),3.2)</f>
        <v>3.2</v>
      </c>
      <c r="E762" s="16">
        <f>IFERROR(__xludf.DUMMYFUNCTION("""COMPUTED_VALUE"""),4.3)</f>
        <v>4.3</v>
      </c>
      <c r="F762" s="16">
        <f>IFERROR(__xludf.DUMMYFUNCTION("""COMPUTED_VALUE"""),3.6)</f>
        <v>3.6</v>
      </c>
      <c r="G762" s="16" t="str">
        <f>IFERROR(__xludf.DUMMYFUNCTION("""COMPUTED_VALUE"""),"0")</f>
        <v>0</v>
      </c>
      <c r="H762" s="23">
        <f>IFERROR(__xludf.DUMMYFUNCTION("""COMPUTED_VALUE"""),62.4)</f>
        <v>62.4</v>
      </c>
    </row>
    <row r="763">
      <c r="A763" s="16" t="str">
        <f>IFERROR(__xludf.DUMMYFUNCTION("""COMPUTED_VALUE"""),"Млечни")</f>
        <v>Млечни</v>
      </c>
      <c r="B763" s="7" t="str">
        <f>IFERROR(__xludf.DUMMYFUNCTION("""COMPUTED_VALUE"""),"Кисело мляко 0.1%")</f>
        <v>Кисело мляко 0.1%</v>
      </c>
      <c r="C763" s="12">
        <f>IFERROR(__xludf.DUMMYFUNCTION("""COMPUTED_VALUE"""),100.0)</f>
        <v>100</v>
      </c>
      <c r="D763" s="7">
        <f>IFERROR(__xludf.DUMMYFUNCTION("""COMPUTED_VALUE"""),3.7)</f>
        <v>3.7</v>
      </c>
      <c r="E763" s="16">
        <f>IFERROR(__xludf.DUMMYFUNCTION("""COMPUTED_VALUE"""),4.3)</f>
        <v>4.3</v>
      </c>
      <c r="F763" s="16">
        <f>IFERROR(__xludf.DUMMYFUNCTION("""COMPUTED_VALUE"""),0.1)</f>
        <v>0.1</v>
      </c>
      <c r="G763" s="16" t="str">
        <f>IFERROR(__xludf.DUMMYFUNCTION("""COMPUTED_VALUE"""),"0")</f>
        <v>0</v>
      </c>
      <c r="H763" s="23">
        <f>IFERROR(__xludf.DUMMYFUNCTION("""COMPUTED_VALUE"""),32.9)</f>
        <v>32.9</v>
      </c>
    </row>
    <row r="764">
      <c r="A764" s="16" t="str">
        <f>IFERROR(__xludf.DUMMYFUNCTION("""COMPUTED_VALUE"""),"Млечни")</f>
        <v>Млечни</v>
      </c>
      <c r="B764" s="7" t="str">
        <f>IFERROR(__xludf.DUMMYFUNCTION("""COMPUTED_VALUE"""),"Кисело мляко 3.6%")</f>
        <v>Кисело мляко 3.6%</v>
      </c>
      <c r="C764" s="12">
        <f>IFERROR(__xludf.DUMMYFUNCTION("""COMPUTED_VALUE"""),100.0)</f>
        <v>100</v>
      </c>
      <c r="D764" s="7">
        <f>IFERROR(__xludf.DUMMYFUNCTION("""COMPUTED_VALUE"""),3.2)</f>
        <v>3.2</v>
      </c>
      <c r="E764" s="16">
        <f>IFERROR(__xludf.DUMMYFUNCTION("""COMPUTED_VALUE"""),4.3)</f>
        <v>4.3</v>
      </c>
      <c r="F764" s="16">
        <f>IFERROR(__xludf.DUMMYFUNCTION("""COMPUTED_VALUE"""),3.6)</f>
        <v>3.6</v>
      </c>
      <c r="G764" s="16" t="str">
        <f>IFERROR(__xludf.DUMMYFUNCTION("""COMPUTED_VALUE"""),"0")</f>
        <v>0</v>
      </c>
      <c r="H764" s="23">
        <f>IFERROR(__xludf.DUMMYFUNCTION("""COMPUTED_VALUE"""),62.4)</f>
        <v>62.4</v>
      </c>
    </row>
    <row r="765">
      <c r="A765" s="16" t="str">
        <f>IFERROR(__xludf.DUMMYFUNCTION("""COMPUTED_VALUE"""),"Млечни")</f>
        <v>Млечни</v>
      </c>
      <c r="B765" s="7" t="str">
        <f>IFERROR(__xludf.DUMMYFUNCTION("""COMPUTED_VALUE"""),"Прясно Мляко 1%")</f>
        <v>Прясно Мляко 1%</v>
      </c>
      <c r="C765" s="12">
        <f>IFERROR(__xludf.DUMMYFUNCTION("""COMPUTED_VALUE"""),100.0)</f>
        <v>100</v>
      </c>
      <c r="D765" s="7">
        <f>IFERROR(__xludf.DUMMYFUNCTION("""COMPUTED_VALUE"""),3.6)</f>
        <v>3.6</v>
      </c>
      <c r="E765" s="16">
        <f>IFERROR(__xludf.DUMMYFUNCTION("""COMPUTED_VALUE"""),4.2)</f>
        <v>4.2</v>
      </c>
      <c r="F765" s="16">
        <f>IFERROR(__xludf.DUMMYFUNCTION("""COMPUTED_VALUE"""),1.2)</f>
        <v>1.2</v>
      </c>
      <c r="G765" s="16" t="str">
        <f>IFERROR(__xludf.DUMMYFUNCTION("""COMPUTED_VALUE"""),"0")</f>
        <v>0</v>
      </c>
      <c r="H765" s="23">
        <f>IFERROR(__xludf.DUMMYFUNCTION("""COMPUTED_VALUE"""),42.0)</f>
        <v>42</v>
      </c>
    </row>
    <row r="766">
      <c r="A766" s="16" t="str">
        <f>IFERROR(__xludf.DUMMYFUNCTION("""COMPUTED_VALUE"""),"Млечни")</f>
        <v>Млечни</v>
      </c>
      <c r="B766" s="7" t="str">
        <f>IFERROR(__xludf.DUMMYFUNCTION("""COMPUTED_VALUE"""),"Прясно мляко 3%")</f>
        <v>Прясно мляко 3%</v>
      </c>
      <c r="C766" s="12">
        <f>IFERROR(__xludf.DUMMYFUNCTION("""COMPUTED_VALUE"""),100.0)</f>
        <v>100</v>
      </c>
      <c r="D766" s="7">
        <f>IFERROR(__xludf.DUMMYFUNCTION("""COMPUTED_VALUE"""),3.0)</f>
        <v>3</v>
      </c>
      <c r="E766" s="16">
        <f>IFERROR(__xludf.DUMMYFUNCTION("""COMPUTED_VALUE"""),4.1)</f>
        <v>4.1</v>
      </c>
      <c r="F766" s="16">
        <f>IFERROR(__xludf.DUMMYFUNCTION("""COMPUTED_VALUE"""),3.0)</f>
        <v>3</v>
      </c>
      <c r="G766" s="16" t="str">
        <f>IFERROR(__xludf.DUMMYFUNCTION("""COMPUTED_VALUE"""),"0")</f>
        <v>0</v>
      </c>
      <c r="H766" s="23">
        <f>IFERROR(__xludf.DUMMYFUNCTION("""COMPUTED_VALUE"""),55.4)</f>
        <v>55.4</v>
      </c>
    </row>
    <row r="767">
      <c r="A767" s="16" t="str">
        <f>IFERROR(__xludf.DUMMYFUNCTION("""COMPUTED_VALUE"""),"Млечни")</f>
        <v>Млечни</v>
      </c>
      <c r="B767" s="7" t="str">
        <f>IFERROR(__xludf.DUMMYFUNCTION("""COMPUTED_VALUE"""),"Извара Олимпус")</f>
        <v>Извара Олимпус</v>
      </c>
      <c r="C767" s="12">
        <f>IFERROR(__xludf.DUMMYFUNCTION("""COMPUTED_VALUE"""),100.0)</f>
        <v>100</v>
      </c>
      <c r="D767" s="7">
        <f>IFERROR(__xludf.DUMMYFUNCTION("""COMPUTED_VALUE"""),14.0)</f>
        <v>14</v>
      </c>
      <c r="E767" s="16">
        <f>IFERROR(__xludf.DUMMYFUNCTION("""COMPUTED_VALUE"""),4.0)</f>
        <v>4</v>
      </c>
      <c r="F767" s="16">
        <f>IFERROR(__xludf.DUMMYFUNCTION("""COMPUTED_VALUE"""),2.0)</f>
        <v>2</v>
      </c>
      <c r="G767" s="16" t="str">
        <f>IFERROR(__xludf.DUMMYFUNCTION("""COMPUTED_VALUE"""),"0")</f>
        <v>0</v>
      </c>
      <c r="H767" s="23">
        <f>IFERROR(__xludf.DUMMYFUNCTION("""COMPUTED_VALUE"""),90.0)</f>
        <v>90</v>
      </c>
    </row>
    <row r="768">
      <c r="A768" s="16" t="str">
        <f>IFERROR(__xludf.DUMMYFUNCTION("""COMPUTED_VALUE"""),"Млечни")</f>
        <v>Млечни</v>
      </c>
      <c r="B768" s="7" t="str">
        <f>IFERROR(__xludf.DUMMYFUNCTION("""COMPUTED_VALUE"""),"Йогурт 10%")</f>
        <v>Йогурт 10%</v>
      </c>
      <c r="C768" s="12">
        <f>IFERROR(__xludf.DUMMYFUNCTION("""COMPUTED_VALUE"""),100.0)</f>
        <v>100</v>
      </c>
      <c r="D768" s="7">
        <f>IFERROR(__xludf.DUMMYFUNCTION("""COMPUTED_VALUE"""),6.5)</f>
        <v>6.5</v>
      </c>
      <c r="E768" s="16">
        <f>IFERROR(__xludf.DUMMYFUNCTION("""COMPUTED_VALUE"""),4.0)</f>
        <v>4</v>
      </c>
      <c r="F768" s="16">
        <f>IFERROR(__xludf.DUMMYFUNCTION("""COMPUTED_VALUE"""),10.0)</f>
        <v>10</v>
      </c>
      <c r="G768" s="16" t="str">
        <f>IFERROR(__xludf.DUMMYFUNCTION("""COMPUTED_VALUE"""),"0")</f>
        <v>0</v>
      </c>
      <c r="H768" s="23">
        <f>IFERROR(__xludf.DUMMYFUNCTION("""COMPUTED_VALUE"""),132.0)</f>
        <v>132</v>
      </c>
    </row>
    <row r="769">
      <c r="A769" s="16" t="str">
        <f>IFERROR(__xludf.DUMMYFUNCTION("""COMPUTED_VALUE"""),"Млечни")</f>
        <v>Млечни</v>
      </c>
      <c r="B769" s="7" t="str">
        <f>IFERROR(__xludf.DUMMYFUNCTION("""COMPUTED_VALUE"""),"Йогурт 2%")</f>
        <v>Йогурт 2%</v>
      </c>
      <c r="C769" s="12">
        <f>IFERROR(__xludf.DUMMYFUNCTION("""COMPUTED_VALUE"""),100.0)</f>
        <v>100</v>
      </c>
      <c r="D769" s="7">
        <f>IFERROR(__xludf.DUMMYFUNCTION("""COMPUTED_VALUE"""),9.0)</f>
        <v>9</v>
      </c>
      <c r="E769" s="16">
        <f>IFERROR(__xludf.DUMMYFUNCTION("""COMPUTED_VALUE"""),4.0)</f>
        <v>4</v>
      </c>
      <c r="F769" s="16">
        <f>IFERROR(__xludf.DUMMYFUNCTION("""COMPUTED_VALUE"""),2.0)</f>
        <v>2</v>
      </c>
      <c r="G769" s="16" t="str">
        <f>IFERROR(__xludf.DUMMYFUNCTION("""COMPUTED_VALUE"""),"0")</f>
        <v>0</v>
      </c>
      <c r="H769" s="23">
        <f>IFERROR(__xludf.DUMMYFUNCTION("""COMPUTED_VALUE"""),70.0)</f>
        <v>70</v>
      </c>
    </row>
    <row r="770">
      <c r="A770" s="16" t="str">
        <f>IFERROR(__xludf.DUMMYFUNCTION("""COMPUTED_VALUE"""),"Млечни")</f>
        <v>Млечни</v>
      </c>
      <c r="B770" s="7" t="str">
        <f>IFERROR(__xludf.DUMMYFUNCTION("""COMPUTED_VALUE"""),"Кремообразна извара - LIDL")</f>
        <v>Кремообразна извара - LIDL</v>
      </c>
      <c r="C770" s="12">
        <f>IFERROR(__xludf.DUMMYFUNCTION("""COMPUTED_VALUE"""),100.0)</f>
        <v>100</v>
      </c>
      <c r="D770" s="7">
        <f>IFERROR(__xludf.DUMMYFUNCTION("""COMPUTED_VALUE"""),11.0)</f>
        <v>11</v>
      </c>
      <c r="E770" s="16">
        <f>IFERROR(__xludf.DUMMYFUNCTION("""COMPUTED_VALUE"""),4.0)</f>
        <v>4</v>
      </c>
      <c r="F770" s="16">
        <f>IFERROR(__xludf.DUMMYFUNCTION("""COMPUTED_VALUE"""),6.0)</f>
        <v>6</v>
      </c>
      <c r="G770" s="16" t="str">
        <f>IFERROR(__xludf.DUMMYFUNCTION("""COMPUTED_VALUE"""),"0")</f>
        <v>0</v>
      </c>
      <c r="H770" s="23">
        <f>IFERROR(__xludf.DUMMYFUNCTION("""COMPUTED_VALUE"""),114.0)</f>
        <v>114</v>
      </c>
    </row>
    <row r="771">
      <c r="A771" s="16" t="str">
        <f>IFERROR(__xludf.DUMMYFUNCTION("""COMPUTED_VALUE"""),"Млечни")</f>
        <v>Млечни</v>
      </c>
      <c r="B771" s="7" t="str">
        <f>IFERROR(__xludf.DUMMYFUNCTION("""COMPUTED_VALUE"""),"Пармезан")</f>
        <v>Пармезан</v>
      </c>
      <c r="C771" s="12">
        <f>IFERROR(__xludf.DUMMYFUNCTION("""COMPUTED_VALUE"""),100.0)</f>
        <v>100</v>
      </c>
      <c r="D771" s="7">
        <f>IFERROR(__xludf.DUMMYFUNCTION("""COMPUTED_VALUE"""),38.0)</f>
        <v>38</v>
      </c>
      <c r="E771" s="16">
        <f>IFERROR(__xludf.DUMMYFUNCTION("""COMPUTED_VALUE"""),4.0)</f>
        <v>4</v>
      </c>
      <c r="F771" s="16">
        <f>IFERROR(__xludf.DUMMYFUNCTION("""COMPUTED_VALUE"""),28.000000000000004)</f>
        <v>28</v>
      </c>
      <c r="G771" s="16" t="str">
        <f>IFERROR(__xludf.DUMMYFUNCTION("""COMPUTED_VALUE"""),"0")</f>
        <v>0</v>
      </c>
      <c r="H771" s="23">
        <f>IFERROR(__xludf.DUMMYFUNCTION("""COMPUTED_VALUE"""),420.0)</f>
        <v>420</v>
      </c>
    </row>
    <row r="772">
      <c r="A772" s="16" t="str">
        <f>IFERROR(__xludf.DUMMYFUNCTION("""COMPUTED_VALUE"""),"Млечни")</f>
        <v>Млечни</v>
      </c>
      <c r="B772" s="7" t="str">
        <f>IFERROR(__xludf.DUMMYFUNCTION("""COMPUTED_VALUE"""),"Извара Пилос 0.5%")</f>
        <v>Извара Пилос 0.5%</v>
      </c>
      <c r="C772" s="12">
        <f>IFERROR(__xludf.DUMMYFUNCTION("""COMPUTED_VALUE"""),100.0)</f>
        <v>100</v>
      </c>
      <c r="D772" s="7">
        <f>IFERROR(__xludf.DUMMYFUNCTION("""COMPUTED_VALUE"""),12.5)</f>
        <v>12.5</v>
      </c>
      <c r="E772" s="16">
        <f>IFERROR(__xludf.DUMMYFUNCTION("""COMPUTED_VALUE"""),4.0)</f>
        <v>4</v>
      </c>
      <c r="F772" s="16">
        <f>IFERROR(__xludf.DUMMYFUNCTION("""COMPUTED_VALUE"""),0.5)</f>
        <v>0.5</v>
      </c>
      <c r="G772" s="16" t="str">
        <f>IFERROR(__xludf.DUMMYFUNCTION("""COMPUTED_VALUE"""),"0")</f>
        <v>0</v>
      </c>
      <c r="H772" s="23">
        <f>IFERROR(__xludf.DUMMYFUNCTION("""COMPUTED_VALUE"""),70.5)</f>
        <v>70.5</v>
      </c>
    </row>
    <row r="773">
      <c r="A773" s="16" t="str">
        <f>IFERROR(__xludf.DUMMYFUNCTION("""COMPUTED_VALUE"""),"Млечни")</f>
        <v>Млечни</v>
      </c>
      <c r="B773" s="7" t="str">
        <f>IFERROR(__xludf.DUMMYFUNCTION("""COMPUTED_VALUE"""),"Цедено мляко 2%")</f>
        <v>Цедено мляко 2%</v>
      </c>
      <c r="C773" s="12">
        <f>IFERROR(__xludf.DUMMYFUNCTION("""COMPUTED_VALUE"""),100.0)</f>
        <v>100</v>
      </c>
      <c r="D773" s="7">
        <f>IFERROR(__xludf.DUMMYFUNCTION("""COMPUTED_VALUE"""),7.0)</f>
        <v>7</v>
      </c>
      <c r="E773" s="16">
        <f>IFERROR(__xludf.DUMMYFUNCTION("""COMPUTED_VALUE"""),3.8)</f>
        <v>3.8</v>
      </c>
      <c r="F773" s="16">
        <f>IFERROR(__xludf.DUMMYFUNCTION("""COMPUTED_VALUE"""),2.0)</f>
        <v>2</v>
      </c>
      <c r="G773" s="16" t="str">
        <f>IFERROR(__xludf.DUMMYFUNCTION("""COMPUTED_VALUE"""),"0")</f>
        <v>0</v>
      </c>
      <c r="H773" s="23">
        <f>IFERROR(__xludf.DUMMYFUNCTION("""COMPUTED_VALUE"""),61.2)</f>
        <v>61.2</v>
      </c>
    </row>
    <row r="774">
      <c r="A774" s="16" t="str">
        <f>IFERROR(__xludf.DUMMYFUNCTION("""COMPUTED_VALUE"""),"Млечни")</f>
        <v>Млечни</v>
      </c>
      <c r="B774" s="7" t="str">
        <f>IFERROR(__xludf.DUMMYFUNCTION("""COMPUTED_VALUE"""),"Заквасена Сметана 20% мазнини")</f>
        <v>Заквасена Сметана 20% мазнини</v>
      </c>
      <c r="C774" s="12">
        <f>IFERROR(__xludf.DUMMYFUNCTION("""COMPUTED_VALUE"""),100.0)</f>
        <v>100</v>
      </c>
      <c r="D774" s="7">
        <f>IFERROR(__xludf.DUMMYFUNCTION("""COMPUTED_VALUE"""),2.8000000000000003)</f>
        <v>2.8</v>
      </c>
      <c r="E774" s="16">
        <f>IFERROR(__xludf.DUMMYFUNCTION("""COMPUTED_VALUE"""),3.5999999999999996)</f>
        <v>3.6</v>
      </c>
      <c r="F774" s="16">
        <f>IFERROR(__xludf.DUMMYFUNCTION("""COMPUTED_VALUE"""),20.0)</f>
        <v>20</v>
      </c>
      <c r="G774" s="16" t="str">
        <f>IFERROR(__xludf.DUMMYFUNCTION("""COMPUTED_VALUE"""),"0")</f>
        <v>0</v>
      </c>
      <c r="H774" s="23">
        <f>IFERROR(__xludf.DUMMYFUNCTION("""COMPUTED_VALUE"""),205.6)</f>
        <v>205.6</v>
      </c>
    </row>
    <row r="775">
      <c r="A775" s="16" t="str">
        <f>IFERROR(__xludf.DUMMYFUNCTION("""COMPUTED_VALUE"""),"Млечни")</f>
        <v>Млечни</v>
      </c>
      <c r="B775" s="7" t="str">
        <f>IFERROR(__xludf.DUMMYFUNCTION("""COMPUTED_VALUE"""),"Козе Сирене")</f>
        <v>Козе Сирене</v>
      </c>
      <c r="C775" s="12">
        <f>IFERROR(__xludf.DUMMYFUNCTION("""COMPUTED_VALUE"""),100.0)</f>
        <v>100</v>
      </c>
      <c r="D775" s="7">
        <f>IFERROR(__xludf.DUMMYFUNCTION("""COMPUTED_VALUE"""),18.0)</f>
        <v>18</v>
      </c>
      <c r="E775" s="16">
        <f>IFERROR(__xludf.DUMMYFUNCTION("""COMPUTED_VALUE"""),3.5000000000000004)</f>
        <v>3.5</v>
      </c>
      <c r="F775" s="16">
        <f>IFERROR(__xludf.DUMMYFUNCTION("""COMPUTED_VALUE"""),18.0)</f>
        <v>18</v>
      </c>
      <c r="G775" s="16" t="str">
        <f>IFERROR(__xludf.DUMMYFUNCTION("""COMPUTED_VALUE"""),"0")</f>
        <v>0</v>
      </c>
      <c r="H775" s="23">
        <f>IFERROR(__xludf.DUMMYFUNCTION("""COMPUTED_VALUE"""),248.0)</f>
        <v>248</v>
      </c>
    </row>
    <row r="776">
      <c r="A776" s="16" t="str">
        <f>IFERROR(__xludf.DUMMYFUNCTION("""COMPUTED_VALUE"""),"Млечни")</f>
        <v>Млечни</v>
      </c>
      <c r="B776" s="7" t="str">
        <f>IFERROR(__xludf.DUMMYFUNCTION("""COMPUTED_VALUE"""),"Цедено краве мляко, Olympus")</f>
        <v>Цедено краве мляко, Olympus</v>
      </c>
      <c r="C776" s="12">
        <f>IFERROR(__xludf.DUMMYFUNCTION("""COMPUTED_VALUE"""),100.0)</f>
        <v>100</v>
      </c>
      <c r="D776" s="7">
        <f>IFERROR(__xludf.DUMMYFUNCTION("""COMPUTED_VALUE"""),5.0)</f>
        <v>5</v>
      </c>
      <c r="E776" s="16">
        <f>IFERROR(__xludf.DUMMYFUNCTION("""COMPUTED_VALUE"""),3.5)</f>
        <v>3.5</v>
      </c>
      <c r="F776" s="16">
        <f>IFERROR(__xludf.DUMMYFUNCTION("""COMPUTED_VALUE"""),10.0)</f>
        <v>10</v>
      </c>
      <c r="G776" s="16" t="str">
        <f>IFERROR(__xludf.DUMMYFUNCTION("""COMPUTED_VALUE"""),"0")</f>
        <v>0</v>
      </c>
      <c r="H776" s="23">
        <f>IFERROR(__xludf.DUMMYFUNCTION("""COMPUTED_VALUE"""),124.0)</f>
        <v>124</v>
      </c>
    </row>
    <row r="777">
      <c r="A777" s="16" t="str">
        <f>IFERROR(__xludf.DUMMYFUNCTION("""COMPUTED_VALUE"""),"Млечни")</f>
        <v>Млечни</v>
      </c>
      <c r="B777" s="7" t="str">
        <f>IFERROR(__xludf.DUMMYFUNCTION("""COMPUTED_VALUE"""),"Извара 4.2%")</f>
        <v>Извара 4.2%</v>
      </c>
      <c r="C777" s="12">
        <f>IFERROR(__xludf.DUMMYFUNCTION("""COMPUTED_VALUE"""),100.0)</f>
        <v>100</v>
      </c>
      <c r="D777" s="7">
        <f>IFERROR(__xludf.DUMMYFUNCTION("""COMPUTED_VALUE"""),17.0)</f>
        <v>17</v>
      </c>
      <c r="E777" s="16">
        <f>IFERROR(__xludf.DUMMYFUNCTION("""COMPUTED_VALUE"""),3.4)</f>
        <v>3.4</v>
      </c>
      <c r="F777" s="16">
        <f>IFERROR(__xludf.DUMMYFUNCTION("""COMPUTED_VALUE"""),4.2)</f>
        <v>4.2</v>
      </c>
      <c r="G777" s="16" t="str">
        <f>IFERROR(__xludf.DUMMYFUNCTION("""COMPUTED_VALUE"""),"0")</f>
        <v>0</v>
      </c>
      <c r="H777" s="23">
        <f>IFERROR(__xludf.DUMMYFUNCTION("""COMPUTED_VALUE"""),119.4)</f>
        <v>119.4</v>
      </c>
    </row>
    <row r="778">
      <c r="A778" s="16" t="str">
        <f>IFERROR(__xludf.DUMMYFUNCTION("""COMPUTED_VALUE"""),"Млечни")</f>
        <v>Млечни</v>
      </c>
      <c r="B778" s="7" t="str">
        <f>IFERROR(__xludf.DUMMYFUNCTION("""COMPUTED_VALUE"""),"Сметана 12%")</f>
        <v>Сметана 12%</v>
      </c>
      <c r="C778" s="12">
        <f>IFERROR(__xludf.DUMMYFUNCTION("""COMPUTED_VALUE"""),100.0)</f>
        <v>100</v>
      </c>
      <c r="D778" s="7">
        <f>IFERROR(__xludf.DUMMYFUNCTION("""COMPUTED_VALUE"""),3.0)</f>
        <v>3</v>
      </c>
      <c r="E778" s="16">
        <f>IFERROR(__xludf.DUMMYFUNCTION("""COMPUTED_VALUE"""),3.4)</f>
        <v>3.4</v>
      </c>
      <c r="F778" s="16">
        <f>IFERROR(__xludf.DUMMYFUNCTION("""COMPUTED_VALUE"""),12.0)</f>
        <v>12</v>
      </c>
      <c r="G778" s="16" t="str">
        <f>IFERROR(__xludf.DUMMYFUNCTION("""COMPUTED_VALUE"""),"0")</f>
        <v>0</v>
      </c>
      <c r="H778" s="23">
        <f>IFERROR(__xludf.DUMMYFUNCTION("""COMPUTED_VALUE"""),133.6)</f>
        <v>133.6</v>
      </c>
    </row>
    <row r="779">
      <c r="A779" s="16" t="str">
        <f>IFERROR(__xludf.DUMMYFUNCTION("""COMPUTED_VALUE"""),"Млечни")</f>
        <v>Млечни</v>
      </c>
      <c r="B779" s="7" t="str">
        <f>IFERROR(__xludf.DUMMYFUNCTION("""COMPUTED_VALUE"""),"Крема сирене - Голдеса (Light)")</f>
        <v>Крема сирене - Голдеса (Light)</v>
      </c>
      <c r="C779" s="12">
        <f>IFERROR(__xludf.DUMMYFUNCTION("""COMPUTED_VALUE"""),100.0)</f>
        <v>100</v>
      </c>
      <c r="D779" s="7">
        <f>IFERROR(__xludf.DUMMYFUNCTION("""COMPUTED_VALUE"""),12.0)</f>
        <v>12</v>
      </c>
      <c r="E779" s="16">
        <f>IFERROR(__xludf.DUMMYFUNCTION("""COMPUTED_VALUE"""),3.3)</f>
        <v>3.3</v>
      </c>
      <c r="F779" s="16">
        <f>IFERROR(__xludf.DUMMYFUNCTION("""COMPUTED_VALUE"""),4.0)</f>
        <v>4</v>
      </c>
      <c r="G779" s="16" t="str">
        <f>IFERROR(__xludf.DUMMYFUNCTION("""COMPUTED_VALUE"""),"0")</f>
        <v>0</v>
      </c>
      <c r="H779" s="23">
        <f>IFERROR(__xludf.DUMMYFUNCTION("""COMPUTED_VALUE"""),97.2)</f>
        <v>97.2</v>
      </c>
    </row>
    <row r="780">
      <c r="A780" s="16" t="str">
        <f>IFERROR(__xludf.DUMMYFUNCTION("""COMPUTED_VALUE"""),"Млечни")</f>
        <v>Млечни</v>
      </c>
      <c r="B780" s="7" t="str">
        <f>IFERROR(__xludf.DUMMYFUNCTION("""COMPUTED_VALUE"""),"Милбона соево мляко")</f>
        <v>Милбона соево мляко</v>
      </c>
      <c r="C780" s="12">
        <f>IFERROR(__xludf.DUMMYFUNCTION("""COMPUTED_VALUE"""),100.0)</f>
        <v>100</v>
      </c>
      <c r="D780" s="7">
        <f>IFERROR(__xludf.DUMMYFUNCTION("""COMPUTED_VALUE"""),3.4)</f>
        <v>3.4</v>
      </c>
      <c r="E780" s="16">
        <f>IFERROR(__xludf.DUMMYFUNCTION("""COMPUTED_VALUE"""),3.3)</f>
        <v>3.3</v>
      </c>
      <c r="F780" s="16">
        <f>IFERROR(__xludf.DUMMYFUNCTION("""COMPUTED_VALUE"""),1.5)</f>
        <v>1.5</v>
      </c>
      <c r="G780" s="16" t="str">
        <f>IFERROR(__xludf.DUMMYFUNCTION("""COMPUTED_VALUE"""),"0")</f>
        <v>0</v>
      </c>
      <c r="H780" s="23">
        <f>IFERROR(__xludf.DUMMYFUNCTION("""COMPUTED_VALUE"""),40.3)</f>
        <v>40.3</v>
      </c>
    </row>
    <row r="781">
      <c r="A781" s="16" t="str">
        <f>IFERROR(__xludf.DUMMYFUNCTION("""COMPUTED_VALUE"""),"Млечни")</f>
        <v>Млечни</v>
      </c>
      <c r="B781" s="7" t="str">
        <f>IFERROR(__xludf.DUMMYFUNCTION("""COMPUTED_VALUE"""),"Пилос крема сирене")</f>
        <v>Пилос крема сирене</v>
      </c>
      <c r="C781" s="12">
        <f>IFERROR(__xludf.DUMMYFUNCTION("""COMPUTED_VALUE"""),100.0)</f>
        <v>100</v>
      </c>
      <c r="D781" s="7">
        <f>IFERROR(__xludf.DUMMYFUNCTION("""COMPUTED_VALUE"""),7.5)</f>
        <v>7.5</v>
      </c>
      <c r="E781" s="16">
        <f>IFERROR(__xludf.DUMMYFUNCTION("""COMPUTED_VALUE"""),3.3)</f>
        <v>3.3</v>
      </c>
      <c r="F781" s="16">
        <f>IFERROR(__xludf.DUMMYFUNCTION("""COMPUTED_VALUE"""),8.0)</f>
        <v>8</v>
      </c>
      <c r="G781" s="16" t="str">
        <f>IFERROR(__xludf.DUMMYFUNCTION("""COMPUTED_VALUE"""),"0")</f>
        <v>0</v>
      </c>
      <c r="H781" s="23">
        <f>IFERROR(__xludf.DUMMYFUNCTION("""COMPUTED_VALUE"""),115.2)</f>
        <v>115.2</v>
      </c>
    </row>
    <row r="782">
      <c r="A782" s="16" t="str">
        <f>IFERROR(__xludf.DUMMYFUNCTION("""COMPUTED_VALUE"""),"Млечни")</f>
        <v>Млечни</v>
      </c>
      <c r="B782" s="7" t="str">
        <f>IFERROR(__xludf.DUMMYFUNCTION("""COMPUTED_VALUE"""),"Голдеса лайт")</f>
        <v>Голдеса лайт</v>
      </c>
      <c r="C782" s="12">
        <f>IFERROR(__xludf.DUMMYFUNCTION("""COMPUTED_VALUE"""),100.0)</f>
        <v>100</v>
      </c>
      <c r="D782" s="7">
        <f>IFERROR(__xludf.DUMMYFUNCTION("""COMPUTED_VALUE"""),12.0)</f>
        <v>12</v>
      </c>
      <c r="E782" s="16">
        <f>IFERROR(__xludf.DUMMYFUNCTION("""COMPUTED_VALUE"""),3.0)</f>
        <v>3</v>
      </c>
      <c r="F782" s="16">
        <f>IFERROR(__xludf.DUMMYFUNCTION("""COMPUTED_VALUE"""),4.0)</f>
        <v>4</v>
      </c>
      <c r="G782" s="16" t="str">
        <f>IFERROR(__xludf.DUMMYFUNCTION("""COMPUTED_VALUE"""),"0")</f>
        <v>0</v>
      </c>
      <c r="H782" s="23">
        <f>IFERROR(__xludf.DUMMYFUNCTION("""COMPUTED_VALUE"""),96.0)</f>
        <v>96</v>
      </c>
    </row>
    <row r="783">
      <c r="A783" s="16" t="str">
        <f>IFERROR(__xludf.DUMMYFUNCTION("""COMPUTED_VALUE"""),"Млечни")</f>
        <v>Млечни</v>
      </c>
      <c r="B783" s="7" t="str">
        <f>IFERROR(__xludf.DUMMYFUNCTION("""COMPUTED_VALUE"""),"Извара Брей")</f>
        <v>Извара Брей</v>
      </c>
      <c r="C783" s="12">
        <f>IFERROR(__xludf.DUMMYFUNCTION("""COMPUTED_VALUE"""),100.0)</f>
        <v>100</v>
      </c>
      <c r="D783" s="7">
        <f>IFERROR(__xludf.DUMMYFUNCTION("""COMPUTED_VALUE"""),14.0)</f>
        <v>14</v>
      </c>
      <c r="E783" s="16">
        <f>IFERROR(__xludf.DUMMYFUNCTION("""COMPUTED_VALUE"""),3.0)</f>
        <v>3</v>
      </c>
      <c r="F783" s="16">
        <f>IFERROR(__xludf.DUMMYFUNCTION("""COMPUTED_VALUE"""),1.0)</f>
        <v>1</v>
      </c>
      <c r="G783" s="16" t="str">
        <f>IFERROR(__xludf.DUMMYFUNCTION("""COMPUTED_VALUE"""),"0")</f>
        <v>0</v>
      </c>
      <c r="H783" s="23">
        <f>IFERROR(__xludf.DUMMYFUNCTION("""COMPUTED_VALUE"""),77.0)</f>
        <v>77</v>
      </c>
    </row>
    <row r="784">
      <c r="A784" s="16" t="str">
        <f>IFERROR(__xludf.DUMMYFUNCTION("""COMPUTED_VALUE"""),"Млечни")</f>
        <v>Млечни</v>
      </c>
      <c r="B784" s="7" t="str">
        <f>IFERROR(__xludf.DUMMYFUNCTION("""COMPUTED_VALUE"""),"Кашкавалена извара")</f>
        <v>Кашкавалена извара</v>
      </c>
      <c r="C784" s="12">
        <f>IFERROR(__xludf.DUMMYFUNCTION("""COMPUTED_VALUE"""),100.0)</f>
        <v>100</v>
      </c>
      <c r="D784" s="7">
        <f>IFERROR(__xludf.DUMMYFUNCTION("""COMPUTED_VALUE"""),14.0)</f>
        <v>14</v>
      </c>
      <c r="E784" s="16">
        <f>IFERROR(__xludf.DUMMYFUNCTION("""COMPUTED_VALUE"""),3.0)</f>
        <v>3</v>
      </c>
      <c r="F784" s="16">
        <f>IFERROR(__xludf.DUMMYFUNCTION("""COMPUTED_VALUE"""),1.0)</f>
        <v>1</v>
      </c>
      <c r="G784" s="16" t="str">
        <f>IFERROR(__xludf.DUMMYFUNCTION("""COMPUTED_VALUE"""),"0")</f>
        <v>0</v>
      </c>
      <c r="H784" s="23">
        <f>IFERROR(__xludf.DUMMYFUNCTION("""COMPUTED_VALUE"""),77.0)</f>
        <v>77</v>
      </c>
    </row>
    <row r="785">
      <c r="A785" s="16" t="str">
        <f>IFERROR(__xludf.DUMMYFUNCTION("""COMPUTED_VALUE"""),"Млечни")</f>
        <v>Млечни</v>
      </c>
      <c r="B785" s="7" t="str">
        <f>IFERROR(__xludf.DUMMYFUNCTION("""COMPUTED_VALUE"""),"Маскарпоне")</f>
        <v>Маскарпоне</v>
      </c>
      <c r="C785" s="12">
        <f>IFERROR(__xludf.DUMMYFUNCTION("""COMPUTED_VALUE"""),100.0)</f>
        <v>100</v>
      </c>
      <c r="D785" s="7">
        <f>IFERROR(__xludf.DUMMYFUNCTION("""COMPUTED_VALUE"""),5.8)</f>
        <v>5.8</v>
      </c>
      <c r="E785" s="16">
        <f>IFERROR(__xludf.DUMMYFUNCTION("""COMPUTED_VALUE"""),3.0)</f>
        <v>3</v>
      </c>
      <c r="F785" s="16">
        <f>IFERROR(__xludf.DUMMYFUNCTION("""COMPUTED_VALUE"""),35.5)</f>
        <v>35.5</v>
      </c>
      <c r="G785" s="16" t="str">
        <f>IFERROR(__xludf.DUMMYFUNCTION("""COMPUTED_VALUE"""),"0")</f>
        <v>0</v>
      </c>
      <c r="H785" s="23">
        <f>IFERROR(__xludf.DUMMYFUNCTION("""COMPUTED_VALUE"""),354.7)</f>
        <v>354.7</v>
      </c>
    </row>
    <row r="786">
      <c r="A786" s="16" t="str">
        <f>IFERROR(__xludf.DUMMYFUNCTION("""COMPUTED_VALUE"""),"Млечни")</f>
        <v>Млечни</v>
      </c>
      <c r="B786" s="7" t="str">
        <f>IFERROR(__xludf.DUMMYFUNCTION("""COMPUTED_VALUE"""),"Извара Кондов")</f>
        <v>Извара Кондов</v>
      </c>
      <c r="C786" s="12">
        <f>IFERROR(__xludf.DUMMYFUNCTION("""COMPUTED_VALUE"""),100.0)</f>
        <v>100</v>
      </c>
      <c r="D786" s="7">
        <f>IFERROR(__xludf.DUMMYFUNCTION("""COMPUTED_VALUE"""),12.2)</f>
        <v>12.2</v>
      </c>
      <c r="E786" s="16">
        <f>IFERROR(__xludf.DUMMYFUNCTION("""COMPUTED_VALUE"""),2.7)</f>
        <v>2.7</v>
      </c>
      <c r="F786" s="16">
        <f>IFERROR(__xludf.DUMMYFUNCTION("""COMPUTED_VALUE"""),2.8)</f>
        <v>2.8</v>
      </c>
      <c r="G786" s="16" t="str">
        <f>IFERROR(__xludf.DUMMYFUNCTION("""COMPUTED_VALUE"""),"0")</f>
        <v>0</v>
      </c>
      <c r="H786" s="23">
        <f>IFERROR(__xludf.DUMMYFUNCTION("""COMPUTED_VALUE"""),84.8)</f>
        <v>84.8</v>
      </c>
    </row>
    <row r="787">
      <c r="A787" s="16" t="str">
        <f>IFERROR(__xludf.DUMMYFUNCTION("""COMPUTED_VALUE"""),"Млечни")</f>
        <v>Млечни</v>
      </c>
      <c r="B787" s="7" t="str">
        <f>IFERROR(__xludf.DUMMYFUNCTION("""COMPUTED_VALUE"""),"Нискомаслен кашкавал Маджаров")</f>
        <v>Нискомаслен кашкавал Маджаров</v>
      </c>
      <c r="C787" s="12">
        <f>IFERROR(__xludf.DUMMYFUNCTION("""COMPUTED_VALUE"""),100.0)</f>
        <v>100</v>
      </c>
      <c r="D787" s="7">
        <f>IFERROR(__xludf.DUMMYFUNCTION("""COMPUTED_VALUE"""),30.0)</f>
        <v>30</v>
      </c>
      <c r="E787" s="16">
        <f>IFERROR(__xludf.DUMMYFUNCTION("""COMPUTED_VALUE"""),2.6)</f>
        <v>2.6</v>
      </c>
      <c r="F787" s="16">
        <f>IFERROR(__xludf.DUMMYFUNCTION("""COMPUTED_VALUE"""),16.0)</f>
        <v>16</v>
      </c>
      <c r="G787" s="16" t="str">
        <f>IFERROR(__xludf.DUMMYFUNCTION("""COMPUTED_VALUE"""),"0")</f>
        <v>0</v>
      </c>
      <c r="H787" s="23">
        <f>IFERROR(__xludf.DUMMYFUNCTION("""COMPUTED_VALUE"""),274.4)</f>
        <v>274.4</v>
      </c>
    </row>
    <row r="788">
      <c r="A788" s="16" t="str">
        <f>IFERROR(__xludf.DUMMYFUNCTION("""COMPUTED_VALUE"""),"Млечни")</f>
        <v>Млечни</v>
      </c>
      <c r="B788" s="7" t="str">
        <f>IFERROR(__xludf.DUMMYFUNCTION("""COMPUTED_VALUE"""),"Извара ДМ")</f>
        <v>Извара ДМ</v>
      </c>
      <c r="C788" s="12">
        <f>IFERROR(__xludf.DUMMYFUNCTION("""COMPUTED_VALUE"""),100.0)</f>
        <v>100</v>
      </c>
      <c r="D788" s="7">
        <f>IFERROR(__xludf.DUMMYFUNCTION("""COMPUTED_VALUE"""),13.0)</f>
        <v>13</v>
      </c>
      <c r="E788" s="16">
        <f>IFERROR(__xludf.DUMMYFUNCTION("""COMPUTED_VALUE"""),2.4)</f>
        <v>2.4</v>
      </c>
      <c r="F788" s="16">
        <f>IFERROR(__xludf.DUMMYFUNCTION("""COMPUTED_VALUE"""),5.0)</f>
        <v>5</v>
      </c>
      <c r="G788" s="16" t="str">
        <f>IFERROR(__xludf.DUMMYFUNCTION("""COMPUTED_VALUE"""),"0")</f>
        <v>0</v>
      </c>
      <c r="H788" s="23">
        <f>IFERROR(__xludf.DUMMYFUNCTION("""COMPUTED_VALUE"""),106.6)</f>
        <v>106.6</v>
      </c>
    </row>
    <row r="789">
      <c r="A789" s="16" t="str">
        <f>IFERROR(__xludf.DUMMYFUNCTION("""COMPUTED_VALUE"""),"Млечни")</f>
        <v>Млечни</v>
      </c>
      <c r="B789" s="7" t="str">
        <f>IFERROR(__xludf.DUMMYFUNCTION("""COMPUTED_VALUE"""),"Гауда")</f>
        <v>Гауда</v>
      </c>
      <c r="C789" s="12">
        <f>IFERROR(__xludf.DUMMYFUNCTION("""COMPUTED_VALUE"""),100.0)</f>
        <v>100</v>
      </c>
      <c r="D789" s="7">
        <f>IFERROR(__xludf.DUMMYFUNCTION("""COMPUTED_VALUE"""),25.0)</f>
        <v>25</v>
      </c>
      <c r="E789" s="16">
        <f>IFERROR(__xludf.DUMMYFUNCTION("""COMPUTED_VALUE"""),2.1999999999999997)</f>
        <v>2.2</v>
      </c>
      <c r="F789" s="16">
        <f>IFERROR(__xludf.DUMMYFUNCTION("""COMPUTED_VALUE"""),27.400000000000002)</f>
        <v>27.4</v>
      </c>
      <c r="G789" s="16" t="str">
        <f>IFERROR(__xludf.DUMMYFUNCTION("""COMPUTED_VALUE"""),"0")</f>
        <v>0</v>
      </c>
      <c r="H789" s="23">
        <f>IFERROR(__xludf.DUMMYFUNCTION("""COMPUTED_VALUE"""),355.40000000000003)</f>
        <v>355.4</v>
      </c>
    </row>
    <row r="790">
      <c r="A790" s="16" t="str">
        <f>IFERROR(__xludf.DUMMYFUNCTION("""COMPUTED_VALUE"""),"Млечни")</f>
        <v>Млечни</v>
      </c>
      <c r="B790" s="7" t="str">
        <f>IFERROR(__xludf.DUMMYFUNCTION("""COMPUTED_VALUE"""),"Нискомаслен кашкавал Домлян")</f>
        <v>Нискомаслен кашкавал Домлян</v>
      </c>
      <c r="C790" s="12">
        <f>IFERROR(__xludf.DUMMYFUNCTION("""COMPUTED_VALUE"""),100.0)</f>
        <v>100</v>
      </c>
      <c r="D790" s="7">
        <f>IFERROR(__xludf.DUMMYFUNCTION("""COMPUTED_VALUE"""),29.0)</f>
        <v>29</v>
      </c>
      <c r="E790" s="16">
        <f>IFERROR(__xludf.DUMMYFUNCTION("""COMPUTED_VALUE"""),2.1)</f>
        <v>2.1</v>
      </c>
      <c r="F790" s="16">
        <f>IFERROR(__xludf.DUMMYFUNCTION("""COMPUTED_VALUE"""),15.0)</f>
        <v>15</v>
      </c>
      <c r="G790" s="16" t="str">
        <f>IFERROR(__xludf.DUMMYFUNCTION("""COMPUTED_VALUE"""),"0")</f>
        <v>0</v>
      </c>
      <c r="H790" s="23">
        <f>IFERROR(__xludf.DUMMYFUNCTION("""COMPUTED_VALUE"""),259.4)</f>
        <v>259.4</v>
      </c>
    </row>
    <row r="791">
      <c r="A791" s="16" t="str">
        <f>IFERROR(__xludf.DUMMYFUNCTION("""COMPUTED_VALUE"""),"Млечни")</f>
        <v>Млечни</v>
      </c>
      <c r="B791" s="7" t="str">
        <f>IFERROR(__xludf.DUMMYFUNCTION("""COMPUTED_VALUE"""),"Бри сирене")</f>
        <v>Бри сирене</v>
      </c>
      <c r="C791" s="12">
        <f>IFERROR(__xludf.DUMMYFUNCTION("""COMPUTED_VALUE"""),100.0)</f>
        <v>100</v>
      </c>
      <c r="D791" s="7">
        <f>IFERROR(__xludf.DUMMYFUNCTION("""COMPUTED_VALUE"""),16.0)</f>
        <v>16</v>
      </c>
      <c r="E791" s="16">
        <f>IFERROR(__xludf.DUMMYFUNCTION("""COMPUTED_VALUE"""),2.0)</f>
        <v>2</v>
      </c>
      <c r="F791" s="16">
        <f>IFERROR(__xludf.DUMMYFUNCTION("""COMPUTED_VALUE"""),33.0)</f>
        <v>33</v>
      </c>
      <c r="G791" s="16" t="str">
        <f>IFERROR(__xludf.DUMMYFUNCTION("""COMPUTED_VALUE"""),"0")</f>
        <v>0</v>
      </c>
      <c r="H791" s="23">
        <f>IFERROR(__xludf.DUMMYFUNCTION("""COMPUTED_VALUE"""),369.0)</f>
        <v>369</v>
      </c>
    </row>
    <row r="792">
      <c r="A792" s="16" t="str">
        <f>IFERROR(__xludf.DUMMYFUNCTION("""COMPUTED_VALUE"""),"Млечни")</f>
        <v>Млечни</v>
      </c>
      <c r="B792" s="7" t="str">
        <f>IFERROR(__xludf.DUMMYFUNCTION("""COMPUTED_VALUE"""),"Ементал")</f>
        <v>Ементал</v>
      </c>
      <c r="C792" s="12">
        <f>IFERROR(__xludf.DUMMYFUNCTION("""COMPUTED_VALUE"""),100.0)</f>
        <v>100</v>
      </c>
      <c r="D792" s="7">
        <f>IFERROR(__xludf.DUMMYFUNCTION("""COMPUTED_VALUE"""),27.0)</f>
        <v>27</v>
      </c>
      <c r="E792" s="16">
        <f>IFERROR(__xludf.DUMMYFUNCTION("""COMPUTED_VALUE"""),2.0)</f>
        <v>2</v>
      </c>
      <c r="F792" s="16">
        <f>IFERROR(__xludf.DUMMYFUNCTION("""COMPUTED_VALUE"""),27.0)</f>
        <v>27</v>
      </c>
      <c r="G792" s="16" t="str">
        <f>IFERROR(__xludf.DUMMYFUNCTION("""COMPUTED_VALUE"""),"0")</f>
        <v>0</v>
      </c>
      <c r="H792" s="23">
        <f>IFERROR(__xludf.DUMMYFUNCTION("""COMPUTED_VALUE"""),359.0)</f>
        <v>359</v>
      </c>
    </row>
    <row r="793">
      <c r="A793" s="16" t="str">
        <f>IFERROR(__xludf.DUMMYFUNCTION("""COMPUTED_VALUE"""),"Млечни")</f>
        <v>Млечни</v>
      </c>
      <c r="B793" s="7" t="str">
        <f>IFERROR(__xludf.DUMMYFUNCTION("""COMPUTED_VALUE"""),"Извара Жоси")</f>
        <v>Извара Жоси</v>
      </c>
      <c r="C793" s="12">
        <f>IFERROR(__xludf.DUMMYFUNCTION("""COMPUTED_VALUE"""),100.0)</f>
        <v>100</v>
      </c>
      <c r="D793" s="7">
        <f>IFERROR(__xludf.DUMMYFUNCTION("""COMPUTED_VALUE"""),12.5)</f>
        <v>12.5</v>
      </c>
      <c r="E793" s="16">
        <f>IFERROR(__xludf.DUMMYFUNCTION("""COMPUTED_VALUE"""),2.0)</f>
        <v>2</v>
      </c>
      <c r="F793" s="16">
        <f>IFERROR(__xludf.DUMMYFUNCTION("""COMPUTED_VALUE"""),0.5)</f>
        <v>0.5</v>
      </c>
      <c r="G793" s="16" t="str">
        <f>IFERROR(__xludf.DUMMYFUNCTION("""COMPUTED_VALUE"""),"0")</f>
        <v>0</v>
      </c>
      <c r="H793" s="23">
        <f>IFERROR(__xludf.DUMMYFUNCTION("""COMPUTED_VALUE"""),62.5)</f>
        <v>62.5</v>
      </c>
    </row>
    <row r="794">
      <c r="A794" s="16" t="str">
        <f>IFERROR(__xludf.DUMMYFUNCTION("""COMPUTED_VALUE"""),"Млечни")</f>
        <v>Млечни</v>
      </c>
      <c r="B794" s="7" t="str">
        <f>IFERROR(__xludf.DUMMYFUNCTION("""COMPUTED_VALUE"""),"Извара Маджаров")</f>
        <v>Извара Маджаров</v>
      </c>
      <c r="C794" s="12">
        <f>IFERROR(__xludf.DUMMYFUNCTION("""COMPUTED_VALUE"""),100.0)</f>
        <v>100</v>
      </c>
      <c r="D794" s="7">
        <f>IFERROR(__xludf.DUMMYFUNCTION("""COMPUTED_VALUE"""),13.0)</f>
        <v>13</v>
      </c>
      <c r="E794" s="16">
        <f>IFERROR(__xludf.DUMMYFUNCTION("""COMPUTED_VALUE"""),2.0)</f>
        <v>2</v>
      </c>
      <c r="F794" s="16">
        <f>IFERROR(__xludf.DUMMYFUNCTION("""COMPUTED_VALUE"""),5.0)</f>
        <v>5</v>
      </c>
      <c r="G794" s="16" t="str">
        <f>IFERROR(__xludf.DUMMYFUNCTION("""COMPUTED_VALUE"""),"0")</f>
        <v>0</v>
      </c>
      <c r="H794" s="23">
        <f>IFERROR(__xludf.DUMMYFUNCTION("""COMPUTED_VALUE"""),105.0)</f>
        <v>105</v>
      </c>
    </row>
    <row r="795">
      <c r="A795" s="16" t="str">
        <f>IFERROR(__xludf.DUMMYFUNCTION("""COMPUTED_VALUE"""),"Млечни")</f>
        <v>Млечни</v>
      </c>
      <c r="B795" s="7" t="str">
        <f>IFERROR(__xludf.DUMMYFUNCTION("""COMPUTED_VALUE"""),"Извара Мероне")</f>
        <v>Извара Мероне</v>
      </c>
      <c r="C795" s="12">
        <f>IFERROR(__xludf.DUMMYFUNCTION("""COMPUTED_VALUE"""),100.0)</f>
        <v>100</v>
      </c>
      <c r="D795" s="7">
        <f>IFERROR(__xludf.DUMMYFUNCTION("""COMPUTED_VALUE"""),18.0)</f>
        <v>18</v>
      </c>
      <c r="E795" s="16">
        <f>IFERROR(__xludf.DUMMYFUNCTION("""COMPUTED_VALUE"""),2.0)</f>
        <v>2</v>
      </c>
      <c r="F795" s="16">
        <f>IFERROR(__xludf.DUMMYFUNCTION("""COMPUTED_VALUE"""),0.0)</f>
        <v>0</v>
      </c>
      <c r="G795" s="16" t="str">
        <f>IFERROR(__xludf.DUMMYFUNCTION("""COMPUTED_VALUE"""),"0")</f>
        <v>0</v>
      </c>
      <c r="H795" s="23">
        <f>IFERROR(__xludf.DUMMYFUNCTION("""COMPUTED_VALUE"""),80.0)</f>
        <v>80</v>
      </c>
    </row>
    <row r="796">
      <c r="A796" s="16" t="str">
        <f>IFERROR(__xludf.DUMMYFUNCTION("""COMPUTED_VALUE"""),"Млечни")</f>
        <v>Млечни</v>
      </c>
      <c r="B796" s="7" t="str">
        <f>IFERROR(__xludf.DUMMYFUNCTION("""COMPUTED_VALUE"""),"Извара Мероне Безмаслена")</f>
        <v>Извара Мероне Безмаслена</v>
      </c>
      <c r="C796" s="12">
        <f>IFERROR(__xludf.DUMMYFUNCTION("""COMPUTED_VALUE"""),100.0)</f>
        <v>100</v>
      </c>
      <c r="D796" s="7">
        <f>IFERROR(__xludf.DUMMYFUNCTION("""COMPUTED_VALUE"""),18.0)</f>
        <v>18</v>
      </c>
      <c r="E796" s="16">
        <f>IFERROR(__xludf.DUMMYFUNCTION("""COMPUTED_VALUE"""),2.0)</f>
        <v>2</v>
      </c>
      <c r="F796" s="16">
        <f>IFERROR(__xludf.DUMMYFUNCTION("""COMPUTED_VALUE"""),0.0)</f>
        <v>0</v>
      </c>
      <c r="G796" s="16" t="str">
        <f>IFERROR(__xludf.DUMMYFUNCTION("""COMPUTED_VALUE"""),"0")</f>
        <v>0</v>
      </c>
      <c r="H796" s="23">
        <f>IFERROR(__xludf.DUMMYFUNCTION("""COMPUTED_VALUE"""),80.0)</f>
        <v>80</v>
      </c>
    </row>
    <row r="797">
      <c r="A797" s="16" t="str">
        <f>IFERROR(__xludf.DUMMYFUNCTION("""COMPUTED_VALUE"""),"Млечни")</f>
        <v>Млечни</v>
      </c>
      <c r="B797" s="7" t="str">
        <f>IFERROR(__xludf.DUMMYFUNCTION("""COMPUTED_VALUE"""),"Маджаров Бяло Сирене")</f>
        <v>Маджаров Бяло Сирене</v>
      </c>
      <c r="C797" s="12">
        <f>IFERROR(__xludf.DUMMYFUNCTION("""COMPUTED_VALUE"""),100.0)</f>
        <v>100</v>
      </c>
      <c r="D797" s="7">
        <f>IFERROR(__xludf.DUMMYFUNCTION("""COMPUTED_VALUE"""),18.0)</f>
        <v>18</v>
      </c>
      <c r="E797" s="16">
        <f>IFERROR(__xludf.DUMMYFUNCTION("""COMPUTED_VALUE"""),2.0)</f>
        <v>2</v>
      </c>
      <c r="F797" s="16">
        <f>IFERROR(__xludf.DUMMYFUNCTION("""COMPUTED_VALUE"""),22.0)</f>
        <v>22</v>
      </c>
      <c r="G797" s="16" t="str">
        <f>IFERROR(__xludf.DUMMYFUNCTION("""COMPUTED_VALUE"""),"0")</f>
        <v>0</v>
      </c>
      <c r="H797" s="23">
        <f>IFERROR(__xludf.DUMMYFUNCTION("""COMPUTED_VALUE"""),278.0)</f>
        <v>278</v>
      </c>
    </row>
    <row r="798">
      <c r="A798" s="16" t="str">
        <f>IFERROR(__xludf.DUMMYFUNCTION("""COMPUTED_VALUE"""),"Млечни")</f>
        <v>Млечни</v>
      </c>
      <c r="B798" s="7" t="str">
        <f>IFERROR(__xludf.DUMMYFUNCTION("""COMPUTED_VALUE"""),"Сирене Маджаров")</f>
        <v>Сирене Маджаров</v>
      </c>
      <c r="C798" s="12">
        <f>IFERROR(__xludf.DUMMYFUNCTION("""COMPUTED_VALUE"""),100.0)</f>
        <v>100</v>
      </c>
      <c r="D798" s="7">
        <f>IFERROR(__xludf.DUMMYFUNCTION("""COMPUTED_VALUE"""),18.0)</f>
        <v>18</v>
      </c>
      <c r="E798" s="16">
        <f>IFERROR(__xludf.DUMMYFUNCTION("""COMPUTED_VALUE"""),2.0)</f>
        <v>2</v>
      </c>
      <c r="F798" s="16">
        <f>IFERROR(__xludf.DUMMYFUNCTION("""COMPUTED_VALUE"""),22.0)</f>
        <v>22</v>
      </c>
      <c r="G798" s="16" t="str">
        <f>IFERROR(__xludf.DUMMYFUNCTION("""COMPUTED_VALUE"""),"0")</f>
        <v>0</v>
      </c>
      <c r="H798" s="23">
        <f>IFERROR(__xludf.DUMMYFUNCTION("""COMPUTED_VALUE"""),278.0)</f>
        <v>278</v>
      </c>
    </row>
    <row r="799">
      <c r="A799" s="16" t="str">
        <f>IFERROR(__xludf.DUMMYFUNCTION("""COMPUTED_VALUE"""),"Млечни")</f>
        <v>Млечни</v>
      </c>
      <c r="B799" s="7" t="str">
        <f>IFERROR(__xludf.DUMMYFUNCTION("""COMPUTED_VALUE"""),"Пилос кашкавал")</f>
        <v>Пилос кашкавал</v>
      </c>
      <c r="C799" s="12">
        <f>IFERROR(__xludf.DUMMYFUNCTION("""COMPUTED_VALUE"""),100.0)</f>
        <v>100</v>
      </c>
      <c r="D799" s="7">
        <f>IFERROR(__xludf.DUMMYFUNCTION("""COMPUTED_VALUE"""),24.0)</f>
        <v>24</v>
      </c>
      <c r="E799" s="16">
        <f>IFERROR(__xludf.DUMMYFUNCTION("""COMPUTED_VALUE"""),1.7)</f>
        <v>1.7</v>
      </c>
      <c r="F799" s="16">
        <f>IFERROR(__xludf.DUMMYFUNCTION("""COMPUTED_VALUE"""),23.0)</f>
        <v>23</v>
      </c>
      <c r="G799" s="16" t="str">
        <f>IFERROR(__xludf.DUMMYFUNCTION("""COMPUTED_VALUE"""),"0")</f>
        <v>0</v>
      </c>
      <c r="H799" s="23">
        <f>IFERROR(__xludf.DUMMYFUNCTION("""COMPUTED_VALUE"""),309.8)</f>
        <v>309.8</v>
      </c>
    </row>
    <row r="800">
      <c r="A800" s="16" t="str">
        <f>IFERROR(__xludf.DUMMYFUNCTION("""COMPUTED_VALUE"""),"Млечни")</f>
        <v>Млечни</v>
      </c>
      <c r="B800" s="7" t="str">
        <f>IFERROR(__xludf.DUMMYFUNCTION("""COMPUTED_VALUE"""),"Моцарела лайт")</f>
        <v>Моцарела лайт</v>
      </c>
      <c r="C800" s="12">
        <f>IFERROR(__xludf.DUMMYFUNCTION("""COMPUTED_VALUE"""),100.0)</f>
        <v>100</v>
      </c>
      <c r="D800" s="7">
        <f>IFERROR(__xludf.DUMMYFUNCTION("""COMPUTED_VALUE"""),20.0)</f>
        <v>20</v>
      </c>
      <c r="E800" s="16">
        <f>IFERROR(__xludf.DUMMYFUNCTION("""COMPUTED_VALUE"""),1.5)</f>
        <v>1.5</v>
      </c>
      <c r="F800" s="16">
        <f>IFERROR(__xludf.DUMMYFUNCTION("""COMPUTED_VALUE"""),8.0)</f>
        <v>8</v>
      </c>
      <c r="G800" s="16" t="str">
        <f>IFERROR(__xludf.DUMMYFUNCTION("""COMPUTED_VALUE"""),"0")</f>
        <v>0</v>
      </c>
      <c r="H800" s="23">
        <f>IFERROR(__xludf.DUMMYFUNCTION("""COMPUTED_VALUE"""),158.0)</f>
        <v>158</v>
      </c>
    </row>
    <row r="801">
      <c r="A801" s="16" t="str">
        <f>IFERROR(__xludf.DUMMYFUNCTION("""COMPUTED_VALUE"""),"Млечни")</f>
        <v>Млечни</v>
      </c>
      <c r="B801" s="7" t="str">
        <f>IFERROR(__xludf.DUMMYFUNCTION("""COMPUTED_VALUE"""),"Пилос синьо сирене")</f>
        <v>Пилос синьо сирене</v>
      </c>
      <c r="C801" s="12">
        <f>IFERROR(__xludf.DUMMYFUNCTION("""COMPUTED_VALUE"""),100.0)</f>
        <v>100</v>
      </c>
      <c r="D801" s="7">
        <f>IFERROR(__xludf.DUMMYFUNCTION("""COMPUTED_VALUE"""),19.0)</f>
        <v>19</v>
      </c>
      <c r="E801" s="16">
        <f>IFERROR(__xludf.DUMMYFUNCTION("""COMPUTED_VALUE"""),1.5)</f>
        <v>1.5</v>
      </c>
      <c r="F801" s="16">
        <f>IFERROR(__xludf.DUMMYFUNCTION("""COMPUTED_VALUE"""),25.0)</f>
        <v>25</v>
      </c>
      <c r="G801" s="16" t="str">
        <f>IFERROR(__xludf.DUMMYFUNCTION("""COMPUTED_VALUE"""),"0")</f>
        <v>0</v>
      </c>
      <c r="H801" s="23">
        <f>IFERROR(__xludf.DUMMYFUNCTION("""COMPUTED_VALUE"""),307.0)</f>
        <v>307</v>
      </c>
    </row>
    <row r="802">
      <c r="A802" s="16" t="str">
        <f>IFERROR(__xludf.DUMMYFUNCTION("""COMPUTED_VALUE"""),"Млечни")</f>
        <v>Млечни</v>
      </c>
      <c r="B802" s="7" t="str">
        <f>IFERROR(__xludf.DUMMYFUNCTION("""COMPUTED_VALUE"""),"Скирела")</f>
        <v>Скирела</v>
      </c>
      <c r="C802" s="12">
        <f>IFERROR(__xludf.DUMMYFUNCTION("""COMPUTED_VALUE"""),100.0)</f>
        <v>100</v>
      </c>
      <c r="D802" s="7">
        <f>IFERROR(__xludf.DUMMYFUNCTION("""COMPUTED_VALUE"""),22.5)</f>
        <v>22.5</v>
      </c>
      <c r="E802" s="16">
        <f>IFERROR(__xludf.DUMMYFUNCTION("""COMPUTED_VALUE"""),1.5)</f>
        <v>1.5</v>
      </c>
      <c r="F802" s="16">
        <f>IFERROR(__xludf.DUMMYFUNCTION("""COMPUTED_VALUE"""),2.6)</f>
        <v>2.6</v>
      </c>
      <c r="G802" s="16" t="str">
        <f>IFERROR(__xludf.DUMMYFUNCTION("""COMPUTED_VALUE"""),"0")</f>
        <v>0</v>
      </c>
      <c r="H802" s="23">
        <f>IFERROR(__xludf.DUMMYFUNCTION("""COMPUTED_VALUE"""),119.4)</f>
        <v>119.4</v>
      </c>
    </row>
    <row r="803">
      <c r="A803" s="16" t="str">
        <f>IFERROR(__xludf.DUMMYFUNCTION("""COMPUTED_VALUE"""),"Млечни")</f>
        <v>Млечни</v>
      </c>
      <c r="B803" s="7" t="str">
        <f>IFERROR(__xludf.DUMMYFUNCTION("""COMPUTED_VALUE"""),"Халуми")</f>
        <v>Халуми</v>
      </c>
      <c r="C803" s="12">
        <f>IFERROR(__xludf.DUMMYFUNCTION("""COMPUTED_VALUE"""),100.0)</f>
        <v>100</v>
      </c>
      <c r="D803" s="7">
        <f>IFERROR(__xludf.DUMMYFUNCTION("""COMPUTED_VALUE"""),22.0)</f>
        <v>22</v>
      </c>
      <c r="E803" s="16">
        <f>IFERROR(__xludf.DUMMYFUNCTION("""COMPUTED_VALUE"""),1.5)</f>
        <v>1.5</v>
      </c>
      <c r="F803" s="16">
        <f>IFERROR(__xludf.DUMMYFUNCTION("""COMPUTED_VALUE"""),25.0)</f>
        <v>25</v>
      </c>
      <c r="G803" s="16" t="str">
        <f>IFERROR(__xludf.DUMMYFUNCTION("""COMPUTED_VALUE"""),"0")</f>
        <v>0</v>
      </c>
      <c r="H803" s="23">
        <f>IFERROR(__xludf.DUMMYFUNCTION("""COMPUTED_VALUE"""),319.0)</f>
        <v>319</v>
      </c>
    </row>
    <row r="804">
      <c r="A804" s="16" t="str">
        <f>IFERROR(__xludf.DUMMYFUNCTION("""COMPUTED_VALUE"""),"Млечни")</f>
        <v>Млечни</v>
      </c>
      <c r="B804" s="7" t="str">
        <f>IFERROR(__xludf.DUMMYFUNCTION("""COMPUTED_VALUE"""),"Чедър")</f>
        <v>Чедър</v>
      </c>
      <c r="C804" s="12">
        <f>IFERROR(__xludf.DUMMYFUNCTION("""COMPUTED_VALUE"""),100.0)</f>
        <v>100</v>
      </c>
      <c r="D804" s="7">
        <f>IFERROR(__xludf.DUMMYFUNCTION("""COMPUTED_VALUE"""),24.0)</f>
        <v>24</v>
      </c>
      <c r="E804" s="16">
        <f>IFERROR(__xludf.DUMMYFUNCTION("""COMPUTED_VALUE"""),1.3299999999999998)</f>
        <v>1.33</v>
      </c>
      <c r="F804" s="16">
        <f>IFERROR(__xludf.DUMMYFUNCTION("""COMPUTED_VALUE"""),33.800000000000004)</f>
        <v>33.8</v>
      </c>
      <c r="G804" s="16" t="str">
        <f>IFERROR(__xludf.DUMMYFUNCTION("""COMPUTED_VALUE"""),"0")</f>
        <v>0</v>
      </c>
      <c r="H804" s="23">
        <f>IFERROR(__xludf.DUMMYFUNCTION("""COMPUTED_VALUE"""),405.52000000000004)</f>
        <v>405.52</v>
      </c>
    </row>
    <row r="805">
      <c r="A805" s="16" t="str">
        <f>IFERROR(__xludf.DUMMYFUNCTION("""COMPUTED_VALUE"""),"Млечни")</f>
        <v>Млечни</v>
      </c>
      <c r="B805" s="7" t="str">
        <f>IFERROR(__xludf.DUMMYFUNCTION("""COMPUTED_VALUE"""),"Едам")</f>
        <v>Едам</v>
      </c>
      <c r="C805" s="12">
        <f>IFERROR(__xludf.DUMMYFUNCTION("""COMPUTED_VALUE"""),100.0)</f>
        <v>100</v>
      </c>
      <c r="D805" s="7">
        <f>IFERROR(__xludf.DUMMYFUNCTION("""COMPUTED_VALUE"""),23.0)</f>
        <v>23</v>
      </c>
      <c r="E805" s="16">
        <f>IFERROR(__xludf.DUMMYFUNCTION("""COMPUTED_VALUE"""),1.0)</f>
        <v>1</v>
      </c>
      <c r="F805" s="16">
        <f>IFERROR(__xludf.DUMMYFUNCTION("""COMPUTED_VALUE"""),24.0)</f>
        <v>24</v>
      </c>
      <c r="G805" s="16" t="str">
        <f>IFERROR(__xludf.DUMMYFUNCTION("""COMPUTED_VALUE"""),"0")</f>
        <v>0</v>
      </c>
      <c r="H805" s="23">
        <f>IFERROR(__xludf.DUMMYFUNCTION("""COMPUTED_VALUE"""),312.0)</f>
        <v>312</v>
      </c>
    </row>
    <row r="806">
      <c r="A806" s="16" t="str">
        <f>IFERROR(__xludf.DUMMYFUNCTION("""COMPUTED_VALUE"""),"Млечни")</f>
        <v>Млечни</v>
      </c>
      <c r="B806" s="7" t="str">
        <f>IFERROR(__xludf.DUMMYFUNCTION("""COMPUTED_VALUE"""),"Саламурено сирене")</f>
        <v>Саламурено сирене</v>
      </c>
      <c r="C806" s="12">
        <f>IFERROR(__xludf.DUMMYFUNCTION("""COMPUTED_VALUE"""),100.0)</f>
        <v>100</v>
      </c>
      <c r="D806" s="7">
        <f>IFERROR(__xludf.DUMMYFUNCTION("""COMPUTED_VALUE"""),12.0)</f>
        <v>12</v>
      </c>
      <c r="E806" s="16">
        <f>IFERROR(__xludf.DUMMYFUNCTION("""COMPUTED_VALUE"""),1.0)</f>
        <v>1</v>
      </c>
      <c r="F806" s="16">
        <f>IFERROR(__xludf.DUMMYFUNCTION("""COMPUTED_VALUE"""),13.0)</f>
        <v>13</v>
      </c>
      <c r="G806" s="16" t="str">
        <f>IFERROR(__xludf.DUMMYFUNCTION("""COMPUTED_VALUE"""),"0")</f>
        <v>0</v>
      </c>
      <c r="H806" s="23">
        <f>IFERROR(__xludf.DUMMYFUNCTION("""COMPUTED_VALUE"""),169.0)</f>
        <v>169</v>
      </c>
    </row>
    <row r="807">
      <c r="A807" s="16" t="str">
        <f>IFERROR(__xludf.DUMMYFUNCTION("""COMPUTED_VALUE"""),"Млечни")</f>
        <v>Млечни</v>
      </c>
      <c r="B807" s="7" t="str">
        <f>IFERROR(__xludf.DUMMYFUNCTION("""COMPUTED_VALUE"""),"Ементал, Arla")</f>
        <v>Ементал, Arla</v>
      </c>
      <c r="C807" s="12">
        <f>IFERROR(__xludf.DUMMYFUNCTION("""COMPUTED_VALUE"""),100.0)</f>
        <v>100</v>
      </c>
      <c r="D807" s="7">
        <f>IFERROR(__xludf.DUMMYFUNCTION("""COMPUTED_VALUE"""),29.0)</f>
        <v>29</v>
      </c>
      <c r="E807" s="16">
        <f>IFERROR(__xludf.DUMMYFUNCTION("""COMPUTED_VALUE"""),0.5)</f>
        <v>0.5</v>
      </c>
      <c r="F807" s="16">
        <f>IFERROR(__xludf.DUMMYFUNCTION("""COMPUTED_VALUE"""),29.0)</f>
        <v>29</v>
      </c>
      <c r="G807" s="16" t="str">
        <f>IFERROR(__xludf.DUMMYFUNCTION("""COMPUTED_VALUE"""),"0")</f>
        <v>0</v>
      </c>
      <c r="H807" s="23">
        <f>IFERROR(__xludf.DUMMYFUNCTION("""COMPUTED_VALUE"""),379.0)</f>
        <v>379</v>
      </c>
    </row>
    <row r="808">
      <c r="A808" s="16" t="str">
        <f>IFERROR(__xludf.DUMMYFUNCTION("""COMPUTED_VALUE"""),"Млечни")</f>
        <v>Млечни</v>
      </c>
      <c r="B808" s="7" t="str">
        <f>IFERROR(__xludf.DUMMYFUNCTION("""COMPUTED_VALUE"""),"Бурата")</f>
        <v>Бурата</v>
      </c>
      <c r="C808" s="12">
        <f>IFERROR(__xludf.DUMMYFUNCTION("""COMPUTED_VALUE"""),100.0)</f>
        <v>100</v>
      </c>
      <c r="D808" s="7">
        <f>IFERROR(__xludf.DUMMYFUNCTION("""COMPUTED_VALUE"""),13.0)</f>
        <v>13</v>
      </c>
      <c r="E808" s="16">
        <f>IFERROR(__xludf.DUMMYFUNCTION("""COMPUTED_VALUE"""),0.0)</f>
        <v>0</v>
      </c>
      <c r="F808" s="16">
        <f>IFERROR(__xludf.DUMMYFUNCTION("""COMPUTED_VALUE"""),23.0)</f>
        <v>23</v>
      </c>
      <c r="G808" s="16" t="str">
        <f>IFERROR(__xludf.DUMMYFUNCTION("""COMPUTED_VALUE"""),"0")</f>
        <v>0</v>
      </c>
      <c r="H808" s="23">
        <f>IFERROR(__xludf.DUMMYFUNCTION("""COMPUTED_VALUE"""),259.0)</f>
        <v>259</v>
      </c>
    </row>
    <row r="809">
      <c r="A809" s="16" t="str">
        <f>IFERROR(__xludf.DUMMYFUNCTION("""COMPUTED_VALUE"""),"Млечни")</f>
        <v>Млечни</v>
      </c>
      <c r="B809" s="7" t="str">
        <f>IFERROR(__xludf.DUMMYFUNCTION("""COMPUTED_VALUE"""),"Кашкавал ")</f>
        <v>Кашкавал </v>
      </c>
      <c r="C809" s="12">
        <f>IFERROR(__xludf.DUMMYFUNCTION("""COMPUTED_VALUE"""),100.0)</f>
        <v>100</v>
      </c>
      <c r="D809" s="7">
        <f>IFERROR(__xludf.DUMMYFUNCTION("""COMPUTED_VALUE"""),25.0)</f>
        <v>25</v>
      </c>
      <c r="E809" s="16">
        <f>IFERROR(__xludf.DUMMYFUNCTION("""COMPUTED_VALUE"""),0.0)</f>
        <v>0</v>
      </c>
      <c r="F809" s="16">
        <f>IFERROR(__xludf.DUMMYFUNCTION("""COMPUTED_VALUE"""),26.0)</f>
        <v>26</v>
      </c>
      <c r="G809" s="16" t="str">
        <f>IFERROR(__xludf.DUMMYFUNCTION("""COMPUTED_VALUE"""),"0")</f>
        <v>0</v>
      </c>
      <c r="H809" s="23">
        <f>IFERROR(__xludf.DUMMYFUNCTION("""COMPUTED_VALUE"""),334.0)</f>
        <v>334</v>
      </c>
    </row>
    <row r="810">
      <c r="A810" s="16" t="str">
        <f>IFERROR(__xludf.DUMMYFUNCTION("""COMPUTED_VALUE"""),"Млечни")</f>
        <v>Млечни</v>
      </c>
      <c r="B810" s="7" t="str">
        <f>IFERROR(__xludf.DUMMYFUNCTION("""COMPUTED_VALUE"""),"Леердамер сирене")</f>
        <v>Леердамер сирене</v>
      </c>
      <c r="C810" s="12">
        <f>IFERROR(__xludf.DUMMYFUNCTION("""COMPUTED_VALUE"""),100.0)</f>
        <v>100</v>
      </c>
      <c r="D810" s="7">
        <f>IFERROR(__xludf.DUMMYFUNCTION("""COMPUTED_VALUE"""),29.5)</f>
        <v>29.5</v>
      </c>
      <c r="E810" s="16">
        <f>IFERROR(__xludf.DUMMYFUNCTION("""COMPUTED_VALUE"""),0.0)</f>
        <v>0</v>
      </c>
      <c r="F810" s="16">
        <f>IFERROR(__xludf.DUMMYFUNCTION("""COMPUTED_VALUE"""),17.0)</f>
        <v>17</v>
      </c>
      <c r="G810" s="16" t="str">
        <f>IFERROR(__xludf.DUMMYFUNCTION("""COMPUTED_VALUE"""),"0")</f>
        <v>0</v>
      </c>
      <c r="H810" s="23">
        <f>IFERROR(__xludf.DUMMYFUNCTION("""COMPUTED_VALUE"""),271.0)</f>
        <v>271</v>
      </c>
    </row>
    <row r="811">
      <c r="A811" s="16" t="str">
        <f>IFERROR(__xludf.DUMMYFUNCTION("""COMPUTED_VALUE"""),"Млечни")</f>
        <v>Млечни</v>
      </c>
      <c r="B811" s="7" t="str">
        <f>IFERROR(__xludf.DUMMYFUNCTION("""COMPUTED_VALUE"""),"Limburger 9% (сирене)")</f>
        <v>Limburger 9% (сирене)</v>
      </c>
      <c r="C811" s="12">
        <f>IFERROR(__xludf.DUMMYFUNCTION("""COMPUTED_VALUE"""),100.0)</f>
        <v>100</v>
      </c>
      <c r="D811" s="7">
        <f>IFERROR(__xludf.DUMMYFUNCTION("""COMPUTED_VALUE"""),26.0)</f>
        <v>26</v>
      </c>
      <c r="E811" s="16">
        <f>IFERROR(__xludf.DUMMYFUNCTION("""COMPUTED_VALUE"""),0.0)</f>
        <v>0</v>
      </c>
      <c r="F811" s="16">
        <f>IFERROR(__xludf.DUMMYFUNCTION("""COMPUTED_VALUE"""),9.0)</f>
        <v>9</v>
      </c>
      <c r="G811" s="16" t="str">
        <f>IFERROR(__xludf.DUMMYFUNCTION("""COMPUTED_VALUE"""),"0")</f>
        <v>0</v>
      </c>
      <c r="H811" s="23">
        <f>IFERROR(__xludf.DUMMYFUNCTION("""COMPUTED_VALUE"""),185.0)</f>
        <v>185</v>
      </c>
    </row>
    <row r="812">
      <c r="A812" s="16" t="str">
        <f>IFERROR(__xludf.DUMMYFUNCTION("""COMPUTED_VALUE"""),"Млечни")</f>
        <v>Млечни</v>
      </c>
      <c r="B812" s="7" t="str">
        <f>IFERROR(__xludf.DUMMYFUNCTION("""COMPUTED_VALUE"""),"Моцарела")</f>
        <v>Моцарела</v>
      </c>
      <c r="C812" s="12">
        <f>IFERROR(__xludf.DUMMYFUNCTION("""COMPUTED_VALUE"""),100.0)</f>
        <v>100</v>
      </c>
      <c r="D812" s="7">
        <f>IFERROR(__xludf.DUMMYFUNCTION("""COMPUTED_VALUE"""),19.0)</f>
        <v>19</v>
      </c>
      <c r="E812" s="16">
        <f>IFERROR(__xludf.DUMMYFUNCTION("""COMPUTED_VALUE"""),0.0)</f>
        <v>0</v>
      </c>
      <c r="F812" s="16">
        <f>IFERROR(__xludf.DUMMYFUNCTION("""COMPUTED_VALUE"""),18.5)</f>
        <v>18.5</v>
      </c>
      <c r="G812" s="16" t="str">
        <f>IFERROR(__xludf.DUMMYFUNCTION("""COMPUTED_VALUE"""),"0")</f>
        <v>0</v>
      </c>
      <c r="H812" s="23">
        <f>IFERROR(__xludf.DUMMYFUNCTION("""COMPUTED_VALUE"""),242.5)</f>
        <v>242.5</v>
      </c>
    </row>
    <row r="813">
      <c r="A813" s="16" t="str">
        <f>IFERROR(__xludf.DUMMYFUNCTION("""COMPUTED_VALUE"""),"Млечни")</f>
        <v>Млечни</v>
      </c>
      <c r="B813" s="7" t="str">
        <f>IFERROR(__xludf.DUMMYFUNCTION("""COMPUTED_VALUE"""),"Бяло сирене")</f>
        <v>Бяло сирене</v>
      </c>
      <c r="C813" s="12">
        <f>IFERROR(__xludf.DUMMYFUNCTION("""COMPUTED_VALUE"""),100.0)</f>
        <v>100</v>
      </c>
      <c r="D813" s="7">
        <f>IFERROR(__xludf.DUMMYFUNCTION("""COMPUTED_VALUE"""),16.0)</f>
        <v>16</v>
      </c>
      <c r="E813" s="16"/>
      <c r="F813" s="16">
        <f>IFERROR(__xludf.DUMMYFUNCTION("""COMPUTED_VALUE"""),23.0)</f>
        <v>23</v>
      </c>
      <c r="G813" s="16" t="str">
        <f>IFERROR(__xludf.DUMMYFUNCTION("""COMPUTED_VALUE"""),"0")</f>
        <v>0</v>
      </c>
      <c r="H813" s="23">
        <f>IFERROR(__xludf.DUMMYFUNCTION("""COMPUTED_VALUE"""),271.0)</f>
        <v>271</v>
      </c>
    </row>
    <row r="814">
      <c r="A814" s="16" t="str">
        <f>IFERROR(__xludf.DUMMYFUNCTION("""COMPUTED_VALUE"""),"Млечни")</f>
        <v>Млечни</v>
      </c>
      <c r="B814" s="7" t="str">
        <f>IFERROR(__xludf.DUMMYFUNCTION("""COMPUTED_VALUE"""),"Краве сирене Верея")</f>
        <v>Краве сирене Верея</v>
      </c>
      <c r="C814" s="12">
        <f>IFERROR(__xludf.DUMMYFUNCTION("""COMPUTED_VALUE"""),100.0)</f>
        <v>100</v>
      </c>
      <c r="D814" s="7">
        <f>IFERROR(__xludf.DUMMYFUNCTION("""COMPUTED_VALUE"""),15.0)</f>
        <v>15</v>
      </c>
      <c r="E814" s="16">
        <f>IFERROR(__xludf.DUMMYFUNCTION("""COMPUTED_VALUE"""),3.0)</f>
        <v>3</v>
      </c>
      <c r="F814" s="16">
        <f>IFERROR(__xludf.DUMMYFUNCTION("""COMPUTED_VALUE"""),19.0)</f>
        <v>19</v>
      </c>
      <c r="G814" s="16" t="str">
        <f>IFERROR(__xludf.DUMMYFUNCTION("""COMPUTED_VALUE"""),"0")</f>
        <v>0</v>
      </c>
      <c r="H814" s="23">
        <f>IFERROR(__xludf.DUMMYFUNCTION("""COMPUTED_VALUE"""),243.0)</f>
        <v>243</v>
      </c>
    </row>
    <row r="815">
      <c r="A815" s="16" t="str">
        <f>IFERROR(__xludf.DUMMYFUNCTION("""COMPUTED_VALUE"""),"Млечни")</f>
        <v>Млечни</v>
      </c>
      <c r="B815" s="7" t="str">
        <f>IFERROR(__xludf.DUMMYFUNCTION("""COMPUTED_VALUE"""),"Скир-плодов Лидл")</f>
        <v>Скир-плодов Лидл</v>
      </c>
      <c r="C815" s="12">
        <f>IFERROR(__xludf.DUMMYFUNCTION("""COMPUTED_VALUE"""),100.0)</f>
        <v>100</v>
      </c>
      <c r="D815" s="7">
        <f>IFERROR(__xludf.DUMMYFUNCTION("""COMPUTED_VALUE"""),8.9)</f>
        <v>8.9</v>
      </c>
      <c r="E815" s="16">
        <f>IFERROR(__xludf.DUMMYFUNCTION("""COMPUTED_VALUE"""),4.6)</f>
        <v>4.6</v>
      </c>
      <c r="F815" s="16">
        <f>IFERROR(__xludf.DUMMYFUNCTION("""COMPUTED_VALUE"""),0.2)</f>
        <v>0.2</v>
      </c>
      <c r="G815" s="16">
        <f>IFERROR(__xludf.DUMMYFUNCTION("""COMPUTED_VALUE"""),0.0)</f>
        <v>0</v>
      </c>
      <c r="H815" s="23">
        <f>IFERROR(__xludf.DUMMYFUNCTION("""COMPUTED_VALUE"""),55.8)</f>
        <v>55.8</v>
      </c>
    </row>
    <row r="816">
      <c r="A816" s="16" t="str">
        <f>IFERROR(__xludf.DUMMYFUNCTION("""COMPUTED_VALUE"""),"Млечни")</f>
        <v>Млечни</v>
      </c>
      <c r="B816" s="7" t="str">
        <f>IFERROR(__xludf.DUMMYFUNCTION("""COMPUTED_VALUE"""),"Извара Пилос(обезмаслена)-Лидл")</f>
        <v>Извара Пилос(обезмаслена)-Лидл</v>
      </c>
      <c r="C816" s="12">
        <f>IFERROR(__xludf.DUMMYFUNCTION("""COMPUTED_VALUE"""),100.0)</f>
        <v>100</v>
      </c>
      <c r="D816" s="7">
        <f>IFERROR(__xludf.DUMMYFUNCTION("""COMPUTED_VALUE"""),11.8)</f>
        <v>11.8</v>
      </c>
      <c r="E816" s="16">
        <f>IFERROR(__xludf.DUMMYFUNCTION("""COMPUTED_VALUE"""),4.0)</f>
        <v>4</v>
      </c>
      <c r="F816" s="16">
        <f>IFERROR(__xludf.DUMMYFUNCTION("""COMPUTED_VALUE"""),0.3)</f>
        <v>0.3</v>
      </c>
      <c r="G816" s="16">
        <f>IFERROR(__xludf.DUMMYFUNCTION("""COMPUTED_VALUE"""),0.0)</f>
        <v>0</v>
      </c>
      <c r="H816" s="23">
        <f>IFERROR(__xludf.DUMMYFUNCTION("""COMPUTED_VALUE"""),65.9)</f>
        <v>65.9</v>
      </c>
    </row>
    <row r="817">
      <c r="A817" s="16" t="str">
        <f>IFERROR(__xludf.DUMMYFUNCTION("""COMPUTED_VALUE"""),"Млечни")</f>
        <v>Млечни</v>
      </c>
      <c r="B817" s="7" t="str">
        <f>IFERROR(__xludf.DUMMYFUNCTION("""COMPUTED_VALUE"""),"Скир Ванилия - Kaufland")</f>
        <v>Скир Ванилия - Kaufland</v>
      </c>
      <c r="C817" s="12">
        <f>IFERROR(__xludf.DUMMYFUNCTION("""COMPUTED_VALUE"""),100.0)</f>
        <v>100</v>
      </c>
      <c r="D817" s="7">
        <f>IFERROR(__xludf.DUMMYFUNCTION("""COMPUTED_VALUE"""),9.2)</f>
        <v>9.2</v>
      </c>
      <c r="E817" s="16">
        <f>IFERROR(__xludf.DUMMYFUNCTION("""COMPUTED_VALUE"""),9.2)</f>
        <v>9.2</v>
      </c>
      <c r="F817" s="16">
        <f>IFERROR(__xludf.DUMMYFUNCTION("""COMPUTED_VALUE"""),0.2)</f>
        <v>0.2</v>
      </c>
      <c r="G817" s="16">
        <f>IFERROR(__xludf.DUMMYFUNCTION("""COMPUTED_VALUE"""),0.5)</f>
        <v>0.5</v>
      </c>
      <c r="H817" s="23">
        <f>IFERROR(__xludf.DUMMYFUNCTION("""COMPUTED_VALUE"""),75.39999999999999)</f>
        <v>75.4</v>
      </c>
    </row>
    <row r="818">
      <c r="A818" s="16" t="str">
        <f>IFERROR(__xludf.DUMMYFUNCTION("""COMPUTED_VALUE"""),"Млечни")</f>
        <v>Млечни</v>
      </c>
      <c r="B818" s="7" t="str">
        <f>IFERROR(__xludf.DUMMYFUNCTION("""COMPUTED_VALUE"""),"Крема сирене Goldessa (LIDL)")</f>
        <v>Крема сирене Goldessa (LIDL)</v>
      </c>
      <c r="C818" s="12">
        <f>IFERROR(__xludf.DUMMYFUNCTION("""COMPUTED_VALUE"""),100.0)</f>
        <v>100</v>
      </c>
      <c r="D818" s="7">
        <f>IFERROR(__xludf.DUMMYFUNCTION("""COMPUTED_VALUE"""),12.0)</f>
        <v>12</v>
      </c>
      <c r="E818" s="16">
        <f>IFERROR(__xludf.DUMMYFUNCTION("""COMPUTED_VALUE"""),3.3)</f>
        <v>3.3</v>
      </c>
      <c r="F818" s="16">
        <f>IFERROR(__xludf.DUMMYFUNCTION("""COMPUTED_VALUE"""),4.0)</f>
        <v>4</v>
      </c>
      <c r="G818" s="16">
        <f>IFERROR(__xludf.DUMMYFUNCTION("""COMPUTED_VALUE"""),0.0)</f>
        <v>0</v>
      </c>
      <c r="H818" s="23">
        <f>IFERROR(__xludf.DUMMYFUNCTION("""COMPUTED_VALUE"""),97.2)</f>
        <v>97.2</v>
      </c>
    </row>
    <row r="819">
      <c r="A819" s="16" t="str">
        <f>IFERROR(__xludf.DUMMYFUNCTION("""COMPUTED_VALUE"""),"Млечни")</f>
        <v>Млечни</v>
      </c>
      <c r="B819" s="7" t="str">
        <f>IFERROR(__xludf.DUMMYFUNCTION("""COMPUTED_VALUE"""),"Биволско сирене (Маджаров)")</f>
        <v>Биволско сирене (Маджаров)</v>
      </c>
      <c r="C819" s="12">
        <f>IFERROR(__xludf.DUMMYFUNCTION("""COMPUTED_VALUE"""),100.0)</f>
        <v>100</v>
      </c>
      <c r="D819" s="7">
        <f>IFERROR(__xludf.DUMMYFUNCTION("""COMPUTED_VALUE"""),17.0)</f>
        <v>17</v>
      </c>
      <c r="E819" s="16">
        <f>IFERROR(__xludf.DUMMYFUNCTION("""COMPUTED_VALUE"""),2.6)</f>
        <v>2.6</v>
      </c>
      <c r="F819" s="16">
        <f>IFERROR(__xludf.DUMMYFUNCTION("""COMPUTED_VALUE"""),23.6)</f>
        <v>23.6</v>
      </c>
      <c r="G819" s="16">
        <f>IFERROR(__xludf.DUMMYFUNCTION("""COMPUTED_VALUE"""),0.0)</f>
        <v>0</v>
      </c>
      <c r="H819" s="23">
        <f>IFERROR(__xludf.DUMMYFUNCTION("""COMPUTED_VALUE"""),290.8)</f>
        <v>290.8</v>
      </c>
    </row>
    <row r="820">
      <c r="A820" s="16" t="str">
        <f>IFERROR(__xludf.DUMMYFUNCTION("""COMPUTED_VALUE"""),"Млечни")</f>
        <v>Млечни</v>
      </c>
      <c r="B820" s="7" t="str">
        <f>IFERROR(__xludf.DUMMYFUNCTION("""COMPUTED_VALUE"""),"Кашкавал - Вършец (Обезмаслен)")</f>
        <v>Кашкавал - Вършец (Обезмаслен)</v>
      </c>
      <c r="C820" s="12">
        <f>IFERROR(__xludf.DUMMYFUNCTION("""COMPUTED_VALUE"""),100.0)</f>
        <v>100</v>
      </c>
      <c r="D820" s="7">
        <f>IFERROR(__xludf.DUMMYFUNCTION("""COMPUTED_VALUE"""),23.0)</f>
        <v>23</v>
      </c>
      <c r="E820" s="16">
        <f>IFERROR(__xludf.DUMMYFUNCTION("""COMPUTED_VALUE"""),0.5)</f>
        <v>0.5</v>
      </c>
      <c r="F820" s="16">
        <f>IFERROR(__xludf.DUMMYFUNCTION("""COMPUTED_VALUE"""),0.2)</f>
        <v>0.2</v>
      </c>
      <c r="G820" s="16">
        <f>IFERROR(__xludf.DUMMYFUNCTION("""COMPUTED_VALUE"""),0.0)</f>
        <v>0</v>
      </c>
      <c r="H820" s="23">
        <f>IFERROR(__xludf.DUMMYFUNCTION("""COMPUTED_VALUE"""),95.8)</f>
        <v>95.8</v>
      </c>
    </row>
    <row r="821">
      <c r="A821" s="16" t="str">
        <f>IFERROR(__xludf.DUMMYFUNCTION("""COMPUTED_VALUE"""),"Млечни")</f>
        <v>Млечни</v>
      </c>
      <c r="B821" s="7" t="str">
        <f>IFERROR(__xludf.DUMMYFUNCTION("""COMPUTED_VALUE"""),"Краве Сирене - Вършец (Обезмаслено)")</f>
        <v>Краве Сирене - Вършец (Обезмаслено)</v>
      </c>
      <c r="C821" s="12">
        <f>IFERROR(__xludf.DUMMYFUNCTION("""COMPUTED_VALUE"""),100.0)</f>
        <v>100</v>
      </c>
      <c r="D821" s="7">
        <f>IFERROR(__xludf.DUMMYFUNCTION("""COMPUTED_VALUE"""),15.0)</f>
        <v>15</v>
      </c>
      <c r="E821" s="16">
        <f>IFERROR(__xludf.DUMMYFUNCTION("""COMPUTED_VALUE"""),0.7)</f>
        <v>0.7</v>
      </c>
      <c r="F821" s="16">
        <f>IFERROR(__xludf.DUMMYFUNCTION("""COMPUTED_VALUE"""),0.2)</f>
        <v>0.2</v>
      </c>
      <c r="G821" s="16">
        <f>IFERROR(__xludf.DUMMYFUNCTION("""COMPUTED_VALUE"""),0.0)</f>
        <v>0</v>
      </c>
      <c r="H821" s="23">
        <f>IFERROR(__xludf.DUMMYFUNCTION("""COMPUTED_VALUE"""),64.6)</f>
        <v>64.6</v>
      </c>
    </row>
    <row r="822">
      <c r="A822" s="16" t="str">
        <f>IFERROR(__xludf.DUMMYFUNCTION("""COMPUTED_VALUE"""),"Млечни")</f>
        <v>Млечни</v>
      </c>
      <c r="B822" s="7" t="str">
        <f>IFERROR(__xludf.DUMMYFUNCTION("""COMPUTED_VALUE"""),"Моцарела от Скир (Skyrella)")</f>
        <v>Моцарела от Скир (Skyrella)</v>
      </c>
      <c r="C822" s="12">
        <f>IFERROR(__xludf.DUMMYFUNCTION("""COMPUTED_VALUE"""),100.0)</f>
        <v>100</v>
      </c>
      <c r="D822" s="7">
        <f>IFERROR(__xludf.DUMMYFUNCTION("""COMPUTED_VALUE"""),22.5)</f>
        <v>22.5</v>
      </c>
      <c r="E822" s="16">
        <f>IFERROR(__xludf.DUMMYFUNCTION("""COMPUTED_VALUE"""),1.5)</f>
        <v>1.5</v>
      </c>
      <c r="F822" s="16">
        <f>IFERROR(__xludf.DUMMYFUNCTION("""COMPUTED_VALUE"""),2.6)</f>
        <v>2.6</v>
      </c>
      <c r="G822" s="16">
        <f>IFERROR(__xludf.DUMMYFUNCTION("""COMPUTED_VALUE"""),0.0)</f>
        <v>0</v>
      </c>
      <c r="H822" s="23">
        <f>IFERROR(__xludf.DUMMYFUNCTION("""COMPUTED_VALUE"""),119.4)</f>
        <v>119.4</v>
      </c>
    </row>
    <row r="823">
      <c r="A823" s="16" t="str">
        <f>IFERROR(__xludf.DUMMYFUNCTION("""COMPUTED_VALUE"""),"Млечни")</f>
        <v>Млечни</v>
      </c>
      <c r="B823" s="7" t="str">
        <f>IFERROR(__xludf.DUMMYFUNCTION("""COMPUTED_VALUE"""),"Протеинова напитка Данон")</f>
        <v>Протеинова напитка Данон</v>
      </c>
      <c r="C823" s="12">
        <f>IFERROR(__xludf.DUMMYFUNCTION("""COMPUTED_VALUE"""),100.0)</f>
        <v>100</v>
      </c>
      <c r="D823" s="7">
        <f>IFERROR(__xludf.DUMMYFUNCTION("""COMPUTED_VALUE"""),24.9)</f>
        <v>24.9</v>
      </c>
      <c r="E823" s="16">
        <f>IFERROR(__xludf.DUMMYFUNCTION("""COMPUTED_VALUE"""),15.9)</f>
        <v>15.9</v>
      </c>
      <c r="F823" s="16">
        <f>IFERROR(__xludf.DUMMYFUNCTION("""COMPUTED_VALUE"""),1.5)</f>
        <v>1.5</v>
      </c>
      <c r="G823" s="16">
        <f>IFERROR(__xludf.DUMMYFUNCTION("""COMPUTED_VALUE"""),0.0)</f>
        <v>0</v>
      </c>
      <c r="H823" s="23">
        <f>IFERROR(__xludf.DUMMYFUNCTION("""COMPUTED_VALUE"""),176.7)</f>
        <v>176.7</v>
      </c>
    </row>
    <row r="824">
      <c r="A824" s="16" t="str">
        <f>IFERROR(__xludf.DUMMYFUNCTION("""COMPUTED_VALUE"""),"Млечни")</f>
        <v>Млечни</v>
      </c>
      <c r="B824" s="7" t="str">
        <f>IFERROR(__xludf.DUMMYFUNCTION("""COMPUTED_VALUE"""),"Извара”Пилос”-4,3%")</f>
        <v>Извара”Пилос”-4,3%</v>
      </c>
      <c r="C824" s="12">
        <f>IFERROR(__xludf.DUMMYFUNCTION("""COMPUTED_VALUE"""),100.0)</f>
        <v>100</v>
      </c>
      <c r="D824" s="7">
        <f>IFERROR(__xludf.DUMMYFUNCTION("""COMPUTED_VALUE"""),10.3)</f>
        <v>10.3</v>
      </c>
      <c r="E824" s="16">
        <f>IFERROR(__xludf.DUMMYFUNCTION("""COMPUTED_VALUE"""),3.7)</f>
        <v>3.7</v>
      </c>
      <c r="F824" s="16">
        <f>IFERROR(__xludf.DUMMYFUNCTION("""COMPUTED_VALUE"""),4.3)</f>
        <v>4.3</v>
      </c>
      <c r="G824" s="16">
        <f>IFERROR(__xludf.DUMMYFUNCTION("""COMPUTED_VALUE"""),0.0)</f>
        <v>0</v>
      </c>
      <c r="H824" s="23">
        <f>IFERROR(__xludf.DUMMYFUNCTION("""COMPUTED_VALUE"""),94.69999999999999)</f>
        <v>94.7</v>
      </c>
    </row>
    <row r="825">
      <c r="A825" s="16" t="str">
        <f>IFERROR(__xludf.DUMMYFUNCTION("""COMPUTED_VALUE"""),"Млечни")</f>
        <v>Млечни</v>
      </c>
      <c r="B825" s="7" t="str">
        <f>IFERROR(__xludf.DUMMYFUNCTION("""COMPUTED_VALUE"""),"Извара - пълномаслена")</f>
        <v>Извара - пълномаслена</v>
      </c>
      <c r="C825" s="12">
        <f>IFERROR(__xludf.DUMMYFUNCTION("""COMPUTED_VALUE"""),100.0)</f>
        <v>100</v>
      </c>
      <c r="D825" s="7">
        <f>IFERROR(__xludf.DUMMYFUNCTION("""COMPUTED_VALUE"""),17.7)</f>
        <v>17.7</v>
      </c>
      <c r="E825" s="16">
        <f>IFERROR(__xludf.DUMMYFUNCTION("""COMPUTED_VALUE"""),3.5)</f>
        <v>3.5</v>
      </c>
      <c r="F825" s="16">
        <f>IFERROR(__xludf.DUMMYFUNCTION("""COMPUTED_VALUE"""),10.1)</f>
        <v>10.1</v>
      </c>
      <c r="G825" s="16">
        <f>IFERROR(__xludf.DUMMYFUNCTION("""COMPUTED_VALUE"""),0.0)</f>
        <v>0</v>
      </c>
      <c r="H825" s="23">
        <f>IFERROR(__xludf.DUMMYFUNCTION("""COMPUTED_VALUE"""),175.7)</f>
        <v>175.7</v>
      </c>
    </row>
    <row r="826">
      <c r="A826" s="16" t="str">
        <f>IFERROR(__xludf.DUMMYFUNCTION("""COMPUTED_VALUE"""),"Млечни")</f>
        <v>Млечни</v>
      </c>
      <c r="B826" s="7" t="str">
        <f>IFERROR(__xludf.DUMMYFUNCTION("""COMPUTED_VALUE"""),"Рикота Lidl")</f>
        <v>Рикота Lidl</v>
      </c>
      <c r="C826" s="12">
        <f>IFERROR(__xludf.DUMMYFUNCTION("""COMPUTED_VALUE"""),100.0)</f>
        <v>100</v>
      </c>
      <c r="D826" s="7">
        <f>IFERROR(__xludf.DUMMYFUNCTION("""COMPUTED_VALUE"""),7.0)</f>
        <v>7</v>
      </c>
      <c r="E826" s="16">
        <f>IFERROR(__xludf.DUMMYFUNCTION("""COMPUTED_VALUE"""),3.0)</f>
        <v>3</v>
      </c>
      <c r="F826" s="16">
        <f>IFERROR(__xludf.DUMMYFUNCTION("""COMPUTED_VALUE"""),8.0)</f>
        <v>8</v>
      </c>
      <c r="G826" s="16">
        <f>IFERROR(__xludf.DUMMYFUNCTION("""COMPUTED_VALUE"""),0.0)</f>
        <v>0</v>
      </c>
      <c r="H826" s="23">
        <f>IFERROR(__xludf.DUMMYFUNCTION("""COMPUTED_VALUE"""),112.0)</f>
        <v>112</v>
      </c>
    </row>
    <row r="827">
      <c r="A827" s="16" t="str">
        <f>IFERROR(__xludf.DUMMYFUNCTION("""COMPUTED_VALUE"""),"Млечни")</f>
        <v>Млечни</v>
      </c>
      <c r="B827" s="7" t="str">
        <f>IFERROR(__xludf.DUMMYFUNCTION("""COMPUTED_VALUE"""),"Сирене, фета (Лидл)")</f>
        <v>Сирене, фета (Лидл)</v>
      </c>
      <c r="C827" s="12">
        <f>IFERROR(__xludf.DUMMYFUNCTION("""COMPUTED_VALUE"""),100.0)</f>
        <v>100</v>
      </c>
      <c r="D827" s="7">
        <f>IFERROR(__xludf.DUMMYFUNCTION("""COMPUTED_VALUE"""),15.0)</f>
        <v>15</v>
      </c>
      <c r="E827" s="16">
        <f>IFERROR(__xludf.DUMMYFUNCTION("""COMPUTED_VALUE"""),0.7)</f>
        <v>0.7</v>
      </c>
      <c r="F827" s="16">
        <f>IFERROR(__xludf.DUMMYFUNCTION("""COMPUTED_VALUE"""),23.0)</f>
        <v>23</v>
      </c>
      <c r="G827" s="16">
        <f>IFERROR(__xludf.DUMMYFUNCTION("""COMPUTED_VALUE"""),0.5)</f>
        <v>0.5</v>
      </c>
      <c r="H827" s="23">
        <f>IFERROR(__xludf.DUMMYFUNCTION("""COMPUTED_VALUE"""),269.8)</f>
        <v>269.8</v>
      </c>
    </row>
    <row r="828">
      <c r="A828" s="16" t="str">
        <f>IFERROR(__xludf.DUMMYFUNCTION("""COMPUTED_VALUE"""),"Млечни")</f>
        <v>Млечни</v>
      </c>
      <c r="B828" s="7" t="str">
        <f>IFERROR(__xludf.DUMMYFUNCTION("""COMPUTED_VALUE"""),"Kисело мляко Верея 2.9%")</f>
        <v>Kисело мляко Верея 2.9%</v>
      </c>
      <c r="C828" s="12">
        <f>IFERROR(__xludf.DUMMYFUNCTION("""COMPUTED_VALUE"""),100.0)</f>
        <v>100</v>
      </c>
      <c r="D828" s="7">
        <f>IFERROR(__xludf.DUMMYFUNCTION("""COMPUTED_VALUE"""),3.4)</f>
        <v>3.4</v>
      </c>
      <c r="E828" s="16">
        <f>IFERROR(__xludf.DUMMYFUNCTION("""COMPUTED_VALUE"""),4.2)</f>
        <v>4.2</v>
      </c>
      <c r="F828" s="16">
        <f>IFERROR(__xludf.DUMMYFUNCTION("""COMPUTED_VALUE"""),2.9)</f>
        <v>2.9</v>
      </c>
      <c r="G828" s="16">
        <f>IFERROR(__xludf.DUMMYFUNCTION("""COMPUTED_VALUE"""),0.0)</f>
        <v>0</v>
      </c>
      <c r="H828" s="23">
        <f>IFERROR(__xludf.DUMMYFUNCTION("""COMPUTED_VALUE"""),56.5)</f>
        <v>56.5</v>
      </c>
    </row>
    <row r="829">
      <c r="A829" s="16" t="str">
        <f>IFERROR(__xludf.DUMMYFUNCTION("""COMPUTED_VALUE"""),"Млечни")</f>
        <v>Млечни</v>
      </c>
      <c r="B829" s="7" t="str">
        <f>IFERROR(__xludf.DUMMYFUNCTION("""COMPUTED_VALUE"""),"Кашкавалена извара Вършец")</f>
        <v>Кашкавалена извара Вършец</v>
      </c>
      <c r="C829" s="12">
        <f>IFERROR(__xludf.DUMMYFUNCTION("""COMPUTED_VALUE"""),100.0)</f>
        <v>100</v>
      </c>
      <c r="D829" s="7">
        <f>IFERROR(__xludf.DUMMYFUNCTION("""COMPUTED_VALUE"""),19.0)</f>
        <v>19</v>
      </c>
      <c r="E829" s="16">
        <f>IFERROR(__xludf.DUMMYFUNCTION("""COMPUTED_VALUE"""),1.4)</f>
        <v>1.4</v>
      </c>
      <c r="F829" s="16">
        <f>IFERROR(__xludf.DUMMYFUNCTION("""COMPUTED_VALUE"""),22.0)</f>
        <v>22</v>
      </c>
      <c r="G829" s="16">
        <f>IFERROR(__xludf.DUMMYFUNCTION("""COMPUTED_VALUE"""),0.0)</f>
        <v>0</v>
      </c>
      <c r="H829" s="23">
        <f>IFERROR(__xludf.DUMMYFUNCTION("""COMPUTED_VALUE"""),279.6)</f>
        <v>279.6</v>
      </c>
    </row>
    <row r="830">
      <c r="A830" s="16" t="str">
        <f>IFERROR(__xludf.DUMMYFUNCTION("""COMPUTED_VALUE"""),"Млечни")</f>
        <v>Млечни</v>
      </c>
      <c r="B830" s="7" t="str">
        <f>IFERROR(__xludf.DUMMYFUNCTION("""COMPUTED_VALUE"""),"Извара (обезмаслена) - домашна")</f>
        <v>Извара (обезмаслена) - домашна</v>
      </c>
      <c r="C830" s="12">
        <f>IFERROR(__xludf.DUMMYFUNCTION("""COMPUTED_VALUE"""),100.0)</f>
        <v>100</v>
      </c>
      <c r="D830" s="7">
        <f>IFERROR(__xludf.DUMMYFUNCTION("""COMPUTED_VALUE"""),19.8)</f>
        <v>19.8</v>
      </c>
      <c r="E830" s="16">
        <f>IFERROR(__xludf.DUMMYFUNCTION("""COMPUTED_VALUE"""),3.5)</f>
        <v>3.5</v>
      </c>
      <c r="F830" s="16">
        <f>IFERROR(__xludf.DUMMYFUNCTION("""COMPUTED_VALUE"""),2.0)</f>
        <v>2</v>
      </c>
      <c r="G830" s="16">
        <f>IFERROR(__xludf.DUMMYFUNCTION("""COMPUTED_VALUE"""),0.0)</f>
        <v>0</v>
      </c>
      <c r="H830" s="23">
        <f>IFERROR(__xludf.DUMMYFUNCTION("""COMPUTED_VALUE"""),111.2)</f>
        <v>111.2</v>
      </c>
    </row>
    <row r="831">
      <c r="A831" s="16" t="str">
        <f>IFERROR(__xludf.DUMMYFUNCTION("""COMPUTED_VALUE"""),"Млечни")</f>
        <v>Млечни</v>
      </c>
      <c r="B831" s="7" t="str">
        <f>IFERROR(__xludf.DUMMYFUNCTION("""COMPUTED_VALUE"""),"Извара Добрев")</f>
        <v>Извара Добрев</v>
      </c>
      <c r="C831" s="12">
        <f>IFERROR(__xludf.DUMMYFUNCTION("""COMPUTED_VALUE"""),100.0)</f>
        <v>100</v>
      </c>
      <c r="D831" s="7">
        <f>IFERROR(__xludf.DUMMYFUNCTION("""COMPUTED_VALUE"""),16.7)</f>
        <v>16.7</v>
      </c>
      <c r="E831" s="16">
        <f>IFERROR(__xludf.DUMMYFUNCTION("""COMPUTED_VALUE"""),1.9)</f>
        <v>1.9</v>
      </c>
      <c r="F831" s="16">
        <f>IFERROR(__xludf.DUMMYFUNCTION("""COMPUTED_VALUE"""),1.0)</f>
        <v>1</v>
      </c>
      <c r="G831" s="16">
        <f>IFERROR(__xludf.DUMMYFUNCTION("""COMPUTED_VALUE"""),0.0)</f>
        <v>0</v>
      </c>
      <c r="H831" s="23">
        <f>IFERROR(__xludf.DUMMYFUNCTION("""COMPUTED_VALUE"""),83.39999999999999)</f>
        <v>83.4</v>
      </c>
    </row>
    <row r="832">
      <c r="A832" s="16" t="str">
        <f>IFERROR(__xludf.DUMMYFUNCTION("""COMPUTED_VALUE"""),"Млечни")</f>
        <v>Млечни</v>
      </c>
      <c r="B832" s="7" t="str">
        <f>IFERROR(__xludf.DUMMYFUNCTION("""COMPUTED_VALUE"""),"Крема сирене-Лидъл (light)")</f>
        <v>Крема сирене-Лидъл (light)</v>
      </c>
      <c r="C832" s="12">
        <f>IFERROR(__xludf.DUMMYFUNCTION("""COMPUTED_VALUE"""),100.0)</f>
        <v>100</v>
      </c>
      <c r="D832" s="7">
        <f>IFERROR(__xludf.DUMMYFUNCTION("""COMPUTED_VALUE"""),7.0)</f>
        <v>7</v>
      </c>
      <c r="E832" s="16">
        <f>IFERROR(__xludf.DUMMYFUNCTION("""COMPUTED_VALUE"""),3.0)</f>
        <v>3</v>
      </c>
      <c r="F832" s="16">
        <f>IFERROR(__xludf.DUMMYFUNCTION("""COMPUTED_VALUE"""),13.0)</f>
        <v>13</v>
      </c>
      <c r="G832" s="16">
        <f>IFERROR(__xludf.DUMMYFUNCTION("""COMPUTED_VALUE"""),0.5)</f>
        <v>0.5</v>
      </c>
      <c r="H832" s="23">
        <f>IFERROR(__xludf.DUMMYFUNCTION("""COMPUTED_VALUE"""),157.0)</f>
        <v>157</v>
      </c>
    </row>
    <row r="833">
      <c r="A833" s="16" t="str">
        <f>IFERROR(__xludf.DUMMYFUNCTION("""COMPUTED_VALUE"""),"Млечни")</f>
        <v>Млечни</v>
      </c>
      <c r="B833" s="7" t="str">
        <f>IFERROR(__xludf.DUMMYFUNCTION("""COMPUTED_VALUE"""),"Краве саламурено сирене (low fat)")</f>
        <v>Краве саламурено сирене (low fat)</v>
      </c>
      <c r="C833" s="12">
        <f>IFERROR(__xludf.DUMMYFUNCTION("""COMPUTED_VALUE"""),100.0)</f>
        <v>100</v>
      </c>
      <c r="D833" s="7">
        <f>IFERROR(__xludf.DUMMYFUNCTION("""COMPUTED_VALUE"""),16.6)</f>
        <v>16.6</v>
      </c>
      <c r="E833" s="16">
        <f>IFERROR(__xludf.DUMMYFUNCTION("""COMPUTED_VALUE"""),3.2)</f>
        <v>3.2</v>
      </c>
      <c r="F833" s="16">
        <f>IFERROR(__xludf.DUMMYFUNCTION("""COMPUTED_VALUE"""),9.3)</f>
        <v>9.3</v>
      </c>
      <c r="G833" s="16">
        <f>IFERROR(__xludf.DUMMYFUNCTION("""COMPUTED_VALUE"""),0.0)</f>
        <v>0</v>
      </c>
      <c r="H833" s="23">
        <f>IFERROR(__xludf.DUMMYFUNCTION("""COMPUTED_VALUE"""),162.9)</f>
        <v>162.9</v>
      </c>
    </row>
    <row r="834">
      <c r="A834" s="16" t="str">
        <f>IFERROR(__xludf.DUMMYFUNCTION("""COMPUTED_VALUE"""),"Млечни")</f>
        <v>Млечни</v>
      </c>
      <c r="B834" s="7" t="str">
        <f>IFERROR(__xludf.DUMMYFUNCTION("""COMPUTED_VALUE"""),"Кашкавал (low fat)")</f>
        <v>Кашкавал (low fat)</v>
      </c>
      <c r="C834" s="12">
        <f>IFERROR(__xludf.DUMMYFUNCTION("""COMPUTED_VALUE"""),100.0)</f>
        <v>100</v>
      </c>
      <c r="D834" s="7">
        <f>IFERROR(__xludf.DUMMYFUNCTION("""COMPUTED_VALUE"""),37.0)</f>
        <v>37</v>
      </c>
      <c r="E834" s="16">
        <f>IFERROR(__xludf.DUMMYFUNCTION("""COMPUTED_VALUE"""),0.5)</f>
        <v>0.5</v>
      </c>
      <c r="F834" s="16">
        <f>IFERROR(__xludf.DUMMYFUNCTION("""COMPUTED_VALUE"""),3.0)</f>
        <v>3</v>
      </c>
      <c r="G834" s="16">
        <f>IFERROR(__xludf.DUMMYFUNCTION("""COMPUTED_VALUE"""),0.5)</f>
        <v>0.5</v>
      </c>
      <c r="H834" s="23">
        <f>IFERROR(__xludf.DUMMYFUNCTION("""COMPUTED_VALUE"""),177.0)</f>
        <v>177</v>
      </c>
    </row>
    <row r="835">
      <c r="A835" s="16" t="str">
        <f>IFERROR(__xludf.DUMMYFUNCTION("""COMPUTED_VALUE"""),"Млечни")</f>
        <v>Млечни</v>
      </c>
      <c r="B835" s="7" t="str">
        <f>IFERROR(__xludf.DUMMYFUNCTION("""COMPUTED_VALUE"""),"Ниско калоричен Йогурт (манго)")</f>
        <v>Ниско калоричен Йогурт (манго)</v>
      </c>
      <c r="C835" s="12">
        <f>IFERROR(__xludf.DUMMYFUNCTION("""COMPUTED_VALUE"""),100.0)</f>
        <v>100</v>
      </c>
      <c r="D835" s="7">
        <f>IFERROR(__xludf.DUMMYFUNCTION("""COMPUTED_VALUE"""),6.3)</f>
        <v>6.3</v>
      </c>
      <c r="E835" s="16">
        <f>IFERROR(__xludf.DUMMYFUNCTION("""COMPUTED_VALUE"""),8.2)</f>
        <v>8.2</v>
      </c>
      <c r="F835" s="16">
        <f>IFERROR(__xludf.DUMMYFUNCTION("""COMPUTED_VALUE"""),0.2)</f>
        <v>0.2</v>
      </c>
      <c r="G835" s="16">
        <f>IFERROR(__xludf.DUMMYFUNCTION("""COMPUTED_VALUE"""),0.0)</f>
        <v>0</v>
      </c>
      <c r="H835" s="23">
        <f>IFERROR(__xludf.DUMMYFUNCTION("""COMPUTED_VALUE"""),59.8)</f>
        <v>59.8</v>
      </c>
    </row>
    <row r="836">
      <c r="A836" s="16" t="str">
        <f>IFERROR(__xludf.DUMMYFUNCTION("""COMPUTED_VALUE"""),"Млечни")</f>
        <v>Млечни</v>
      </c>
      <c r="B836" s="7" t="str">
        <f>IFERROR(__xludf.DUMMYFUNCTION("""COMPUTED_VALUE"""),"Краве сирене Елена (в кутия)")</f>
        <v>Краве сирене Елена (в кутия)</v>
      </c>
      <c r="C836" s="12">
        <f>IFERROR(__xludf.DUMMYFUNCTION("""COMPUTED_VALUE"""),100.0)</f>
        <v>100</v>
      </c>
      <c r="D836" s="7">
        <f>IFERROR(__xludf.DUMMYFUNCTION("""COMPUTED_VALUE"""),16.0)</f>
        <v>16</v>
      </c>
      <c r="E836" s="16">
        <f>IFERROR(__xludf.DUMMYFUNCTION("""COMPUTED_VALUE"""),1.0)</f>
        <v>1</v>
      </c>
      <c r="F836" s="16">
        <f>IFERROR(__xludf.DUMMYFUNCTION("""COMPUTED_VALUE"""),22.0)</f>
        <v>22</v>
      </c>
      <c r="G836" s="16">
        <f>IFERROR(__xludf.DUMMYFUNCTION("""COMPUTED_VALUE"""),0.0)</f>
        <v>0</v>
      </c>
      <c r="H836" s="23">
        <f>IFERROR(__xludf.DUMMYFUNCTION("""COMPUTED_VALUE"""),266.0)</f>
        <v>266</v>
      </c>
    </row>
    <row r="837">
      <c r="A837" s="16" t="str">
        <f>IFERROR(__xludf.DUMMYFUNCTION("""COMPUTED_VALUE"""),"Млечни")</f>
        <v>Млечни</v>
      </c>
      <c r="B837" s="7" t="str">
        <f>IFERROR(__xludf.DUMMYFUNCTION("""COMPUTED_VALUE"""),"Крема сирене-Филаделгия (3% фат)")</f>
        <v>Крема сирене-Филаделгия (3% фат)</v>
      </c>
      <c r="C837" s="12">
        <f>IFERROR(__xludf.DUMMYFUNCTION("""COMPUTED_VALUE"""),100.0)</f>
        <v>100</v>
      </c>
      <c r="D837" s="7">
        <f>IFERROR(__xludf.DUMMYFUNCTION("""COMPUTED_VALUE"""),11.0)</f>
        <v>11</v>
      </c>
      <c r="E837" s="16">
        <f>IFERROR(__xludf.DUMMYFUNCTION("""COMPUTED_VALUE"""),4.9)</f>
        <v>4.9</v>
      </c>
      <c r="F837" s="16">
        <f>IFERROR(__xludf.DUMMYFUNCTION("""COMPUTED_VALUE"""),2.5)</f>
        <v>2.5</v>
      </c>
      <c r="G837" s="16">
        <f>IFERROR(__xludf.DUMMYFUNCTION("""COMPUTED_VALUE"""),0.4)</f>
        <v>0.4</v>
      </c>
      <c r="H837" s="23">
        <f>IFERROR(__xludf.DUMMYFUNCTION("""COMPUTED_VALUE"""),86.1)</f>
        <v>86.1</v>
      </c>
    </row>
    <row r="838">
      <c r="A838" s="16" t="str">
        <f>IFERROR(__xludf.DUMMYFUNCTION("""COMPUTED_VALUE"""),"Млечни")</f>
        <v>Млечни</v>
      </c>
      <c r="B838" s="7" t="str">
        <f>IFERROR(__xludf.DUMMYFUNCTION("""COMPUTED_VALUE"""),"Краве сирене - Родна стряха (домашно в саламура)")</f>
        <v>Краве сирене - Родна стряха (домашно в саламура)</v>
      </c>
      <c r="C838" s="12">
        <f>IFERROR(__xludf.DUMMYFUNCTION("""COMPUTED_VALUE"""),100.0)</f>
        <v>100</v>
      </c>
      <c r="D838" s="7">
        <f>IFERROR(__xludf.DUMMYFUNCTION("""COMPUTED_VALUE"""),12.0)</f>
        <v>12</v>
      </c>
      <c r="E838" s="16">
        <f>IFERROR(__xludf.DUMMYFUNCTION("""COMPUTED_VALUE"""),1.0)</f>
        <v>1</v>
      </c>
      <c r="F838" s="16">
        <f>IFERROR(__xludf.DUMMYFUNCTION("""COMPUTED_VALUE"""),13.0)</f>
        <v>13</v>
      </c>
      <c r="G838" s="16">
        <f>IFERROR(__xludf.DUMMYFUNCTION("""COMPUTED_VALUE"""),0.0)</f>
        <v>0</v>
      </c>
      <c r="H838" s="23">
        <f>IFERROR(__xludf.DUMMYFUNCTION("""COMPUTED_VALUE"""),169.0)</f>
        <v>169</v>
      </c>
    </row>
    <row r="839">
      <c r="A839" s="16" t="str">
        <f>IFERROR(__xludf.DUMMYFUNCTION("""COMPUTED_VALUE"""),"Млечни")</f>
        <v>Млечни</v>
      </c>
      <c r="B839" s="7" t="str">
        <f>IFERROR(__xludf.DUMMYFUNCTION("""COMPUTED_VALUE"""),"Данон ЙоПро - банан и ф.масло")</f>
        <v>Данон ЙоПро - банан и ф.масло</v>
      </c>
      <c r="C839" s="12">
        <f>IFERROR(__xludf.DUMMYFUNCTION("""COMPUTED_VALUE"""),100.0)</f>
        <v>100</v>
      </c>
      <c r="D839" s="7">
        <f>IFERROR(__xludf.DUMMYFUNCTION("""COMPUTED_VALUE"""),9.4)</f>
        <v>9.4</v>
      </c>
      <c r="E839" s="16">
        <f>IFERROR(__xludf.DUMMYFUNCTION("""COMPUTED_VALUE"""),4.3)</f>
        <v>4.3</v>
      </c>
      <c r="F839" s="16">
        <f>IFERROR(__xludf.DUMMYFUNCTION("""COMPUTED_VALUE"""),0.1)</f>
        <v>0.1</v>
      </c>
      <c r="G839" s="16">
        <f>IFERROR(__xludf.DUMMYFUNCTION("""COMPUTED_VALUE"""),0.0)</f>
        <v>0</v>
      </c>
      <c r="H839" s="23">
        <f>IFERROR(__xludf.DUMMYFUNCTION("""COMPUTED_VALUE"""),55.699999999999996)</f>
        <v>55.7</v>
      </c>
    </row>
    <row r="840">
      <c r="A840" s="16" t="str">
        <f>IFERROR(__xludf.DUMMYFUNCTION("""COMPUTED_VALUE"""),"Млечни")</f>
        <v>Млечни</v>
      </c>
      <c r="B840" s="7" t="str">
        <f>IFERROR(__xludf.DUMMYFUNCTION("""COMPUTED_VALUE"""),"Филаделфия (3% фат)")</f>
        <v>Филаделфия (3% фат)</v>
      </c>
      <c r="C840" s="12">
        <f>IFERROR(__xludf.DUMMYFUNCTION("""COMPUTED_VALUE"""),100.0)</f>
        <v>100</v>
      </c>
      <c r="D840" s="7">
        <f>IFERROR(__xludf.DUMMYFUNCTION("""COMPUTED_VALUE"""),11.0)</f>
        <v>11</v>
      </c>
      <c r="E840" s="16">
        <f>IFERROR(__xludf.DUMMYFUNCTION("""COMPUTED_VALUE"""),4.9)</f>
        <v>4.9</v>
      </c>
      <c r="F840" s="16">
        <f>IFERROR(__xludf.DUMMYFUNCTION("""COMPUTED_VALUE"""),2.5)</f>
        <v>2.5</v>
      </c>
      <c r="G840" s="16">
        <f>IFERROR(__xludf.DUMMYFUNCTION("""COMPUTED_VALUE"""),0.4)</f>
        <v>0.4</v>
      </c>
      <c r="H840" s="23">
        <f>IFERROR(__xludf.DUMMYFUNCTION("""COMPUTED_VALUE"""),86.1)</f>
        <v>86.1</v>
      </c>
    </row>
    <row r="841">
      <c r="A841" s="16" t="str">
        <f>IFERROR(__xludf.DUMMYFUNCTION("""COMPUTED_VALUE"""),"Млечни")</f>
        <v>Млечни</v>
      </c>
      <c r="B841" s="7" t="str">
        <f>IFERROR(__xludf.DUMMYFUNCTION("""COMPUTED_VALUE"""),"Скир - MILDER SKYR EXQUISA")</f>
        <v>Скир - MILDER SKYR EXQUISA</v>
      </c>
      <c r="C841" s="12">
        <f>IFERROR(__xludf.DUMMYFUNCTION("""COMPUTED_VALUE"""),100.0)</f>
        <v>100</v>
      </c>
      <c r="D841" s="7">
        <f>IFERROR(__xludf.DUMMYFUNCTION("""COMPUTED_VALUE"""),11.0)</f>
        <v>11</v>
      </c>
      <c r="E841" s="16">
        <f>IFERROR(__xludf.DUMMYFUNCTION("""COMPUTED_VALUE"""),4.0)</f>
        <v>4</v>
      </c>
      <c r="F841" s="16">
        <f>IFERROR(__xludf.DUMMYFUNCTION("""COMPUTED_VALUE"""),0.2)</f>
        <v>0.2</v>
      </c>
      <c r="G841" s="16">
        <f>IFERROR(__xludf.DUMMYFUNCTION("""COMPUTED_VALUE"""),0.0)</f>
        <v>0</v>
      </c>
      <c r="H841" s="23">
        <f>IFERROR(__xludf.DUMMYFUNCTION("""COMPUTED_VALUE"""),61.8)</f>
        <v>61.8</v>
      </c>
    </row>
    <row r="842">
      <c r="A842" s="16" t="str">
        <f>IFERROR(__xludf.DUMMYFUNCTION("""COMPUTED_VALUE"""),"Млечни")</f>
        <v>Млечни</v>
      </c>
      <c r="B842" s="7" t="str">
        <f>IFERROR(__xludf.DUMMYFUNCTION("""COMPUTED_VALUE"""),"Рикота Formagia")</f>
        <v>Рикота Formagia</v>
      </c>
      <c r="C842" s="12">
        <f>IFERROR(__xludf.DUMMYFUNCTION("""COMPUTED_VALUE"""),100.0)</f>
        <v>100</v>
      </c>
      <c r="D842" s="7">
        <f>IFERROR(__xludf.DUMMYFUNCTION("""COMPUTED_VALUE"""),8.5)</f>
        <v>8.5</v>
      </c>
      <c r="E842" s="16">
        <f>IFERROR(__xludf.DUMMYFUNCTION("""COMPUTED_VALUE"""),2.5)</f>
        <v>2.5</v>
      </c>
      <c r="F842" s="16">
        <f>IFERROR(__xludf.DUMMYFUNCTION("""COMPUTED_VALUE"""),11.0)</f>
        <v>11</v>
      </c>
      <c r="G842" s="16">
        <f>IFERROR(__xludf.DUMMYFUNCTION("""COMPUTED_VALUE"""),0.0)</f>
        <v>0</v>
      </c>
      <c r="H842" s="23">
        <f>IFERROR(__xludf.DUMMYFUNCTION("""COMPUTED_VALUE"""),143.0)</f>
        <v>143</v>
      </c>
    </row>
    <row r="843">
      <c r="A843" s="16" t="str">
        <f>IFERROR(__xludf.DUMMYFUNCTION("""COMPUTED_VALUE"""),"Млечни")</f>
        <v>Млечни</v>
      </c>
      <c r="B843" s="7" t="str">
        <f>IFERROR(__xludf.DUMMYFUNCTION("""COMPUTED_VALUE"""),"Feta Chesee")</f>
        <v>Feta Chesee</v>
      </c>
      <c r="C843" s="12">
        <f>IFERROR(__xludf.DUMMYFUNCTION("""COMPUTED_VALUE"""),100.0)</f>
        <v>100</v>
      </c>
      <c r="D843" s="7">
        <f>IFERROR(__xludf.DUMMYFUNCTION("""COMPUTED_VALUE"""),14.0)</f>
        <v>14</v>
      </c>
      <c r="E843" s="16">
        <f>IFERROR(__xludf.DUMMYFUNCTION("""COMPUTED_VALUE"""),4.0)</f>
        <v>4</v>
      </c>
      <c r="F843" s="16">
        <f>IFERROR(__xludf.DUMMYFUNCTION("""COMPUTED_VALUE"""),21.0)</f>
        <v>21</v>
      </c>
      <c r="G843" s="16">
        <f>IFERROR(__xludf.DUMMYFUNCTION("""COMPUTED_VALUE"""),0.0)</f>
        <v>0</v>
      </c>
      <c r="H843" s="23">
        <f>IFERROR(__xludf.DUMMYFUNCTION("""COMPUTED_VALUE"""),261.0)</f>
        <v>261</v>
      </c>
    </row>
    <row r="844">
      <c r="A844" s="16" t="str">
        <f>IFERROR(__xludf.DUMMYFUNCTION("""COMPUTED_VALUE"""),"Млечни")</f>
        <v>Млечни</v>
      </c>
      <c r="B844" s="7" t="str">
        <f>IFERROR(__xludf.DUMMYFUNCTION("""COMPUTED_VALUE"""),"Котидж сирене - (плодово-обезмаслено)")</f>
        <v>Котидж сирене - (плодово-обезмаслено)</v>
      </c>
      <c r="C844" s="12">
        <f>IFERROR(__xludf.DUMMYFUNCTION("""COMPUTED_VALUE"""),100.0)</f>
        <v>100</v>
      </c>
      <c r="D844" s="7">
        <f>IFERROR(__xludf.DUMMYFUNCTION("""COMPUTED_VALUE"""),12.0)</f>
        <v>12</v>
      </c>
      <c r="E844" s="16">
        <f>IFERROR(__xludf.DUMMYFUNCTION("""COMPUTED_VALUE"""),7.6)</f>
        <v>7.6</v>
      </c>
      <c r="F844" s="16">
        <f>IFERROR(__xludf.DUMMYFUNCTION("""COMPUTED_VALUE"""),0.45)</f>
        <v>0.45</v>
      </c>
      <c r="G844" s="16">
        <f>IFERROR(__xludf.DUMMYFUNCTION("""COMPUTED_VALUE"""),0.45)</f>
        <v>0.45</v>
      </c>
      <c r="H844" s="23">
        <f>IFERROR(__xludf.DUMMYFUNCTION("""COMPUTED_VALUE"""),82.45)</f>
        <v>82.45</v>
      </c>
    </row>
    <row r="845">
      <c r="A845" s="16" t="str">
        <f>IFERROR(__xludf.DUMMYFUNCTION("""COMPUTED_VALUE"""),"Млечни")</f>
        <v>Млечни</v>
      </c>
      <c r="B845" s="7" t="str">
        <f>IFERROR(__xludf.DUMMYFUNCTION("""COMPUTED_VALUE"""),"Извара (обезмаслена-Тwarog)")</f>
        <v>Извара (обезмаслена-Тwarog)</v>
      </c>
      <c r="C845" s="12">
        <f>IFERROR(__xludf.DUMMYFUNCTION("""COMPUTED_VALUE"""),100.0)</f>
        <v>100</v>
      </c>
      <c r="D845" s="7">
        <f>IFERROR(__xludf.DUMMYFUNCTION("""COMPUTED_VALUE"""),16.0)</f>
        <v>16</v>
      </c>
      <c r="E845" s="16">
        <f>IFERROR(__xludf.DUMMYFUNCTION("""COMPUTED_VALUE"""),4.5)</f>
        <v>4.5</v>
      </c>
      <c r="F845" s="16">
        <f>IFERROR(__xludf.DUMMYFUNCTION("""COMPUTED_VALUE"""),0.3)</f>
        <v>0.3</v>
      </c>
      <c r="G845" s="16">
        <f>IFERROR(__xludf.DUMMYFUNCTION("""COMPUTED_VALUE"""),0.0)</f>
        <v>0</v>
      </c>
      <c r="H845" s="23">
        <f>IFERROR(__xludf.DUMMYFUNCTION("""COMPUTED_VALUE"""),84.7)</f>
        <v>84.7</v>
      </c>
    </row>
    <row r="846">
      <c r="A846" s="16" t="str">
        <f>IFERROR(__xludf.DUMMYFUNCTION("""COMPUTED_VALUE"""),"Млечни")</f>
        <v>Млечни</v>
      </c>
      <c r="B846" s="7" t="str">
        <f>IFERROR(__xludf.DUMMYFUNCTION("""COMPUTED_VALUE"""),"Кисело мляко 0% (високо протеиново)")</f>
        <v>Кисело мляко 0% (високо протеиново)</v>
      </c>
      <c r="C846" s="12">
        <f>IFERROR(__xludf.DUMMYFUNCTION("""COMPUTED_VALUE"""),100.0)</f>
        <v>100</v>
      </c>
      <c r="D846" s="7">
        <f>IFERROR(__xludf.DUMMYFUNCTION("""COMPUTED_VALUE"""),10.0)</f>
        <v>10</v>
      </c>
      <c r="E846" s="16">
        <f>IFERROR(__xludf.DUMMYFUNCTION("""COMPUTED_VALUE"""),4.9)</f>
        <v>4.9</v>
      </c>
      <c r="F846" s="16">
        <f>IFERROR(__xludf.DUMMYFUNCTION("""COMPUTED_VALUE"""),0.5)</f>
        <v>0.5</v>
      </c>
      <c r="G846" s="16">
        <f>IFERROR(__xludf.DUMMYFUNCTION("""COMPUTED_VALUE"""),0.5)</f>
        <v>0.5</v>
      </c>
      <c r="H846" s="23">
        <f>IFERROR(__xludf.DUMMYFUNCTION("""COMPUTED_VALUE"""),64.1)</f>
        <v>64.1</v>
      </c>
    </row>
    <row r="847">
      <c r="A847" s="16" t="str">
        <f>IFERROR(__xludf.DUMMYFUNCTION("""COMPUTED_VALUE"""),"Млечни")</f>
        <v>Млечни</v>
      </c>
      <c r="B847" s="7" t="str">
        <f>IFERROR(__xludf.DUMMYFUNCTION("""COMPUTED_VALUE"""),"Сметана Pilos 36%")</f>
        <v>Сметана Pilos 36%</v>
      </c>
      <c r="C847" s="12">
        <f>IFERROR(__xludf.DUMMYFUNCTION("""COMPUTED_VALUE"""),100.0)</f>
        <v>100</v>
      </c>
      <c r="D847" s="7">
        <f>IFERROR(__xludf.DUMMYFUNCTION("""COMPUTED_VALUE"""),1.9)</f>
        <v>1.9</v>
      </c>
      <c r="E847" s="16">
        <f>IFERROR(__xludf.DUMMYFUNCTION("""COMPUTED_VALUE"""),2.5)</f>
        <v>2.5</v>
      </c>
      <c r="F847" s="16">
        <f>IFERROR(__xludf.DUMMYFUNCTION("""COMPUTED_VALUE"""),36.0)</f>
        <v>36</v>
      </c>
      <c r="G847" s="16">
        <f>IFERROR(__xludf.DUMMYFUNCTION("""COMPUTED_VALUE"""),0.0)</f>
        <v>0</v>
      </c>
      <c r="H847" s="23">
        <f>IFERROR(__xludf.DUMMYFUNCTION("""COMPUTED_VALUE"""),341.6)</f>
        <v>341.6</v>
      </c>
    </row>
    <row r="848">
      <c r="A848" s="16" t="str">
        <f>IFERROR(__xludf.DUMMYFUNCTION("""COMPUTED_VALUE"""),"Млечни")</f>
        <v>Млечни</v>
      </c>
      <c r="B848" s="7" t="str">
        <f>IFERROR(__xludf.DUMMYFUNCTION("""COMPUTED_VALUE"""),"Скир - плодов ”Данон”")</f>
        <v>Скир - плодов ”Данон”</v>
      </c>
      <c r="C848" s="12">
        <f>IFERROR(__xludf.DUMMYFUNCTION("""COMPUTED_VALUE"""),100.0)</f>
        <v>100</v>
      </c>
      <c r="D848" s="7">
        <f>IFERROR(__xludf.DUMMYFUNCTION("""COMPUTED_VALUE"""),9.6)</f>
        <v>9.6</v>
      </c>
      <c r="E848" s="16">
        <f>IFERROR(__xludf.DUMMYFUNCTION("""COMPUTED_VALUE"""),11.0)</f>
        <v>11</v>
      </c>
      <c r="F848" s="16">
        <f>IFERROR(__xludf.DUMMYFUNCTION("""COMPUTED_VALUE"""),0.0)</f>
        <v>0</v>
      </c>
      <c r="G848" s="16">
        <f>IFERROR(__xludf.DUMMYFUNCTION("""COMPUTED_VALUE"""),0.0)</f>
        <v>0</v>
      </c>
      <c r="H848" s="23">
        <f>IFERROR(__xludf.DUMMYFUNCTION("""COMPUTED_VALUE"""),82.4)</f>
        <v>82.4</v>
      </c>
    </row>
    <row r="849">
      <c r="A849" s="16" t="str">
        <f>IFERROR(__xludf.DUMMYFUNCTION("""COMPUTED_VALUE"""),"Млечни")</f>
        <v>Млечни</v>
      </c>
      <c r="B849" s="7" t="str">
        <f>IFERROR(__xludf.DUMMYFUNCTION("""COMPUTED_VALUE"""),"Йогурт - High Protein")</f>
        <v>Йогурт - High Protein</v>
      </c>
      <c r="C849" s="12">
        <f>IFERROR(__xludf.DUMMYFUNCTION("""COMPUTED_VALUE"""),100.0)</f>
        <v>100</v>
      </c>
      <c r="D849" s="7">
        <f>IFERROR(__xludf.DUMMYFUNCTION("""COMPUTED_VALUE"""),10.0)</f>
        <v>10</v>
      </c>
      <c r="E849" s="16">
        <f>IFERROR(__xludf.DUMMYFUNCTION("""COMPUTED_VALUE"""),6.0)</f>
        <v>6</v>
      </c>
      <c r="F849" s="16">
        <f>IFERROR(__xludf.DUMMYFUNCTION("""COMPUTED_VALUE"""),0.3)</f>
        <v>0.3</v>
      </c>
      <c r="G849" s="16">
        <f>IFERROR(__xludf.DUMMYFUNCTION("""COMPUTED_VALUE"""),0.0)</f>
        <v>0</v>
      </c>
      <c r="H849" s="23">
        <f>IFERROR(__xludf.DUMMYFUNCTION("""COMPUTED_VALUE"""),66.7)</f>
        <v>66.7</v>
      </c>
    </row>
    <row r="850">
      <c r="A850" s="16" t="str">
        <f>IFERROR(__xludf.DUMMYFUNCTION("""COMPUTED_VALUE"""),"Млечни")</f>
        <v>Млечни</v>
      </c>
      <c r="B850" s="7" t="str">
        <f>IFERROR(__xludf.DUMMYFUNCTION("""COMPUTED_VALUE"""),"Плодов скир - Алди")</f>
        <v>Плодов скир - Алди</v>
      </c>
      <c r="C850" s="12">
        <f>IFERROR(__xludf.DUMMYFUNCTION("""COMPUTED_VALUE"""),100.0)</f>
        <v>100</v>
      </c>
      <c r="D850" s="7">
        <f>IFERROR(__xludf.DUMMYFUNCTION("""COMPUTED_VALUE"""),10.3)</f>
        <v>10.3</v>
      </c>
      <c r="E850" s="16">
        <f>IFERROR(__xludf.DUMMYFUNCTION("""COMPUTED_VALUE"""),9.3)</f>
        <v>9.3</v>
      </c>
      <c r="F850" s="16">
        <f>IFERROR(__xludf.DUMMYFUNCTION("""COMPUTED_VALUE"""),0.4)</f>
        <v>0.4</v>
      </c>
      <c r="G850" s="16">
        <f>IFERROR(__xludf.DUMMYFUNCTION("""COMPUTED_VALUE"""),0.0)</f>
        <v>0</v>
      </c>
      <c r="H850" s="23">
        <f>IFERROR(__xludf.DUMMYFUNCTION("""COMPUTED_VALUE"""),82.0)</f>
        <v>82</v>
      </c>
    </row>
    <row r="851">
      <c r="A851" s="16" t="str">
        <f>IFERROR(__xludf.DUMMYFUNCTION("""COMPUTED_VALUE"""),"Млечни")</f>
        <v>Млечни</v>
      </c>
      <c r="B851" s="7" t="str">
        <f>IFERROR(__xludf.DUMMYFUNCTION("""COMPUTED_VALUE"""),"Скир - натурален (Алди)")</f>
        <v>Скир - натурален (Алди)</v>
      </c>
      <c r="C851" s="12">
        <f>IFERROR(__xludf.DUMMYFUNCTION("""COMPUTED_VALUE"""),100.0)</f>
        <v>100</v>
      </c>
      <c r="D851" s="7">
        <f>IFERROR(__xludf.DUMMYFUNCTION("""COMPUTED_VALUE"""),12.2)</f>
        <v>12.2</v>
      </c>
      <c r="E851" s="16">
        <f>IFERROR(__xludf.DUMMYFUNCTION("""COMPUTED_VALUE"""),3.7)</f>
        <v>3.7</v>
      </c>
      <c r="F851" s="16">
        <f>IFERROR(__xludf.DUMMYFUNCTION("""COMPUTED_VALUE"""),0.1)</f>
        <v>0.1</v>
      </c>
      <c r="G851" s="16">
        <f>IFERROR(__xludf.DUMMYFUNCTION("""COMPUTED_VALUE"""),0.0)</f>
        <v>0</v>
      </c>
      <c r="H851" s="23">
        <f>IFERROR(__xludf.DUMMYFUNCTION("""COMPUTED_VALUE"""),64.5)</f>
        <v>64.5</v>
      </c>
    </row>
    <row r="852">
      <c r="A852" s="16" t="str">
        <f>IFERROR(__xludf.DUMMYFUNCTION("""COMPUTED_VALUE"""),"Млечни")</f>
        <v>Млечни</v>
      </c>
      <c r="B852" s="7" t="str">
        <f>IFERROR(__xludf.DUMMYFUNCTION("""COMPUTED_VALUE"""),"Котидж сирене- (Лидъл-обезмаслено)")</f>
        <v>Котидж сирене- (Лидъл-обезмаслено)</v>
      </c>
      <c r="C852" s="12">
        <f>IFERROR(__xludf.DUMMYFUNCTION("""COMPUTED_VALUE"""),100.0)</f>
        <v>100</v>
      </c>
      <c r="D852" s="7">
        <f>IFERROR(__xludf.DUMMYFUNCTION("""COMPUTED_VALUE"""),12.4)</f>
        <v>12.4</v>
      </c>
      <c r="E852" s="16">
        <f>IFERROR(__xludf.DUMMYFUNCTION("""COMPUTED_VALUE"""),3.1)</f>
        <v>3.1</v>
      </c>
      <c r="F852" s="16">
        <f>IFERROR(__xludf.DUMMYFUNCTION("""COMPUTED_VALUE"""),0.8)</f>
        <v>0.8</v>
      </c>
      <c r="G852" s="16">
        <f>IFERROR(__xludf.DUMMYFUNCTION("""COMPUTED_VALUE"""),0.5)</f>
        <v>0.5</v>
      </c>
      <c r="H852" s="23">
        <f>IFERROR(__xludf.DUMMYFUNCTION("""COMPUTED_VALUE"""),69.2)</f>
        <v>69.2</v>
      </c>
    </row>
    <row r="853">
      <c r="A853" s="16" t="str">
        <f>IFERROR(__xludf.DUMMYFUNCTION("""COMPUTED_VALUE"""),"Млечни")</f>
        <v>Млечни</v>
      </c>
      <c r="B853" s="7" t="str">
        <f>IFERROR(__xludf.DUMMYFUNCTION("""COMPUTED_VALUE"""),"Скир плодов череша - MILDER SKYR EXSQUISA")</f>
        <v>Скир плодов череша - MILDER SKYR EXSQUISA</v>
      </c>
      <c r="C853" s="12">
        <f>IFERROR(__xludf.DUMMYFUNCTION("""COMPUTED_VALUE"""),100.0)</f>
        <v>100</v>
      </c>
      <c r="D853" s="7">
        <f>IFERROR(__xludf.DUMMYFUNCTION("""COMPUTED_VALUE"""),9.7)</f>
        <v>9.7</v>
      </c>
      <c r="E853" s="16">
        <f>IFERROR(__xludf.DUMMYFUNCTION("""COMPUTED_VALUE"""),7.5)</f>
        <v>7.5</v>
      </c>
      <c r="F853" s="16">
        <f>IFERROR(__xludf.DUMMYFUNCTION("""COMPUTED_VALUE"""),0.2)</f>
        <v>0.2</v>
      </c>
      <c r="G853" s="16">
        <f>IFERROR(__xludf.DUMMYFUNCTION("""COMPUTED_VALUE"""),0.0)</f>
        <v>0</v>
      </c>
      <c r="H853" s="23">
        <f>IFERROR(__xludf.DUMMYFUNCTION("""COMPUTED_VALUE"""),70.6)</f>
        <v>70.6</v>
      </c>
    </row>
    <row r="854">
      <c r="A854" s="16" t="str">
        <f>IFERROR(__xludf.DUMMYFUNCTION("""COMPUTED_VALUE"""),"Млечни")</f>
        <v>Млечни</v>
      </c>
      <c r="B854" s="7" t="str">
        <f>IFERROR(__xludf.DUMMYFUNCTION("""COMPUTED_VALUE"""),"Меко сирене 0% (Quark)")</f>
        <v>Меко сирене 0% (Quark)</v>
      </c>
      <c r="C854" s="12">
        <f>IFERROR(__xludf.DUMMYFUNCTION("""COMPUTED_VALUE"""),100.0)</f>
        <v>100</v>
      </c>
      <c r="D854" s="7">
        <f>IFERROR(__xludf.DUMMYFUNCTION("""COMPUTED_VALUE"""),12.2)</f>
        <v>12.2</v>
      </c>
      <c r="E854" s="16">
        <f>IFERROR(__xludf.DUMMYFUNCTION("""COMPUTED_VALUE"""),3.7)</f>
        <v>3.7</v>
      </c>
      <c r="F854" s="16">
        <f>IFERROR(__xludf.DUMMYFUNCTION("""COMPUTED_VALUE"""),0.1)</f>
        <v>0.1</v>
      </c>
      <c r="G854" s="16">
        <f>IFERROR(__xludf.DUMMYFUNCTION("""COMPUTED_VALUE"""),0.5)</f>
        <v>0.5</v>
      </c>
      <c r="H854" s="23">
        <f>IFERROR(__xludf.DUMMYFUNCTION("""COMPUTED_VALUE"""),64.5)</f>
        <v>64.5</v>
      </c>
    </row>
    <row r="855">
      <c r="A855" s="16" t="str">
        <f>IFERROR(__xludf.DUMMYFUNCTION("""COMPUTED_VALUE"""),"Млечни")</f>
        <v>Млечни</v>
      </c>
      <c r="B855" s="7" t="str">
        <f>IFERROR(__xludf.DUMMYFUNCTION("""COMPUTED_VALUE"""),"Кварк - плодов “Milbona”")</f>
        <v>Кварк - плодов “Milbona”</v>
      </c>
      <c r="C855" s="12">
        <f>IFERROR(__xludf.DUMMYFUNCTION("""COMPUTED_VALUE"""),100.0)</f>
        <v>100</v>
      </c>
      <c r="D855" s="7">
        <f>IFERROR(__xludf.DUMMYFUNCTION("""COMPUTED_VALUE"""),12.3)</f>
        <v>12.3</v>
      </c>
      <c r="E855" s="16">
        <f>IFERROR(__xludf.DUMMYFUNCTION("""COMPUTED_VALUE"""),3.5)</f>
        <v>3.5</v>
      </c>
      <c r="F855" s="16">
        <f>IFERROR(__xludf.DUMMYFUNCTION("""COMPUTED_VALUE"""),0.5)</f>
        <v>0.5</v>
      </c>
      <c r="G855" s="16">
        <f>IFERROR(__xludf.DUMMYFUNCTION("""COMPUTED_VALUE"""),0.0)</f>
        <v>0</v>
      </c>
      <c r="H855" s="23">
        <f>IFERROR(__xludf.DUMMYFUNCTION("""COMPUTED_VALUE"""),67.7)</f>
        <v>67.7</v>
      </c>
    </row>
    <row r="856">
      <c r="A856" s="16" t="str">
        <f>IFERROR(__xludf.DUMMYFUNCTION("""COMPUTED_VALUE"""),"Млечни")</f>
        <v>Млечни</v>
      </c>
      <c r="B856" s="7" t="str">
        <f>IFERROR(__xludf.DUMMYFUNCTION("""COMPUTED_VALUE"""),"Прясно краве сирене Пилос")</f>
        <v>Прясно краве сирене Пилос</v>
      </c>
      <c r="C856" s="12">
        <f>IFERROR(__xludf.DUMMYFUNCTION("""COMPUTED_VALUE"""),100.0)</f>
        <v>100</v>
      </c>
      <c r="D856" s="7">
        <f>IFERROR(__xludf.DUMMYFUNCTION("""COMPUTED_VALUE"""),13.5)</f>
        <v>13.5</v>
      </c>
      <c r="E856" s="16">
        <f>IFERROR(__xludf.DUMMYFUNCTION("""COMPUTED_VALUE"""),2.2)</f>
        <v>2.2</v>
      </c>
      <c r="F856" s="16">
        <f>IFERROR(__xludf.DUMMYFUNCTION("""COMPUTED_VALUE"""),17.5)</f>
        <v>17.5</v>
      </c>
      <c r="G856" s="16">
        <f>IFERROR(__xludf.DUMMYFUNCTION("""COMPUTED_VALUE"""),0.0)</f>
        <v>0</v>
      </c>
      <c r="H856" s="23">
        <f>IFERROR(__xludf.DUMMYFUNCTION("""COMPUTED_VALUE"""),220.3)</f>
        <v>220.3</v>
      </c>
    </row>
    <row r="857">
      <c r="A857" s="16" t="str">
        <f>IFERROR(__xludf.DUMMYFUNCTION("""COMPUTED_VALUE"""),"Млечни")</f>
        <v>Млечни</v>
      </c>
      <c r="B857" s="7" t="str">
        <f>IFERROR(__xludf.DUMMYFUNCTION("""COMPUTED_VALUE"""),"Крема сирене Пилос (високо протеиново)")</f>
        <v>Крема сирене Пилос (високо протеиново)</v>
      </c>
      <c r="C857" s="12">
        <f>IFERROR(__xludf.DUMMYFUNCTION("""COMPUTED_VALUE"""),100.0)</f>
        <v>100</v>
      </c>
      <c r="D857" s="7">
        <f>IFERROR(__xludf.DUMMYFUNCTION("""COMPUTED_VALUE"""),10.4)</f>
        <v>10.4</v>
      </c>
      <c r="E857" s="16">
        <f>IFERROR(__xludf.DUMMYFUNCTION("""COMPUTED_VALUE"""),3.6)</f>
        <v>3.6</v>
      </c>
      <c r="F857" s="16">
        <f>IFERROR(__xludf.DUMMYFUNCTION("""COMPUTED_VALUE"""),9.0)</f>
        <v>9</v>
      </c>
      <c r="G857" s="16">
        <f>IFERROR(__xludf.DUMMYFUNCTION("""COMPUTED_VALUE"""),0.0)</f>
        <v>0</v>
      </c>
      <c r="H857" s="23">
        <f>IFERROR(__xludf.DUMMYFUNCTION("""COMPUTED_VALUE"""),137.0)</f>
        <v>137</v>
      </c>
    </row>
    <row r="858">
      <c r="A858" s="16" t="str">
        <f>IFERROR(__xludf.DUMMYFUNCTION("""COMPUTED_VALUE"""),"Млечни")</f>
        <v>Млечни</v>
      </c>
      <c r="B858" s="7" t="str">
        <f>IFERROR(__xludf.DUMMYFUNCTION("""COMPUTED_VALUE"""),"Милбона крем извара с Ванилия")</f>
        <v>Милбона крем извара с Ванилия</v>
      </c>
      <c r="C858" s="12">
        <f>IFERROR(__xludf.DUMMYFUNCTION("""COMPUTED_VALUE"""),100.0)</f>
        <v>100</v>
      </c>
      <c r="D858" s="7">
        <f>IFERROR(__xludf.DUMMYFUNCTION("""COMPUTED_VALUE"""),7.0)</f>
        <v>7</v>
      </c>
      <c r="E858" s="16">
        <f>IFERROR(__xludf.DUMMYFUNCTION("""COMPUTED_VALUE"""),13.0)</f>
        <v>13</v>
      </c>
      <c r="F858" s="16">
        <f>IFERROR(__xludf.DUMMYFUNCTION("""COMPUTED_VALUE"""),0.0)</f>
        <v>0</v>
      </c>
      <c r="G858" s="16">
        <f>IFERROR(__xludf.DUMMYFUNCTION("""COMPUTED_VALUE"""),1.0)</f>
        <v>1</v>
      </c>
      <c r="H858" s="23">
        <f>IFERROR(__xludf.DUMMYFUNCTION("""COMPUTED_VALUE"""),80.0)</f>
        <v>80</v>
      </c>
    </row>
    <row r="859">
      <c r="A859" s="16" t="str">
        <f>IFERROR(__xludf.DUMMYFUNCTION("""COMPUTED_VALUE"""),"Млечни")</f>
        <v>Млечни</v>
      </c>
      <c r="B859" s="7" t="str">
        <f>IFERROR(__xludf.DUMMYFUNCTION("""COMPUTED_VALUE"""),"Маскарпоне K-Classic")</f>
        <v>Маскарпоне K-Classic</v>
      </c>
      <c r="C859" s="12">
        <f>IFERROR(__xludf.DUMMYFUNCTION("""COMPUTED_VALUE"""),100.0)</f>
        <v>100</v>
      </c>
      <c r="D859" s="7">
        <f>IFERROR(__xludf.DUMMYFUNCTION("""COMPUTED_VALUE"""),3.0)</f>
        <v>3</v>
      </c>
      <c r="E859" s="16">
        <f>IFERROR(__xludf.DUMMYFUNCTION("""COMPUTED_VALUE"""),3.5)</f>
        <v>3.5</v>
      </c>
      <c r="F859" s="16">
        <f>IFERROR(__xludf.DUMMYFUNCTION("""COMPUTED_VALUE"""),38.0)</f>
        <v>38</v>
      </c>
      <c r="G859" s="16">
        <f>IFERROR(__xludf.DUMMYFUNCTION("""COMPUTED_VALUE"""),0.0)</f>
        <v>0</v>
      </c>
      <c r="H859" s="23">
        <f>IFERROR(__xludf.DUMMYFUNCTION("""COMPUTED_VALUE"""),368.0)</f>
        <v>368</v>
      </c>
    </row>
    <row r="860">
      <c r="A860" s="16" t="str">
        <f>IFERROR(__xludf.DUMMYFUNCTION("""COMPUTED_VALUE"""),"Млечни")</f>
        <v>Млечни</v>
      </c>
      <c r="B860" s="7" t="str">
        <f>IFERROR(__xludf.DUMMYFUNCTION("""COMPUTED_VALUE"""),"Кварк ванилия Milbona 0,2% Fat")</f>
        <v>Кварк ванилия Milbona 0,2% Fat</v>
      </c>
      <c r="C860" s="12">
        <f>IFERROR(__xludf.DUMMYFUNCTION("""COMPUTED_VALUE"""),100.0)</f>
        <v>100</v>
      </c>
      <c r="D860" s="7">
        <f>IFERROR(__xludf.DUMMYFUNCTION("""COMPUTED_VALUE"""),7.0)</f>
        <v>7</v>
      </c>
      <c r="E860" s="16">
        <f>IFERROR(__xludf.DUMMYFUNCTION("""COMPUTED_VALUE"""),12.9)</f>
        <v>12.9</v>
      </c>
      <c r="F860" s="16">
        <f>IFERROR(__xludf.DUMMYFUNCTION("""COMPUTED_VALUE"""),0.2)</f>
        <v>0.2</v>
      </c>
      <c r="G860" s="16">
        <f>IFERROR(__xludf.DUMMYFUNCTION("""COMPUTED_VALUE"""),0.0)</f>
        <v>0</v>
      </c>
      <c r="H860" s="23">
        <f>IFERROR(__xludf.DUMMYFUNCTION("""COMPUTED_VALUE"""),81.39999999999999)</f>
        <v>81.4</v>
      </c>
    </row>
    <row r="861">
      <c r="A861" s="16" t="str">
        <f>IFERROR(__xludf.DUMMYFUNCTION("""COMPUTED_VALUE"""),"Млечни")</f>
        <v>Млечни</v>
      </c>
      <c r="B861" s="7" t="str">
        <f>IFERROR(__xludf.DUMMYFUNCTION("""COMPUTED_VALUE"""),"Мини моцарела Lovilio LIDL")</f>
        <v>Мини моцарела Lovilio LIDL</v>
      </c>
      <c r="C861" s="12">
        <f>IFERROR(__xludf.DUMMYFUNCTION("""COMPUTED_VALUE"""),100.0)</f>
        <v>100</v>
      </c>
      <c r="D861" s="7">
        <f>IFERROR(__xludf.DUMMYFUNCTION("""COMPUTED_VALUE"""),18.0)</f>
        <v>18</v>
      </c>
      <c r="E861" s="16">
        <f>IFERROR(__xludf.DUMMYFUNCTION("""COMPUTED_VALUE"""),1.5)</f>
        <v>1.5</v>
      </c>
      <c r="F861" s="16">
        <f>IFERROR(__xludf.DUMMYFUNCTION("""COMPUTED_VALUE"""),18.5)</f>
        <v>18.5</v>
      </c>
      <c r="G861" s="16">
        <f>IFERROR(__xludf.DUMMYFUNCTION("""COMPUTED_VALUE"""),0.0)</f>
        <v>0</v>
      </c>
      <c r="H861" s="23">
        <f>IFERROR(__xludf.DUMMYFUNCTION("""COMPUTED_VALUE"""),244.5)</f>
        <v>244.5</v>
      </c>
    </row>
    <row r="862">
      <c r="A862" s="16" t="str">
        <f>IFERROR(__xludf.DUMMYFUNCTION("""COMPUTED_VALUE"""),"Млечни")</f>
        <v>Млечни</v>
      </c>
      <c r="B862" s="7" t="str">
        <f>IFERROR(__xludf.DUMMYFUNCTION("""COMPUTED_VALUE"""),"Скир - плодов Kaufland")</f>
        <v>Скир - плодов Kaufland</v>
      </c>
      <c r="C862" s="12">
        <f>IFERROR(__xludf.DUMMYFUNCTION("""COMPUTED_VALUE"""),100.0)</f>
        <v>100</v>
      </c>
      <c r="D862" s="7">
        <f>IFERROR(__xludf.DUMMYFUNCTION("""COMPUTED_VALUE"""),9.4)</f>
        <v>9.4</v>
      </c>
      <c r="E862" s="16">
        <f>IFERROR(__xludf.DUMMYFUNCTION("""COMPUTED_VALUE"""),8.9)</f>
        <v>8.9</v>
      </c>
      <c r="F862" s="16">
        <f>IFERROR(__xludf.DUMMYFUNCTION("""COMPUTED_VALUE"""),0.2)</f>
        <v>0.2</v>
      </c>
      <c r="G862" s="16">
        <f>IFERROR(__xludf.DUMMYFUNCTION("""COMPUTED_VALUE"""),0.0)</f>
        <v>0</v>
      </c>
      <c r="H862" s="23">
        <f>IFERROR(__xludf.DUMMYFUNCTION("""COMPUTED_VALUE"""),75.0)</f>
        <v>75</v>
      </c>
    </row>
    <row r="863">
      <c r="A863" s="16" t="str">
        <f>IFERROR(__xludf.DUMMYFUNCTION("""COMPUTED_VALUE"""),"Млечни")</f>
        <v>Млечни</v>
      </c>
      <c r="B863" s="7" t="str">
        <f>IFERROR(__xludf.DUMMYFUNCTION("""COMPUTED_VALUE"""),"High Protein (извара с йогурт) - Плодов")</f>
        <v>High Protein (извара с йогурт) - Плодов</v>
      </c>
      <c r="C863" s="12">
        <f>IFERROR(__xludf.DUMMYFUNCTION("""COMPUTED_VALUE"""),100.0)</f>
        <v>100</v>
      </c>
      <c r="D863" s="7">
        <f>IFERROR(__xludf.DUMMYFUNCTION("""COMPUTED_VALUE"""),12.3)</f>
        <v>12.3</v>
      </c>
      <c r="E863" s="16">
        <f>IFERROR(__xludf.DUMMYFUNCTION("""COMPUTED_VALUE"""),3.5)</f>
        <v>3.5</v>
      </c>
      <c r="F863" s="16">
        <f>IFERROR(__xludf.DUMMYFUNCTION("""COMPUTED_VALUE"""),0.5)</f>
        <v>0.5</v>
      </c>
      <c r="G863" s="16">
        <f>IFERROR(__xludf.DUMMYFUNCTION("""COMPUTED_VALUE"""),0.0)</f>
        <v>0</v>
      </c>
      <c r="H863" s="23">
        <f>IFERROR(__xludf.DUMMYFUNCTION("""COMPUTED_VALUE"""),67.7)</f>
        <v>67.7</v>
      </c>
    </row>
    <row r="864">
      <c r="A864" s="16" t="str">
        <f>IFERROR(__xludf.DUMMYFUNCTION("""COMPUTED_VALUE"""),"Млечни")</f>
        <v>Млечни</v>
      </c>
      <c r="B864" s="7" t="str">
        <f>IFERROR(__xludf.DUMMYFUNCTION("""COMPUTED_VALUE"""),"Крема сирене Goldessa Classic")</f>
        <v>Крема сирене Goldessa Classic</v>
      </c>
      <c r="C864" s="12">
        <f>IFERROR(__xludf.DUMMYFUNCTION("""COMPUTED_VALUE"""),100.0)</f>
        <v>100</v>
      </c>
      <c r="D864" s="7">
        <f>IFERROR(__xludf.DUMMYFUNCTION("""COMPUTED_VALUE"""),7.2)</f>
        <v>7.2</v>
      </c>
      <c r="E864" s="16">
        <f>IFERROR(__xludf.DUMMYFUNCTION("""COMPUTED_VALUE"""),2.8)</f>
        <v>2.8</v>
      </c>
      <c r="F864" s="16">
        <f>IFERROR(__xludf.DUMMYFUNCTION("""COMPUTED_VALUE"""),21.7)</f>
        <v>21.7</v>
      </c>
      <c r="G864" s="16">
        <f>IFERROR(__xludf.DUMMYFUNCTION("""COMPUTED_VALUE"""),0.0)</f>
        <v>0</v>
      </c>
      <c r="H864" s="23">
        <f>IFERROR(__xludf.DUMMYFUNCTION("""COMPUTED_VALUE"""),235.29999999999998)</f>
        <v>235.3</v>
      </c>
    </row>
    <row r="865">
      <c r="A865" s="16" t="str">
        <f>IFERROR(__xludf.DUMMYFUNCTION("""COMPUTED_VALUE"""),"Млечни")</f>
        <v>Млечни</v>
      </c>
      <c r="B865" s="7" t="str">
        <f>IFERROR(__xludf.DUMMYFUNCTION("""COMPUTED_VALUE"""),"Cottage cheese ASDA Longley farm")</f>
        <v>Cottage cheese ASDA Longley farm</v>
      </c>
      <c r="C865" s="12">
        <f>IFERROR(__xludf.DUMMYFUNCTION("""COMPUTED_VALUE"""),100.0)</f>
        <v>100</v>
      </c>
      <c r="D865" s="7">
        <f>IFERROR(__xludf.DUMMYFUNCTION("""COMPUTED_VALUE"""),10.3)</f>
        <v>10.3</v>
      </c>
      <c r="E865" s="16">
        <f>IFERROR(__xludf.DUMMYFUNCTION("""COMPUTED_VALUE"""),2.2)</f>
        <v>2.2</v>
      </c>
      <c r="F865" s="16">
        <f>IFERROR(__xludf.DUMMYFUNCTION("""COMPUTED_VALUE"""),4.3)</f>
        <v>4.3</v>
      </c>
      <c r="G865" s="16">
        <f>IFERROR(__xludf.DUMMYFUNCTION("""COMPUTED_VALUE"""),3.0)</f>
        <v>3</v>
      </c>
      <c r="H865" s="23">
        <f>IFERROR(__xludf.DUMMYFUNCTION("""COMPUTED_VALUE"""),88.69999999999999)</f>
        <v>88.7</v>
      </c>
    </row>
    <row r="866">
      <c r="A866" s="16" t="str">
        <f>IFERROR(__xludf.DUMMYFUNCTION("""COMPUTED_VALUE"""),"Млечни")</f>
        <v>Млечни</v>
      </c>
      <c r="B866" s="7" t="str">
        <f>IFERROR(__xludf.DUMMYFUNCTION("""COMPUTED_VALUE"""),"High Protein Quark Праскова и Маракуя")</f>
        <v>High Protein Quark Праскова и Маракуя</v>
      </c>
      <c r="C866" s="12">
        <f>IFERROR(__xludf.DUMMYFUNCTION("""COMPUTED_VALUE"""),100.0)</f>
        <v>100</v>
      </c>
      <c r="D866" s="7">
        <f>IFERROR(__xludf.DUMMYFUNCTION("""COMPUTED_VALUE"""),12.3)</f>
        <v>12.3</v>
      </c>
      <c r="E866" s="16">
        <f>IFERROR(__xludf.DUMMYFUNCTION("""COMPUTED_VALUE"""),3.7)</f>
        <v>3.7</v>
      </c>
      <c r="F866" s="16">
        <f>IFERROR(__xludf.DUMMYFUNCTION("""COMPUTED_VALUE"""),0.5)</f>
        <v>0.5</v>
      </c>
      <c r="G866" s="16">
        <f>IFERROR(__xludf.DUMMYFUNCTION("""COMPUTED_VALUE"""),0.0)</f>
        <v>0</v>
      </c>
      <c r="H866" s="23">
        <f>IFERROR(__xludf.DUMMYFUNCTION("""COMPUTED_VALUE"""),68.5)</f>
        <v>68.5</v>
      </c>
    </row>
    <row r="867">
      <c r="A867" s="16" t="str">
        <f>IFERROR(__xludf.DUMMYFUNCTION("""COMPUTED_VALUE"""),"Млечни")</f>
        <v>Млечни</v>
      </c>
      <c r="B867" s="7" t="str">
        <f>IFERROR(__xludf.DUMMYFUNCTION("""COMPUTED_VALUE"""),"Pilos-Cream spread")</f>
        <v>Pilos-Cream spread</v>
      </c>
      <c r="C867" s="12">
        <f>IFERROR(__xludf.DUMMYFUNCTION("""COMPUTED_VALUE"""),100.0)</f>
        <v>100</v>
      </c>
      <c r="D867" s="7">
        <f>IFERROR(__xludf.DUMMYFUNCTION("""COMPUTED_VALUE"""),10.4)</f>
        <v>10.4</v>
      </c>
      <c r="E867" s="16">
        <f>IFERROR(__xludf.DUMMYFUNCTION("""COMPUTED_VALUE"""),3.6)</f>
        <v>3.6</v>
      </c>
      <c r="F867" s="16">
        <f>IFERROR(__xludf.DUMMYFUNCTION("""COMPUTED_VALUE"""),9.0)</f>
        <v>9</v>
      </c>
      <c r="G867" s="16">
        <f>IFERROR(__xludf.DUMMYFUNCTION("""COMPUTED_VALUE"""),0.0)</f>
        <v>0</v>
      </c>
      <c r="H867" s="23">
        <f>IFERROR(__xludf.DUMMYFUNCTION("""COMPUTED_VALUE"""),137.0)</f>
        <v>137</v>
      </c>
    </row>
    <row r="868">
      <c r="A868" s="16" t="str">
        <f>IFERROR(__xludf.DUMMYFUNCTION("""COMPUTED_VALUE"""),"Млечни")</f>
        <v>Млечни</v>
      </c>
      <c r="B868" s="7" t="str">
        <f>IFERROR(__xludf.DUMMYFUNCTION("""COMPUTED_VALUE"""),"Краве сирене ""Vedrare""")</f>
        <v>Краве сирене "Vedrare"</v>
      </c>
      <c r="C868" s="12">
        <f>IFERROR(__xludf.DUMMYFUNCTION("""COMPUTED_VALUE"""),100.0)</f>
        <v>100</v>
      </c>
      <c r="D868" s="7">
        <f>IFERROR(__xludf.DUMMYFUNCTION("""COMPUTED_VALUE"""),17.0)</f>
        <v>17</v>
      </c>
      <c r="E868" s="16">
        <f>IFERROR(__xludf.DUMMYFUNCTION("""COMPUTED_VALUE"""),1.0)</f>
        <v>1</v>
      </c>
      <c r="F868" s="16">
        <f>IFERROR(__xludf.DUMMYFUNCTION("""COMPUTED_VALUE"""),23.0)</f>
        <v>23</v>
      </c>
      <c r="G868" s="16">
        <f>IFERROR(__xludf.DUMMYFUNCTION("""COMPUTED_VALUE"""),0.0)</f>
        <v>0</v>
      </c>
      <c r="H868" s="23">
        <f>IFERROR(__xludf.DUMMYFUNCTION("""COMPUTED_VALUE"""),279.0)</f>
        <v>279</v>
      </c>
    </row>
    <row r="869">
      <c r="A869" s="16" t="str">
        <f>IFERROR(__xludf.DUMMYFUNCTION("""COMPUTED_VALUE"""),"Млечни")</f>
        <v>Млечни</v>
      </c>
      <c r="B869" s="7" t="str">
        <f>IFERROR(__xludf.DUMMYFUNCTION("""COMPUTED_VALUE"""),"СКИР ЗА ПИЕНЕ -МИЛБОНА праскова")</f>
        <v>СКИР ЗА ПИЕНЕ -МИЛБОНА праскова</v>
      </c>
      <c r="C869" s="12">
        <f>IFERROR(__xludf.DUMMYFUNCTION("""COMPUTED_VALUE"""),100.0)</f>
        <v>100</v>
      </c>
      <c r="D869" s="7">
        <f>IFERROR(__xludf.DUMMYFUNCTION("""COMPUTED_VALUE"""),7.4)</f>
        <v>7.4</v>
      </c>
      <c r="E869" s="16">
        <f>IFERROR(__xludf.DUMMYFUNCTION("""COMPUTED_VALUE"""),4.9)</f>
        <v>4.9</v>
      </c>
      <c r="F869" s="16">
        <f>IFERROR(__xludf.DUMMYFUNCTION("""COMPUTED_VALUE"""),0.2)</f>
        <v>0.2</v>
      </c>
      <c r="G869" s="16">
        <f>IFERROR(__xludf.DUMMYFUNCTION("""COMPUTED_VALUE"""),0.0)</f>
        <v>0</v>
      </c>
      <c r="H869" s="23">
        <f>IFERROR(__xludf.DUMMYFUNCTION("""COMPUTED_VALUE"""),51.0)</f>
        <v>51</v>
      </c>
    </row>
    <row r="870">
      <c r="A870" s="16" t="str">
        <f>IFERROR(__xludf.DUMMYFUNCTION("""COMPUTED_VALUE"""),"Млечни")</f>
        <v>Млечни</v>
      </c>
      <c r="B870" s="7" t="str">
        <f>IFERROR(__xludf.DUMMYFUNCTION("""COMPUTED_VALUE"""),"YoPro Proteina Bannana Peanut Butter")</f>
        <v>YoPro Proteina Bannana Peanut Butter</v>
      </c>
      <c r="C870" s="12">
        <f>IFERROR(__xludf.DUMMYFUNCTION("""COMPUTED_VALUE"""),100.0)</f>
        <v>100</v>
      </c>
      <c r="D870" s="7">
        <f>IFERROR(__xludf.DUMMYFUNCTION("""COMPUTED_VALUE"""),9.4)</f>
        <v>9.4</v>
      </c>
      <c r="E870" s="16">
        <f>IFERROR(__xludf.DUMMYFUNCTION("""COMPUTED_VALUE"""),4.3)</f>
        <v>4.3</v>
      </c>
      <c r="F870" s="16">
        <f>IFERROR(__xludf.DUMMYFUNCTION("""COMPUTED_VALUE"""),0.1)</f>
        <v>0.1</v>
      </c>
      <c r="G870" s="16">
        <f>IFERROR(__xludf.DUMMYFUNCTION("""COMPUTED_VALUE"""),0.0)</f>
        <v>0</v>
      </c>
      <c r="H870" s="23">
        <f>IFERROR(__xludf.DUMMYFUNCTION("""COMPUTED_VALUE"""),55.699999999999996)</f>
        <v>55.7</v>
      </c>
    </row>
    <row r="871">
      <c r="A871" s="16" t="str">
        <f>IFERROR(__xludf.DUMMYFUNCTION("""COMPUTED_VALUE"""),"Млечни")</f>
        <v>Млечни</v>
      </c>
      <c r="B871" s="7" t="str">
        <f>IFERROR(__xludf.DUMMYFUNCTION("""COMPUTED_VALUE"""),"Моцарела настъргана ASDA")</f>
        <v>Моцарела настъргана ASDA</v>
      </c>
      <c r="C871" s="12">
        <f>IFERROR(__xludf.DUMMYFUNCTION("""COMPUTED_VALUE"""),100.0)</f>
        <v>100</v>
      </c>
      <c r="D871" s="7">
        <f>IFERROR(__xludf.DUMMYFUNCTION("""COMPUTED_VALUE"""),24.0)</f>
        <v>24</v>
      </c>
      <c r="E871" s="16">
        <f>IFERROR(__xludf.DUMMYFUNCTION("""COMPUTED_VALUE"""),2.4)</f>
        <v>2.4</v>
      </c>
      <c r="F871" s="16">
        <f>IFERROR(__xludf.DUMMYFUNCTION("""COMPUTED_VALUE"""),21.0)</f>
        <v>21</v>
      </c>
      <c r="G871" s="16">
        <f>IFERROR(__xludf.DUMMYFUNCTION("""COMPUTED_VALUE"""),0.0)</f>
        <v>0</v>
      </c>
      <c r="H871" s="23">
        <f>IFERROR(__xludf.DUMMYFUNCTION("""COMPUTED_VALUE"""),294.6)</f>
        <v>294.6</v>
      </c>
    </row>
    <row r="872">
      <c r="A872" s="16" t="str">
        <f>IFERROR(__xludf.DUMMYFUNCTION("""COMPUTED_VALUE"""),"Млечни")</f>
        <v>Млечни</v>
      </c>
      <c r="B872" s="7" t="str">
        <f>IFERROR(__xludf.DUMMYFUNCTION("""COMPUTED_VALUE"""),"Pilos greek yogurt strawberry")</f>
        <v>Pilos greek yogurt strawberry</v>
      </c>
      <c r="C872" s="12">
        <f>IFERROR(__xludf.DUMMYFUNCTION("""COMPUTED_VALUE"""),100.0)</f>
        <v>100</v>
      </c>
      <c r="D872" s="7">
        <f>IFERROR(__xludf.DUMMYFUNCTION("""COMPUTED_VALUE"""),3.9)</f>
        <v>3.9</v>
      </c>
      <c r="E872" s="16">
        <f>IFERROR(__xludf.DUMMYFUNCTION("""COMPUTED_VALUE"""),13.1)</f>
        <v>13.1</v>
      </c>
      <c r="F872" s="16">
        <f>IFERROR(__xludf.DUMMYFUNCTION("""COMPUTED_VALUE"""),8.2)</f>
        <v>8.2</v>
      </c>
      <c r="G872" s="16">
        <f>IFERROR(__xludf.DUMMYFUNCTION("""COMPUTED_VALUE"""),0.0)</f>
        <v>0</v>
      </c>
      <c r="H872" s="23">
        <f>IFERROR(__xludf.DUMMYFUNCTION("""COMPUTED_VALUE"""),141.8)</f>
        <v>141.8</v>
      </c>
    </row>
    <row r="873">
      <c r="A873" s="16" t="str">
        <f>IFERROR(__xludf.DUMMYFUNCTION("""COMPUTED_VALUE"""),"Млечни")</f>
        <v>Млечни</v>
      </c>
      <c r="B873" s="7" t="str">
        <f>IFERROR(__xludf.DUMMYFUNCTION("""COMPUTED_VALUE"""),"пилос-paprika u pavlici -spicy")</f>
        <v>пилос-paprika u pavlici -spicy</v>
      </c>
      <c r="C873" s="12">
        <f>IFERROR(__xludf.DUMMYFUNCTION("""COMPUTED_VALUE"""),100.0)</f>
        <v>100</v>
      </c>
      <c r="D873" s="7">
        <f>IFERROR(__xludf.DUMMYFUNCTION("""COMPUTED_VALUE"""),5.0)</f>
        <v>5</v>
      </c>
      <c r="E873" s="16">
        <f>IFERROR(__xludf.DUMMYFUNCTION("""COMPUTED_VALUE"""),2.7)</f>
        <v>2.7</v>
      </c>
      <c r="F873" s="16">
        <f>IFERROR(__xludf.DUMMYFUNCTION("""COMPUTED_VALUE"""),11.0)</f>
        <v>11</v>
      </c>
      <c r="G873" s="16">
        <f>IFERROR(__xludf.DUMMYFUNCTION("""COMPUTED_VALUE"""),0.0)</f>
        <v>0</v>
      </c>
      <c r="H873" s="23">
        <f>IFERROR(__xludf.DUMMYFUNCTION("""COMPUTED_VALUE"""),129.8)</f>
        <v>129.8</v>
      </c>
    </row>
    <row r="874">
      <c r="A874" s="16" t="str">
        <f>IFERROR(__xludf.DUMMYFUNCTION("""COMPUTED_VALUE"""),"Млечни")</f>
        <v>Млечни</v>
      </c>
      <c r="B874" s="7" t="str">
        <f>IFERROR(__xludf.DUMMYFUNCTION("""COMPUTED_VALUE"""),"Pilos - Yogurt - Strawberry / Николина")</f>
        <v>Pilos - Yogurt - Strawberry / Николина</v>
      </c>
      <c r="C874" s="12">
        <f>IFERROR(__xludf.DUMMYFUNCTION("""COMPUTED_VALUE"""),100.0)</f>
        <v>100</v>
      </c>
      <c r="D874" s="7">
        <f>IFERROR(__xludf.DUMMYFUNCTION("""COMPUTED_VALUE"""),3.4)</f>
        <v>3.4</v>
      </c>
      <c r="E874" s="16">
        <f>IFERROR(__xludf.DUMMYFUNCTION("""COMPUTED_VALUE"""),13.5)</f>
        <v>13.5</v>
      </c>
      <c r="F874" s="16">
        <f>IFERROR(__xludf.DUMMYFUNCTION("""COMPUTED_VALUE"""),2.7)</f>
        <v>2.7</v>
      </c>
      <c r="G874" s="16"/>
      <c r="H874" s="23">
        <f>IFERROR(__xludf.DUMMYFUNCTION("""COMPUTED_VALUE"""),91.89999999999999)</f>
        <v>91.9</v>
      </c>
    </row>
    <row r="875">
      <c r="A875" s="16" t="str">
        <f>IFERROR(__xludf.DUMMYFUNCTION("""COMPUTED_VALUE"""),"Млечни")</f>
        <v>Млечни</v>
      </c>
      <c r="B875" s="7" t="str">
        <f>IFERROR(__xludf.DUMMYFUNCTION("""COMPUTED_VALUE"""),"Danone YoPro боровинка")</f>
        <v>Danone YoPro боровинка</v>
      </c>
      <c r="C875" s="12">
        <f>IFERROR(__xludf.DUMMYFUNCTION("""COMPUTED_VALUE"""),100.0)</f>
        <v>100</v>
      </c>
      <c r="D875" s="7">
        <f>IFERROR(__xludf.DUMMYFUNCTION("""COMPUTED_VALUE"""),9.3)</f>
        <v>9.3</v>
      </c>
      <c r="E875" s="16">
        <f>IFERROR(__xludf.DUMMYFUNCTION("""COMPUTED_VALUE"""),3.6)</f>
        <v>3.6</v>
      </c>
      <c r="F875" s="16">
        <f>IFERROR(__xludf.DUMMYFUNCTION("""COMPUTED_VALUE"""),0.1)</f>
        <v>0.1</v>
      </c>
      <c r="G875" s="16">
        <f>IFERROR(__xludf.DUMMYFUNCTION("""COMPUTED_VALUE"""),0.0)</f>
        <v>0</v>
      </c>
      <c r="H875" s="23">
        <f>IFERROR(__xludf.DUMMYFUNCTION("""COMPUTED_VALUE"""),52.5)</f>
        <v>52.5</v>
      </c>
    </row>
    <row r="876">
      <c r="A876" s="16" t="str">
        <f>IFERROR(__xludf.DUMMYFUNCTION("""COMPUTED_VALUE"""),"Млечни")</f>
        <v>Млечни</v>
      </c>
      <c r="B876" s="7" t="str">
        <f>IFERROR(__xludf.DUMMYFUNCTION("""COMPUTED_VALUE"""),"Polski Jogurt Mlekovita ягода")</f>
        <v>Polski Jogurt Mlekovita ягода</v>
      </c>
      <c r="C876" s="12">
        <f>IFERROR(__xludf.DUMMYFUNCTION("""COMPUTED_VALUE"""),100.0)</f>
        <v>100</v>
      </c>
      <c r="D876" s="7">
        <f>IFERROR(__xludf.DUMMYFUNCTION("""COMPUTED_VALUE"""),2.8)</f>
        <v>2.8</v>
      </c>
      <c r="E876" s="16">
        <f>IFERROR(__xludf.DUMMYFUNCTION("""COMPUTED_VALUE"""),12.0)</f>
        <v>12</v>
      </c>
      <c r="F876" s="16">
        <f>IFERROR(__xludf.DUMMYFUNCTION("""COMPUTED_VALUE"""),2.5)</f>
        <v>2.5</v>
      </c>
      <c r="G876" s="16">
        <f>IFERROR(__xludf.DUMMYFUNCTION("""COMPUTED_VALUE"""),0.5)</f>
        <v>0.5</v>
      </c>
      <c r="H876" s="23">
        <f>IFERROR(__xludf.DUMMYFUNCTION("""COMPUTED_VALUE"""),81.7)</f>
        <v>81.7</v>
      </c>
    </row>
    <row r="877">
      <c r="A877" s="16" t="str">
        <f>IFERROR(__xludf.DUMMYFUNCTION("""COMPUTED_VALUE"""),"Млечни")</f>
        <v>Млечни</v>
      </c>
      <c r="B877" s="7" t="str">
        <f>IFERROR(__xludf.DUMMYFUNCTION("""COMPUTED_VALUE"""),"Alpro Barista Almond")</f>
        <v>Alpro Barista Almond</v>
      </c>
      <c r="C877" s="12">
        <f>IFERROR(__xludf.DUMMYFUNCTION("""COMPUTED_VALUE"""),100.0)</f>
        <v>100</v>
      </c>
      <c r="D877" s="7">
        <f>IFERROR(__xludf.DUMMYFUNCTION("""COMPUTED_VALUE"""),0.5)</f>
        <v>0.5</v>
      </c>
      <c r="E877" s="16">
        <f>IFERROR(__xludf.DUMMYFUNCTION("""COMPUTED_VALUE"""),2.6)</f>
        <v>2.6</v>
      </c>
      <c r="F877" s="16">
        <f>IFERROR(__xludf.DUMMYFUNCTION("""COMPUTED_VALUE"""),1.2)</f>
        <v>1.2</v>
      </c>
      <c r="G877" s="16">
        <f>IFERROR(__xludf.DUMMYFUNCTION("""COMPUTED_VALUE"""),0.3)</f>
        <v>0.3</v>
      </c>
      <c r="H877" s="23">
        <f>IFERROR(__xludf.DUMMYFUNCTION("""COMPUTED_VALUE"""),23.2)</f>
        <v>23.2</v>
      </c>
    </row>
    <row r="878">
      <c r="A878" s="16" t="str">
        <f>IFERROR(__xludf.DUMMYFUNCTION("""COMPUTED_VALUE"""),"Млечни")</f>
        <v>Млечни</v>
      </c>
      <c r="B878" s="7" t="str">
        <f>IFERROR(__xludf.DUMMYFUNCTION("""COMPUTED_VALUE"""),"Настърган кашкавал Витоша")</f>
        <v>Настърган кашкавал Витоша</v>
      </c>
      <c r="C878" s="12">
        <f>IFERROR(__xludf.DUMMYFUNCTION("""COMPUTED_VALUE"""),100.0)</f>
        <v>100</v>
      </c>
      <c r="D878" s="7">
        <f>IFERROR(__xludf.DUMMYFUNCTION("""COMPUTED_VALUE"""),25.0)</f>
        <v>25</v>
      </c>
      <c r="E878" s="16">
        <f>IFERROR(__xludf.DUMMYFUNCTION("""COMPUTED_VALUE"""),2.0)</f>
        <v>2</v>
      </c>
      <c r="F878" s="16">
        <f>IFERROR(__xludf.DUMMYFUNCTION("""COMPUTED_VALUE"""),26.0)</f>
        <v>26</v>
      </c>
      <c r="G878" s="16">
        <f>IFERROR(__xludf.DUMMYFUNCTION("""COMPUTED_VALUE"""),0.5)</f>
        <v>0.5</v>
      </c>
      <c r="H878" s="23">
        <f>IFERROR(__xludf.DUMMYFUNCTION("""COMPUTED_VALUE"""),342.0)</f>
        <v>342</v>
      </c>
    </row>
    <row r="879">
      <c r="A879" s="16" t="str">
        <f>IFERROR(__xludf.DUMMYFUNCTION("""COMPUTED_VALUE"""),"Млечни")</f>
        <v>Млечни</v>
      </c>
      <c r="B879" s="7" t="str">
        <f>IFERROR(__xludf.DUMMYFUNCTION("""COMPUTED_VALUE"""),"Milbona кварк ягода")</f>
        <v>Milbona кварк ягода</v>
      </c>
      <c r="C879" s="12">
        <f>IFERROR(__xludf.DUMMYFUNCTION("""COMPUTED_VALUE"""),100.0)</f>
        <v>100</v>
      </c>
      <c r="D879" s="7">
        <f>IFERROR(__xludf.DUMMYFUNCTION("""COMPUTED_VALUE"""),12.3)</f>
        <v>12.3</v>
      </c>
      <c r="E879" s="16">
        <f>IFERROR(__xludf.DUMMYFUNCTION("""COMPUTED_VALUE"""),3.5)</f>
        <v>3.5</v>
      </c>
      <c r="F879" s="16">
        <f>IFERROR(__xludf.DUMMYFUNCTION("""COMPUTED_VALUE"""),0.5)</f>
        <v>0.5</v>
      </c>
      <c r="G879" s="16">
        <f>IFERROR(__xludf.DUMMYFUNCTION("""COMPUTED_VALUE"""),0.5)</f>
        <v>0.5</v>
      </c>
      <c r="H879" s="23">
        <f>IFERROR(__xludf.DUMMYFUNCTION("""COMPUTED_VALUE"""),67.7)</f>
        <v>67.7</v>
      </c>
    </row>
    <row r="880">
      <c r="A880" s="16" t="str">
        <f>IFERROR(__xludf.DUMMYFUNCTION("""COMPUTED_VALUE"""),"Млечни")</f>
        <v>Млечни</v>
      </c>
      <c r="B880" s="7" t="str">
        <f>IFERROR(__xludf.DUMMYFUNCTION("""COMPUTED_VALUE"""),"Кварк - натурален")</f>
        <v>Кварк - натурален</v>
      </c>
      <c r="C880" s="12">
        <f>IFERROR(__xludf.DUMMYFUNCTION("""COMPUTED_VALUE"""),100.0)</f>
        <v>100</v>
      </c>
      <c r="D880" s="7">
        <f>IFERROR(__xludf.DUMMYFUNCTION("""COMPUTED_VALUE"""),12.2)</f>
        <v>12.2</v>
      </c>
      <c r="E880" s="16">
        <f>IFERROR(__xludf.DUMMYFUNCTION("""COMPUTED_VALUE"""),3.7)</f>
        <v>3.7</v>
      </c>
      <c r="F880" s="16">
        <f>IFERROR(__xludf.DUMMYFUNCTION("""COMPUTED_VALUE"""),0.1)</f>
        <v>0.1</v>
      </c>
      <c r="G880" s="16">
        <f>IFERROR(__xludf.DUMMYFUNCTION("""COMPUTED_VALUE"""),0.5)</f>
        <v>0.5</v>
      </c>
      <c r="H880" s="23">
        <f>IFERROR(__xludf.DUMMYFUNCTION("""COMPUTED_VALUE"""),64.5)</f>
        <v>64.5</v>
      </c>
    </row>
    <row r="881">
      <c r="A881" s="16" t="str">
        <f>IFERROR(__xludf.DUMMYFUNCTION("""COMPUTED_VALUE"""),"Млечни")</f>
        <v>Млечни</v>
      </c>
      <c r="B881" s="7" t="str">
        <f>IFERROR(__xludf.DUMMYFUNCTION("""COMPUTED_VALUE"""),"Извара Кондов (козе мляко)")</f>
        <v>Извара Кондов (козе мляко)</v>
      </c>
      <c r="C881" s="12">
        <f>IFERROR(__xludf.DUMMYFUNCTION("""COMPUTED_VALUE"""),100.0)</f>
        <v>100</v>
      </c>
      <c r="D881" s="7">
        <f>IFERROR(__xludf.DUMMYFUNCTION("""COMPUTED_VALUE"""),12.24)</f>
        <v>12.24</v>
      </c>
      <c r="E881" s="16">
        <f>IFERROR(__xludf.DUMMYFUNCTION("""COMPUTED_VALUE"""),2.7)</f>
        <v>2.7</v>
      </c>
      <c r="F881" s="16">
        <f>IFERROR(__xludf.DUMMYFUNCTION("""COMPUTED_VALUE"""),2.8)</f>
        <v>2.8</v>
      </c>
      <c r="G881" s="16">
        <f>IFERROR(__xludf.DUMMYFUNCTION("""COMPUTED_VALUE"""),0.5)</f>
        <v>0.5</v>
      </c>
      <c r="H881" s="23">
        <f>IFERROR(__xludf.DUMMYFUNCTION("""COMPUTED_VALUE"""),84.96000000000001)</f>
        <v>84.96</v>
      </c>
    </row>
    <row r="882">
      <c r="A882" s="16" t="str">
        <f>IFERROR(__xludf.DUMMYFUNCTION("""COMPUTED_VALUE"""),"Млечни")</f>
        <v>Млечни</v>
      </c>
      <c r="B882" s="7" t="str">
        <f>IFERROR(__xludf.DUMMYFUNCTION("""COMPUTED_VALUE"""),"Извара Китан")</f>
        <v>Извара Китан</v>
      </c>
      <c r="C882" s="12">
        <f>IFERROR(__xludf.DUMMYFUNCTION("""COMPUTED_VALUE"""),100.0)</f>
        <v>100</v>
      </c>
      <c r="D882" s="7">
        <f>IFERROR(__xludf.DUMMYFUNCTION("""COMPUTED_VALUE"""),18.0)</f>
        <v>18</v>
      </c>
      <c r="E882" s="16">
        <f>IFERROR(__xludf.DUMMYFUNCTION("""COMPUTED_VALUE"""),1.4)</f>
        <v>1.4</v>
      </c>
      <c r="F882" s="16">
        <f>IFERROR(__xludf.DUMMYFUNCTION("""COMPUTED_VALUE"""),4.3)</f>
        <v>4.3</v>
      </c>
      <c r="G882" s="16">
        <f>IFERROR(__xludf.DUMMYFUNCTION("""COMPUTED_VALUE"""),0.0)</f>
        <v>0</v>
      </c>
      <c r="H882" s="23">
        <f>IFERROR(__xludf.DUMMYFUNCTION("""COMPUTED_VALUE"""),116.29999999999998)</f>
        <v>116.3</v>
      </c>
    </row>
    <row r="883">
      <c r="A883" s="16" t="str">
        <f>IFERROR(__xludf.DUMMYFUNCTION("""COMPUTED_VALUE"""),"Млечни")</f>
        <v>Млечни</v>
      </c>
      <c r="B883" s="7" t="str">
        <f>IFERROR(__xludf.DUMMYFUNCTION("""COMPUTED_VALUE"""),"Скир плодов Лидл Pilos")</f>
        <v>Скир плодов Лидл Pilos</v>
      </c>
      <c r="C883" s="12">
        <f>IFERROR(__xludf.DUMMYFUNCTION("""COMPUTED_VALUE"""),100.0)</f>
        <v>100</v>
      </c>
      <c r="D883" s="7">
        <f>IFERROR(__xludf.DUMMYFUNCTION("""COMPUTED_VALUE"""),8.9)</f>
        <v>8.9</v>
      </c>
      <c r="E883" s="16">
        <f>IFERROR(__xludf.DUMMYFUNCTION("""COMPUTED_VALUE"""),4.6)</f>
        <v>4.6</v>
      </c>
      <c r="F883" s="16">
        <f>IFERROR(__xludf.DUMMYFUNCTION("""COMPUTED_VALUE"""),0.2)</f>
        <v>0.2</v>
      </c>
      <c r="G883" s="16">
        <f>IFERROR(__xludf.DUMMYFUNCTION("""COMPUTED_VALUE"""),0.1)</f>
        <v>0.1</v>
      </c>
      <c r="H883" s="23">
        <f>IFERROR(__xludf.DUMMYFUNCTION("""COMPUTED_VALUE"""),55.8)</f>
        <v>55.8</v>
      </c>
    </row>
    <row r="884">
      <c r="A884" s="16" t="str">
        <f>IFERROR(__xludf.DUMMYFUNCTION("""COMPUTED_VALUE"""),"Млечни")</f>
        <v>Млечни</v>
      </c>
      <c r="B884" s="7" t="str">
        <f>IFERROR(__xludf.DUMMYFUNCTION("""COMPUTED_VALUE"""),"Извара Родна стряха")</f>
        <v>Извара Родна стряха</v>
      </c>
      <c r="C884" s="12">
        <f>IFERROR(__xludf.DUMMYFUNCTION("""COMPUTED_VALUE"""),100.0)</f>
        <v>100</v>
      </c>
      <c r="D884" s="7">
        <f>IFERROR(__xludf.DUMMYFUNCTION("""COMPUTED_VALUE"""),14.0)</f>
        <v>14</v>
      </c>
      <c r="E884" s="16">
        <f>IFERROR(__xludf.DUMMYFUNCTION("""COMPUTED_VALUE"""),3.0)</f>
        <v>3</v>
      </c>
      <c r="F884" s="16">
        <f>IFERROR(__xludf.DUMMYFUNCTION("""COMPUTED_VALUE"""),1.0)</f>
        <v>1</v>
      </c>
      <c r="G884" s="16">
        <f>IFERROR(__xludf.DUMMYFUNCTION("""COMPUTED_VALUE"""),0.0)</f>
        <v>0</v>
      </c>
      <c r="H884" s="23">
        <f>IFERROR(__xludf.DUMMYFUNCTION("""COMPUTED_VALUE"""),77.0)</f>
        <v>77</v>
      </c>
    </row>
    <row r="885">
      <c r="A885" s="16" t="str">
        <f>IFERROR(__xludf.DUMMYFUNCTION("""COMPUTED_VALUE"""),"Млечни")</f>
        <v>Млечни</v>
      </c>
      <c r="B885" s="7" t="str">
        <f>IFERROR(__xludf.DUMMYFUNCTION("""COMPUTED_VALUE"""),"Катък")</f>
        <v>Катък</v>
      </c>
      <c r="C885" s="12">
        <f>IFERROR(__xludf.DUMMYFUNCTION("""COMPUTED_VALUE"""),100.0)</f>
        <v>100</v>
      </c>
      <c r="D885" s="7">
        <f>IFERROR(__xludf.DUMMYFUNCTION("""COMPUTED_VALUE"""),12.5)</f>
        <v>12.5</v>
      </c>
      <c r="E885" s="16">
        <f>IFERROR(__xludf.DUMMYFUNCTION("""COMPUTED_VALUE"""),2.0)</f>
        <v>2</v>
      </c>
      <c r="F885" s="16">
        <f>IFERROR(__xludf.DUMMYFUNCTION("""COMPUTED_VALUE"""),20.0)</f>
        <v>20</v>
      </c>
      <c r="G885" s="16">
        <f>IFERROR(__xludf.DUMMYFUNCTION("""COMPUTED_VALUE"""),0.0)</f>
        <v>0</v>
      </c>
      <c r="H885" s="23">
        <f>IFERROR(__xludf.DUMMYFUNCTION("""COMPUTED_VALUE"""),238.0)</f>
        <v>238</v>
      </c>
    </row>
    <row r="886">
      <c r="A886" s="16" t="str">
        <f>IFERROR(__xludf.DUMMYFUNCTION("""COMPUTED_VALUE"""),"Млечни")</f>
        <v>Млечни</v>
      </c>
      <c r="B886" s="7" t="str">
        <f>IFERROR(__xludf.DUMMYFUNCTION("""COMPUTED_VALUE"""),"HIGH Protein Vanilla Milbona Лидл")</f>
        <v>HIGH Protein Vanilla Milbona Лидл</v>
      </c>
      <c r="C886" s="12">
        <f>IFERROR(__xludf.DUMMYFUNCTION("""COMPUTED_VALUE"""),100.0)</f>
        <v>100</v>
      </c>
      <c r="D886" s="7">
        <f>IFERROR(__xludf.DUMMYFUNCTION("""COMPUTED_VALUE"""),12.4)</f>
        <v>12.4</v>
      </c>
      <c r="E886" s="16">
        <f>IFERROR(__xludf.DUMMYFUNCTION("""COMPUTED_VALUE"""),3.2)</f>
        <v>3.2</v>
      </c>
      <c r="F886" s="16">
        <f>IFERROR(__xludf.DUMMYFUNCTION("""COMPUTED_VALUE"""),0.5)</f>
        <v>0.5</v>
      </c>
      <c r="G886" s="16">
        <f>IFERROR(__xludf.DUMMYFUNCTION("""COMPUTED_VALUE"""),0.0)</f>
        <v>0</v>
      </c>
      <c r="H886" s="23">
        <f>IFERROR(__xludf.DUMMYFUNCTION("""COMPUTED_VALUE"""),66.9)</f>
        <v>66.9</v>
      </c>
    </row>
    <row r="887">
      <c r="A887" s="16" t="str">
        <f>IFERROR(__xludf.DUMMYFUNCTION("""COMPUTED_VALUE"""),"Млечни")</f>
        <v>Млечни</v>
      </c>
      <c r="B887" s="7" t="str">
        <f>IFERROR(__xludf.DUMMYFUNCTION("""COMPUTED_VALUE"""),"Катък ""Маджаров""")</f>
        <v>Катък "Маджаров"</v>
      </c>
      <c r="C887" s="12">
        <f>IFERROR(__xludf.DUMMYFUNCTION("""COMPUTED_VALUE"""),100.0)</f>
        <v>100</v>
      </c>
      <c r="D887" s="7">
        <f>IFERROR(__xludf.DUMMYFUNCTION("""COMPUTED_VALUE"""),11.0)</f>
        <v>11</v>
      </c>
      <c r="E887" s="16">
        <f>IFERROR(__xludf.DUMMYFUNCTION("""COMPUTED_VALUE"""),7.0)</f>
        <v>7</v>
      </c>
      <c r="F887" s="16">
        <f>IFERROR(__xludf.DUMMYFUNCTION("""COMPUTED_VALUE"""),7.0)</f>
        <v>7</v>
      </c>
      <c r="G887" s="16">
        <f>IFERROR(__xludf.DUMMYFUNCTION("""COMPUTED_VALUE"""),0.0)</f>
        <v>0</v>
      </c>
      <c r="H887" s="23">
        <f>IFERROR(__xludf.DUMMYFUNCTION("""COMPUTED_VALUE"""),135.0)</f>
        <v>135</v>
      </c>
    </row>
    <row r="888">
      <c r="A888" s="16" t="str">
        <f>IFERROR(__xludf.DUMMYFUNCTION("""COMPUTED_VALUE"""),"Млечни")</f>
        <v>Млечни</v>
      </c>
      <c r="B888" s="7" t="str">
        <f>IFERROR(__xludf.DUMMYFUNCTION("""COMPUTED_VALUE"""),"Полумаслено сирене Маджаров")</f>
        <v>Полумаслено сирене Маджаров</v>
      </c>
      <c r="C888" s="12">
        <f>IFERROR(__xludf.DUMMYFUNCTION("""COMPUTED_VALUE"""),100.0)</f>
        <v>100</v>
      </c>
      <c r="D888" s="7">
        <f>IFERROR(__xludf.DUMMYFUNCTION("""COMPUTED_VALUE"""),20.0)</f>
        <v>20</v>
      </c>
      <c r="E888" s="16">
        <f>IFERROR(__xludf.DUMMYFUNCTION("""COMPUTED_VALUE"""),1.5)</f>
        <v>1.5</v>
      </c>
      <c r="F888" s="16">
        <f>IFERROR(__xludf.DUMMYFUNCTION("""COMPUTED_VALUE"""),10.0)</f>
        <v>10</v>
      </c>
      <c r="G888" s="16">
        <f>IFERROR(__xludf.DUMMYFUNCTION("""COMPUTED_VALUE"""),0.0)</f>
        <v>0</v>
      </c>
      <c r="H888" s="23">
        <f>IFERROR(__xludf.DUMMYFUNCTION("""COMPUTED_VALUE"""),176.0)</f>
        <v>176</v>
      </c>
    </row>
    <row r="889">
      <c r="A889" s="16" t="str">
        <f>IFERROR(__xludf.DUMMYFUNCTION("""COMPUTED_VALUE"""),"Млечни")</f>
        <v>Млечни</v>
      </c>
      <c r="B889" s="7" t="str">
        <f>IFERROR(__xludf.DUMMYFUNCTION("""COMPUTED_VALUE"""),"Извара Сърница (суроватъчна)")</f>
        <v>Извара Сърница (суроватъчна)</v>
      </c>
      <c r="C889" s="12">
        <f>IFERROR(__xludf.DUMMYFUNCTION("""COMPUTED_VALUE"""),100.0)</f>
        <v>100</v>
      </c>
      <c r="D889" s="7">
        <f>IFERROR(__xludf.DUMMYFUNCTION("""COMPUTED_VALUE"""),11.9)</f>
        <v>11.9</v>
      </c>
      <c r="E889" s="16">
        <f>IFERROR(__xludf.DUMMYFUNCTION("""COMPUTED_VALUE"""),2.41)</f>
        <v>2.41</v>
      </c>
      <c r="F889" s="16">
        <f>IFERROR(__xludf.DUMMYFUNCTION("""COMPUTED_VALUE"""),2.0)</f>
        <v>2</v>
      </c>
      <c r="G889" s="16">
        <f>IFERROR(__xludf.DUMMYFUNCTION("""COMPUTED_VALUE"""),0.0)</f>
        <v>0</v>
      </c>
      <c r="H889" s="23">
        <f>IFERROR(__xludf.DUMMYFUNCTION("""COMPUTED_VALUE"""),75.24000000000001)</f>
        <v>75.24</v>
      </c>
    </row>
    <row r="890">
      <c r="A890" s="16" t="str">
        <f>IFERROR(__xludf.DUMMYFUNCTION("""COMPUTED_VALUE"""),"Млечни")</f>
        <v>Млечни</v>
      </c>
      <c r="B890" s="7" t="str">
        <f>IFERROR(__xludf.DUMMYFUNCTION("""COMPUTED_VALUE"""),"МОЦАРЕЛА ЛАЙТ Лидл")</f>
        <v>МОЦАРЕЛА ЛАЙТ Лидл</v>
      </c>
      <c r="C890" s="12">
        <f>IFERROR(__xludf.DUMMYFUNCTION("""COMPUTED_VALUE"""),100.0)</f>
        <v>100</v>
      </c>
      <c r="D890" s="7">
        <f>IFERROR(__xludf.DUMMYFUNCTION("""COMPUTED_VALUE"""),20.5)</f>
        <v>20.5</v>
      </c>
      <c r="E890" s="16">
        <f>IFERROR(__xludf.DUMMYFUNCTION("""COMPUTED_VALUE"""),1.5)</f>
        <v>1.5</v>
      </c>
      <c r="F890" s="16">
        <f>IFERROR(__xludf.DUMMYFUNCTION("""COMPUTED_VALUE"""),8.5)</f>
        <v>8.5</v>
      </c>
      <c r="G890" s="16">
        <f>IFERROR(__xludf.DUMMYFUNCTION("""COMPUTED_VALUE"""),0.0)</f>
        <v>0</v>
      </c>
      <c r="H890" s="23">
        <f>IFERROR(__xludf.DUMMYFUNCTION("""COMPUTED_VALUE"""),164.5)</f>
        <v>164.5</v>
      </c>
    </row>
    <row r="891">
      <c r="A891" s="16" t="str">
        <f>IFERROR(__xludf.DUMMYFUNCTION("""COMPUTED_VALUE"""),"Млечни")</f>
        <v>Млечни</v>
      </c>
      <c r="B891" s="7" t="str">
        <f>IFERROR(__xludf.DUMMYFUNCTION("""COMPUTED_VALUE"""),"YoPro Proteina milkshake chocolate")</f>
        <v>YoPro Proteina milkshake chocolate</v>
      </c>
      <c r="C891" s="12">
        <f>IFERROR(__xludf.DUMMYFUNCTION("""COMPUTED_VALUE"""),100.0)</f>
        <v>100</v>
      </c>
      <c r="D891" s="7">
        <f>IFERROR(__xludf.DUMMYFUNCTION("""COMPUTED_VALUE"""),7.6)</f>
        <v>7.6</v>
      </c>
      <c r="E891" s="16">
        <f>IFERROR(__xludf.DUMMYFUNCTION("""COMPUTED_VALUE"""),5.0)</f>
        <v>5</v>
      </c>
      <c r="F891" s="16">
        <f>IFERROR(__xludf.DUMMYFUNCTION("""COMPUTED_VALUE"""),0.2)</f>
        <v>0.2</v>
      </c>
      <c r="G891" s="16">
        <f>IFERROR(__xludf.DUMMYFUNCTION("""COMPUTED_VALUE"""),0.0)</f>
        <v>0</v>
      </c>
      <c r="H891" s="23">
        <f>IFERROR(__xludf.DUMMYFUNCTION("""COMPUTED_VALUE"""),52.199999999999996)</f>
        <v>52.2</v>
      </c>
    </row>
    <row r="892">
      <c r="A892" s="16" t="str">
        <f>IFERROR(__xludf.DUMMYFUNCTION("""COMPUTED_VALUE"""),"Млечни")</f>
        <v>Млечни</v>
      </c>
      <c r="B892" s="7" t="str">
        <f>IFERROR(__xludf.DUMMYFUNCTION("""COMPUTED_VALUE"""),"Danone плодов скир")</f>
        <v>Danone плодов скир</v>
      </c>
      <c r="C892" s="12">
        <f>IFERROR(__xludf.DUMMYFUNCTION("""COMPUTED_VALUE"""),100.0)</f>
        <v>100</v>
      </c>
      <c r="D892" s="7">
        <f>IFERROR(__xludf.DUMMYFUNCTION("""COMPUTED_VALUE"""),9.6)</f>
        <v>9.6</v>
      </c>
      <c r="E892" s="16">
        <f>IFERROR(__xludf.DUMMYFUNCTION("""COMPUTED_VALUE"""),11.0)</f>
        <v>11</v>
      </c>
      <c r="F892" s="16">
        <f>IFERROR(__xludf.DUMMYFUNCTION("""COMPUTED_VALUE"""),0.0)</f>
        <v>0</v>
      </c>
      <c r="G892" s="16">
        <f>IFERROR(__xludf.DUMMYFUNCTION("""COMPUTED_VALUE"""),0.2)</f>
        <v>0.2</v>
      </c>
      <c r="H892" s="23">
        <f>IFERROR(__xludf.DUMMYFUNCTION("""COMPUTED_VALUE"""),82.4)</f>
        <v>82.4</v>
      </c>
    </row>
    <row r="893">
      <c r="A893" s="16" t="str">
        <f>IFERROR(__xludf.DUMMYFUNCTION("""COMPUTED_VALUE"""),"Млечни")</f>
        <v>Млечни</v>
      </c>
      <c r="B893" s="7" t="str">
        <f>IFERROR(__xludf.DUMMYFUNCTION("""COMPUTED_VALUE"""),"Кокосово мляко ALPRO*")</f>
        <v>Кокосово мляко ALPRO*</v>
      </c>
      <c r="C893" s="12">
        <f>IFERROR(__xludf.DUMMYFUNCTION("""COMPUTED_VALUE"""),100.0)</f>
        <v>100</v>
      </c>
      <c r="D893" s="7">
        <f>IFERROR(__xludf.DUMMYFUNCTION("""COMPUTED_VALUE"""),1.0)</f>
        <v>1</v>
      </c>
      <c r="E893" s="16">
        <f>IFERROR(__xludf.DUMMYFUNCTION("""COMPUTED_VALUE"""),0.0)</f>
        <v>0</v>
      </c>
      <c r="F893" s="16">
        <f>IFERROR(__xludf.DUMMYFUNCTION("""COMPUTED_VALUE"""),1.0)</f>
        <v>1</v>
      </c>
      <c r="G893" s="16">
        <f>IFERROR(__xludf.DUMMYFUNCTION("""COMPUTED_VALUE"""),0.0)</f>
        <v>0</v>
      </c>
      <c r="H893" s="23">
        <f>IFERROR(__xludf.DUMMYFUNCTION("""COMPUTED_VALUE"""),13.0)</f>
        <v>13</v>
      </c>
    </row>
    <row r="894">
      <c r="A894" s="16" t="str">
        <f>IFERROR(__xludf.DUMMYFUNCTION("""COMPUTED_VALUE"""),"Млечни")</f>
        <v>Млечни</v>
      </c>
      <c r="B894" s="7" t="str">
        <f>IFERROR(__xludf.DUMMYFUNCTION("""COMPUTED_VALUE"""),"Alpro Vanilla пудинг")</f>
        <v>Alpro Vanilla пудинг</v>
      </c>
      <c r="C894" s="12">
        <f>IFERROR(__xludf.DUMMYFUNCTION("""COMPUTED_VALUE"""),100.0)</f>
        <v>100</v>
      </c>
      <c r="D894" s="7">
        <f>IFERROR(__xludf.DUMMYFUNCTION("""COMPUTED_VALUE"""),3.0)</f>
        <v>3</v>
      </c>
      <c r="E894" s="16">
        <f>IFERROR(__xludf.DUMMYFUNCTION("""COMPUTED_VALUE"""),14.0)</f>
        <v>14</v>
      </c>
      <c r="F894" s="16">
        <f>IFERROR(__xludf.DUMMYFUNCTION("""COMPUTED_VALUE"""),2.0)</f>
        <v>2</v>
      </c>
      <c r="G894" s="16">
        <f>IFERROR(__xludf.DUMMYFUNCTION("""COMPUTED_VALUE"""),0.0)</f>
        <v>0</v>
      </c>
      <c r="H894" s="23">
        <f>IFERROR(__xludf.DUMMYFUNCTION("""COMPUTED_VALUE"""),86.0)</f>
        <v>86</v>
      </c>
    </row>
    <row r="895">
      <c r="A895" s="16" t="str">
        <f>IFERROR(__xludf.DUMMYFUNCTION("""COMPUTED_VALUE"""),"Млечни")</f>
        <v>Млечни</v>
      </c>
      <c r="B895" s="7" t="str">
        <f>IFERROR(__xludf.DUMMYFUNCTION("""COMPUTED_VALUE"""),"Котидж ""Landfrisch""")</f>
        <v>Котидж "Landfrisch"</v>
      </c>
      <c r="C895" s="12">
        <f>IFERROR(__xludf.DUMMYFUNCTION("""COMPUTED_VALUE"""),100.0)</f>
        <v>100</v>
      </c>
      <c r="D895" s="7">
        <f>IFERROR(__xludf.DUMMYFUNCTION("""COMPUTED_VALUE"""),12.5)</f>
        <v>12.5</v>
      </c>
      <c r="E895" s="16">
        <f>IFERROR(__xludf.DUMMYFUNCTION("""COMPUTED_VALUE"""),3.0)</f>
        <v>3</v>
      </c>
      <c r="F895" s="16">
        <f>IFERROR(__xludf.DUMMYFUNCTION("""COMPUTED_VALUE"""),4.5)</f>
        <v>4.5</v>
      </c>
      <c r="G895" s="16">
        <f>IFERROR(__xludf.DUMMYFUNCTION("""COMPUTED_VALUE"""),0.0)</f>
        <v>0</v>
      </c>
      <c r="H895" s="23">
        <f>IFERROR(__xludf.DUMMYFUNCTION("""COMPUTED_VALUE"""),102.5)</f>
        <v>102.5</v>
      </c>
    </row>
    <row r="896">
      <c r="A896" s="16" t="str">
        <f>IFERROR(__xludf.DUMMYFUNCTION("""COMPUTED_VALUE"""),"Млечни")</f>
        <v>Млечни</v>
      </c>
      <c r="B896" s="7" t="str">
        <f>IFERROR(__xludf.DUMMYFUNCTION("""COMPUTED_VALUE"""),"Pilos мляко с ориз канела")</f>
        <v>Pilos мляко с ориз канела</v>
      </c>
      <c r="C896" s="12">
        <f>IFERROR(__xludf.DUMMYFUNCTION("""COMPUTED_VALUE"""),100.0)</f>
        <v>100</v>
      </c>
      <c r="D896" s="7">
        <f>IFERROR(__xludf.DUMMYFUNCTION("""COMPUTED_VALUE"""),2.9)</f>
        <v>2.9</v>
      </c>
      <c r="E896" s="16">
        <f>IFERROR(__xludf.DUMMYFUNCTION("""COMPUTED_VALUE"""),20.5)</f>
        <v>20.5</v>
      </c>
      <c r="F896" s="16">
        <f>IFERROR(__xludf.DUMMYFUNCTION("""COMPUTED_VALUE"""),2.0)</f>
        <v>2</v>
      </c>
      <c r="G896" s="16">
        <f>IFERROR(__xludf.DUMMYFUNCTION("""COMPUTED_VALUE"""),1.0)</f>
        <v>1</v>
      </c>
      <c r="H896" s="23">
        <f>IFERROR(__xludf.DUMMYFUNCTION("""COMPUTED_VALUE"""),111.6)</f>
        <v>111.6</v>
      </c>
    </row>
    <row r="897">
      <c r="A897" s="16" t="str">
        <f>IFERROR(__xludf.DUMMYFUNCTION("""COMPUTED_VALUE"""),"Млечни")</f>
        <v>Млечни</v>
      </c>
      <c r="B897" s="7" t="str">
        <f>IFERROR(__xludf.DUMMYFUNCTION("""COMPUTED_VALUE"""),"Pilos мляко с ориз шоколад")</f>
        <v>Pilos мляко с ориз шоколад</v>
      </c>
      <c r="C897" s="12">
        <f>IFERROR(__xludf.DUMMYFUNCTION("""COMPUTED_VALUE"""),100.0)</f>
        <v>100</v>
      </c>
      <c r="D897" s="7">
        <f>IFERROR(__xludf.DUMMYFUNCTION("""COMPUTED_VALUE"""),3.2)</f>
        <v>3.2</v>
      </c>
      <c r="E897" s="16">
        <f>IFERROR(__xludf.DUMMYFUNCTION("""COMPUTED_VALUE"""),19.8)</f>
        <v>19.8</v>
      </c>
      <c r="F897" s="16">
        <f>IFERROR(__xludf.DUMMYFUNCTION("""COMPUTED_VALUE"""),2.4)</f>
        <v>2.4</v>
      </c>
      <c r="G897" s="16">
        <f>IFERROR(__xludf.DUMMYFUNCTION("""COMPUTED_VALUE"""),1.0)</f>
        <v>1</v>
      </c>
      <c r="H897" s="23">
        <f>IFERROR(__xludf.DUMMYFUNCTION("""COMPUTED_VALUE"""),113.6)</f>
        <v>113.6</v>
      </c>
    </row>
    <row r="898">
      <c r="A898" s="16" t="str">
        <f>IFERROR(__xludf.DUMMYFUNCTION("""COMPUTED_VALUE"""),"Млечни")</f>
        <v>Млечни</v>
      </c>
      <c r="B898" s="7" t="str">
        <f>IFERROR(__xludf.DUMMYFUNCTION("""COMPUTED_VALUE"""),"Pilos Yogurt плодов всички вкусове")</f>
        <v>Pilos Yogurt плодов всички вкусове</v>
      </c>
      <c r="C898" s="12">
        <f>IFERROR(__xludf.DUMMYFUNCTION("""COMPUTED_VALUE"""),100.0)</f>
        <v>100</v>
      </c>
      <c r="D898" s="7">
        <f>IFERROR(__xludf.DUMMYFUNCTION("""COMPUTED_VALUE"""),3.4)</f>
        <v>3.4</v>
      </c>
      <c r="E898" s="16">
        <f>IFERROR(__xludf.DUMMYFUNCTION("""COMPUTED_VALUE"""),13.5)</f>
        <v>13.5</v>
      </c>
      <c r="F898" s="16">
        <f>IFERROR(__xludf.DUMMYFUNCTION("""COMPUTED_VALUE"""),2.7)</f>
        <v>2.7</v>
      </c>
      <c r="G898" s="16">
        <f>IFERROR(__xludf.DUMMYFUNCTION("""COMPUTED_VALUE"""),0.5)</f>
        <v>0.5</v>
      </c>
      <c r="H898" s="23">
        <f>IFERROR(__xludf.DUMMYFUNCTION("""COMPUTED_VALUE"""),91.89999999999999)</f>
        <v>91.9</v>
      </c>
    </row>
    <row r="899">
      <c r="A899" s="16" t="str">
        <f>IFERROR(__xludf.DUMMYFUNCTION("""COMPUTED_VALUE"""),"Млечни")</f>
        <v>Млечни</v>
      </c>
      <c r="B899" s="7" t="str">
        <f>IFERROR(__xludf.DUMMYFUNCTION("""COMPUTED_VALUE"""),"Кефир - Лидъл (Натурален)")</f>
        <v>Кефир - Лидъл (Натурален)</v>
      </c>
      <c r="C899" s="12">
        <f>IFERROR(__xludf.DUMMYFUNCTION("""COMPUTED_VALUE"""),100.0)</f>
        <v>100</v>
      </c>
      <c r="D899" s="7">
        <f>IFERROR(__xludf.DUMMYFUNCTION("""COMPUTED_VALUE"""),3.3)</f>
        <v>3.3</v>
      </c>
      <c r="E899" s="16">
        <f>IFERROR(__xludf.DUMMYFUNCTION("""COMPUTED_VALUE"""),4.7)</f>
        <v>4.7</v>
      </c>
      <c r="F899" s="16">
        <f>IFERROR(__xludf.DUMMYFUNCTION("""COMPUTED_VALUE"""),1.5)</f>
        <v>1.5</v>
      </c>
      <c r="G899" s="16">
        <f>IFERROR(__xludf.DUMMYFUNCTION("""COMPUTED_VALUE"""),0.0)</f>
        <v>0</v>
      </c>
      <c r="H899" s="23">
        <f>IFERROR(__xludf.DUMMYFUNCTION("""COMPUTED_VALUE"""),45.5)</f>
        <v>45.5</v>
      </c>
    </row>
    <row r="900">
      <c r="A900" s="16" t="str">
        <f>IFERROR(__xludf.DUMMYFUNCTION("""COMPUTED_VALUE"""),"Млечни")</f>
        <v>Млечни</v>
      </c>
      <c r="B900" s="7" t="str">
        <f>IFERROR(__xludf.DUMMYFUNCTION("""COMPUTED_VALUE"""),"Котидж сирене Филаделфия")</f>
        <v>Котидж сирене Филаделфия</v>
      </c>
      <c r="C900" s="12">
        <f>IFERROR(__xludf.DUMMYFUNCTION("""COMPUTED_VALUE"""),100.0)</f>
        <v>100</v>
      </c>
      <c r="D900" s="7">
        <f>IFERROR(__xludf.DUMMYFUNCTION("""COMPUTED_VALUE"""),10.0)</f>
        <v>10</v>
      </c>
      <c r="E900" s="16">
        <f>IFERROR(__xludf.DUMMYFUNCTION("""COMPUTED_VALUE"""),3.5)</f>
        <v>3.5</v>
      </c>
      <c r="F900" s="16">
        <f>IFERROR(__xludf.DUMMYFUNCTION("""COMPUTED_VALUE"""),4.5)</f>
        <v>4.5</v>
      </c>
      <c r="G900" s="16">
        <f>IFERROR(__xludf.DUMMYFUNCTION("""COMPUTED_VALUE"""),0.2)</f>
        <v>0.2</v>
      </c>
      <c r="H900" s="23">
        <f>IFERROR(__xludf.DUMMYFUNCTION("""COMPUTED_VALUE"""),94.5)</f>
        <v>94.5</v>
      </c>
    </row>
    <row r="901">
      <c r="A901" s="16" t="str">
        <f>IFERROR(__xludf.DUMMYFUNCTION("""COMPUTED_VALUE"""),"Млечни")</f>
        <v>Млечни</v>
      </c>
      <c r="B901" s="7" t="str">
        <f>IFERROR(__xludf.DUMMYFUNCTION("""COMPUTED_VALUE"""),"Кварк праскова Milbona 0,2% Fat")</f>
        <v>Кварк праскова Milbona 0,2% Fat</v>
      </c>
      <c r="C901" s="12">
        <f>IFERROR(__xludf.DUMMYFUNCTION("""COMPUTED_VALUE"""),100.0)</f>
        <v>100</v>
      </c>
      <c r="D901" s="7">
        <f>IFERROR(__xludf.DUMMYFUNCTION("""COMPUTED_VALUE"""),6.7)</f>
        <v>6.7</v>
      </c>
      <c r="E901" s="16">
        <f>IFERROR(__xludf.DUMMYFUNCTION("""COMPUTED_VALUE"""),12.7)</f>
        <v>12.7</v>
      </c>
      <c r="F901" s="16">
        <f>IFERROR(__xludf.DUMMYFUNCTION("""COMPUTED_VALUE"""),0.2)</f>
        <v>0.2</v>
      </c>
      <c r="G901" s="16">
        <f>IFERROR(__xludf.DUMMYFUNCTION("""COMPUTED_VALUE"""),0.1)</f>
        <v>0.1</v>
      </c>
      <c r="H901" s="23">
        <f>IFERROR(__xludf.DUMMYFUNCTION("""COMPUTED_VALUE"""),79.39999999999999)</f>
        <v>79.4</v>
      </c>
    </row>
    <row r="902">
      <c r="A902" s="16" t="str">
        <f>IFERROR(__xludf.DUMMYFUNCTION("""COMPUTED_VALUE"""),"Млечни")</f>
        <v>Млечни</v>
      </c>
      <c r="B902" s="7" t="str">
        <f>IFERROR(__xludf.DUMMYFUNCTION("""COMPUTED_VALUE"""),"Скир Danone натурален")</f>
        <v>Скир Danone натурален</v>
      </c>
      <c r="C902" s="12">
        <f>IFERROR(__xludf.DUMMYFUNCTION("""COMPUTED_VALUE"""),100.0)</f>
        <v>100</v>
      </c>
      <c r="D902" s="7">
        <f>IFERROR(__xludf.DUMMYFUNCTION("""COMPUTED_VALUE"""),12.0)</f>
        <v>12</v>
      </c>
      <c r="E902" s="16">
        <f>IFERROR(__xludf.DUMMYFUNCTION("""COMPUTED_VALUE"""),4.1)</f>
        <v>4.1</v>
      </c>
      <c r="F902" s="16">
        <f>IFERROR(__xludf.DUMMYFUNCTION("""COMPUTED_VALUE"""),0.0)</f>
        <v>0</v>
      </c>
      <c r="G902" s="16">
        <f>IFERROR(__xludf.DUMMYFUNCTION("""COMPUTED_VALUE"""),0.0)</f>
        <v>0</v>
      </c>
      <c r="H902" s="23">
        <f>IFERROR(__xludf.DUMMYFUNCTION("""COMPUTED_VALUE"""),64.4)</f>
        <v>64.4</v>
      </c>
    </row>
    <row r="903">
      <c r="A903" s="16" t="str">
        <f>IFERROR(__xludf.DUMMYFUNCTION("""COMPUTED_VALUE"""),"Млечни")</f>
        <v>Млечни</v>
      </c>
      <c r="B903" s="7" t="str">
        <f>IFERROR(__xludf.DUMMYFUNCTION("""COMPUTED_VALUE"""),"Low-fat quark 0.2 Milbona")</f>
        <v>Low-fat quark 0.2 Milbona</v>
      </c>
      <c r="C903" s="12">
        <f>IFERROR(__xludf.DUMMYFUNCTION("""COMPUTED_VALUE"""),100.0)</f>
        <v>100</v>
      </c>
      <c r="D903" s="7">
        <f>IFERROR(__xludf.DUMMYFUNCTION("""COMPUTED_VALUE"""),12.0)</f>
        <v>12</v>
      </c>
      <c r="E903" s="16">
        <f>IFERROR(__xludf.DUMMYFUNCTION("""COMPUTED_VALUE"""),4.1)</f>
        <v>4.1</v>
      </c>
      <c r="F903" s="16">
        <f>IFERROR(__xludf.DUMMYFUNCTION("""COMPUTED_VALUE"""),0.2)</f>
        <v>0.2</v>
      </c>
      <c r="G903" s="16">
        <f>IFERROR(__xludf.DUMMYFUNCTION("""COMPUTED_VALUE"""),0.0)</f>
        <v>0</v>
      </c>
      <c r="H903" s="23">
        <f>IFERROR(__xludf.DUMMYFUNCTION("""COMPUTED_VALUE"""),66.2)</f>
        <v>66.2</v>
      </c>
    </row>
    <row r="904">
      <c r="A904" s="16" t="str">
        <f>IFERROR(__xludf.DUMMYFUNCTION("""COMPUTED_VALUE"""),"Млечни")</f>
        <v>Млечни</v>
      </c>
      <c r="B904" s="7" t="str">
        <f>IFERROR(__xludf.DUMMYFUNCTION("""COMPUTED_VALUE"""),"Извара Био Козе Хармоника")</f>
        <v>Извара Био Козе Хармоника</v>
      </c>
      <c r="C904" s="12">
        <f>IFERROR(__xludf.DUMMYFUNCTION("""COMPUTED_VALUE"""),100.0)</f>
        <v>100</v>
      </c>
      <c r="D904" s="7">
        <f>IFERROR(__xludf.DUMMYFUNCTION("""COMPUTED_VALUE"""),12.24)</f>
        <v>12.24</v>
      </c>
      <c r="E904" s="16">
        <f>IFERROR(__xludf.DUMMYFUNCTION("""COMPUTED_VALUE"""),2.76)</f>
        <v>2.76</v>
      </c>
      <c r="F904" s="16">
        <f>IFERROR(__xludf.DUMMYFUNCTION("""COMPUTED_VALUE"""),3.5)</f>
        <v>3.5</v>
      </c>
      <c r="G904" s="16">
        <f>IFERROR(__xludf.DUMMYFUNCTION("""COMPUTED_VALUE"""),0.0)</f>
        <v>0</v>
      </c>
      <c r="H904" s="23">
        <f>IFERROR(__xludf.DUMMYFUNCTION("""COMPUTED_VALUE"""),91.5)</f>
        <v>91.5</v>
      </c>
    </row>
    <row r="905">
      <c r="A905" s="16" t="str">
        <f>IFERROR(__xludf.DUMMYFUNCTION("""COMPUTED_VALUE"""),"Млечни")</f>
        <v>Млечни</v>
      </c>
      <c r="B905" s="7" t="str">
        <f>IFERROR(__xludf.DUMMYFUNCTION("""COMPUTED_VALUE"""),"Скир Exquisa Натурален")</f>
        <v>Скир Exquisa Натурален</v>
      </c>
      <c r="C905" s="12">
        <f>IFERROR(__xludf.DUMMYFUNCTION("""COMPUTED_VALUE"""),100.0)</f>
        <v>100</v>
      </c>
      <c r="D905" s="7">
        <f>IFERROR(__xludf.DUMMYFUNCTION("""COMPUTED_VALUE"""),11.0)</f>
        <v>11</v>
      </c>
      <c r="E905" s="16">
        <f>IFERROR(__xludf.DUMMYFUNCTION("""COMPUTED_VALUE"""),4.0)</f>
        <v>4</v>
      </c>
      <c r="F905" s="16">
        <f>IFERROR(__xludf.DUMMYFUNCTION("""COMPUTED_VALUE"""),0.2)</f>
        <v>0.2</v>
      </c>
      <c r="G905" s="16">
        <f>IFERROR(__xludf.DUMMYFUNCTION("""COMPUTED_VALUE"""),0.0)</f>
        <v>0</v>
      </c>
      <c r="H905" s="23">
        <f>IFERROR(__xludf.DUMMYFUNCTION("""COMPUTED_VALUE"""),61.8)</f>
        <v>61.8</v>
      </c>
    </row>
    <row r="906">
      <c r="A906" s="16" t="str">
        <f>IFERROR(__xludf.DUMMYFUNCTION("""COMPUTED_VALUE"""),"Млечни")</f>
        <v>Млечни</v>
      </c>
      <c r="B906" s="7" t="str">
        <f>IFERROR(__xludf.DUMMYFUNCTION("""COMPUTED_VALUE"""),"Млечна салата ""Денито""")</f>
        <v>Млечна салата "Денито"</v>
      </c>
      <c r="C906" s="12">
        <f>IFERROR(__xludf.DUMMYFUNCTION("""COMPUTED_VALUE"""),100.0)</f>
        <v>100</v>
      </c>
      <c r="D906" s="7">
        <f>IFERROR(__xludf.DUMMYFUNCTION("""COMPUTED_VALUE"""),5.2)</f>
        <v>5.2</v>
      </c>
      <c r="E906" s="16">
        <f>IFERROR(__xludf.DUMMYFUNCTION("""COMPUTED_VALUE"""),6.1)</f>
        <v>6.1</v>
      </c>
      <c r="F906" s="16">
        <f>IFERROR(__xludf.DUMMYFUNCTION("""COMPUTED_VALUE"""),10.3)</f>
        <v>10.3</v>
      </c>
      <c r="G906" s="16">
        <f>IFERROR(__xludf.DUMMYFUNCTION("""COMPUTED_VALUE"""),0.0)</f>
        <v>0</v>
      </c>
      <c r="H906" s="23">
        <f>IFERROR(__xludf.DUMMYFUNCTION("""COMPUTED_VALUE"""),137.9)</f>
        <v>137.9</v>
      </c>
    </row>
    <row r="907">
      <c r="A907" s="16" t="str">
        <f>IFERROR(__xludf.DUMMYFUNCTION("""COMPUTED_VALUE"""),"Млечни")</f>
        <v>Млечни</v>
      </c>
      <c r="B907" s="7" t="str">
        <f>IFERROR(__xludf.DUMMYFUNCTION("""COMPUTED_VALUE"""),"Сметана за готвене без лактоза (Meggle)")</f>
        <v>Сметана за готвене без лактоза (Meggle)</v>
      </c>
      <c r="C907" s="12">
        <f>IFERROR(__xludf.DUMMYFUNCTION("""COMPUTED_VALUE"""),100.0)</f>
        <v>100</v>
      </c>
      <c r="D907" s="7">
        <f>IFERROR(__xludf.DUMMYFUNCTION("""COMPUTED_VALUE"""),3.2)</f>
        <v>3.2</v>
      </c>
      <c r="E907" s="16">
        <f>IFERROR(__xludf.DUMMYFUNCTION("""COMPUTED_VALUE"""),4.3)</f>
        <v>4.3</v>
      </c>
      <c r="F907" s="16">
        <f>IFERROR(__xludf.DUMMYFUNCTION("""COMPUTED_VALUE"""),10.0)</f>
        <v>10</v>
      </c>
      <c r="G907" s="16">
        <f>IFERROR(__xludf.DUMMYFUNCTION("""COMPUTED_VALUE"""),0.0)</f>
        <v>0</v>
      </c>
      <c r="H907" s="23">
        <f>IFERROR(__xludf.DUMMYFUNCTION("""COMPUTED_VALUE"""),120.0)</f>
        <v>120</v>
      </c>
    </row>
    <row r="908">
      <c r="A908" s="16" t="str">
        <f>IFERROR(__xludf.DUMMYFUNCTION("""COMPUTED_VALUE"""),"Млечни")</f>
        <v>Млечни</v>
      </c>
      <c r="B908" s="7" t="str">
        <f>IFERROR(__xludf.DUMMYFUNCTION("""COMPUTED_VALUE"""),"Milbona High Protein Quark (Малина)")</f>
        <v>Milbona High Protein Quark (Малина)</v>
      </c>
      <c r="C908" s="12">
        <f>IFERROR(__xludf.DUMMYFUNCTION("""COMPUTED_VALUE"""),100.0)</f>
        <v>100</v>
      </c>
      <c r="D908" s="7">
        <f>IFERROR(__xludf.DUMMYFUNCTION("""COMPUTED_VALUE"""),12.5)</f>
        <v>12.5</v>
      </c>
      <c r="E908" s="16">
        <f>IFERROR(__xludf.DUMMYFUNCTION("""COMPUTED_VALUE"""),3.6)</f>
        <v>3.6</v>
      </c>
      <c r="F908" s="16">
        <f>IFERROR(__xludf.DUMMYFUNCTION("""COMPUTED_VALUE"""),0.5)</f>
        <v>0.5</v>
      </c>
      <c r="G908" s="16">
        <f>IFERROR(__xludf.DUMMYFUNCTION("""COMPUTED_VALUE"""),0.0)</f>
        <v>0</v>
      </c>
      <c r="H908" s="23">
        <f>IFERROR(__xludf.DUMMYFUNCTION("""COMPUTED_VALUE"""),68.9)</f>
        <v>68.9</v>
      </c>
    </row>
    <row r="909">
      <c r="A909" s="16" t="str">
        <f>IFERROR(__xludf.DUMMYFUNCTION("""COMPUTED_VALUE"""),"Млечни")</f>
        <v>Млечни</v>
      </c>
      <c r="B909" s="7" t="str">
        <f>IFERROR(__xludf.DUMMYFUNCTION("""COMPUTED_VALUE"""),"Извара Ведраре")</f>
        <v>Извара Ведраре</v>
      </c>
      <c r="C909" s="12">
        <f>IFERROR(__xludf.DUMMYFUNCTION("""COMPUTED_VALUE"""),100.0)</f>
        <v>100</v>
      </c>
      <c r="D909" s="7">
        <f>IFERROR(__xludf.DUMMYFUNCTION("""COMPUTED_VALUE"""),20.0)</f>
        <v>20</v>
      </c>
      <c r="E909" s="16">
        <f>IFERROR(__xludf.DUMMYFUNCTION("""COMPUTED_VALUE"""),1.3)</f>
        <v>1.3</v>
      </c>
      <c r="F909" s="16">
        <f>IFERROR(__xludf.DUMMYFUNCTION("""COMPUTED_VALUE"""),0.7)</f>
        <v>0.7</v>
      </c>
      <c r="G909" s="16">
        <f>IFERROR(__xludf.DUMMYFUNCTION("""COMPUTED_VALUE"""),0.0)</f>
        <v>0</v>
      </c>
      <c r="H909" s="23">
        <f>IFERROR(__xludf.DUMMYFUNCTION("""COMPUTED_VALUE"""),91.5)</f>
        <v>91.5</v>
      </c>
    </row>
    <row r="910">
      <c r="A910" s="16" t="str">
        <f>IFERROR(__xludf.DUMMYFUNCTION("""COMPUTED_VALUE"""),"Млечни")</f>
        <v>Млечни</v>
      </c>
      <c r="B910" s="7" t="str">
        <f>IFERROR(__xludf.DUMMYFUNCTION("""COMPUTED_VALUE"""),"Извара Био Хармоника Овче")</f>
        <v>Извара Био Хармоника Овче</v>
      </c>
      <c r="C910" s="12">
        <f>IFERROR(__xludf.DUMMYFUNCTION("""COMPUTED_VALUE"""),100.0)</f>
        <v>100</v>
      </c>
      <c r="D910" s="7">
        <f>IFERROR(__xludf.DUMMYFUNCTION("""COMPUTED_VALUE"""),11.79)</f>
        <v>11.79</v>
      </c>
      <c r="E910" s="16">
        <f>IFERROR(__xludf.DUMMYFUNCTION("""COMPUTED_VALUE"""),3.35)</f>
        <v>3.35</v>
      </c>
      <c r="F910" s="16">
        <f>IFERROR(__xludf.DUMMYFUNCTION("""COMPUTED_VALUE"""),3.5)</f>
        <v>3.5</v>
      </c>
      <c r="G910" s="16">
        <f>IFERROR(__xludf.DUMMYFUNCTION("""COMPUTED_VALUE"""),0.0)</f>
        <v>0</v>
      </c>
      <c r="H910" s="23">
        <f>IFERROR(__xludf.DUMMYFUNCTION("""COMPUTED_VALUE"""),92.06)</f>
        <v>92.06</v>
      </c>
    </row>
    <row r="911">
      <c r="A911" s="16" t="str">
        <f>IFERROR(__xludf.DUMMYFUNCTION("""COMPUTED_VALUE"""),"Млечни")</f>
        <v>Млечни</v>
      </c>
      <c r="B911" s="7" t="str">
        <f>IFERROR(__xludf.DUMMYFUNCTION("""COMPUTED_VALUE"""),"Топено сирене чийзбургер")</f>
        <v>Топено сирене чийзбургер</v>
      </c>
      <c r="C911" s="12">
        <f>IFERROR(__xludf.DUMMYFUNCTION("""COMPUTED_VALUE"""),100.0)</f>
        <v>100</v>
      </c>
      <c r="D911" s="7">
        <f>IFERROR(__xludf.DUMMYFUNCTION("""COMPUTED_VALUE"""),15.0)</f>
        <v>15</v>
      </c>
      <c r="E911" s="16">
        <f>IFERROR(__xludf.DUMMYFUNCTION("""COMPUTED_VALUE"""),4.5)</f>
        <v>4.5</v>
      </c>
      <c r="F911" s="16">
        <f>IFERROR(__xludf.DUMMYFUNCTION("""COMPUTED_VALUE"""),12.0)</f>
        <v>12</v>
      </c>
      <c r="G911" s="16">
        <f>IFERROR(__xludf.DUMMYFUNCTION("""COMPUTED_VALUE"""),0.0)</f>
        <v>0</v>
      </c>
      <c r="H911" s="23">
        <f>IFERROR(__xludf.DUMMYFUNCTION("""COMPUTED_VALUE"""),186.0)</f>
        <v>186</v>
      </c>
    </row>
    <row r="912">
      <c r="A912" s="16" t="str">
        <f>IFERROR(__xludf.DUMMYFUNCTION("""COMPUTED_VALUE"""),"Млечни")</f>
        <v>Млечни</v>
      </c>
      <c r="B912" s="7" t="str">
        <f>IFERROR(__xludf.DUMMYFUNCTION("""COMPUTED_VALUE"""),"Danone YoPRO")</f>
        <v>Danone YoPRO</v>
      </c>
      <c r="C912" s="12">
        <f>IFERROR(__xludf.DUMMYFUNCTION("""COMPUTED_VALUE"""),100.0)</f>
        <v>100</v>
      </c>
      <c r="D912" s="7">
        <f>IFERROR(__xludf.DUMMYFUNCTION("""COMPUTED_VALUE"""),8.3)</f>
        <v>8.3</v>
      </c>
      <c r="E912" s="16">
        <f>IFERROR(__xludf.DUMMYFUNCTION("""COMPUTED_VALUE"""),5.3)</f>
        <v>5.3</v>
      </c>
      <c r="F912" s="16">
        <f>IFERROR(__xludf.DUMMYFUNCTION("""COMPUTED_VALUE"""),0.5)</f>
        <v>0.5</v>
      </c>
      <c r="G912" s="16">
        <f>IFERROR(__xludf.DUMMYFUNCTION("""COMPUTED_VALUE"""),0.0)</f>
        <v>0</v>
      </c>
      <c r="H912" s="23">
        <f>IFERROR(__xludf.DUMMYFUNCTION("""COMPUTED_VALUE"""),58.900000000000006)</f>
        <v>58.9</v>
      </c>
    </row>
    <row r="913">
      <c r="A913" s="16" t="str">
        <f>IFERROR(__xludf.DUMMYFUNCTION("""COMPUTED_VALUE"""),"Млечни")</f>
        <v>Млечни</v>
      </c>
      <c r="B913" s="7" t="str">
        <f>IFERROR(__xludf.DUMMYFUNCTION("""COMPUTED_VALUE"""),"Кашкавал краве Ралица")</f>
        <v>Кашкавал краве Ралица</v>
      </c>
      <c r="C913" s="12">
        <f>IFERROR(__xludf.DUMMYFUNCTION("""COMPUTED_VALUE"""),100.0)</f>
        <v>100</v>
      </c>
      <c r="D913" s="7">
        <f>IFERROR(__xludf.DUMMYFUNCTION("""COMPUTED_VALUE"""),28.0)</f>
        <v>28</v>
      </c>
      <c r="E913" s="16">
        <f>IFERROR(__xludf.DUMMYFUNCTION("""COMPUTED_VALUE"""),0.8)</f>
        <v>0.8</v>
      </c>
      <c r="F913" s="16">
        <f>IFERROR(__xludf.DUMMYFUNCTION("""COMPUTED_VALUE"""),24.5)</f>
        <v>24.5</v>
      </c>
      <c r="G913" s="16">
        <f>IFERROR(__xludf.DUMMYFUNCTION("""COMPUTED_VALUE"""),0.0)</f>
        <v>0</v>
      </c>
      <c r="H913" s="23">
        <f>IFERROR(__xludf.DUMMYFUNCTION("""COMPUTED_VALUE"""),335.7)</f>
        <v>335.7</v>
      </c>
    </row>
    <row r="914">
      <c r="A914" s="16" t="str">
        <f>IFERROR(__xludf.DUMMYFUNCTION("""COMPUTED_VALUE"""),"Млечни")</f>
        <v>Млечни</v>
      </c>
      <c r="B914" s="7" t="str">
        <f>IFERROR(__xludf.DUMMYFUNCTION("""COMPUTED_VALUE"""),"Топено сирене с чедър")</f>
        <v>Топено сирене с чедър</v>
      </c>
      <c r="C914" s="12">
        <f>IFERROR(__xludf.DUMMYFUNCTION("""COMPUTED_VALUE"""),100.0)</f>
        <v>100</v>
      </c>
      <c r="D914" s="7">
        <f>IFERROR(__xludf.DUMMYFUNCTION("""COMPUTED_VALUE"""),15.0)</f>
        <v>15</v>
      </c>
      <c r="E914" s="16">
        <f>IFERROR(__xludf.DUMMYFUNCTION("""COMPUTED_VALUE"""),4.8)</f>
        <v>4.8</v>
      </c>
      <c r="F914" s="16">
        <f>IFERROR(__xludf.DUMMYFUNCTION("""COMPUTED_VALUE"""),18.0)</f>
        <v>18</v>
      </c>
      <c r="G914" s="16">
        <f>IFERROR(__xludf.DUMMYFUNCTION("""COMPUTED_VALUE"""),0.0)</f>
        <v>0</v>
      </c>
      <c r="H914" s="23">
        <f>IFERROR(__xludf.DUMMYFUNCTION("""COMPUTED_VALUE"""),241.2)</f>
        <v>241.2</v>
      </c>
    </row>
    <row r="915">
      <c r="A915" s="16" t="str">
        <f>IFERROR(__xludf.DUMMYFUNCTION("""COMPUTED_VALUE"""),"Млечни")</f>
        <v>Млечни</v>
      </c>
      <c r="B915" s="7" t="str">
        <f>IFERROR(__xludf.DUMMYFUNCTION("""COMPUTED_VALUE"""),"Топено сирене със сметана Hochland")</f>
        <v>Топено сирене със сметана Hochland</v>
      </c>
      <c r="C915" s="12">
        <f>IFERROR(__xludf.DUMMYFUNCTION("""COMPUTED_VALUE"""),100.0)</f>
        <v>100</v>
      </c>
      <c r="D915" s="7">
        <f>IFERROR(__xludf.DUMMYFUNCTION("""COMPUTED_VALUE"""),15.0)</f>
        <v>15</v>
      </c>
      <c r="E915" s="16">
        <f>IFERROR(__xludf.DUMMYFUNCTION("""COMPUTED_VALUE"""),4.8)</f>
        <v>4.8</v>
      </c>
      <c r="F915" s="16">
        <f>IFERROR(__xludf.DUMMYFUNCTION("""COMPUTED_VALUE"""),18.5)</f>
        <v>18.5</v>
      </c>
      <c r="G915" s="16">
        <f>IFERROR(__xludf.DUMMYFUNCTION("""COMPUTED_VALUE"""),0.0)</f>
        <v>0</v>
      </c>
      <c r="H915" s="23">
        <f>IFERROR(__xludf.DUMMYFUNCTION("""COMPUTED_VALUE"""),245.7)</f>
        <v>245.7</v>
      </c>
    </row>
    <row r="916">
      <c r="A916" s="16" t="str">
        <f>IFERROR(__xludf.DUMMYFUNCTION("""COMPUTED_VALUE"""),"Млечни")</f>
        <v>Млечни</v>
      </c>
      <c r="B916" s="7" t="str">
        <f>IFERROR(__xludf.DUMMYFUNCTION("""COMPUTED_VALUE"""),"Кашкавал Ферия краве")</f>
        <v>Кашкавал Ферия краве</v>
      </c>
      <c r="C916" s="12">
        <f>IFERROR(__xludf.DUMMYFUNCTION("""COMPUTED_VALUE"""),100.0)</f>
        <v>100</v>
      </c>
      <c r="D916" s="7">
        <f>IFERROR(__xludf.DUMMYFUNCTION("""COMPUTED_VALUE"""),22.0)</f>
        <v>22</v>
      </c>
      <c r="E916" s="16">
        <f>IFERROR(__xludf.DUMMYFUNCTION("""COMPUTED_VALUE"""),1.0)</f>
        <v>1</v>
      </c>
      <c r="F916" s="16">
        <f>IFERROR(__xludf.DUMMYFUNCTION("""COMPUTED_VALUE"""),22.0)</f>
        <v>22</v>
      </c>
      <c r="G916" s="16">
        <f>IFERROR(__xludf.DUMMYFUNCTION("""COMPUTED_VALUE"""),0.0)</f>
        <v>0</v>
      </c>
      <c r="H916" s="23">
        <f>IFERROR(__xludf.DUMMYFUNCTION("""COMPUTED_VALUE"""),290.0)</f>
        <v>290</v>
      </c>
    </row>
    <row r="917">
      <c r="A917" s="16" t="str">
        <f>IFERROR(__xludf.DUMMYFUNCTION("""COMPUTED_VALUE"""),"Млечни")</f>
        <v>Млечни</v>
      </c>
      <c r="B917" s="7" t="str">
        <f>IFERROR(__xludf.DUMMYFUNCTION("""COMPUTED_VALUE"""),"Пудинг “Exquisa”")</f>
        <v>Пудинг “Exquisa”</v>
      </c>
      <c r="C917" s="12">
        <f>IFERROR(__xludf.DUMMYFUNCTION("""COMPUTED_VALUE"""),100.0)</f>
        <v>100</v>
      </c>
      <c r="D917" s="7">
        <f>IFERROR(__xludf.DUMMYFUNCTION("""COMPUTED_VALUE"""),10.0)</f>
        <v>10</v>
      </c>
      <c r="E917" s="16">
        <f>IFERROR(__xludf.DUMMYFUNCTION("""COMPUTED_VALUE"""),7.9)</f>
        <v>7.9</v>
      </c>
      <c r="F917" s="16">
        <f>IFERROR(__xludf.DUMMYFUNCTION("""COMPUTED_VALUE"""),1.4)</f>
        <v>1.4</v>
      </c>
      <c r="G917" s="16">
        <f>IFERROR(__xludf.DUMMYFUNCTION("""COMPUTED_VALUE"""),0.0)</f>
        <v>0</v>
      </c>
      <c r="H917" s="23">
        <f>IFERROR(__xludf.DUMMYFUNCTION("""COMPUTED_VALUE"""),84.19999999999999)</f>
        <v>84.2</v>
      </c>
    </row>
    <row r="918">
      <c r="A918" s="16" t="str">
        <f>IFERROR(__xludf.DUMMYFUNCTION("""COMPUTED_VALUE"""),"Млечни")</f>
        <v>Млечни</v>
      </c>
      <c r="B918" s="7" t="str">
        <f>IFERROR(__xludf.DUMMYFUNCTION("""COMPUTED_VALUE"""),"Кварк Milbona (натурален)")</f>
        <v>Кварк Milbona (натурален)</v>
      </c>
      <c r="C918" s="12">
        <f>IFERROR(__xludf.DUMMYFUNCTION("""COMPUTED_VALUE"""),100.0)</f>
        <v>100</v>
      </c>
      <c r="D918" s="7">
        <f>IFERROR(__xludf.DUMMYFUNCTION("""COMPUTED_VALUE"""),12.0)</f>
        <v>12</v>
      </c>
      <c r="E918" s="16">
        <f>IFERROR(__xludf.DUMMYFUNCTION("""COMPUTED_VALUE"""),4.1)</f>
        <v>4.1</v>
      </c>
      <c r="F918" s="16">
        <f>IFERROR(__xludf.DUMMYFUNCTION("""COMPUTED_VALUE"""),0.2)</f>
        <v>0.2</v>
      </c>
      <c r="G918" s="16">
        <f>IFERROR(__xludf.DUMMYFUNCTION("""COMPUTED_VALUE"""),0.0)</f>
        <v>0</v>
      </c>
      <c r="H918" s="23">
        <f>IFERROR(__xludf.DUMMYFUNCTION("""COMPUTED_VALUE"""),66.2)</f>
        <v>66.2</v>
      </c>
    </row>
    <row r="919">
      <c r="A919" s="16" t="str">
        <f>IFERROR(__xludf.DUMMYFUNCTION("""COMPUTED_VALUE"""),"Млечни")</f>
        <v>Млечни</v>
      </c>
      <c r="B919" s="7" t="str">
        <f>IFERROR(__xludf.DUMMYFUNCTION("""COMPUTED_VALUE"""),"Краве Сирене Pilos")</f>
        <v>Краве Сирене Pilos</v>
      </c>
      <c r="C919" s="12">
        <f>IFERROR(__xludf.DUMMYFUNCTION("""COMPUTED_VALUE"""),100.0)</f>
        <v>100</v>
      </c>
      <c r="D919" s="7">
        <f>IFERROR(__xludf.DUMMYFUNCTION("""COMPUTED_VALUE"""),15.0)</f>
        <v>15</v>
      </c>
      <c r="E919" s="16">
        <f>IFERROR(__xludf.DUMMYFUNCTION("""COMPUTED_VALUE"""),0.7)</f>
        <v>0.7</v>
      </c>
      <c r="F919" s="16">
        <f>IFERROR(__xludf.DUMMYFUNCTION("""COMPUTED_VALUE"""),23.0)</f>
        <v>23</v>
      </c>
      <c r="G919" s="16">
        <f>IFERROR(__xludf.DUMMYFUNCTION("""COMPUTED_VALUE"""),0.0)</f>
        <v>0</v>
      </c>
      <c r="H919" s="23">
        <f>IFERROR(__xludf.DUMMYFUNCTION("""COMPUTED_VALUE"""),269.8)</f>
        <v>269.8</v>
      </c>
    </row>
    <row r="920">
      <c r="A920" s="16" t="str">
        <f>IFERROR(__xludf.DUMMYFUNCTION("""COMPUTED_VALUE"""),"Млечни")</f>
        <v>Млечни</v>
      </c>
      <c r="B920" s="7" t="str">
        <f>IFERROR(__xludf.DUMMYFUNCTION("""COMPUTED_VALUE"""),"Скир - MILDER SKYR EXQUISA  VANILLE")</f>
        <v>Скир - MILDER SKYR EXQUISA  VANILLE</v>
      </c>
      <c r="C920" s="12">
        <f>IFERROR(__xludf.DUMMYFUNCTION("""COMPUTED_VALUE"""),100.0)</f>
        <v>100</v>
      </c>
      <c r="D920" s="7">
        <f>IFERROR(__xludf.DUMMYFUNCTION("""COMPUTED_VALUE"""),10.2)</f>
        <v>10.2</v>
      </c>
      <c r="E920" s="16">
        <f>IFERROR(__xludf.DUMMYFUNCTION("""COMPUTED_VALUE"""),8.4)</f>
        <v>8.4</v>
      </c>
      <c r="F920" s="16">
        <f>IFERROR(__xludf.DUMMYFUNCTION("""COMPUTED_VALUE"""),0.2)</f>
        <v>0.2</v>
      </c>
      <c r="G920" s="16">
        <f>IFERROR(__xludf.DUMMYFUNCTION("""COMPUTED_VALUE"""),0.0)</f>
        <v>0</v>
      </c>
      <c r="H920" s="23">
        <f>IFERROR(__xludf.DUMMYFUNCTION("""COMPUTED_VALUE"""),76.2)</f>
        <v>76.2</v>
      </c>
    </row>
    <row r="921">
      <c r="A921" s="16" t="str">
        <f>IFERROR(__xludf.DUMMYFUNCTION("""COMPUTED_VALUE"""),"Млечни")</f>
        <v>Млечни</v>
      </c>
      <c r="B921" s="7" t="str">
        <f>IFERROR(__xludf.DUMMYFUNCTION("""COMPUTED_VALUE"""),"Кашкавал краве Ралица")</f>
        <v>Кашкавал краве Ралица</v>
      </c>
      <c r="C921" s="12">
        <f>IFERROR(__xludf.DUMMYFUNCTION("""COMPUTED_VALUE"""),100.0)</f>
        <v>100</v>
      </c>
      <c r="D921" s="7">
        <f>IFERROR(__xludf.DUMMYFUNCTION("""COMPUTED_VALUE"""),22.0)</f>
        <v>22</v>
      </c>
      <c r="E921" s="16">
        <f>IFERROR(__xludf.DUMMYFUNCTION("""COMPUTED_VALUE"""),1.0)</f>
        <v>1</v>
      </c>
      <c r="F921" s="16">
        <f>IFERROR(__xludf.DUMMYFUNCTION("""COMPUTED_VALUE"""),22.0)</f>
        <v>22</v>
      </c>
      <c r="G921" s="16">
        <f>IFERROR(__xludf.DUMMYFUNCTION("""COMPUTED_VALUE"""),0.0)</f>
        <v>0</v>
      </c>
      <c r="H921" s="23">
        <f>IFERROR(__xludf.DUMMYFUNCTION("""COMPUTED_VALUE"""),290.0)</f>
        <v>290</v>
      </c>
    </row>
    <row r="922">
      <c r="A922" s="16" t="str">
        <f>IFERROR(__xludf.DUMMYFUNCTION("""COMPUTED_VALUE"""),"Млечни")</f>
        <v>Млечни</v>
      </c>
      <c r="B922" s="7" t="str">
        <f>IFERROR(__xludf.DUMMYFUNCTION("""COMPUTED_VALUE"""),"Топено сирене  Milbona")</f>
        <v>Топено сирене  Milbona</v>
      </c>
      <c r="C922" s="12">
        <f>IFERROR(__xludf.DUMMYFUNCTION("""COMPUTED_VALUE"""),100.0)</f>
        <v>100</v>
      </c>
      <c r="D922" s="7">
        <f>IFERROR(__xludf.DUMMYFUNCTION("""COMPUTED_VALUE"""),15.5)</f>
        <v>15.5</v>
      </c>
      <c r="E922" s="16">
        <f>IFERROR(__xludf.DUMMYFUNCTION("""COMPUTED_VALUE"""),5.9)</f>
        <v>5.9</v>
      </c>
      <c r="F922" s="16">
        <f>IFERROR(__xludf.DUMMYFUNCTION("""COMPUTED_VALUE"""),15.8)</f>
        <v>15.8</v>
      </c>
      <c r="G922" s="16">
        <f>IFERROR(__xludf.DUMMYFUNCTION("""COMPUTED_VALUE"""),0.0)</f>
        <v>0</v>
      </c>
      <c r="H922" s="23">
        <f>IFERROR(__xludf.DUMMYFUNCTION("""COMPUTED_VALUE"""),227.8)</f>
        <v>227.8</v>
      </c>
    </row>
    <row r="923">
      <c r="A923" s="16" t="str">
        <f>IFERROR(__xludf.DUMMYFUNCTION("""COMPUTED_VALUE"""),"Млечни")</f>
        <v>Млечни</v>
      </c>
      <c r="B923" s="7" t="str">
        <f>IFERROR(__xludf.DUMMYFUNCTION("""COMPUTED_VALUE"""),"Скир за пиене Milbona LIDL")</f>
        <v>Скир за пиене Milbona LIDL</v>
      </c>
      <c r="C923" s="12">
        <f>IFERROR(__xludf.DUMMYFUNCTION("""COMPUTED_VALUE"""),100.0)</f>
        <v>100</v>
      </c>
      <c r="D923" s="7">
        <f>IFERROR(__xludf.DUMMYFUNCTION("""COMPUTED_VALUE"""),7.3)</f>
        <v>7.3</v>
      </c>
      <c r="E923" s="16">
        <f>IFERROR(__xludf.DUMMYFUNCTION("""COMPUTED_VALUE"""),5.2)</f>
        <v>5.2</v>
      </c>
      <c r="F923" s="16">
        <f>IFERROR(__xludf.DUMMYFUNCTION("""COMPUTED_VALUE"""),0.2)</f>
        <v>0.2</v>
      </c>
      <c r="G923" s="16">
        <f>IFERROR(__xludf.DUMMYFUNCTION("""COMPUTED_VALUE"""),0.0)</f>
        <v>0</v>
      </c>
      <c r="H923" s="23">
        <f>IFERROR(__xludf.DUMMYFUNCTION("""COMPUTED_VALUE"""),51.8)</f>
        <v>51.8</v>
      </c>
    </row>
    <row r="924">
      <c r="A924" s="16" t="str">
        <f>IFERROR(__xludf.DUMMYFUNCTION("""COMPUTED_VALUE"""),"Млечни")</f>
        <v>Млечни</v>
      </c>
      <c r="B924" s="7" t="str">
        <f>IFERROR(__xludf.DUMMYFUNCTION("""COMPUTED_VALUE"""),"HIGH Protein pudding Vanilla LIDL")</f>
        <v>HIGH Protein pudding Vanilla LIDL</v>
      </c>
      <c r="C924" s="12">
        <f>IFERROR(__xludf.DUMMYFUNCTION("""COMPUTED_VALUE"""),100.0)</f>
        <v>100</v>
      </c>
      <c r="D924" s="7">
        <f>IFERROR(__xludf.DUMMYFUNCTION("""COMPUTED_VALUE"""),10.0)</f>
        <v>10</v>
      </c>
      <c r="E924" s="16">
        <f>IFERROR(__xludf.DUMMYFUNCTION("""COMPUTED_VALUE"""),5.2)</f>
        <v>5.2</v>
      </c>
      <c r="F924" s="16">
        <f>IFERROR(__xludf.DUMMYFUNCTION("""COMPUTED_VALUE"""),1.5)</f>
        <v>1.5</v>
      </c>
      <c r="G924" s="16">
        <f>IFERROR(__xludf.DUMMYFUNCTION("""COMPUTED_VALUE"""),0.0)</f>
        <v>0</v>
      </c>
      <c r="H924" s="23">
        <f>IFERROR(__xludf.DUMMYFUNCTION("""COMPUTED_VALUE"""),74.3)</f>
        <v>74.3</v>
      </c>
    </row>
    <row r="925">
      <c r="A925" s="16" t="str">
        <f>IFERROR(__xludf.DUMMYFUNCTION("""COMPUTED_VALUE"""),"Млечни")</f>
        <v>Млечни</v>
      </c>
      <c r="B925" s="7" t="str">
        <f>IFERROR(__xludf.DUMMYFUNCTION("""COMPUTED_VALUE"""),"Котидж сирене(обезмаслено) Sainsbury's")</f>
        <v>Котидж сирене(обезмаслено) Sainsbury's</v>
      </c>
      <c r="C925" s="12">
        <f>IFERROR(__xludf.DUMMYFUNCTION("""COMPUTED_VALUE"""),100.0)</f>
        <v>100</v>
      </c>
      <c r="D925" s="7">
        <f>IFERROR(__xludf.DUMMYFUNCTION("""COMPUTED_VALUE"""),1.7)</f>
        <v>1.7</v>
      </c>
      <c r="E925" s="16">
        <f>IFERROR(__xludf.DUMMYFUNCTION("""COMPUTED_VALUE"""),7.4)</f>
        <v>7.4</v>
      </c>
      <c r="F925" s="16">
        <f>IFERROR(__xludf.DUMMYFUNCTION("""COMPUTED_VALUE"""),0.5)</f>
        <v>0.5</v>
      </c>
      <c r="G925" s="16">
        <f>IFERROR(__xludf.DUMMYFUNCTION("""COMPUTED_VALUE"""),0.5)</f>
        <v>0.5</v>
      </c>
      <c r="H925" s="23">
        <f>IFERROR(__xludf.DUMMYFUNCTION("""COMPUTED_VALUE"""),40.9)</f>
        <v>40.9</v>
      </c>
    </row>
    <row r="926">
      <c r="A926" s="16" t="str">
        <f>IFERROR(__xludf.DUMMYFUNCTION("""COMPUTED_VALUE"""),"Млечни")</f>
        <v>Млечни</v>
      </c>
      <c r="B926" s="7" t="str">
        <f>IFERROR(__xludf.DUMMYFUNCTION("""COMPUTED_VALUE"""),"KVARG LINDAHLS white chocolate")</f>
        <v>KVARG LINDAHLS white chocolate</v>
      </c>
      <c r="C926" s="12">
        <f>IFERROR(__xludf.DUMMYFUNCTION("""COMPUTED_VALUE"""),100.0)</f>
        <v>100</v>
      </c>
      <c r="D926" s="7">
        <f>IFERROR(__xludf.DUMMYFUNCTION("""COMPUTED_VALUE"""),15.0)</f>
        <v>15</v>
      </c>
      <c r="E926" s="16">
        <f>IFERROR(__xludf.DUMMYFUNCTION("""COMPUTED_VALUE"""),5.1)</f>
        <v>5.1</v>
      </c>
      <c r="F926" s="16">
        <f>IFERROR(__xludf.DUMMYFUNCTION("""COMPUTED_VALUE"""),0.3)</f>
        <v>0.3</v>
      </c>
      <c r="G926" s="16">
        <f>IFERROR(__xludf.DUMMYFUNCTION("""COMPUTED_VALUE"""),0.0)</f>
        <v>0</v>
      </c>
      <c r="H926" s="23">
        <f>IFERROR(__xludf.DUMMYFUNCTION("""COMPUTED_VALUE"""),83.10000000000001)</f>
        <v>83.1</v>
      </c>
    </row>
    <row r="927">
      <c r="A927" s="16" t="str">
        <f>IFERROR(__xludf.DUMMYFUNCTION("""COMPUTED_VALUE"""),"Млечни")</f>
        <v>Млечни</v>
      </c>
      <c r="B927" s="7" t="str">
        <f>IFERROR(__xludf.DUMMYFUNCTION("""COMPUTED_VALUE"""),"Кашкавал Ферия краве")</f>
        <v>Кашкавал Ферия краве</v>
      </c>
      <c r="C927" s="12">
        <f>IFERROR(__xludf.DUMMYFUNCTION("""COMPUTED_VALUE"""),100.0)</f>
        <v>100</v>
      </c>
      <c r="D927" s="7">
        <f>IFERROR(__xludf.DUMMYFUNCTION("""COMPUTED_VALUE"""),22.0)</f>
        <v>22</v>
      </c>
      <c r="E927" s="16">
        <f>IFERROR(__xludf.DUMMYFUNCTION("""COMPUTED_VALUE"""),1.0)</f>
        <v>1</v>
      </c>
      <c r="F927" s="16">
        <f>IFERROR(__xludf.DUMMYFUNCTION("""COMPUTED_VALUE"""),22.0)</f>
        <v>22</v>
      </c>
      <c r="G927" s="16">
        <f>IFERROR(__xludf.DUMMYFUNCTION("""COMPUTED_VALUE"""),0.0)</f>
        <v>0</v>
      </c>
      <c r="H927" s="23">
        <f>IFERROR(__xludf.DUMMYFUNCTION("""COMPUTED_VALUE"""),290.0)</f>
        <v>290</v>
      </c>
    </row>
    <row r="928">
      <c r="A928" s="16" t="str">
        <f>IFERROR(__xludf.DUMMYFUNCTION("""COMPUTED_VALUE"""),"Млечни")</f>
        <v>Млечни</v>
      </c>
      <c r="B928" s="7" t="str">
        <f>IFERROR(__xludf.DUMMYFUNCTION("""COMPUTED_VALUE"""),"Топено сирене със сметана Hochland")</f>
        <v>Топено сирене със сметана Hochland</v>
      </c>
      <c r="C928" s="12">
        <f>IFERROR(__xludf.DUMMYFUNCTION("""COMPUTED_VALUE"""),100.0)</f>
        <v>100</v>
      </c>
      <c r="D928" s="7">
        <f>IFERROR(__xludf.DUMMYFUNCTION("""COMPUTED_VALUE"""),15.0)</f>
        <v>15</v>
      </c>
      <c r="E928" s="16">
        <f>IFERROR(__xludf.DUMMYFUNCTION("""COMPUTED_VALUE"""),4.8)</f>
        <v>4.8</v>
      </c>
      <c r="F928" s="16">
        <f>IFERROR(__xludf.DUMMYFUNCTION("""COMPUTED_VALUE"""),18.5)</f>
        <v>18.5</v>
      </c>
      <c r="G928" s="16">
        <f>IFERROR(__xludf.DUMMYFUNCTION("""COMPUTED_VALUE"""),0.0)</f>
        <v>0</v>
      </c>
      <c r="H928" s="23">
        <f>IFERROR(__xludf.DUMMYFUNCTION("""COMPUTED_VALUE"""),245.7)</f>
        <v>245.7</v>
      </c>
    </row>
    <row r="929">
      <c r="A929" s="16" t="str">
        <f>IFERROR(__xludf.DUMMYFUNCTION("""COMPUTED_VALUE"""),"Млечни")</f>
        <v>Млечни</v>
      </c>
      <c r="B929" s="7" t="str">
        <f>IFERROR(__xludf.DUMMYFUNCTION("""COMPUTED_VALUE"""),"Сметана 22 % - Milbona")</f>
        <v>Сметана 22 % - Milbona</v>
      </c>
      <c r="C929" s="12">
        <f>IFERROR(__xludf.DUMMYFUNCTION("""COMPUTED_VALUE"""),100.0)</f>
        <v>100</v>
      </c>
      <c r="D929" s="7">
        <f>IFERROR(__xludf.DUMMYFUNCTION("""COMPUTED_VALUE"""),2.3)</f>
        <v>2.3</v>
      </c>
      <c r="E929" s="16">
        <f>IFERROR(__xludf.DUMMYFUNCTION("""COMPUTED_VALUE"""),3.4)</f>
        <v>3.4</v>
      </c>
      <c r="F929" s="16">
        <f>IFERROR(__xludf.DUMMYFUNCTION("""COMPUTED_VALUE"""),19.0)</f>
        <v>19</v>
      </c>
      <c r="G929" s="16">
        <f>IFERROR(__xludf.DUMMYFUNCTION("""COMPUTED_VALUE"""),0.0)</f>
        <v>0</v>
      </c>
      <c r="H929" s="23">
        <f>IFERROR(__xludf.DUMMYFUNCTION("""COMPUTED_VALUE"""),193.8)</f>
        <v>193.8</v>
      </c>
    </row>
    <row r="930">
      <c r="A930" s="16" t="str">
        <f>IFERROR(__xludf.DUMMYFUNCTION("""COMPUTED_VALUE"""),"Млечни")</f>
        <v>Млечни</v>
      </c>
      <c r="B930" s="7" t="str">
        <f>IFERROR(__xludf.DUMMYFUNCTION("""COMPUTED_VALUE"""),"Scamorza Lovilio (Lidl)")</f>
        <v>Scamorza Lovilio (Lidl)</v>
      </c>
      <c r="C930" s="12">
        <f>IFERROR(__xludf.DUMMYFUNCTION("""COMPUTED_VALUE"""),100.0)</f>
        <v>100</v>
      </c>
      <c r="D930" s="7">
        <f>IFERROR(__xludf.DUMMYFUNCTION("""COMPUTED_VALUE"""),25.3)</f>
        <v>25.3</v>
      </c>
      <c r="E930" s="16">
        <f>IFERROR(__xludf.DUMMYFUNCTION("""COMPUTED_VALUE"""),0.4)</f>
        <v>0.4</v>
      </c>
      <c r="F930" s="16">
        <f>IFERROR(__xludf.DUMMYFUNCTION("""COMPUTED_VALUE"""),15.0)</f>
        <v>15</v>
      </c>
      <c r="G930" s="16">
        <f>IFERROR(__xludf.DUMMYFUNCTION("""COMPUTED_VALUE"""),0.0)</f>
        <v>0</v>
      </c>
      <c r="H930" s="23">
        <f>IFERROR(__xludf.DUMMYFUNCTION("""COMPUTED_VALUE"""),237.8)</f>
        <v>237.8</v>
      </c>
    </row>
    <row r="931">
      <c r="A931" s="16" t="str">
        <f>IFERROR(__xludf.DUMMYFUNCTION("""COMPUTED_VALUE"""),"Млечни")</f>
        <v>Млечни</v>
      </c>
      <c r="B931" s="7" t="str">
        <f>IFERROR(__xludf.DUMMYFUNCTION("""COMPUTED_VALUE"""),"Скирела ЛИДЛ")</f>
        <v>Скирела ЛИДЛ</v>
      </c>
      <c r="C931" s="7">
        <f>IFERROR(__xludf.DUMMYFUNCTION("""COMPUTED_VALUE"""),100.0)</f>
        <v>100</v>
      </c>
      <c r="D931" s="7">
        <f>IFERROR(__xludf.DUMMYFUNCTION("""COMPUTED_VALUE"""),22.5)</f>
        <v>22.5</v>
      </c>
      <c r="E931" s="16">
        <f>IFERROR(__xludf.DUMMYFUNCTION("""COMPUTED_VALUE"""),1.5)</f>
        <v>1.5</v>
      </c>
      <c r="F931" s="16">
        <f>IFERROR(__xludf.DUMMYFUNCTION("""COMPUTED_VALUE"""),2.6)</f>
        <v>2.6</v>
      </c>
      <c r="G931" s="16">
        <f>IFERROR(__xludf.DUMMYFUNCTION("""COMPUTED_VALUE"""),0.0)</f>
        <v>0</v>
      </c>
      <c r="H931" s="23">
        <f>IFERROR(__xludf.DUMMYFUNCTION("""COMPUTED_VALUE"""),119.4)</f>
        <v>119.4</v>
      </c>
    </row>
    <row r="932">
      <c r="A932" s="16" t="str">
        <f>IFERROR(__xludf.DUMMYFUNCTION("""COMPUTED_VALUE"""),"Млечни")</f>
        <v>Млечни</v>
      </c>
      <c r="B932" s="7" t="str">
        <f>IFERROR(__xludf.DUMMYFUNCTION("""COMPUTED_VALUE"""),"Пудинг Шоколад милбона протеин")</f>
        <v>Пудинг Шоколад милбона протеин</v>
      </c>
      <c r="C932" s="7">
        <f>IFERROR(__xludf.DUMMYFUNCTION("""COMPUTED_VALUE"""),100.0)</f>
        <v>100</v>
      </c>
      <c r="D932" s="7">
        <f>IFERROR(__xludf.DUMMYFUNCTION("""COMPUTED_VALUE"""),10.0)</f>
        <v>10</v>
      </c>
      <c r="E932" s="16">
        <f>IFERROR(__xludf.DUMMYFUNCTION("""COMPUTED_VALUE"""),5.2)</f>
        <v>5.2</v>
      </c>
      <c r="F932" s="16">
        <f>IFERROR(__xludf.DUMMYFUNCTION("""COMPUTED_VALUE"""),1.5)</f>
        <v>1.5</v>
      </c>
      <c r="G932" s="16">
        <f>IFERROR(__xludf.DUMMYFUNCTION("""COMPUTED_VALUE"""),0.0)</f>
        <v>0</v>
      </c>
      <c r="H932" s="23">
        <f>IFERROR(__xludf.DUMMYFUNCTION("""COMPUTED_VALUE"""),195.8)</f>
        <v>195.8</v>
      </c>
    </row>
    <row r="933">
      <c r="A933" s="16" t="str">
        <f>IFERROR(__xludf.DUMMYFUNCTION("""COMPUTED_VALUE"""),"Млечни")</f>
        <v>Млечни</v>
      </c>
      <c r="B933" s="7" t="str">
        <f>IFERROR(__xludf.DUMMYFUNCTION("""COMPUTED_VALUE"""),"Сирене high protein")</f>
        <v>Сирене high protein</v>
      </c>
      <c r="C933" s="7">
        <f>IFERROR(__xludf.DUMMYFUNCTION("""COMPUTED_VALUE"""),100.0)</f>
        <v>100</v>
      </c>
      <c r="D933" s="7">
        <f>IFERROR(__xludf.DUMMYFUNCTION("""COMPUTED_VALUE"""),24.0)</f>
        <v>24</v>
      </c>
      <c r="E933" s="16">
        <f>IFERROR(__xludf.DUMMYFUNCTION("""COMPUTED_VALUE"""),0.5)</f>
        <v>0.5</v>
      </c>
      <c r="F933" s="16">
        <f>IFERROR(__xludf.DUMMYFUNCTION("""COMPUTED_VALUE"""),12.0)</f>
        <v>12</v>
      </c>
      <c r="G933" s="16">
        <f>IFERROR(__xludf.DUMMYFUNCTION("""COMPUTED_VALUE"""),0.0)</f>
        <v>0</v>
      </c>
      <c r="H933" s="23">
        <f>IFERROR(__xludf.DUMMYFUNCTION("""COMPUTED_VALUE"""),206.0)</f>
        <v>206</v>
      </c>
    </row>
    <row r="934">
      <c r="A934" s="16" t="str">
        <f>IFERROR(__xludf.DUMMYFUNCTION("""COMPUTED_VALUE"""),"Млечни")</f>
        <v>Млечни</v>
      </c>
      <c r="B934" s="7" t="str">
        <f>IFERROR(__xludf.DUMMYFUNCTION("""COMPUTED_VALUE"""),"Кисело мляко-magermilch")</f>
        <v>Кисело мляко-magermilch</v>
      </c>
      <c r="C934" s="7">
        <f>IFERROR(__xludf.DUMMYFUNCTION("""COMPUTED_VALUE"""),100.0)</f>
        <v>100</v>
      </c>
      <c r="D934" s="7">
        <f>IFERROR(__xludf.DUMMYFUNCTION("""COMPUTED_VALUE"""),10.0)</f>
        <v>10</v>
      </c>
      <c r="E934" s="16">
        <f>IFERROR(__xludf.DUMMYFUNCTION("""COMPUTED_VALUE"""),2.5)</f>
        <v>2.5</v>
      </c>
      <c r="F934" s="16">
        <f>IFERROR(__xludf.DUMMYFUNCTION("""COMPUTED_VALUE"""),0.0)</f>
        <v>0</v>
      </c>
      <c r="G934" s="16">
        <f>IFERROR(__xludf.DUMMYFUNCTION("""COMPUTED_VALUE"""),0.0)</f>
        <v>0</v>
      </c>
      <c r="H934" s="23">
        <f>IFERROR(__xludf.DUMMYFUNCTION("""COMPUTED_VALUE"""),50.0)</f>
        <v>50</v>
      </c>
    </row>
    <row r="935">
      <c r="A935" s="16" t="str">
        <f>IFERROR(__xludf.DUMMYFUNCTION("""COMPUTED_VALUE"""),"Млечни")</f>
        <v>Млечни</v>
      </c>
      <c r="B935" s="7" t="str">
        <f>IFERROR(__xludf.DUMMYFUNCTION("""COMPUTED_VALUE"""),"Natural Cottage Cheese Sainsbury'""s")</f>
        <v>Natural Cottage Cheese Sainsbury'"s</v>
      </c>
      <c r="C935" s="7">
        <f>IFERROR(__xludf.DUMMYFUNCTION("""COMPUTED_VALUE"""),100.0)</f>
        <v>100</v>
      </c>
      <c r="D935" s="7">
        <f>IFERROR(__xludf.DUMMYFUNCTION("""COMPUTED_VALUE"""),10.7)</f>
        <v>10.7</v>
      </c>
      <c r="E935" s="16">
        <f>IFERROR(__xludf.DUMMYFUNCTION("""COMPUTED_VALUE"""),7.4)</f>
        <v>7.4</v>
      </c>
      <c r="F935" s="16">
        <f>IFERROR(__xludf.DUMMYFUNCTION("""COMPUTED_VALUE"""),0.5)</f>
        <v>0.5</v>
      </c>
      <c r="G935" s="16">
        <f>IFERROR(__xludf.DUMMYFUNCTION("""COMPUTED_VALUE"""),0.5)</f>
        <v>0.5</v>
      </c>
      <c r="H935" s="23">
        <f>IFERROR(__xludf.DUMMYFUNCTION("""COMPUTED_VALUE"""),76.9)</f>
        <v>76.9</v>
      </c>
    </row>
    <row r="936">
      <c r="A936" s="16" t="str">
        <f>IFERROR(__xludf.DUMMYFUNCTION("""COMPUTED_VALUE"""),"Млечни")</f>
        <v>Млечни</v>
      </c>
      <c r="B936" s="7" t="str">
        <f>IFERROR(__xludf.DUMMYFUNCTION("""COMPUTED_VALUE"""),"Brooklea PROTEIN soft cheese")</f>
        <v>Brooklea PROTEIN soft cheese</v>
      </c>
      <c r="C936" s="7">
        <f>IFERROR(__xludf.DUMMYFUNCTION("""COMPUTED_VALUE"""),100.0)</f>
        <v>100</v>
      </c>
      <c r="D936" s="7">
        <f>IFERROR(__xludf.DUMMYFUNCTION("""COMPUTED_VALUE"""),12.0)</f>
        <v>12</v>
      </c>
      <c r="E936" s="16">
        <f>IFERROR(__xludf.DUMMYFUNCTION("""COMPUTED_VALUE"""),4.4)</f>
        <v>4.4</v>
      </c>
      <c r="F936" s="16">
        <f>IFERROR(__xludf.DUMMYFUNCTION("""COMPUTED_VALUE"""),0.5)</f>
        <v>0.5</v>
      </c>
      <c r="G936" s="16">
        <f>IFERROR(__xludf.DUMMYFUNCTION("""COMPUTED_VALUE"""),0.0)</f>
        <v>0</v>
      </c>
      <c r="H936" s="23">
        <f>IFERROR(__xludf.DUMMYFUNCTION("""COMPUTED_VALUE"""),70.1)</f>
        <v>70.1</v>
      </c>
    </row>
    <row r="937">
      <c r="A937" s="16" t="str">
        <f>IFERROR(__xludf.DUMMYFUNCTION("""COMPUTED_VALUE"""),"Млечни")</f>
        <v>Млечни</v>
      </c>
      <c r="B937" s="7" t="str">
        <f>IFERROR(__xludf.DUMMYFUNCTION("""COMPUTED_VALUE"""),"Alpro Chocolate coconut")</f>
        <v>Alpro Chocolate coconut</v>
      </c>
      <c r="C937" s="7">
        <f>IFERROR(__xludf.DUMMYFUNCTION("""COMPUTED_VALUE"""),100.0)</f>
        <v>100</v>
      </c>
      <c r="D937" s="7">
        <f>IFERROR(__xludf.DUMMYFUNCTION("""COMPUTED_VALUE"""),0.4)</f>
        <v>0.4</v>
      </c>
      <c r="E937" s="16">
        <f>IFERROR(__xludf.DUMMYFUNCTION("""COMPUTED_VALUE"""),6.8)</f>
        <v>6.8</v>
      </c>
      <c r="F937" s="16">
        <f>IFERROR(__xludf.DUMMYFUNCTION("""COMPUTED_VALUE"""),1.1)</f>
        <v>1.1</v>
      </c>
      <c r="G937" s="16">
        <f>IFERROR(__xludf.DUMMYFUNCTION("""COMPUTED_VALUE"""),0.4)</f>
        <v>0.4</v>
      </c>
      <c r="H937" s="23">
        <f>IFERROR(__xludf.DUMMYFUNCTION("""COMPUTED_VALUE"""),38.7)</f>
        <v>38.7</v>
      </c>
    </row>
    <row r="938">
      <c r="A938" s="16" t="str">
        <f>IFERROR(__xludf.DUMMYFUNCTION("""COMPUTED_VALUE"""),"Млечни")</f>
        <v>Млечни</v>
      </c>
      <c r="B938" s="7" t="str">
        <f>IFERROR(__xludf.DUMMYFUNCTION("""COMPUTED_VALUE"""),"High Protein fat free raspberry")</f>
        <v>High Protein fat free raspberry</v>
      </c>
      <c r="C938" s="7">
        <f>IFERROR(__xludf.DUMMYFUNCTION("""COMPUTED_VALUE"""),100.0)</f>
        <v>100</v>
      </c>
      <c r="D938" s="7">
        <f>IFERROR(__xludf.DUMMYFUNCTION("""COMPUTED_VALUE"""),11.7)</f>
        <v>11.7</v>
      </c>
      <c r="E938" s="16">
        <f>IFERROR(__xludf.DUMMYFUNCTION("""COMPUTED_VALUE"""),7.9)</f>
        <v>7.9</v>
      </c>
      <c r="F938" s="16">
        <f>IFERROR(__xludf.DUMMYFUNCTION("""COMPUTED_VALUE"""),0.4)</f>
        <v>0.4</v>
      </c>
      <c r="G938" s="16">
        <f>IFERROR(__xludf.DUMMYFUNCTION("""COMPUTED_VALUE"""),0.0)</f>
        <v>0</v>
      </c>
      <c r="H938" s="23">
        <f>IFERROR(__xludf.DUMMYFUNCTION("""COMPUTED_VALUE"""),82.0)</f>
        <v>82</v>
      </c>
    </row>
    <row r="939">
      <c r="A939" s="16" t="str">
        <f>IFERROR(__xludf.DUMMYFUNCTION("""COMPUTED_VALUE"""),"Млечни")</f>
        <v>Млечни</v>
      </c>
      <c r="B939" s="7" t="str">
        <f>IFERROR(__xludf.DUMMYFUNCTION("""COMPUTED_VALUE"""),"Активия натурална 0.5%")</f>
        <v>Активия натурална 0.5%</v>
      </c>
      <c r="C939" s="7">
        <f>IFERROR(__xludf.DUMMYFUNCTION("""COMPUTED_VALUE"""),100.0)</f>
        <v>100</v>
      </c>
      <c r="D939" s="7">
        <f>IFERROR(__xludf.DUMMYFUNCTION("""COMPUTED_VALUE"""),4.3)</f>
        <v>4.3</v>
      </c>
      <c r="E939" s="16">
        <f>IFERROR(__xludf.DUMMYFUNCTION("""COMPUTED_VALUE"""),3.9)</f>
        <v>3.9</v>
      </c>
      <c r="F939" s="16">
        <f>IFERROR(__xludf.DUMMYFUNCTION("""COMPUTED_VALUE"""),0.5)</f>
        <v>0.5</v>
      </c>
      <c r="G939" s="16">
        <f>IFERROR(__xludf.DUMMYFUNCTION("""COMPUTED_VALUE"""),0.0)</f>
        <v>0</v>
      </c>
      <c r="H939" s="23">
        <f>IFERROR(__xludf.DUMMYFUNCTION("""COMPUTED_VALUE"""),37.3)</f>
        <v>37.3</v>
      </c>
    </row>
    <row r="940">
      <c r="A940" s="16" t="str">
        <f>IFERROR(__xludf.DUMMYFUNCTION("""COMPUTED_VALUE"""),"Млечни")</f>
        <v>Млечни</v>
      </c>
      <c r="B940" s="7" t="str">
        <f>IFERROR(__xludf.DUMMYFUNCTION("""COMPUTED_VALUE"""),"Протеиново мляко шоколад ALPRO")</f>
        <v>Протеиново мляко шоколад ALPRO</v>
      </c>
      <c r="C940" s="7">
        <f>IFERROR(__xludf.DUMMYFUNCTION("""COMPUTED_VALUE"""),100.0)</f>
        <v>100</v>
      </c>
      <c r="D940" s="7">
        <f>IFERROR(__xludf.DUMMYFUNCTION("""COMPUTED_VALUE"""),5.0)</f>
        <v>5</v>
      </c>
      <c r="E940" s="16">
        <f>IFERROR(__xludf.DUMMYFUNCTION("""COMPUTED_VALUE"""),5.3)</f>
        <v>5.3</v>
      </c>
      <c r="F940" s="16">
        <f>IFERROR(__xludf.DUMMYFUNCTION("""COMPUTED_VALUE"""),2.8)</f>
        <v>2.8</v>
      </c>
      <c r="G940" s="16">
        <f>IFERROR(__xludf.DUMMYFUNCTION("""COMPUTED_VALUE"""),0.0)</f>
        <v>0</v>
      </c>
      <c r="H940" s="23">
        <f>IFERROR(__xludf.DUMMYFUNCTION("""COMPUTED_VALUE"""),66.4)</f>
        <v>66.4</v>
      </c>
    </row>
    <row r="941">
      <c r="A941" s="16" t="str">
        <f>IFERROR(__xludf.DUMMYFUNCTION("""COMPUTED_VALUE"""),"Млечни")</f>
        <v>Млечни</v>
      </c>
      <c r="B941" s="7" t="str">
        <f>IFERROR(__xludf.DUMMYFUNCTION("""COMPUTED_VALUE"""),"Мляко с ориз-Лидъл")</f>
        <v>Мляко с ориз-Лидъл</v>
      </c>
      <c r="C941" s="7">
        <f>IFERROR(__xludf.DUMMYFUNCTION("""COMPUTED_VALUE"""),100.0)</f>
        <v>100</v>
      </c>
      <c r="D941" s="7">
        <f>IFERROR(__xludf.DUMMYFUNCTION("""COMPUTED_VALUE"""),2.9)</f>
        <v>2.9</v>
      </c>
      <c r="E941" s="16">
        <f>IFERROR(__xludf.DUMMYFUNCTION("""COMPUTED_VALUE"""),20.5)</f>
        <v>20.5</v>
      </c>
      <c r="F941" s="16">
        <f>IFERROR(__xludf.DUMMYFUNCTION("""COMPUTED_VALUE"""),2.0)</f>
        <v>2</v>
      </c>
      <c r="G941" s="16">
        <f>IFERROR(__xludf.DUMMYFUNCTION("""COMPUTED_VALUE"""),0.0)</f>
        <v>0</v>
      </c>
      <c r="H941" s="23">
        <f>IFERROR(__xludf.DUMMYFUNCTION("""COMPUTED_VALUE"""),111.6)</f>
        <v>111.6</v>
      </c>
    </row>
    <row r="942">
      <c r="A942" s="16" t="str">
        <f>IFERROR(__xludf.DUMMYFUNCTION("""COMPUTED_VALUE"""),"Млечни")</f>
        <v>Млечни</v>
      </c>
      <c r="B942" s="7" t="str">
        <f>IFERROR(__xludf.DUMMYFUNCTION("""COMPUTED_VALUE"""),"Скир - MILDER SKYR EXQUISA  VANILLE")</f>
        <v>Скир - MILDER SKYR EXQUISA  VANILLE</v>
      </c>
      <c r="C942" s="7">
        <f>IFERROR(__xludf.DUMMYFUNCTION("""COMPUTED_VALUE"""),100.0)</f>
        <v>100</v>
      </c>
      <c r="D942" s="7">
        <f>IFERROR(__xludf.DUMMYFUNCTION("""COMPUTED_VALUE"""),10.2)</f>
        <v>10.2</v>
      </c>
      <c r="E942" s="16">
        <f>IFERROR(__xludf.DUMMYFUNCTION("""COMPUTED_VALUE"""),8.4)</f>
        <v>8.4</v>
      </c>
      <c r="F942" s="16">
        <f>IFERROR(__xludf.DUMMYFUNCTION("""COMPUTED_VALUE"""),0.1)</f>
        <v>0.1</v>
      </c>
      <c r="G942" s="16">
        <f>IFERROR(__xludf.DUMMYFUNCTION("""COMPUTED_VALUE"""),0.0)</f>
        <v>0</v>
      </c>
      <c r="H942" s="23">
        <f>IFERROR(__xludf.DUMMYFUNCTION("""COMPUTED_VALUE"""),75.30000000000001)</f>
        <v>75.3</v>
      </c>
    </row>
    <row r="943">
      <c r="A943" s="16" t="str">
        <f>IFERROR(__xludf.DUMMYFUNCTION("""COMPUTED_VALUE"""),"Млечни")</f>
        <v>Млечни</v>
      </c>
      <c r="B943" s="7" t="str">
        <f>IFERROR(__xludf.DUMMYFUNCTION("""COMPUTED_VALUE"""),"Eridanous - крем за мазане фета и сушени домати")</f>
        <v>Eridanous - крем за мазане фета и сушени домати</v>
      </c>
      <c r="C943" s="7">
        <f>IFERROR(__xludf.DUMMYFUNCTION("""COMPUTED_VALUE"""),100.0)</f>
        <v>100</v>
      </c>
      <c r="D943" s="7">
        <f>IFERROR(__xludf.DUMMYFUNCTION("""COMPUTED_VALUE"""),8.1)</f>
        <v>8.1</v>
      </c>
      <c r="E943" s="16">
        <f>IFERROR(__xludf.DUMMYFUNCTION("""COMPUTED_VALUE"""),5.4)</f>
        <v>5.4</v>
      </c>
      <c r="F943" s="16">
        <f>IFERROR(__xludf.DUMMYFUNCTION("""COMPUTED_VALUE"""),11.2)</f>
        <v>11.2</v>
      </c>
      <c r="G943" s="16">
        <f>IFERROR(__xludf.DUMMYFUNCTION("""COMPUTED_VALUE"""),0.5)</f>
        <v>0.5</v>
      </c>
      <c r="H943" s="23">
        <f>IFERROR(__xludf.DUMMYFUNCTION("""COMPUTED_VALUE"""),154.8)</f>
        <v>154.8</v>
      </c>
    </row>
    <row r="944">
      <c r="A944" s="16" t="str">
        <f>IFERROR(__xludf.DUMMYFUNCTION("""COMPUTED_VALUE"""),"Млечни")</f>
        <v>Млечни</v>
      </c>
      <c r="B944" s="7" t="str">
        <f>IFERROR(__xludf.DUMMYFUNCTION("""COMPUTED_VALUE"""),"Eridanous - крем за мазане фета и чушки")</f>
        <v>Eridanous - крем за мазане фета и чушки</v>
      </c>
      <c r="C944" s="7">
        <f>IFERROR(__xludf.DUMMYFUNCTION("""COMPUTED_VALUE"""),100.0)</f>
        <v>100</v>
      </c>
      <c r="D944" s="7">
        <f>IFERROR(__xludf.DUMMYFUNCTION("""COMPUTED_VALUE"""),8.6)</f>
        <v>8.6</v>
      </c>
      <c r="E944" s="16">
        <f>IFERROR(__xludf.DUMMYFUNCTION("""COMPUTED_VALUE"""),5.8)</f>
        <v>5.8</v>
      </c>
      <c r="F944" s="16">
        <f>IFERROR(__xludf.DUMMYFUNCTION("""COMPUTED_VALUE"""),11.6)</f>
        <v>11.6</v>
      </c>
      <c r="G944" s="16">
        <f>IFERROR(__xludf.DUMMYFUNCTION("""COMPUTED_VALUE"""),0.5)</f>
        <v>0.5</v>
      </c>
      <c r="H944" s="23">
        <f>IFERROR(__xludf.DUMMYFUNCTION("""COMPUTED_VALUE"""),162.0)</f>
        <v>162</v>
      </c>
    </row>
    <row r="945">
      <c r="A945" s="16" t="str">
        <f>IFERROR(__xludf.DUMMYFUNCTION("""COMPUTED_VALUE"""),"Млечни")</f>
        <v>Млечни</v>
      </c>
      <c r="B945" s="7" t="str">
        <f>IFERROR(__xludf.DUMMYFUNCTION("""COMPUTED_VALUE"""),"Graham's Protein Peach Quark")</f>
        <v>Graham's Protein Peach Quark</v>
      </c>
      <c r="C945" s="7">
        <f>IFERROR(__xludf.DUMMYFUNCTION("""COMPUTED_VALUE"""),100.0)</f>
        <v>100</v>
      </c>
      <c r="D945" s="7">
        <f>IFERROR(__xludf.DUMMYFUNCTION("""COMPUTED_VALUE"""),11.6)</f>
        <v>11.6</v>
      </c>
      <c r="E945" s="16">
        <f>IFERROR(__xludf.DUMMYFUNCTION("""COMPUTED_VALUE"""),8.1)</f>
        <v>8.1</v>
      </c>
      <c r="F945" s="16">
        <f>IFERROR(__xludf.DUMMYFUNCTION("""COMPUTED_VALUE"""),0.4)</f>
        <v>0.4</v>
      </c>
      <c r="G945" s="16">
        <f>IFERROR(__xludf.DUMMYFUNCTION("""COMPUTED_VALUE"""),0.0)</f>
        <v>0</v>
      </c>
      <c r="H945" s="23">
        <f>IFERROR(__xludf.DUMMYFUNCTION("""COMPUTED_VALUE"""),82.39999999999999)</f>
        <v>82.4</v>
      </c>
    </row>
    <row r="946">
      <c r="A946" s="16" t="str">
        <f>IFERROR(__xludf.DUMMYFUNCTION("""COMPUTED_VALUE"""),"Млечни")</f>
        <v>Млечни</v>
      </c>
      <c r="B946" s="7" t="str">
        <f>IFERROR(__xludf.DUMMYFUNCTION("""COMPUTED_VALUE"""),"Graham's Protein raspberry  Quark")</f>
        <v>Graham's Protein raspberry  Quark</v>
      </c>
      <c r="C946" s="7">
        <f>IFERROR(__xludf.DUMMYFUNCTION("""COMPUTED_VALUE"""),100.0)</f>
        <v>100</v>
      </c>
      <c r="D946" s="7">
        <f>IFERROR(__xludf.DUMMYFUNCTION("""COMPUTED_VALUE"""),11.7)</f>
        <v>11.7</v>
      </c>
      <c r="E946" s="16">
        <f>IFERROR(__xludf.DUMMYFUNCTION("""COMPUTED_VALUE"""),7.9)</f>
        <v>7.9</v>
      </c>
      <c r="F946" s="16">
        <f>IFERROR(__xludf.DUMMYFUNCTION("""COMPUTED_VALUE"""),0.4)</f>
        <v>0.4</v>
      </c>
      <c r="G946" s="16">
        <f>IFERROR(__xludf.DUMMYFUNCTION("""COMPUTED_VALUE"""),0.0)</f>
        <v>0</v>
      </c>
      <c r="H946" s="23">
        <f>IFERROR(__xludf.DUMMYFUNCTION("""COMPUTED_VALUE"""),82.0)</f>
        <v>82</v>
      </c>
    </row>
    <row r="947">
      <c r="A947" s="16" t="str">
        <f>IFERROR(__xludf.DUMMYFUNCTION("""COMPUTED_VALUE"""),"Млечни")</f>
        <v>Млечни</v>
      </c>
      <c r="B947" s="7" t="str">
        <f>IFERROR(__xludf.DUMMYFUNCTION("""COMPUTED_VALUE"""),"Pudding High Protein LIDL")</f>
        <v>Pudding High Protein LIDL</v>
      </c>
      <c r="C947" s="7">
        <f>IFERROR(__xludf.DUMMYFUNCTION("""COMPUTED_VALUE"""),100.0)</f>
        <v>100</v>
      </c>
      <c r="D947" s="7">
        <f>IFERROR(__xludf.DUMMYFUNCTION("""COMPUTED_VALUE"""),10.0)</f>
        <v>10</v>
      </c>
      <c r="E947" s="16">
        <f>IFERROR(__xludf.DUMMYFUNCTION("""COMPUTED_VALUE"""),5.2)</f>
        <v>5.2</v>
      </c>
      <c r="F947" s="16">
        <f>IFERROR(__xludf.DUMMYFUNCTION("""COMPUTED_VALUE"""),1.5)</f>
        <v>1.5</v>
      </c>
      <c r="G947" s="16">
        <f>IFERROR(__xludf.DUMMYFUNCTION("""COMPUTED_VALUE"""),0.0)</f>
        <v>0</v>
      </c>
      <c r="H947" s="23">
        <f>IFERROR(__xludf.DUMMYFUNCTION("""COMPUTED_VALUE"""),74.3)</f>
        <v>74.3</v>
      </c>
    </row>
    <row r="948">
      <c r="A948" s="16" t="str">
        <f>IFERROR(__xludf.DUMMYFUNCTION("""COMPUTED_VALUE"""),"Млечни")</f>
        <v>Млечни</v>
      </c>
      <c r="B948" s="7" t="str">
        <f>IFERROR(__xludf.DUMMYFUNCTION("""COMPUTED_VALUE"""),"Протеинова млечна напитка ном")</f>
        <v>Протеинова млечна напитка ном</v>
      </c>
      <c r="C948" s="7">
        <f>IFERROR(__xludf.DUMMYFUNCTION("""COMPUTED_VALUE"""),100.0)</f>
        <v>100</v>
      </c>
      <c r="D948" s="7">
        <f>IFERROR(__xludf.DUMMYFUNCTION("""COMPUTED_VALUE"""),10.0)</f>
        <v>10</v>
      </c>
      <c r="E948" s="16">
        <f>IFERROR(__xludf.DUMMYFUNCTION("""COMPUTED_VALUE"""),5.3)</f>
        <v>5.3</v>
      </c>
      <c r="F948" s="16">
        <f>IFERROR(__xludf.DUMMYFUNCTION("""COMPUTED_VALUE"""),0.45)</f>
        <v>0.45</v>
      </c>
      <c r="G948" s="16">
        <f>IFERROR(__xludf.DUMMYFUNCTION("""COMPUTED_VALUE"""),0.0)</f>
        <v>0</v>
      </c>
      <c r="H948" s="23">
        <f>IFERROR(__xludf.DUMMYFUNCTION("""COMPUTED_VALUE"""),65.25)</f>
        <v>65.25</v>
      </c>
    </row>
    <row r="949">
      <c r="A949" s="16" t="str">
        <f>IFERROR(__xludf.DUMMYFUNCTION("""COMPUTED_VALUE"""),"Млечни")</f>
        <v>Млечни</v>
      </c>
      <c r="B949" s="7" t="str">
        <f>IFERROR(__xludf.DUMMYFUNCTION("""COMPUTED_VALUE"""),"Alpro Соев с Ягоди")</f>
        <v>Alpro Соев с Ягоди</v>
      </c>
      <c r="C949" s="7">
        <f>IFERROR(__xludf.DUMMYFUNCTION("""COMPUTED_VALUE"""),100.0)</f>
        <v>100</v>
      </c>
      <c r="D949" s="7">
        <f>IFERROR(__xludf.DUMMYFUNCTION("""COMPUTED_VALUE"""),3.6)</f>
        <v>3.6</v>
      </c>
      <c r="E949" s="16">
        <f>IFERROR(__xludf.DUMMYFUNCTION("""COMPUTED_VALUE"""),8.1)</f>
        <v>8.1</v>
      </c>
      <c r="F949" s="16">
        <f>IFERROR(__xludf.DUMMYFUNCTION("""COMPUTED_VALUE"""),2.1)</f>
        <v>2.1</v>
      </c>
      <c r="G949" s="16">
        <f>IFERROR(__xludf.DUMMYFUNCTION("""COMPUTED_VALUE"""),1.0)</f>
        <v>1</v>
      </c>
      <c r="H949" s="23">
        <f>IFERROR(__xludf.DUMMYFUNCTION("""COMPUTED_VALUE"""),65.7)</f>
        <v>65.7</v>
      </c>
    </row>
    <row r="950">
      <c r="A950" s="16" t="str">
        <f>IFERROR(__xludf.DUMMYFUNCTION("""COMPUTED_VALUE"""),"Млечни")</f>
        <v>Млечни</v>
      </c>
      <c r="B950" s="7" t="str">
        <f>IFERROR(__xludf.DUMMYFUNCTION("""COMPUTED_VALUE"""),"Кварк Exquisa Боровинка")</f>
        <v>Кварк Exquisa Боровинка</v>
      </c>
      <c r="C950" s="7">
        <f>IFERROR(__xludf.DUMMYFUNCTION("""COMPUTED_VALUE"""),100.0)</f>
        <v>100</v>
      </c>
      <c r="D950" s="7">
        <f>IFERROR(__xludf.DUMMYFUNCTION("""COMPUTED_VALUE"""),10.0)</f>
        <v>10</v>
      </c>
      <c r="E950" s="16">
        <f>IFERROR(__xludf.DUMMYFUNCTION("""COMPUTED_VALUE"""),5.7)</f>
        <v>5.7</v>
      </c>
      <c r="F950" s="16">
        <f>IFERROR(__xludf.DUMMYFUNCTION("""COMPUTED_VALUE"""),0.2)</f>
        <v>0.2</v>
      </c>
      <c r="G950" s="16">
        <f>IFERROR(__xludf.DUMMYFUNCTION("""COMPUTED_VALUE"""),0.0)</f>
        <v>0</v>
      </c>
      <c r="H950" s="23">
        <f>IFERROR(__xludf.DUMMYFUNCTION("""COMPUTED_VALUE"""),64.6)</f>
        <v>64.6</v>
      </c>
    </row>
    <row r="951">
      <c r="A951" s="16" t="str">
        <f>IFERROR(__xludf.DUMMYFUNCTION("""COMPUTED_VALUE"""),"Млечни")</f>
        <v>Млечни</v>
      </c>
      <c r="B951" s="7" t="str">
        <f>IFERROR(__xludf.DUMMYFUNCTION("""COMPUTED_VALUE"""),"Сирене краве Ферия милк")</f>
        <v>Сирене краве Ферия милк</v>
      </c>
      <c r="C951" s="7">
        <f>IFERROR(__xludf.DUMMYFUNCTION("""COMPUTED_VALUE"""),100.0)</f>
        <v>100</v>
      </c>
      <c r="D951" s="7">
        <f>IFERROR(__xludf.DUMMYFUNCTION("""COMPUTED_VALUE"""),15.0)</f>
        <v>15</v>
      </c>
      <c r="E951" s="16">
        <f>IFERROR(__xludf.DUMMYFUNCTION("""COMPUTED_VALUE"""),1.5)</f>
        <v>1.5</v>
      </c>
      <c r="F951" s="16">
        <f>IFERROR(__xludf.DUMMYFUNCTION("""COMPUTED_VALUE"""),6.0)</f>
        <v>6</v>
      </c>
      <c r="G951" s="16">
        <f>IFERROR(__xludf.DUMMYFUNCTION("""COMPUTED_VALUE"""),0.0)</f>
        <v>0</v>
      </c>
      <c r="H951" s="23">
        <f>IFERROR(__xludf.DUMMYFUNCTION("""COMPUTED_VALUE"""),120.0)</f>
        <v>120</v>
      </c>
    </row>
    <row r="952">
      <c r="A952" s="16" t="str">
        <f>IFERROR(__xludf.DUMMYFUNCTION("""COMPUTED_VALUE"""),"Млечни")</f>
        <v>Млечни</v>
      </c>
      <c r="B952" s="7" t="str">
        <f>IFERROR(__xludf.DUMMYFUNCTION("""COMPUTED_VALUE"""),"Топено сирене Milbona")</f>
        <v>Топено сирене Milbona</v>
      </c>
      <c r="C952" s="7">
        <f>IFERROR(__xludf.DUMMYFUNCTION("""COMPUTED_VALUE"""),100.0)</f>
        <v>100</v>
      </c>
      <c r="D952" s="7">
        <f>IFERROR(__xludf.DUMMYFUNCTION("""COMPUTED_VALUE"""),14.0)</f>
        <v>14</v>
      </c>
      <c r="E952" s="16">
        <f>IFERROR(__xludf.DUMMYFUNCTION("""COMPUTED_VALUE"""),6.0)</f>
        <v>6</v>
      </c>
      <c r="F952" s="16">
        <f>IFERROR(__xludf.DUMMYFUNCTION("""COMPUTED_VALUE"""),23.0)</f>
        <v>23</v>
      </c>
      <c r="G952" s="16">
        <f>IFERROR(__xludf.DUMMYFUNCTION("""COMPUTED_VALUE"""),0.0)</f>
        <v>0</v>
      </c>
      <c r="H952" s="23">
        <f>IFERROR(__xludf.DUMMYFUNCTION("""COMPUTED_VALUE"""),287.0)</f>
        <v>287</v>
      </c>
    </row>
    <row r="953">
      <c r="A953" s="16" t="str">
        <f>IFERROR(__xludf.DUMMYFUNCTION("""COMPUTED_VALUE"""),"Млечни")</f>
        <v>Млечни</v>
      </c>
      <c r="B953" s="7" t="str">
        <f>IFERROR(__xludf.DUMMYFUNCTION("""COMPUTED_VALUE"""),"Сирене Котидж Милбона")</f>
        <v>Сирене Котидж Милбона</v>
      </c>
      <c r="C953" s="7">
        <f>IFERROR(__xludf.DUMMYFUNCTION("""COMPUTED_VALUE"""),100.0)</f>
        <v>100</v>
      </c>
      <c r="D953" s="7">
        <f>IFERROR(__xludf.DUMMYFUNCTION("""COMPUTED_VALUE"""),11.5)</f>
        <v>11.5</v>
      </c>
      <c r="E953" s="16">
        <f>IFERROR(__xludf.DUMMYFUNCTION("""COMPUTED_VALUE"""),2.8)</f>
        <v>2.8</v>
      </c>
      <c r="F953" s="16">
        <f>IFERROR(__xludf.DUMMYFUNCTION("""COMPUTED_VALUE"""),4.5)</f>
        <v>4.5</v>
      </c>
      <c r="G953" s="16">
        <f>IFERROR(__xludf.DUMMYFUNCTION("""COMPUTED_VALUE"""),0.0)</f>
        <v>0</v>
      </c>
      <c r="H953" s="23">
        <f>IFERROR(__xludf.DUMMYFUNCTION("""COMPUTED_VALUE"""),97.7)</f>
        <v>97.7</v>
      </c>
    </row>
    <row r="954">
      <c r="A954" s="16" t="str">
        <f>IFERROR(__xludf.DUMMYFUNCTION("""COMPUTED_VALUE"""),"Млечни")</f>
        <v>Млечни</v>
      </c>
      <c r="B954" s="7" t="str">
        <f>IFERROR(__xludf.DUMMYFUNCTION("""COMPUTED_VALUE"""),"Mild Skyr Exquisa")</f>
        <v>Mild Skyr Exquisa</v>
      </c>
      <c r="C954" s="7">
        <f>IFERROR(__xludf.DUMMYFUNCTION("""COMPUTED_VALUE"""),100.0)</f>
        <v>100</v>
      </c>
      <c r="D954" s="7">
        <f>IFERROR(__xludf.DUMMYFUNCTION("""COMPUTED_VALUE"""),11.0)</f>
        <v>11</v>
      </c>
      <c r="E954" s="16">
        <f>IFERROR(__xludf.DUMMYFUNCTION("""COMPUTED_VALUE"""),4.0)</f>
        <v>4</v>
      </c>
      <c r="F954" s="16">
        <f>IFERROR(__xludf.DUMMYFUNCTION("""COMPUTED_VALUE"""),0.2)</f>
        <v>0.2</v>
      </c>
      <c r="G954" s="16">
        <f>IFERROR(__xludf.DUMMYFUNCTION("""COMPUTED_VALUE"""),0.0)</f>
        <v>0</v>
      </c>
      <c r="H954" s="23">
        <f>IFERROR(__xludf.DUMMYFUNCTION("""COMPUTED_VALUE"""),61.8)</f>
        <v>61.8</v>
      </c>
    </row>
    <row r="955">
      <c r="A955" s="16" t="str">
        <f>IFERROR(__xludf.DUMMYFUNCTION("""COMPUTED_VALUE"""),"Млечни")</f>
        <v>Млечни</v>
      </c>
      <c r="B955" s="7" t="str">
        <f>IFERROR(__xludf.DUMMYFUNCTION("""COMPUTED_VALUE"""),"Крема сирене Pilos Cream Spread Light")</f>
        <v>Крема сирене Pilos Cream Spread Light</v>
      </c>
      <c r="C955" s="7">
        <f>IFERROR(__xludf.DUMMYFUNCTION("""COMPUTED_VALUE"""),100.0)</f>
        <v>100</v>
      </c>
      <c r="D955" s="7">
        <f>IFERROR(__xludf.DUMMYFUNCTION("""COMPUTED_VALUE"""),12.0)</f>
        <v>12</v>
      </c>
      <c r="E955" s="16">
        <f>IFERROR(__xludf.DUMMYFUNCTION("""COMPUTED_VALUE"""),3.3)</f>
        <v>3.3</v>
      </c>
      <c r="F955" s="16">
        <f>IFERROR(__xludf.DUMMYFUNCTION("""COMPUTED_VALUE"""),4.0)</f>
        <v>4</v>
      </c>
      <c r="G955" s="16">
        <f>IFERROR(__xludf.DUMMYFUNCTION("""COMPUTED_VALUE"""),0.0)</f>
        <v>0</v>
      </c>
      <c r="H955" s="23">
        <f>IFERROR(__xludf.DUMMYFUNCTION("""COMPUTED_VALUE"""),97.2)</f>
        <v>97.2</v>
      </c>
    </row>
    <row r="956">
      <c r="A956" s="16" t="str">
        <f>IFERROR(__xludf.DUMMYFUNCTION("""COMPUTED_VALUE"""),"Млечни")</f>
        <v>Млечни</v>
      </c>
      <c r="B956" s="7" t="str">
        <f>IFERROR(__xludf.DUMMYFUNCTION("""COMPUTED_VALUE"""),"Извара 1% Родна стряха")</f>
        <v>Извара 1% Родна стряха</v>
      </c>
      <c r="C956" s="7">
        <f>IFERROR(__xludf.DUMMYFUNCTION("""COMPUTED_VALUE"""),100.0)</f>
        <v>100</v>
      </c>
      <c r="D956" s="7">
        <f>IFERROR(__xludf.DUMMYFUNCTION("""COMPUTED_VALUE"""),14.0)</f>
        <v>14</v>
      </c>
      <c r="E956" s="16">
        <f>IFERROR(__xludf.DUMMYFUNCTION("""COMPUTED_VALUE"""),3.0)</f>
        <v>3</v>
      </c>
      <c r="F956" s="16">
        <f>IFERROR(__xludf.DUMMYFUNCTION("""COMPUTED_VALUE"""),1.0)</f>
        <v>1</v>
      </c>
      <c r="G956" s="16">
        <f>IFERROR(__xludf.DUMMYFUNCTION("""COMPUTED_VALUE"""),0.0)</f>
        <v>0</v>
      </c>
      <c r="H956" s="23">
        <f>IFERROR(__xludf.DUMMYFUNCTION("""COMPUTED_VALUE"""),77.0)</f>
        <v>77</v>
      </c>
    </row>
    <row r="957">
      <c r="A957" s="16" t="str">
        <f>IFERROR(__xludf.DUMMYFUNCTION("""COMPUTED_VALUE"""),"Млечни")</f>
        <v>Млечни</v>
      </c>
      <c r="B957" s="7" t="str">
        <f>IFERROR(__xludf.DUMMYFUNCTION("""COMPUTED_VALUE"""),"Бадемово Мляко Ванилия")</f>
        <v>Бадемово Мляко Ванилия</v>
      </c>
      <c r="C957" s="7">
        <f>IFERROR(__xludf.DUMMYFUNCTION("""COMPUTED_VALUE"""),100.0)</f>
        <v>100</v>
      </c>
      <c r="D957" s="7">
        <f>IFERROR(__xludf.DUMMYFUNCTION("""COMPUTED_VALUE"""),0.4)</f>
        <v>0.4</v>
      </c>
      <c r="E957" s="16">
        <f>IFERROR(__xludf.DUMMYFUNCTION("""COMPUTED_VALUE"""),3.8)</f>
        <v>3.8</v>
      </c>
      <c r="F957" s="16">
        <f>IFERROR(__xludf.DUMMYFUNCTION("""COMPUTED_VALUE"""),1.1)</f>
        <v>1.1</v>
      </c>
      <c r="G957" s="16">
        <f>IFERROR(__xludf.DUMMYFUNCTION("""COMPUTED_VALUE"""),0.0)</f>
        <v>0</v>
      </c>
      <c r="H957" s="23">
        <f>IFERROR(__xludf.DUMMYFUNCTION("""COMPUTED_VALUE"""),26.700000000000003)</f>
        <v>26.7</v>
      </c>
    </row>
    <row r="958">
      <c r="A958" s="16" t="str">
        <f>IFERROR(__xludf.DUMMYFUNCTION("""COMPUTED_VALUE"""),"Млечни")</f>
        <v>Млечни</v>
      </c>
      <c r="B958" s="7" t="str">
        <f>IFERROR(__xludf.DUMMYFUNCTION("""COMPUTED_VALUE"""),"Протеинов Кварк Милбона")</f>
        <v>Протеинов Кварк Милбона</v>
      </c>
      <c r="C958" s="7">
        <f>IFERROR(__xludf.DUMMYFUNCTION("""COMPUTED_VALUE"""),100.0)</f>
        <v>100</v>
      </c>
      <c r="D958" s="7">
        <f>IFERROR(__xludf.DUMMYFUNCTION("""COMPUTED_VALUE"""),12.5)</f>
        <v>12.5</v>
      </c>
      <c r="E958" s="16">
        <f>IFERROR(__xludf.DUMMYFUNCTION("""COMPUTED_VALUE"""),3.6)</f>
        <v>3.6</v>
      </c>
      <c r="F958" s="16">
        <f>IFERROR(__xludf.DUMMYFUNCTION("""COMPUTED_VALUE"""),0.5)</f>
        <v>0.5</v>
      </c>
      <c r="G958" s="16">
        <f>IFERROR(__xludf.DUMMYFUNCTION("""COMPUTED_VALUE"""),0.0)</f>
        <v>0</v>
      </c>
      <c r="H958" s="23">
        <f>IFERROR(__xludf.DUMMYFUNCTION("""COMPUTED_VALUE"""),68.9)</f>
        <v>68.9</v>
      </c>
    </row>
    <row r="959">
      <c r="A959" s="16" t="str">
        <f>IFERROR(__xludf.DUMMYFUNCTION("""COMPUTED_VALUE"""),"Млечни")</f>
        <v>Млечни</v>
      </c>
      <c r="B959" s="7" t="str">
        <f>IFERROR(__xludf.DUMMYFUNCTION("""COMPUTED_VALUE"""),"Кашкавал Домлян обезмаслен")</f>
        <v>Кашкавал Домлян обезмаслен</v>
      </c>
      <c r="C959" s="7">
        <f>IFERROR(__xludf.DUMMYFUNCTION("""COMPUTED_VALUE"""),100.0)</f>
        <v>100</v>
      </c>
      <c r="D959" s="7">
        <f>IFERROR(__xludf.DUMMYFUNCTION("""COMPUTED_VALUE"""),29.0)</f>
        <v>29</v>
      </c>
      <c r="E959" s="16">
        <f>IFERROR(__xludf.DUMMYFUNCTION("""COMPUTED_VALUE"""),2.1)</f>
        <v>2.1</v>
      </c>
      <c r="F959" s="16">
        <f>IFERROR(__xludf.DUMMYFUNCTION("""COMPUTED_VALUE"""),15.0)</f>
        <v>15</v>
      </c>
      <c r="G959" s="16">
        <f>IFERROR(__xludf.DUMMYFUNCTION("""COMPUTED_VALUE"""),0.0)</f>
        <v>0</v>
      </c>
      <c r="H959" s="23">
        <f>IFERROR(__xludf.DUMMYFUNCTION("""COMPUTED_VALUE"""),259.4)</f>
        <v>259.4</v>
      </c>
    </row>
    <row r="960">
      <c r="A960" s="16" t="str">
        <f>IFERROR(__xludf.DUMMYFUNCTION("""COMPUTED_VALUE"""),"Млечни")</f>
        <v>Млечни</v>
      </c>
      <c r="B960" s="7" t="str">
        <f>IFERROR(__xludf.DUMMYFUNCTION("""COMPUTED_VALUE"""),"Alpro мляко с протеин")</f>
        <v>Alpro мляко с протеин</v>
      </c>
      <c r="C960" s="7">
        <f>IFERROR(__xludf.DUMMYFUNCTION("""COMPUTED_VALUE"""),100.0)</f>
        <v>100</v>
      </c>
      <c r="D960" s="7">
        <f>IFERROR(__xludf.DUMMYFUNCTION("""COMPUTED_VALUE"""),5.0)</f>
        <v>5</v>
      </c>
      <c r="E960" s="16">
        <f>IFERROR(__xludf.DUMMYFUNCTION("""COMPUTED_VALUE"""),2.8)</f>
        <v>2.8</v>
      </c>
      <c r="F960" s="16">
        <f>IFERROR(__xludf.DUMMYFUNCTION("""COMPUTED_VALUE"""),2.5)</f>
        <v>2.5</v>
      </c>
      <c r="G960" s="16">
        <f>IFERROR(__xludf.DUMMYFUNCTION("""COMPUTED_VALUE"""),0.0)</f>
        <v>0</v>
      </c>
      <c r="H960" s="23">
        <f>IFERROR(__xludf.DUMMYFUNCTION("""COMPUTED_VALUE"""),53.7)</f>
        <v>53.7</v>
      </c>
    </row>
    <row r="961">
      <c r="A961" s="16" t="str">
        <f>IFERROR(__xludf.DUMMYFUNCTION("""COMPUTED_VALUE"""),"Млечни")</f>
        <v>Млечни</v>
      </c>
      <c r="B961" s="7" t="str">
        <f>IFERROR(__xludf.DUMMYFUNCTION("""COMPUTED_VALUE"""),"Нискомаслено краве сирене 15%")</f>
        <v>Нискомаслено краве сирене 15%</v>
      </c>
      <c r="C961" s="7">
        <f>IFERROR(__xludf.DUMMYFUNCTION("""COMPUTED_VALUE"""),100.0)</f>
        <v>100</v>
      </c>
      <c r="D961" s="7">
        <f>IFERROR(__xludf.DUMMYFUNCTION("""COMPUTED_VALUE"""),20.0)</f>
        <v>20</v>
      </c>
      <c r="E961" s="16">
        <f>IFERROR(__xludf.DUMMYFUNCTION("""COMPUTED_VALUE"""),1.0)</f>
        <v>1</v>
      </c>
      <c r="F961" s="16">
        <f>IFERROR(__xludf.DUMMYFUNCTION("""COMPUTED_VALUE"""),15.0)</f>
        <v>15</v>
      </c>
      <c r="G961" s="16">
        <f>IFERROR(__xludf.DUMMYFUNCTION("""COMPUTED_VALUE"""),0.0)</f>
        <v>0</v>
      </c>
      <c r="H961" s="23">
        <f>IFERROR(__xludf.DUMMYFUNCTION("""COMPUTED_VALUE"""),219.0)</f>
        <v>219</v>
      </c>
    </row>
    <row r="962">
      <c r="A962" s="16" t="str">
        <f>IFERROR(__xludf.DUMMYFUNCTION("""COMPUTED_VALUE"""),"Млечни")</f>
        <v>Млечни</v>
      </c>
      <c r="B962" s="7" t="str">
        <f>IFERROR(__xludf.DUMMYFUNCTION("""COMPUTED_VALUE"""),"Прясно сирене")</f>
        <v>Прясно сирене</v>
      </c>
      <c r="C962" s="7">
        <f>IFERROR(__xludf.DUMMYFUNCTION("""COMPUTED_VALUE"""),100.0)</f>
        <v>100</v>
      </c>
      <c r="D962" s="7">
        <f>IFERROR(__xludf.DUMMYFUNCTION("""COMPUTED_VALUE"""),8.5)</f>
        <v>8.5</v>
      </c>
      <c r="E962" s="16">
        <f>IFERROR(__xludf.DUMMYFUNCTION("""COMPUTED_VALUE"""),4.0)</f>
        <v>4</v>
      </c>
      <c r="F962" s="16">
        <f>IFERROR(__xludf.DUMMYFUNCTION("""COMPUTED_VALUE"""),7.5)</f>
        <v>7.5</v>
      </c>
      <c r="G962" s="16">
        <f>IFERROR(__xludf.DUMMYFUNCTION("""COMPUTED_VALUE"""),0.0)</f>
        <v>0</v>
      </c>
      <c r="H962" s="23">
        <f>IFERROR(__xludf.DUMMYFUNCTION("""COMPUTED_VALUE"""),117.5)</f>
        <v>117.5</v>
      </c>
    </row>
    <row r="963">
      <c r="A963" s="16" t="str">
        <f>IFERROR(__xludf.DUMMYFUNCTION("""COMPUTED_VALUE"""),"Млечни")</f>
        <v>Млечни</v>
      </c>
      <c r="B963" s="7" t="str">
        <f>IFERROR(__xludf.DUMMYFUNCTION("""COMPUTED_VALUE"""),"Фитнес - Кварк Mein Protein (сурово състояние)")</f>
        <v>Фитнес - Кварк Mein Protein (сурово състояние)</v>
      </c>
      <c r="C963" s="7">
        <f>IFERROR(__xludf.DUMMYFUNCTION("""COMPUTED_VALUE"""),100.0)</f>
        <v>100</v>
      </c>
      <c r="D963" s="7">
        <f>IFERROR(__xludf.DUMMYFUNCTION("""COMPUTED_VALUE"""),13.8)</f>
        <v>13.8</v>
      </c>
      <c r="E963" s="16">
        <f>IFERROR(__xludf.DUMMYFUNCTION("""COMPUTED_VALUE"""),2.8)</f>
        <v>2.8</v>
      </c>
      <c r="F963" s="16">
        <f>IFERROR(__xludf.DUMMYFUNCTION("""COMPUTED_VALUE"""),0.4)</f>
        <v>0.4</v>
      </c>
      <c r="G963" s="16">
        <f>IFERROR(__xludf.DUMMYFUNCTION("""COMPUTED_VALUE"""),0.0)</f>
        <v>0</v>
      </c>
      <c r="H963" s="23">
        <f>IFERROR(__xludf.DUMMYFUNCTION("""COMPUTED_VALUE"""),70.0)</f>
        <v>70</v>
      </c>
    </row>
    <row r="964">
      <c r="A964" s="16" t="str">
        <f>IFERROR(__xludf.DUMMYFUNCTION("""COMPUTED_VALUE"""),"Млечни")</f>
        <v>Млечни</v>
      </c>
      <c r="B964" s="7" t="str">
        <f>IFERROR(__xludf.DUMMYFUNCTION("""COMPUTED_VALUE"""),"Arla Lactofree")</f>
        <v>Arla Lactofree</v>
      </c>
      <c r="C964" s="7">
        <f>IFERROR(__xludf.DUMMYFUNCTION("""COMPUTED_VALUE"""),100.0)</f>
        <v>100</v>
      </c>
      <c r="D964" s="7">
        <f>IFERROR(__xludf.DUMMYFUNCTION("""COMPUTED_VALUE"""),7.8)</f>
        <v>7.8</v>
      </c>
      <c r="E964" s="16">
        <f>IFERROR(__xludf.DUMMYFUNCTION("""COMPUTED_VALUE"""),3.3)</f>
        <v>3.3</v>
      </c>
      <c r="F964" s="16">
        <f>IFERROR(__xludf.DUMMYFUNCTION("""COMPUTED_VALUE"""),16.0)</f>
        <v>16</v>
      </c>
      <c r="G964" s="16">
        <f>IFERROR(__xludf.DUMMYFUNCTION("""COMPUTED_VALUE"""),0.0)</f>
        <v>0</v>
      </c>
      <c r="H964" s="23">
        <f>IFERROR(__xludf.DUMMYFUNCTION("""COMPUTED_VALUE"""),188.4)</f>
        <v>188.4</v>
      </c>
    </row>
    <row r="965">
      <c r="A965" s="16" t="str">
        <f>IFERROR(__xludf.DUMMYFUNCTION("""COMPUTED_VALUE"""),"Млечни")</f>
        <v>Млечни</v>
      </c>
      <c r="B965" s="7" t="str">
        <f>IFERROR(__xludf.DUMMYFUNCTION("""COMPUTED_VALUE"""),"Моцарела лайт Zott")</f>
        <v>Моцарела лайт Zott</v>
      </c>
      <c r="C965" s="7">
        <f>IFERROR(__xludf.DUMMYFUNCTION("""COMPUTED_VALUE"""),100.0)</f>
        <v>100</v>
      </c>
      <c r="D965" s="7">
        <f>IFERROR(__xludf.DUMMYFUNCTION("""COMPUTED_VALUE"""),19.0)</f>
        <v>19</v>
      </c>
      <c r="E965" s="16">
        <f>IFERROR(__xludf.DUMMYFUNCTION("""COMPUTED_VALUE"""),1.0)</f>
        <v>1</v>
      </c>
      <c r="F965" s="16">
        <f>IFERROR(__xludf.DUMMYFUNCTION("""COMPUTED_VALUE"""),8.5)</f>
        <v>8.5</v>
      </c>
      <c r="G965" s="16">
        <f>IFERROR(__xludf.DUMMYFUNCTION("""COMPUTED_VALUE"""),0.0)</f>
        <v>0</v>
      </c>
      <c r="H965" s="23">
        <f>IFERROR(__xludf.DUMMYFUNCTION("""COMPUTED_VALUE"""),156.5)</f>
        <v>156.5</v>
      </c>
    </row>
    <row r="966">
      <c r="A966" s="16" t="str">
        <f>IFERROR(__xludf.DUMMYFUNCTION("""COMPUTED_VALUE"""),"Млечни")</f>
        <v>Млечни</v>
      </c>
      <c r="B966" s="7" t="str">
        <f>IFERROR(__xludf.DUMMYFUNCTION("""COMPUTED_VALUE"""),"Старопланински гюбек (Родна стряха)")</f>
        <v>Старопланински гюбек (Родна стряха)</v>
      </c>
      <c r="C966" s="7">
        <f>IFERROR(__xludf.DUMMYFUNCTION("""COMPUTED_VALUE"""),100.0)</f>
        <v>100</v>
      </c>
      <c r="D966" s="7">
        <f>IFERROR(__xludf.DUMMYFUNCTION("""COMPUTED_VALUE"""),23.0)</f>
        <v>23</v>
      </c>
      <c r="E966" s="16">
        <f>IFERROR(__xludf.DUMMYFUNCTION("""COMPUTED_VALUE"""),3.0)</f>
        <v>3</v>
      </c>
      <c r="F966" s="16">
        <f>IFERROR(__xludf.DUMMYFUNCTION("""COMPUTED_VALUE"""),24.0)</f>
        <v>24</v>
      </c>
      <c r="G966" s="16">
        <f>IFERROR(__xludf.DUMMYFUNCTION("""COMPUTED_VALUE"""),0.0)</f>
        <v>0</v>
      </c>
      <c r="H966" s="23">
        <f>IFERROR(__xludf.DUMMYFUNCTION("""COMPUTED_VALUE"""),320.0)</f>
        <v>320</v>
      </c>
    </row>
    <row r="967">
      <c r="A967" s="16" t="str">
        <f>IFERROR(__xludf.DUMMYFUNCTION("""COMPUTED_VALUE"""),"Млечни")</f>
        <v>Млечни</v>
      </c>
      <c r="B967" s="7" t="str">
        <f>IFERROR(__xludf.DUMMYFUNCTION("""COMPUTED_VALUE"""),"Кефир Pilos")</f>
        <v>Кефир Pilos</v>
      </c>
      <c r="C967" s="7">
        <f>IFERROR(__xludf.DUMMYFUNCTION("""COMPUTED_VALUE"""),100.0)</f>
        <v>100</v>
      </c>
      <c r="D967" s="7">
        <f>IFERROR(__xludf.DUMMYFUNCTION("""COMPUTED_VALUE"""),3.3)</f>
        <v>3.3</v>
      </c>
      <c r="E967" s="16">
        <f>IFERROR(__xludf.DUMMYFUNCTION("""COMPUTED_VALUE"""),4.7)</f>
        <v>4.7</v>
      </c>
      <c r="F967" s="16">
        <f>IFERROR(__xludf.DUMMYFUNCTION("""COMPUTED_VALUE"""),1.5)</f>
        <v>1.5</v>
      </c>
      <c r="G967" s="16">
        <f>IFERROR(__xludf.DUMMYFUNCTION("""COMPUTED_VALUE"""),0.0)</f>
        <v>0</v>
      </c>
      <c r="H967" s="23">
        <f>IFERROR(__xludf.DUMMYFUNCTION("""COMPUTED_VALUE"""),45.5)</f>
        <v>45.5</v>
      </c>
    </row>
    <row r="968">
      <c r="A968" s="16" t="str">
        <f>IFERROR(__xludf.DUMMYFUNCTION("""COMPUTED_VALUE"""),"Млечни")</f>
        <v>Млечни</v>
      </c>
      <c r="B968" s="7" t="str">
        <f>IFERROR(__xludf.DUMMYFUNCTION("""COMPUTED_VALUE"""),"Bircher Muesli Yogurt")</f>
        <v>Bircher Muesli Yogurt</v>
      </c>
      <c r="C968" s="7">
        <f>IFERROR(__xludf.DUMMYFUNCTION("""COMPUTED_VALUE"""),100.0)</f>
        <v>100</v>
      </c>
      <c r="D968" s="7">
        <f>IFERROR(__xludf.DUMMYFUNCTION("""COMPUTED_VALUE"""),3.2)</f>
        <v>3.2</v>
      </c>
      <c r="E968" s="16">
        <f>IFERROR(__xludf.DUMMYFUNCTION("""COMPUTED_VALUE"""),12.7)</f>
        <v>12.7</v>
      </c>
      <c r="F968" s="16">
        <f>IFERROR(__xludf.DUMMYFUNCTION("""COMPUTED_VALUE"""),1.6)</f>
        <v>1.6</v>
      </c>
      <c r="G968" s="16">
        <f>IFERROR(__xludf.DUMMYFUNCTION("""COMPUTED_VALUE"""),0.0)</f>
        <v>0</v>
      </c>
      <c r="H968" s="23">
        <f>IFERROR(__xludf.DUMMYFUNCTION("""COMPUTED_VALUE"""),78.0)</f>
        <v>78</v>
      </c>
    </row>
    <row r="969">
      <c r="A969" s="16" t="str">
        <f>IFERROR(__xludf.DUMMYFUNCTION("""COMPUTED_VALUE"""),"Млечни")</f>
        <v>Млечни</v>
      </c>
      <c r="B969" s="7" t="str">
        <f>IFERROR(__xludf.DUMMYFUNCTION("""COMPUTED_VALUE"""),"Bircher Muesli Yogurt")</f>
        <v>Bircher Muesli Yogurt</v>
      </c>
      <c r="C969" s="7">
        <f>IFERROR(__xludf.DUMMYFUNCTION("""COMPUTED_VALUE"""),100.0)</f>
        <v>100</v>
      </c>
      <c r="D969" s="7">
        <f>IFERROR(__xludf.DUMMYFUNCTION("""COMPUTED_VALUE"""),3.2)</f>
        <v>3.2</v>
      </c>
      <c r="E969" s="16">
        <f>IFERROR(__xludf.DUMMYFUNCTION("""COMPUTED_VALUE"""),12.7)</f>
        <v>12.7</v>
      </c>
      <c r="F969" s="16">
        <f>IFERROR(__xludf.DUMMYFUNCTION("""COMPUTED_VALUE"""),2.7)</f>
        <v>2.7</v>
      </c>
      <c r="G969" s="16">
        <f>IFERROR(__xludf.DUMMYFUNCTION("""COMPUTED_VALUE"""),0.0)</f>
        <v>0</v>
      </c>
      <c r="H969" s="23">
        <f>IFERROR(__xludf.DUMMYFUNCTION("""COMPUTED_VALUE"""),87.89999999999999)</f>
        <v>87.9</v>
      </c>
    </row>
    <row r="970">
      <c r="A970" s="16" t="str">
        <f>IFERROR(__xludf.DUMMYFUNCTION("""COMPUTED_VALUE"""),"Млечни")</f>
        <v>Млечни</v>
      </c>
      <c r="B970" s="7" t="str">
        <f>IFERROR(__xludf.DUMMYFUNCTION("""COMPUTED_VALUE"""),"Гауда / Gouda - Pilos")</f>
        <v>Гауда / Gouda - Pilos</v>
      </c>
      <c r="C970" s="7">
        <f>IFERROR(__xludf.DUMMYFUNCTION("""COMPUTED_VALUE"""),100.0)</f>
        <v>100</v>
      </c>
      <c r="D970" s="7">
        <f>IFERROR(__xludf.DUMMYFUNCTION("""COMPUTED_VALUE"""),26.0)</f>
        <v>26</v>
      </c>
      <c r="E970" s="16">
        <f>IFERROR(__xludf.DUMMYFUNCTION("""COMPUTED_VALUE"""),1.4)</f>
        <v>1.4</v>
      </c>
      <c r="F970" s="16">
        <f>IFERROR(__xludf.DUMMYFUNCTION("""COMPUTED_VALUE"""),26.0)</f>
        <v>26</v>
      </c>
      <c r="G970" s="16">
        <f>IFERROR(__xludf.DUMMYFUNCTION("""COMPUTED_VALUE"""),0.0)</f>
        <v>0</v>
      </c>
      <c r="H970" s="23">
        <f>IFERROR(__xludf.DUMMYFUNCTION("""COMPUTED_VALUE"""),343.6)</f>
        <v>343.6</v>
      </c>
    </row>
    <row r="971">
      <c r="A971" s="16" t="str">
        <f>IFERROR(__xludf.DUMMYFUNCTION("""COMPUTED_VALUE"""),"Млечни")</f>
        <v>Млечни</v>
      </c>
      <c r="B971" s="7" t="str">
        <f>IFERROR(__xludf.DUMMYFUNCTION("""COMPUTED_VALUE"""),"Coconut &amp; Rice Drink -  Vemondo")</f>
        <v>Coconut &amp; Rice Drink -  Vemondo</v>
      </c>
      <c r="C971" s="7">
        <f>IFERROR(__xludf.DUMMYFUNCTION("""COMPUTED_VALUE"""),100.0)</f>
        <v>100</v>
      </c>
      <c r="D971" s="7">
        <f>IFERROR(__xludf.DUMMYFUNCTION("""COMPUTED_VALUE"""),0.3)</f>
        <v>0.3</v>
      </c>
      <c r="E971" s="16">
        <f>IFERROR(__xludf.DUMMYFUNCTION("""COMPUTED_VALUE"""),8.9)</f>
        <v>8.9</v>
      </c>
      <c r="F971" s="16">
        <f>IFERROR(__xludf.DUMMYFUNCTION("""COMPUTED_VALUE"""),2.2)</f>
        <v>2.2</v>
      </c>
      <c r="G971" s="16">
        <f>IFERROR(__xludf.DUMMYFUNCTION("""COMPUTED_VALUE"""),0.0)</f>
        <v>0</v>
      </c>
      <c r="H971" s="23">
        <f>IFERROR(__xludf.DUMMYFUNCTION("""COMPUTED_VALUE"""),56.60000000000001)</f>
        <v>56.6</v>
      </c>
    </row>
    <row r="972">
      <c r="A972" s="16" t="str">
        <f>IFERROR(__xludf.DUMMYFUNCTION("""COMPUTED_VALUE"""),"Млечни")</f>
        <v>Млечни</v>
      </c>
      <c r="B972" s="7" t="str">
        <f>IFERROR(__xludf.DUMMYFUNCTION("""COMPUTED_VALUE"""),"Skyr Exquisa с Череши Billa")</f>
        <v>Skyr Exquisa с Череши Billa</v>
      </c>
      <c r="C972" s="7">
        <f>IFERROR(__xludf.DUMMYFUNCTION("""COMPUTED_VALUE"""),100.0)</f>
        <v>100</v>
      </c>
      <c r="D972" s="7">
        <f>IFERROR(__xludf.DUMMYFUNCTION("""COMPUTED_VALUE"""),9.7)</f>
        <v>9.7</v>
      </c>
      <c r="E972" s="16">
        <f>IFERROR(__xludf.DUMMYFUNCTION("""COMPUTED_VALUE"""),7.5)</f>
        <v>7.5</v>
      </c>
      <c r="F972" s="16">
        <f>IFERROR(__xludf.DUMMYFUNCTION("""COMPUTED_VALUE"""),0.2)</f>
        <v>0.2</v>
      </c>
      <c r="G972" s="16">
        <f>IFERROR(__xludf.DUMMYFUNCTION("""COMPUTED_VALUE"""),0.0)</f>
        <v>0</v>
      </c>
      <c r="H972" s="23">
        <f>IFERROR(__xludf.DUMMYFUNCTION("""COMPUTED_VALUE"""),70.6)</f>
        <v>70.6</v>
      </c>
    </row>
    <row r="973">
      <c r="A973" s="16" t="str">
        <f>IFERROR(__xludf.DUMMYFUNCTION("""COMPUTED_VALUE"""),"Млечни")</f>
        <v>Млечни</v>
      </c>
      <c r="B973" s="7" t="str">
        <f>IFERROR(__xludf.DUMMYFUNCTION("""COMPUTED_VALUE"""),"Пълномаслено кисело мляко Чифлик Ливади")</f>
        <v>Пълномаслено кисело мляко Чифлик Ливади</v>
      </c>
      <c r="C973" s="7">
        <f>IFERROR(__xludf.DUMMYFUNCTION("""COMPUTED_VALUE"""),100.0)</f>
        <v>100</v>
      </c>
      <c r="D973" s="7">
        <f>IFERROR(__xludf.DUMMYFUNCTION("""COMPUTED_VALUE"""),3.34)</f>
        <v>3.34</v>
      </c>
      <c r="E973" s="16">
        <f>IFERROR(__xludf.DUMMYFUNCTION("""COMPUTED_VALUE"""),5.4)</f>
        <v>5.4</v>
      </c>
      <c r="F973" s="16">
        <f>IFERROR(__xludf.DUMMYFUNCTION("""COMPUTED_VALUE"""),4.52)</f>
        <v>4.52</v>
      </c>
      <c r="G973" s="16">
        <f>IFERROR(__xludf.DUMMYFUNCTION("""COMPUTED_VALUE"""),0.0)</f>
        <v>0</v>
      </c>
      <c r="H973" s="23">
        <f>IFERROR(__xludf.DUMMYFUNCTION("""COMPUTED_VALUE"""),75.63999999999999)</f>
        <v>75.64</v>
      </c>
    </row>
    <row r="974">
      <c r="A974" s="16" t="str">
        <f>IFERROR(__xludf.DUMMYFUNCTION("""COMPUTED_VALUE"""),"Млечни")</f>
        <v>Млечни</v>
      </c>
      <c r="B974" s="7" t="str">
        <f>IFERROR(__xludf.DUMMYFUNCTION("""COMPUTED_VALUE"""),"Филаделфия lightest")</f>
        <v>Филаделфия lightest</v>
      </c>
      <c r="C974" s="7">
        <f>IFERROR(__xludf.DUMMYFUNCTION("""COMPUTED_VALUE"""),100.0)</f>
        <v>100</v>
      </c>
      <c r="D974" s="7">
        <f>IFERROR(__xludf.DUMMYFUNCTION("""COMPUTED_VALUE"""),11.0)</f>
        <v>11</v>
      </c>
      <c r="E974" s="16">
        <f>IFERROR(__xludf.DUMMYFUNCTION("""COMPUTED_VALUE"""),4.9)</f>
        <v>4.9</v>
      </c>
      <c r="F974" s="16">
        <f>IFERROR(__xludf.DUMMYFUNCTION("""COMPUTED_VALUE"""),2.5)</f>
        <v>2.5</v>
      </c>
      <c r="G974" s="16">
        <f>IFERROR(__xludf.DUMMYFUNCTION("""COMPUTED_VALUE"""),0.4)</f>
        <v>0.4</v>
      </c>
      <c r="H974" s="23">
        <f>IFERROR(__xludf.DUMMYFUNCTION("""COMPUTED_VALUE"""),86.1)</f>
        <v>86.1</v>
      </c>
    </row>
    <row r="975">
      <c r="A975" s="16" t="str">
        <f>IFERROR(__xludf.DUMMYFUNCTION("""COMPUTED_VALUE"""),"Млечни")</f>
        <v>Млечни</v>
      </c>
      <c r="B975" s="7" t="str">
        <f>IFERROR(__xludf.DUMMYFUNCTION("""COMPUTED_VALUE"""),"Higt protein moyyarella")</f>
        <v>Higt protein moyyarella</v>
      </c>
      <c r="C975" s="7">
        <f>IFERROR(__xludf.DUMMYFUNCTION("""COMPUTED_VALUE"""),100.0)</f>
        <v>100</v>
      </c>
      <c r="D975" s="7">
        <f>IFERROR(__xludf.DUMMYFUNCTION("""COMPUTED_VALUE"""),24.0)</f>
        <v>24</v>
      </c>
      <c r="E975" s="16">
        <f>IFERROR(__xludf.DUMMYFUNCTION("""COMPUTED_VALUE"""),1.0)</f>
        <v>1</v>
      </c>
      <c r="F975" s="16">
        <f>IFERROR(__xludf.DUMMYFUNCTION("""COMPUTED_VALUE"""),4.5)</f>
        <v>4.5</v>
      </c>
      <c r="G975" s="16">
        <f>IFERROR(__xludf.DUMMYFUNCTION("""COMPUTED_VALUE"""),0.0)</f>
        <v>0</v>
      </c>
      <c r="H975" s="23">
        <f>IFERROR(__xludf.DUMMYFUNCTION("""COMPUTED_VALUE"""),140.5)</f>
        <v>140.5</v>
      </c>
    </row>
    <row r="976">
      <c r="A976" s="16" t="str">
        <f>IFERROR(__xludf.DUMMYFUNCTION("""COMPUTED_VALUE"""),"Млечни")</f>
        <v>Млечни</v>
      </c>
      <c r="B976" s="7" t="str">
        <f>IFERROR(__xludf.DUMMYFUNCTION("""COMPUTED_VALUE"""),"Higt protein mozarella-ALDI")</f>
        <v>Higt protein mozarella-ALDI</v>
      </c>
      <c r="C976" s="7">
        <f>IFERROR(__xludf.DUMMYFUNCTION("""COMPUTED_VALUE"""),100.0)</f>
        <v>100</v>
      </c>
      <c r="D976" s="7">
        <f>IFERROR(__xludf.DUMMYFUNCTION("""COMPUTED_VALUE"""),24.0)</f>
        <v>24</v>
      </c>
      <c r="E976" s="16">
        <f>IFERROR(__xludf.DUMMYFUNCTION("""COMPUTED_VALUE"""),1.0)</f>
        <v>1</v>
      </c>
      <c r="F976" s="16">
        <f>IFERROR(__xludf.DUMMYFUNCTION("""COMPUTED_VALUE"""),4.5)</f>
        <v>4.5</v>
      </c>
      <c r="G976" s="16">
        <f>IFERROR(__xludf.DUMMYFUNCTION("""COMPUTED_VALUE"""),0.0)</f>
        <v>0</v>
      </c>
      <c r="H976" s="23">
        <f>IFERROR(__xludf.DUMMYFUNCTION("""COMPUTED_VALUE"""),140.5)</f>
        <v>140.5</v>
      </c>
    </row>
    <row r="977">
      <c r="A977" s="16" t="str">
        <f>IFERROR(__xludf.DUMMYFUNCTION("""COMPUTED_VALUE"""),"Млечни")</f>
        <v>Млечни</v>
      </c>
      <c r="B977" s="7" t="str">
        <f>IFERROR(__xludf.DUMMYFUNCTION("""COMPUTED_VALUE"""),"Cream Spread - with herbs - Pilos")</f>
        <v>Cream Spread - with herbs - Pilos</v>
      </c>
      <c r="C977" s="7">
        <f>IFERROR(__xludf.DUMMYFUNCTION("""COMPUTED_VALUE"""),100.0)</f>
        <v>100</v>
      </c>
      <c r="D977" s="7">
        <f>IFERROR(__xludf.DUMMYFUNCTION("""COMPUTED_VALUE"""),4.5)</f>
        <v>4.5</v>
      </c>
      <c r="E977" s="16">
        <f>IFERROR(__xludf.DUMMYFUNCTION("""COMPUTED_VALUE"""),3.5)</f>
        <v>3.5</v>
      </c>
      <c r="F977" s="16">
        <f>IFERROR(__xludf.DUMMYFUNCTION("""COMPUTED_VALUE"""),23.0)</f>
        <v>23</v>
      </c>
      <c r="G977" s="16">
        <f>IFERROR(__xludf.DUMMYFUNCTION("""COMPUTED_VALUE"""),0.0)</f>
        <v>0</v>
      </c>
      <c r="H977" s="23">
        <f>IFERROR(__xludf.DUMMYFUNCTION("""COMPUTED_VALUE"""),239.0)</f>
        <v>239</v>
      </c>
    </row>
    <row r="978">
      <c r="A978" s="16" t="str">
        <f>IFERROR(__xludf.DUMMYFUNCTION("""COMPUTED_VALUE"""),"Млечни")</f>
        <v>Млечни</v>
      </c>
      <c r="B978" s="7" t="str">
        <f>IFERROR(__xludf.DUMMYFUNCTION("""COMPUTED_VALUE"""),"Йогурт Олимпус 2%")</f>
        <v>Йогурт Олимпус 2%</v>
      </c>
      <c r="C978" s="7">
        <f>IFERROR(__xludf.DUMMYFUNCTION("""COMPUTED_VALUE"""),100.0)</f>
        <v>100</v>
      </c>
      <c r="D978" s="7">
        <f>IFERROR(__xludf.DUMMYFUNCTION("""COMPUTED_VALUE"""),9.0)</f>
        <v>9</v>
      </c>
      <c r="E978" s="16">
        <f>IFERROR(__xludf.DUMMYFUNCTION("""COMPUTED_VALUE"""),4.0)</f>
        <v>4</v>
      </c>
      <c r="F978" s="16">
        <f>IFERROR(__xludf.DUMMYFUNCTION("""COMPUTED_VALUE"""),2.0)</f>
        <v>2</v>
      </c>
      <c r="G978" s="16">
        <f>IFERROR(__xludf.DUMMYFUNCTION("""COMPUTED_VALUE"""),0.0)</f>
        <v>0</v>
      </c>
      <c r="H978" s="23">
        <f>IFERROR(__xludf.DUMMYFUNCTION("""COMPUTED_VALUE"""),70.0)</f>
        <v>70</v>
      </c>
    </row>
    <row r="979">
      <c r="A979" s="16" t="str">
        <f>IFERROR(__xludf.DUMMYFUNCTION("""COMPUTED_VALUE"""),"Млечни")</f>
        <v>Млечни</v>
      </c>
      <c r="B979" s="7" t="str">
        <f>IFERROR(__xludf.DUMMYFUNCTION("""COMPUTED_VALUE"""),"Котидж Сирене Philadelphia")</f>
        <v>Котидж Сирене Philadelphia</v>
      </c>
      <c r="C979" s="7">
        <f>IFERROR(__xludf.DUMMYFUNCTION("""COMPUTED_VALUE"""),100.0)</f>
        <v>100</v>
      </c>
      <c r="D979" s="7">
        <f>IFERROR(__xludf.DUMMYFUNCTION("""COMPUTED_VALUE"""),10.2)</f>
        <v>10.2</v>
      </c>
      <c r="E979" s="16">
        <f>IFERROR(__xludf.DUMMYFUNCTION("""COMPUTED_VALUE"""),3.5)</f>
        <v>3.5</v>
      </c>
      <c r="F979" s="16">
        <f>IFERROR(__xludf.DUMMYFUNCTION("""COMPUTED_VALUE"""),4.5)</f>
        <v>4.5</v>
      </c>
      <c r="G979" s="16">
        <f>IFERROR(__xludf.DUMMYFUNCTION("""COMPUTED_VALUE"""),0.2)</f>
        <v>0.2</v>
      </c>
      <c r="H979" s="23">
        <f>IFERROR(__xludf.DUMMYFUNCTION("""COMPUTED_VALUE"""),95.3)</f>
        <v>95.3</v>
      </c>
    </row>
    <row r="980">
      <c r="A980" s="16" t="str">
        <f>IFERROR(__xludf.DUMMYFUNCTION("""COMPUTED_VALUE"""),"Млечни")</f>
        <v>Млечни</v>
      </c>
      <c r="B980" s="7" t="str">
        <f>IFERROR(__xludf.DUMMYFUNCTION("""COMPUTED_VALUE"""),"High Protein Skyr Raspberry  Milbona")</f>
        <v>High Protein Skyr Raspberry  Milbona</v>
      </c>
      <c r="C980" s="7">
        <f>IFERROR(__xludf.DUMMYFUNCTION("""COMPUTED_VALUE"""),100.0)</f>
        <v>100</v>
      </c>
      <c r="D980" s="7">
        <f>IFERROR(__xludf.DUMMYFUNCTION("""COMPUTED_VALUE"""),8.9)</f>
        <v>8.9</v>
      </c>
      <c r="E980" s="16">
        <f>IFERROR(__xludf.DUMMYFUNCTION("""COMPUTED_VALUE"""),4.6)</f>
        <v>4.6</v>
      </c>
      <c r="F980" s="16">
        <f>IFERROR(__xludf.DUMMYFUNCTION("""COMPUTED_VALUE"""),0.2)</f>
        <v>0.2</v>
      </c>
      <c r="G980" s="16">
        <f>IFERROR(__xludf.DUMMYFUNCTION("""COMPUTED_VALUE"""),0.0)</f>
        <v>0</v>
      </c>
      <c r="H980" s="23">
        <f>IFERROR(__xludf.DUMMYFUNCTION("""COMPUTED_VALUE"""),55.8)</f>
        <v>55.8</v>
      </c>
    </row>
    <row r="981">
      <c r="A981" s="16" t="str">
        <f>IFERROR(__xludf.DUMMYFUNCTION("""COMPUTED_VALUE"""),"Млечни")</f>
        <v>Млечни</v>
      </c>
      <c r="B981" s="7" t="str">
        <f>IFERROR(__xludf.DUMMYFUNCTION("""COMPUTED_VALUE"""),"Cottage Cheese Philadelphia")</f>
        <v>Cottage Cheese Philadelphia</v>
      </c>
      <c r="C981" s="7">
        <f>IFERROR(__xludf.DUMMYFUNCTION("""COMPUTED_VALUE"""),100.0)</f>
        <v>100</v>
      </c>
      <c r="D981" s="7">
        <f>IFERROR(__xludf.DUMMYFUNCTION("""COMPUTED_VALUE"""),10.0)</f>
        <v>10</v>
      </c>
      <c r="E981" s="16">
        <f>IFERROR(__xludf.DUMMYFUNCTION("""COMPUTED_VALUE"""),3.5)</f>
        <v>3.5</v>
      </c>
      <c r="F981" s="16">
        <f>IFERROR(__xludf.DUMMYFUNCTION("""COMPUTED_VALUE"""),4.5)</f>
        <v>4.5</v>
      </c>
      <c r="G981" s="16">
        <f>IFERROR(__xludf.DUMMYFUNCTION("""COMPUTED_VALUE"""),0.0)</f>
        <v>0</v>
      </c>
      <c r="H981" s="23">
        <f>IFERROR(__xludf.DUMMYFUNCTION("""COMPUTED_VALUE"""),94.5)</f>
        <v>94.5</v>
      </c>
    </row>
    <row r="982">
      <c r="A982" s="16" t="str">
        <f>IFERROR(__xludf.DUMMYFUNCTION("""COMPUTED_VALUE"""),"Млечни")</f>
        <v>Млечни</v>
      </c>
      <c r="B982" s="7" t="str">
        <f>IFERROR(__xludf.DUMMYFUNCTION("""COMPUTED_VALUE"""),"Кашкавал (Димитър Маджаров)")</f>
        <v>Кашкавал (Димитър Маджаров)</v>
      </c>
      <c r="C982" s="7">
        <f>IFERROR(__xludf.DUMMYFUNCTION("""COMPUTED_VALUE"""),100.0)</f>
        <v>100</v>
      </c>
      <c r="D982" s="7">
        <f>IFERROR(__xludf.DUMMYFUNCTION("""COMPUTED_VALUE"""),20.0)</f>
        <v>20</v>
      </c>
      <c r="E982" s="16">
        <f>IFERROR(__xludf.DUMMYFUNCTION("""COMPUTED_VALUE"""),1.0)</f>
        <v>1</v>
      </c>
      <c r="F982" s="16">
        <f>IFERROR(__xludf.DUMMYFUNCTION("""COMPUTED_VALUE"""),28.0)</f>
        <v>28</v>
      </c>
      <c r="G982" s="16">
        <f>IFERROR(__xludf.DUMMYFUNCTION("""COMPUTED_VALUE"""),0.0)</f>
        <v>0</v>
      </c>
      <c r="H982" s="23">
        <f>IFERROR(__xludf.DUMMYFUNCTION("""COMPUTED_VALUE"""),336.0)</f>
        <v>336</v>
      </c>
    </row>
    <row r="983">
      <c r="A983" s="16" t="str">
        <f>IFERROR(__xludf.DUMMYFUNCTION("""COMPUTED_VALUE"""),"Млечни")</f>
        <v>Млечни</v>
      </c>
      <c r="B983" s="7" t="str">
        <f>IFERROR(__xludf.DUMMYFUNCTION("""COMPUTED_VALUE"""),"Високо протеинов пудинг Milbona ванилия - Lidl")</f>
        <v>Високо протеинов пудинг Milbona ванилия - Lidl</v>
      </c>
      <c r="C983" s="7">
        <f>IFERROR(__xludf.DUMMYFUNCTION("""COMPUTED_VALUE"""),100.0)</f>
        <v>100</v>
      </c>
      <c r="D983" s="7">
        <f>IFERROR(__xludf.DUMMYFUNCTION("""COMPUTED_VALUE"""),10.0)</f>
        <v>10</v>
      </c>
      <c r="E983" s="16">
        <f>IFERROR(__xludf.DUMMYFUNCTION("""COMPUTED_VALUE"""),5.2)</f>
        <v>5.2</v>
      </c>
      <c r="F983" s="16">
        <f>IFERROR(__xludf.DUMMYFUNCTION("""COMPUTED_VALUE"""),1.5)</f>
        <v>1.5</v>
      </c>
      <c r="G983" s="16">
        <f>IFERROR(__xludf.DUMMYFUNCTION("""COMPUTED_VALUE"""),0.0)</f>
        <v>0</v>
      </c>
      <c r="H983" s="23">
        <f>IFERROR(__xludf.DUMMYFUNCTION("""COMPUTED_VALUE"""),74.3)</f>
        <v>74.3</v>
      </c>
    </row>
    <row r="984">
      <c r="A984" s="16" t="str">
        <f>IFERROR(__xludf.DUMMYFUNCTION("""COMPUTED_VALUE"""),"Млечни")</f>
        <v>Млечни</v>
      </c>
      <c r="B984" s="7" t="str">
        <f>IFERROR(__xludf.DUMMYFUNCTION("""COMPUTED_VALUE"""),"YoPRO Кокос")</f>
        <v>YoPRO Кокос</v>
      </c>
      <c r="C984" s="7">
        <f>IFERROR(__xludf.DUMMYFUNCTION("""COMPUTED_VALUE"""),100.0)</f>
        <v>100</v>
      </c>
      <c r="D984" s="7">
        <f>IFERROR(__xludf.DUMMYFUNCTION("""COMPUTED_VALUE"""),9.7)</f>
        <v>9.7</v>
      </c>
      <c r="E984" s="16">
        <f>IFERROR(__xludf.DUMMYFUNCTION("""COMPUTED_VALUE"""),3.6)</f>
        <v>3.6</v>
      </c>
      <c r="F984" s="16">
        <f>IFERROR(__xludf.DUMMYFUNCTION("""COMPUTED_VALUE"""),0.4)</f>
        <v>0.4</v>
      </c>
      <c r="G984" s="16">
        <f>IFERROR(__xludf.DUMMYFUNCTION("""COMPUTED_VALUE"""),0.0)</f>
        <v>0</v>
      </c>
      <c r="H984" s="23">
        <f>IFERROR(__xludf.DUMMYFUNCTION("""COMPUTED_VALUE"""),56.8)</f>
        <v>56.8</v>
      </c>
    </row>
    <row r="985">
      <c r="A985" s="16" t="str">
        <f>IFERROR(__xludf.DUMMYFUNCTION("""COMPUTED_VALUE"""),"Млечни")</f>
        <v>Млечни</v>
      </c>
      <c r="B985" s="7" t="str">
        <f>IFERROR(__xludf.DUMMYFUNCTION("""COMPUTED_VALUE"""),"Cottage Classic Olympus")</f>
        <v>Cottage Classic Olympus</v>
      </c>
      <c r="C985" s="7">
        <f>IFERROR(__xludf.DUMMYFUNCTION("""COMPUTED_VALUE"""),100.0)</f>
        <v>100</v>
      </c>
      <c r="D985" s="7">
        <f>IFERROR(__xludf.DUMMYFUNCTION("""COMPUTED_VALUE"""),12.0)</f>
        <v>12</v>
      </c>
      <c r="E985" s="16">
        <f>IFERROR(__xludf.DUMMYFUNCTION("""COMPUTED_VALUE"""),1.5)</f>
        <v>1.5</v>
      </c>
      <c r="F985" s="16">
        <f>IFERROR(__xludf.DUMMYFUNCTION("""COMPUTED_VALUE"""),5.5)</f>
        <v>5.5</v>
      </c>
      <c r="G985" s="16">
        <f>IFERROR(__xludf.DUMMYFUNCTION("""COMPUTED_VALUE"""),0.0)</f>
        <v>0</v>
      </c>
      <c r="H985" s="23">
        <f>IFERROR(__xludf.DUMMYFUNCTION("""COMPUTED_VALUE"""),103.5)</f>
        <v>103.5</v>
      </c>
    </row>
    <row r="986">
      <c r="A986" s="16" t="str">
        <f>IFERROR(__xludf.DUMMYFUNCTION("""COMPUTED_VALUE"""),"Млечни")</f>
        <v>Млечни</v>
      </c>
      <c r="B986" s="7" t="str">
        <f>IFERROR(__xludf.DUMMYFUNCTION("""COMPUTED_VALUE"""),"Йогурт нискомаслен 2% Олимпус")</f>
        <v>Йогурт нискомаслен 2% Олимпус</v>
      </c>
      <c r="C986" s="7">
        <f>IFERROR(__xludf.DUMMYFUNCTION("""COMPUTED_VALUE"""),100.0)</f>
        <v>100</v>
      </c>
      <c r="D986" s="7">
        <f>IFERROR(__xludf.DUMMYFUNCTION("""COMPUTED_VALUE"""),9.0)</f>
        <v>9</v>
      </c>
      <c r="E986" s="16">
        <f>IFERROR(__xludf.DUMMYFUNCTION("""COMPUTED_VALUE"""),4.0)</f>
        <v>4</v>
      </c>
      <c r="F986" s="16">
        <f>IFERROR(__xludf.DUMMYFUNCTION("""COMPUTED_VALUE"""),2.0)</f>
        <v>2</v>
      </c>
      <c r="G986" s="16">
        <f>IFERROR(__xludf.DUMMYFUNCTION("""COMPUTED_VALUE"""),0.0)</f>
        <v>0</v>
      </c>
      <c r="H986" s="23">
        <f>IFERROR(__xludf.DUMMYFUNCTION("""COMPUTED_VALUE"""),70.0)</f>
        <v>70</v>
      </c>
    </row>
    <row r="987">
      <c r="A987" s="16" t="str">
        <f>IFERROR(__xludf.DUMMYFUNCTION("""COMPUTED_VALUE"""),"Млечни")</f>
        <v>Млечни</v>
      </c>
      <c r="B987" s="7" t="str">
        <f>IFERROR(__xludf.DUMMYFUNCTION("""COMPUTED_VALUE"""),"Сирене Котидж - Олимпус класик")</f>
        <v>Сирене Котидж - Олимпус класик</v>
      </c>
      <c r="C987" s="7">
        <f>IFERROR(__xludf.DUMMYFUNCTION("""COMPUTED_VALUE"""),100.0)</f>
        <v>100</v>
      </c>
      <c r="D987" s="7">
        <f>IFERROR(__xludf.DUMMYFUNCTION("""COMPUTED_VALUE"""),12.0)</f>
        <v>12</v>
      </c>
      <c r="E987" s="16">
        <f>IFERROR(__xludf.DUMMYFUNCTION("""COMPUTED_VALUE"""),1.5)</f>
        <v>1.5</v>
      </c>
      <c r="F987" s="16">
        <f>IFERROR(__xludf.DUMMYFUNCTION("""COMPUTED_VALUE"""),5.5)</f>
        <v>5.5</v>
      </c>
      <c r="G987" s="16">
        <f>IFERROR(__xludf.DUMMYFUNCTION("""COMPUTED_VALUE"""),0.0)</f>
        <v>0</v>
      </c>
      <c r="H987" s="23">
        <f>IFERROR(__xludf.DUMMYFUNCTION("""COMPUTED_VALUE"""),103.5)</f>
        <v>103.5</v>
      </c>
    </row>
    <row r="988">
      <c r="A988" s="16" t="str">
        <f>IFERROR(__xludf.DUMMYFUNCTION("""COMPUTED_VALUE"""),"Млечни")</f>
        <v>Млечни</v>
      </c>
      <c r="B988" s="7" t="str">
        <f>IFERROR(__xludf.DUMMYFUNCTION("""COMPUTED_VALUE"""),"Exquisa Крема Сирене 0.2% мазнини")</f>
        <v>Exquisa Крема Сирене 0.2% мазнини</v>
      </c>
      <c r="C988" s="7">
        <f>IFERROR(__xludf.DUMMYFUNCTION("""COMPUTED_VALUE"""),100.0)</f>
        <v>100</v>
      </c>
      <c r="D988" s="7">
        <f>IFERROR(__xludf.DUMMYFUNCTION("""COMPUTED_VALUE"""),10.0)</f>
        <v>10</v>
      </c>
      <c r="E988" s="16">
        <f>IFERROR(__xludf.DUMMYFUNCTION("""COMPUTED_VALUE"""),3.5)</f>
        <v>3.5</v>
      </c>
      <c r="F988" s="16">
        <f>IFERROR(__xludf.DUMMYFUNCTION("""COMPUTED_VALUE"""),0.2)</f>
        <v>0.2</v>
      </c>
      <c r="G988" s="16">
        <f>IFERROR(__xludf.DUMMYFUNCTION("""COMPUTED_VALUE"""),0.0)</f>
        <v>0</v>
      </c>
      <c r="H988" s="23">
        <f>IFERROR(__xludf.DUMMYFUNCTION("""COMPUTED_VALUE"""),55.8)</f>
        <v>55.8</v>
      </c>
    </row>
    <row r="989">
      <c r="A989" s="16" t="str">
        <f>IFERROR(__xludf.DUMMYFUNCTION("""COMPUTED_VALUE"""),"Млечни")</f>
        <v>Млечни</v>
      </c>
      <c r="B989" s="7" t="str">
        <f>IFERROR(__xludf.DUMMYFUNCTION("""COMPUTED_VALUE"""),"Exquisa Quark-Jorgurt Creme 10% Protein Праскова-Маракуя")</f>
        <v>Exquisa Quark-Jorgurt Creme 10% Protein Праскова-Маракуя</v>
      </c>
      <c r="C989" s="7">
        <f>IFERROR(__xludf.DUMMYFUNCTION("""COMPUTED_VALUE"""),100.0)</f>
        <v>100</v>
      </c>
      <c r="D989" s="7">
        <f>IFERROR(__xludf.DUMMYFUNCTION("""COMPUTED_VALUE"""),10.0)</f>
        <v>10</v>
      </c>
      <c r="E989" s="16">
        <f>IFERROR(__xludf.DUMMYFUNCTION("""COMPUTED_VALUE"""),6.1)</f>
        <v>6.1</v>
      </c>
      <c r="F989" s="16">
        <f>IFERROR(__xludf.DUMMYFUNCTION("""COMPUTED_VALUE"""),0.2)</f>
        <v>0.2</v>
      </c>
      <c r="G989" s="16">
        <f>IFERROR(__xludf.DUMMYFUNCTION("""COMPUTED_VALUE"""),0.0)</f>
        <v>0</v>
      </c>
      <c r="H989" s="23">
        <f>IFERROR(__xludf.DUMMYFUNCTION("""COMPUTED_VALUE"""),66.2)</f>
        <v>66.2</v>
      </c>
    </row>
    <row r="990">
      <c r="A990" s="16" t="str">
        <f>IFERROR(__xludf.DUMMYFUNCTION("""COMPUTED_VALUE"""),"Млечни")</f>
        <v>Млечни</v>
      </c>
      <c r="B990" s="7" t="str">
        <f>IFERROR(__xludf.DUMMYFUNCTION("""COMPUTED_VALUE"""),"Краве сирене Ситово лайт")</f>
        <v>Краве сирене Ситово лайт</v>
      </c>
      <c r="C990" s="7">
        <f>IFERROR(__xludf.DUMMYFUNCTION("""COMPUTED_VALUE"""),100.0)</f>
        <v>100</v>
      </c>
      <c r="D990" s="7">
        <f>IFERROR(__xludf.DUMMYFUNCTION("""COMPUTED_VALUE"""),18.0)</f>
        <v>18</v>
      </c>
      <c r="E990" s="16">
        <f>IFERROR(__xludf.DUMMYFUNCTION("""COMPUTED_VALUE"""),0.45)</f>
        <v>0.45</v>
      </c>
      <c r="F990" s="16">
        <f>IFERROR(__xludf.DUMMYFUNCTION("""COMPUTED_VALUE"""),4.2)</f>
        <v>4.2</v>
      </c>
      <c r="G990" s="16">
        <f>IFERROR(__xludf.DUMMYFUNCTION("""COMPUTED_VALUE"""),0.0)</f>
        <v>0</v>
      </c>
      <c r="H990" s="23">
        <f>IFERROR(__xludf.DUMMYFUNCTION("""COMPUTED_VALUE"""),111.6)</f>
        <v>111.6</v>
      </c>
    </row>
    <row r="991">
      <c r="A991" s="16" t="str">
        <f>IFERROR(__xludf.DUMMYFUNCTION("""COMPUTED_VALUE"""),"Млечни")</f>
        <v>Млечни</v>
      </c>
      <c r="B991" s="7" t="str">
        <f>IFERROR(__xludf.DUMMYFUNCTION("""COMPUTED_VALUE"""),"YoPro Danone 25g Proteina")</f>
        <v>YoPro Danone 25g Proteina</v>
      </c>
      <c r="C991" s="7">
        <f>IFERROR(__xludf.DUMMYFUNCTION("""COMPUTED_VALUE"""),100.0)</f>
        <v>100</v>
      </c>
      <c r="D991" s="7">
        <f>IFERROR(__xludf.DUMMYFUNCTION("""COMPUTED_VALUE"""),25.0)</f>
        <v>25</v>
      </c>
      <c r="E991" s="16">
        <f>IFERROR(__xludf.DUMMYFUNCTION("""COMPUTED_VALUE"""),16.2)</f>
        <v>16.2</v>
      </c>
      <c r="F991" s="16">
        <f>IFERROR(__xludf.DUMMYFUNCTION("""COMPUTED_VALUE"""),1.5)</f>
        <v>1.5</v>
      </c>
      <c r="G991" s="16">
        <f>IFERROR(__xludf.DUMMYFUNCTION("""COMPUTED_VALUE"""),0.0)</f>
        <v>0</v>
      </c>
      <c r="H991" s="23">
        <f>IFERROR(__xludf.DUMMYFUNCTION("""COMPUTED_VALUE"""),178.3)</f>
        <v>178.3</v>
      </c>
    </row>
    <row r="992">
      <c r="A992" s="16" t="str">
        <f>IFERROR(__xludf.DUMMYFUNCTION("""COMPUTED_VALUE"""),"Млечни")</f>
        <v>Млечни</v>
      </c>
      <c r="B992" s="7" t="str">
        <f>IFERROR(__xludf.DUMMYFUNCTION("""COMPUTED_VALUE"""),"Кашкавал Родопска сълзица")</f>
        <v>Кашкавал Родопска сълзица</v>
      </c>
      <c r="C992" s="7">
        <f>IFERROR(__xludf.DUMMYFUNCTION("""COMPUTED_VALUE"""),100.0)</f>
        <v>100</v>
      </c>
      <c r="D992" s="7">
        <f>IFERROR(__xludf.DUMMYFUNCTION("""COMPUTED_VALUE"""),24.5)</f>
        <v>24.5</v>
      </c>
      <c r="E992" s="16">
        <f>IFERROR(__xludf.DUMMYFUNCTION("""COMPUTED_VALUE"""),3.4)</f>
        <v>3.4</v>
      </c>
      <c r="F992" s="16">
        <f>IFERROR(__xludf.DUMMYFUNCTION("""COMPUTED_VALUE"""),25.0)</f>
        <v>25</v>
      </c>
      <c r="G992" s="16">
        <f>IFERROR(__xludf.DUMMYFUNCTION("""COMPUTED_VALUE"""),0.0)</f>
        <v>0</v>
      </c>
      <c r="H992" s="23">
        <f>IFERROR(__xludf.DUMMYFUNCTION("""COMPUTED_VALUE"""),336.6)</f>
        <v>336.6</v>
      </c>
    </row>
    <row r="993">
      <c r="A993" s="16" t="str">
        <f>IFERROR(__xludf.DUMMYFUNCTION("""COMPUTED_VALUE"""),"Млечни")</f>
        <v>Млечни</v>
      </c>
      <c r="B993" s="7" t="str">
        <f>IFERROR(__xludf.DUMMYFUNCTION("""COMPUTED_VALUE"""),"Протеинов йогурт с банан, манго, ленено семе и зърнени култури")</f>
        <v>Протеинов йогурт с банан, манго, ленено семе и зърнени култури</v>
      </c>
      <c r="C993" s="7">
        <f>IFERROR(__xludf.DUMMYFUNCTION("""COMPUTED_VALUE"""),100.0)</f>
        <v>100</v>
      </c>
      <c r="D993" s="7">
        <f>IFERROR(__xludf.DUMMYFUNCTION("""COMPUTED_VALUE"""),9.0)</f>
        <v>9</v>
      </c>
      <c r="E993" s="16">
        <f>IFERROR(__xludf.DUMMYFUNCTION("""COMPUTED_VALUE"""),10.0)</f>
        <v>10</v>
      </c>
      <c r="F993" s="16">
        <f>IFERROR(__xludf.DUMMYFUNCTION("""COMPUTED_VALUE"""),0.0)</f>
        <v>0</v>
      </c>
      <c r="G993" s="16">
        <f>IFERROR(__xludf.DUMMYFUNCTION("""COMPUTED_VALUE"""),0.0)</f>
        <v>0</v>
      </c>
      <c r="H993" s="23">
        <f>IFERROR(__xludf.DUMMYFUNCTION("""COMPUTED_VALUE"""),76.0)</f>
        <v>76</v>
      </c>
    </row>
    <row r="994">
      <c r="A994" s="16" t="str">
        <f>IFERROR(__xludf.DUMMYFUNCTION("""COMPUTED_VALUE"""),"Млечни")</f>
        <v>Млечни</v>
      </c>
      <c r="B994" s="7" t="str">
        <f>IFERROR(__xludf.DUMMYFUNCTION("""COMPUTED_VALUE"""),"Скир Exquisa Натурален без Лактоза")</f>
        <v>Скир Exquisa Натурален без Лактоза</v>
      </c>
      <c r="C994" s="7">
        <f>IFERROR(__xludf.DUMMYFUNCTION("""COMPUTED_VALUE"""),100.0)</f>
        <v>100</v>
      </c>
      <c r="D994" s="7">
        <f>IFERROR(__xludf.DUMMYFUNCTION("""COMPUTED_VALUE"""),8.5)</f>
        <v>8.5</v>
      </c>
      <c r="E994" s="16">
        <f>IFERROR(__xludf.DUMMYFUNCTION("""COMPUTED_VALUE"""),3.6)</f>
        <v>3.6</v>
      </c>
      <c r="F994" s="16">
        <f>IFERROR(__xludf.DUMMYFUNCTION("""COMPUTED_VALUE"""),0.5)</f>
        <v>0.5</v>
      </c>
      <c r="G994" s="16">
        <f>IFERROR(__xludf.DUMMYFUNCTION("""COMPUTED_VALUE"""),0.0)</f>
        <v>0</v>
      </c>
      <c r="H994" s="23">
        <f>IFERROR(__xludf.DUMMYFUNCTION("""COMPUTED_VALUE"""),52.9)</f>
        <v>52.9</v>
      </c>
    </row>
    <row r="995">
      <c r="A995" s="16" t="str">
        <f>IFERROR(__xludf.DUMMYFUNCTION("""COMPUTED_VALUE"""),"Млечни")</f>
        <v>Млечни</v>
      </c>
      <c r="B995" s="7" t="str">
        <f>IFERROR(__xludf.DUMMYFUNCTION("""COMPUTED_VALUE"""),"Бурата Gioiella")</f>
        <v>Бурата Gioiella</v>
      </c>
      <c r="C995" s="7">
        <f>IFERROR(__xludf.DUMMYFUNCTION("""COMPUTED_VALUE"""),100.0)</f>
        <v>100</v>
      </c>
      <c r="D995" s="7">
        <f>IFERROR(__xludf.DUMMYFUNCTION("""COMPUTED_VALUE"""),10.0)</f>
        <v>10</v>
      </c>
      <c r="E995" s="16">
        <f>IFERROR(__xludf.DUMMYFUNCTION("""COMPUTED_VALUE"""),2.0)</f>
        <v>2</v>
      </c>
      <c r="F995" s="16">
        <f>IFERROR(__xludf.DUMMYFUNCTION("""COMPUTED_VALUE"""),23.0)</f>
        <v>23</v>
      </c>
      <c r="G995" s="16">
        <f>IFERROR(__xludf.DUMMYFUNCTION("""COMPUTED_VALUE"""),0.0)</f>
        <v>0</v>
      </c>
      <c r="H995" s="23">
        <f>IFERROR(__xludf.DUMMYFUNCTION("""COMPUTED_VALUE"""),255.0)</f>
        <v>255</v>
      </c>
    </row>
    <row r="996">
      <c r="A996" s="16" t="str">
        <f>IFERROR(__xludf.DUMMYFUNCTION("""COMPUTED_VALUE"""),"Млечни")</f>
        <v>Млечни</v>
      </c>
      <c r="B996" s="7" t="str">
        <f>IFERROR(__xludf.DUMMYFUNCTION("""COMPUTED_VALUE"""),"Йогурт Олимпус Праскова 0%Fat")</f>
        <v>Йогурт Олимпус Праскова 0%Fat</v>
      </c>
      <c r="C996" s="7">
        <f>IFERROR(__xludf.DUMMYFUNCTION("""COMPUTED_VALUE"""),100.0)</f>
        <v>100</v>
      </c>
      <c r="D996" s="7">
        <f>IFERROR(__xludf.DUMMYFUNCTION("""COMPUTED_VALUE"""),8.0)</f>
        <v>8</v>
      </c>
      <c r="E996" s="16">
        <f>IFERROR(__xludf.DUMMYFUNCTION("""COMPUTED_VALUE"""),12.0)</f>
        <v>12</v>
      </c>
      <c r="F996" s="16">
        <f>IFERROR(__xludf.DUMMYFUNCTION("""COMPUTED_VALUE"""),0.0)</f>
        <v>0</v>
      </c>
      <c r="G996" s="16">
        <f>IFERROR(__xludf.DUMMYFUNCTION("""COMPUTED_VALUE"""),0.0)</f>
        <v>0</v>
      </c>
      <c r="H996" s="23">
        <f>IFERROR(__xludf.DUMMYFUNCTION("""COMPUTED_VALUE"""),80.0)</f>
        <v>80</v>
      </c>
    </row>
    <row r="997">
      <c r="A997" s="16" t="str">
        <f>IFERROR(__xludf.DUMMYFUNCTION("""COMPUTED_VALUE"""),"Млечни")</f>
        <v>Млечни</v>
      </c>
      <c r="B997" s="7" t="str">
        <f>IFERROR(__xludf.DUMMYFUNCTION("""COMPUTED_VALUE"""),"Super Spoon Банан Манго Лен")</f>
        <v>Super Spoon Банан Манго Лен</v>
      </c>
      <c r="C997" s="7">
        <f>IFERROR(__xludf.DUMMYFUNCTION("""COMPUTED_VALUE"""),100.0)</f>
        <v>100</v>
      </c>
      <c r="D997" s="7">
        <f>IFERROR(__xludf.DUMMYFUNCTION("""COMPUTED_VALUE"""),9.0)</f>
        <v>9</v>
      </c>
      <c r="E997" s="16">
        <f>IFERROR(__xludf.DUMMYFUNCTION("""COMPUTED_VALUE"""),10.0)</f>
        <v>10</v>
      </c>
      <c r="F997" s="16">
        <f>IFERROR(__xludf.DUMMYFUNCTION("""COMPUTED_VALUE"""),0.0)</f>
        <v>0</v>
      </c>
      <c r="G997" s="16">
        <f>IFERROR(__xludf.DUMMYFUNCTION("""COMPUTED_VALUE"""),0.12)</f>
        <v>0.12</v>
      </c>
      <c r="H997" s="23">
        <f>IFERROR(__xludf.DUMMYFUNCTION("""COMPUTED_VALUE"""),76.0)</f>
        <v>76</v>
      </c>
    </row>
    <row r="998">
      <c r="A998" s="16" t="str">
        <f>IFERROR(__xludf.DUMMYFUNCTION("""COMPUTED_VALUE"""),"Млечни")</f>
        <v>Млечни</v>
      </c>
      <c r="B998" s="7" t="str">
        <f>IFERROR(__xludf.DUMMYFUNCTION("""COMPUTED_VALUE"""),"Кашкавал Домлян БДС")</f>
        <v>Кашкавал Домлян БДС</v>
      </c>
      <c r="C998" s="7">
        <f>IFERROR(__xludf.DUMMYFUNCTION("""COMPUTED_VALUE"""),100.0)</f>
        <v>100</v>
      </c>
      <c r="D998" s="7">
        <f>IFERROR(__xludf.DUMMYFUNCTION("""COMPUTED_VALUE"""),26.0)</f>
        <v>26</v>
      </c>
      <c r="E998" s="16">
        <f>IFERROR(__xludf.DUMMYFUNCTION("""COMPUTED_VALUE"""),3.2)</f>
        <v>3.2</v>
      </c>
      <c r="F998" s="16">
        <f>IFERROR(__xludf.DUMMYFUNCTION("""COMPUTED_VALUE"""),27.0)</f>
        <v>27</v>
      </c>
      <c r="G998" s="16">
        <f>IFERROR(__xludf.DUMMYFUNCTION("""COMPUTED_VALUE"""),0.0)</f>
        <v>0</v>
      </c>
      <c r="H998" s="16">
        <f>IFERROR(__xludf.DUMMYFUNCTION("""COMPUTED_VALUE"""),359.8)</f>
        <v>359.8</v>
      </c>
    </row>
    <row r="999">
      <c r="A999" s="16" t="str">
        <f>IFERROR(__xludf.DUMMYFUNCTION("""COMPUTED_VALUE"""),"Млечни")</f>
        <v>Млечни</v>
      </c>
      <c r="B999" s="7" t="str">
        <f>IFERROR(__xludf.DUMMYFUNCTION("""COMPUTED_VALUE"""),"Сирене Краве Нискомаслено Light Добрев")</f>
        <v>Сирене Краве Нискомаслено Light Добрев</v>
      </c>
      <c r="C999" s="7">
        <f>IFERROR(__xludf.DUMMYFUNCTION("""COMPUTED_VALUE"""),100.0)</f>
        <v>100</v>
      </c>
      <c r="D999" s="7">
        <f>IFERROR(__xludf.DUMMYFUNCTION("""COMPUTED_VALUE"""),18.5)</f>
        <v>18.5</v>
      </c>
      <c r="E999" s="16">
        <f>IFERROR(__xludf.DUMMYFUNCTION("""COMPUTED_VALUE"""),0.5)</f>
        <v>0.5</v>
      </c>
      <c r="F999" s="16">
        <f>IFERROR(__xludf.DUMMYFUNCTION("""COMPUTED_VALUE"""),12.0)</f>
        <v>12</v>
      </c>
      <c r="G999" s="16">
        <f>IFERROR(__xludf.DUMMYFUNCTION("""COMPUTED_VALUE"""),0.0)</f>
        <v>0</v>
      </c>
      <c r="H999" s="16">
        <f>IFERROR(__xludf.DUMMYFUNCTION("""COMPUTED_VALUE"""),184.0)</f>
        <v>184</v>
      </c>
    </row>
    <row r="1000">
      <c r="A1000" s="16" t="str">
        <f>IFERROR(__xludf.DUMMYFUNCTION("""COMPUTED_VALUE"""),"Млечни")</f>
        <v>Млечни</v>
      </c>
      <c r="B1000" s="7" t="str">
        <f>IFERROR(__xludf.DUMMYFUNCTION("""COMPUTED_VALUE"""),"Кашкавал Витоша Нискомаслен Добрев")</f>
        <v>Кашкавал Витоша Нискомаслен Добрев</v>
      </c>
      <c r="C1000" s="7">
        <f>IFERROR(__xludf.DUMMYFUNCTION("""COMPUTED_VALUE"""),100.0)</f>
        <v>100</v>
      </c>
      <c r="D1000" s="7">
        <f>IFERROR(__xludf.DUMMYFUNCTION("""COMPUTED_VALUE"""),26.0)</f>
        <v>26</v>
      </c>
      <c r="E1000" s="16">
        <f>IFERROR(__xludf.DUMMYFUNCTION("""COMPUTED_VALUE"""),0.5)</f>
        <v>0.5</v>
      </c>
      <c r="F1000" s="16">
        <f>IFERROR(__xludf.DUMMYFUNCTION("""COMPUTED_VALUE"""),20.0)</f>
        <v>20</v>
      </c>
      <c r="G1000" s="16">
        <f>IFERROR(__xludf.DUMMYFUNCTION("""COMPUTED_VALUE"""),0.0)</f>
        <v>0</v>
      </c>
      <c r="H1000" s="16">
        <f>IFERROR(__xludf.DUMMYFUNCTION("""COMPUTED_VALUE"""),286.0)</f>
        <v>286</v>
      </c>
    </row>
    <row r="1001">
      <c r="A1001" s="16" t="str">
        <f>IFERROR(__xludf.DUMMYFUNCTION("""COMPUTED_VALUE"""),"Млечни")</f>
        <v>Млечни</v>
      </c>
      <c r="B1001" s="7" t="str">
        <f>IFERROR(__xludf.DUMMYFUNCTION("""COMPUTED_VALUE"""),"Крема сирене PHILADELPHIA Light")</f>
        <v>Крема сирене PHILADELPHIA Light</v>
      </c>
      <c r="C1001" s="7">
        <f>IFERROR(__xludf.DUMMYFUNCTION("""COMPUTED_VALUE"""),100.0)</f>
        <v>100</v>
      </c>
      <c r="D1001" s="7">
        <f>IFERROR(__xludf.DUMMYFUNCTION("""COMPUTED_VALUE"""),7.4)</f>
        <v>7.4</v>
      </c>
      <c r="E1001" s="16">
        <f>IFERROR(__xludf.DUMMYFUNCTION("""COMPUTED_VALUE"""),5.2)</f>
        <v>5.2</v>
      </c>
      <c r="F1001" s="16">
        <f>IFERROR(__xludf.DUMMYFUNCTION("""COMPUTED_VALUE"""),11.0)</f>
        <v>11</v>
      </c>
      <c r="G1001" s="16">
        <f>IFERROR(__xludf.DUMMYFUNCTION("""COMPUTED_VALUE"""),0.4)</f>
        <v>0.4</v>
      </c>
      <c r="H1001" s="16">
        <f>IFERROR(__xludf.DUMMYFUNCTION("""COMPUTED_VALUE"""),149.4)</f>
        <v>149.4</v>
      </c>
    </row>
    <row r="1002">
      <c r="A1002" s="16" t="str">
        <f>IFERROR(__xludf.DUMMYFUNCTION("""COMPUTED_VALUE"""),"Млечни")</f>
        <v>Млечни</v>
      </c>
      <c r="B1002" s="7" t="str">
        <f>IFERROR(__xludf.DUMMYFUNCTION("""COMPUTED_VALUE"""),"Топени сиренца PRESIDENT Light")</f>
        <v>Топени сиренца PRESIDENT Light</v>
      </c>
      <c r="C1002" s="7">
        <f>IFERROR(__xludf.DUMMYFUNCTION("""COMPUTED_VALUE"""),100.0)</f>
        <v>100</v>
      </c>
      <c r="D1002" s="7">
        <f>IFERROR(__xludf.DUMMYFUNCTION("""COMPUTED_VALUE"""),13.5)</f>
        <v>13.5</v>
      </c>
      <c r="E1002" s="16">
        <f>IFERROR(__xludf.DUMMYFUNCTION("""COMPUTED_VALUE"""),5.0)</f>
        <v>5</v>
      </c>
      <c r="F1002" s="16">
        <f>IFERROR(__xludf.DUMMYFUNCTION("""COMPUTED_VALUE"""),7.0)</f>
        <v>7</v>
      </c>
      <c r="G1002" s="16">
        <f>IFERROR(__xludf.DUMMYFUNCTION("""COMPUTED_VALUE"""),0.0)</f>
        <v>0</v>
      </c>
      <c r="H1002" s="16">
        <f>IFERROR(__xludf.DUMMYFUNCTION("""COMPUTED_VALUE"""),137.0)</f>
        <v>137</v>
      </c>
    </row>
    <row r="1003">
      <c r="A1003" s="16" t="str">
        <f>IFERROR(__xludf.DUMMYFUNCTION("""COMPUTED_VALUE"""),"Млечни")</f>
        <v>Млечни</v>
      </c>
      <c r="B1003" s="7" t="str">
        <f>IFERROR(__xludf.DUMMYFUNCTION("""COMPUTED_VALUE"""),"Кварк Exquisa Fitline Печени Бадеми")</f>
        <v>Кварк Exquisa Fitline Печени Бадеми</v>
      </c>
      <c r="C1003" s="7">
        <f>IFERROR(__xludf.DUMMYFUNCTION("""COMPUTED_VALUE"""),100.0)</f>
        <v>100</v>
      </c>
      <c r="D1003" s="7">
        <f>IFERROR(__xludf.DUMMYFUNCTION("""COMPUTED_VALUE"""),10.0)</f>
        <v>10</v>
      </c>
      <c r="E1003" s="16">
        <f>IFERROR(__xludf.DUMMYFUNCTION("""COMPUTED_VALUE"""),6.2)</f>
        <v>6.2</v>
      </c>
      <c r="F1003" s="16">
        <f>IFERROR(__xludf.DUMMYFUNCTION("""COMPUTED_VALUE"""),0.2)</f>
        <v>0.2</v>
      </c>
      <c r="G1003" s="16">
        <f>IFERROR(__xludf.DUMMYFUNCTION("""COMPUTED_VALUE"""),0.0)</f>
        <v>0</v>
      </c>
      <c r="H1003" s="16">
        <f>IFERROR(__xludf.DUMMYFUNCTION("""COMPUTED_VALUE"""),66.6)</f>
        <v>66.6</v>
      </c>
    </row>
    <row r="1004">
      <c r="A1004" s="16" t="str">
        <f>IFERROR(__xludf.DUMMYFUNCTION("""COMPUTED_VALUE"""),"Млечни")</f>
        <v>Млечни</v>
      </c>
      <c r="B1004" s="7" t="str">
        <f>IFERROR(__xludf.DUMMYFUNCTION("""COMPUTED_VALUE"""),"Кварк Exquisa Fitline Ябълка с Канела")</f>
        <v>Кварк Exquisa Fitline Ябълка с Канела</v>
      </c>
      <c r="C1004" s="7">
        <f>IFERROR(__xludf.DUMMYFUNCTION("""COMPUTED_VALUE"""),100.0)</f>
        <v>100</v>
      </c>
      <c r="D1004" s="7">
        <f>IFERROR(__xludf.DUMMYFUNCTION("""COMPUTED_VALUE"""),10.0)</f>
        <v>10</v>
      </c>
      <c r="E1004" s="16">
        <f>IFERROR(__xludf.DUMMYFUNCTION("""COMPUTED_VALUE"""),6.1)</f>
        <v>6.1</v>
      </c>
      <c r="F1004" s="16">
        <f>IFERROR(__xludf.DUMMYFUNCTION("""COMPUTED_VALUE"""),0.2)</f>
        <v>0.2</v>
      </c>
      <c r="G1004" s="16">
        <f>IFERROR(__xludf.DUMMYFUNCTION("""COMPUTED_VALUE"""),0.0)</f>
        <v>0</v>
      </c>
      <c r="H1004" s="16">
        <f>IFERROR(__xludf.DUMMYFUNCTION("""COMPUTED_VALUE"""),66.2)</f>
        <v>66.2</v>
      </c>
    </row>
    <row r="1005">
      <c r="A1005" s="16" t="str">
        <f>IFERROR(__xludf.DUMMYFUNCTION("""COMPUTED_VALUE"""),"Млечни")</f>
        <v>Млечни</v>
      </c>
      <c r="B1005" s="7" t="str">
        <f>IFERROR(__xludf.DUMMYFUNCTION("""COMPUTED_VALUE"""),"Кварк Exquisa Fitline Праскова и Маракуя")</f>
        <v>Кварк Exquisa Fitline Праскова и Маракуя</v>
      </c>
      <c r="C1005" s="7">
        <f>IFERROR(__xludf.DUMMYFUNCTION("""COMPUTED_VALUE"""),100.0)</f>
        <v>100</v>
      </c>
      <c r="D1005" s="7">
        <f>IFERROR(__xludf.DUMMYFUNCTION("""COMPUTED_VALUE"""),10.0)</f>
        <v>10</v>
      </c>
      <c r="E1005" s="16">
        <f>IFERROR(__xludf.DUMMYFUNCTION("""COMPUTED_VALUE"""),6.1)</f>
        <v>6.1</v>
      </c>
      <c r="F1005" s="16">
        <f>IFERROR(__xludf.DUMMYFUNCTION("""COMPUTED_VALUE"""),0.2)</f>
        <v>0.2</v>
      </c>
      <c r="G1005" s="16">
        <f>IFERROR(__xludf.DUMMYFUNCTION("""COMPUTED_VALUE"""),0.0)</f>
        <v>0</v>
      </c>
      <c r="H1005" s="16">
        <f>IFERROR(__xludf.DUMMYFUNCTION("""COMPUTED_VALUE"""),66.2)</f>
        <v>66.2</v>
      </c>
    </row>
    <row r="1006">
      <c r="A1006" s="16" t="str">
        <f>IFERROR(__xludf.DUMMYFUNCTION("""COMPUTED_VALUE"""),"Млечни")</f>
        <v>Млечни</v>
      </c>
      <c r="B1006" s="7" t="str">
        <f>IFERROR(__xludf.DUMMYFUNCTION("""COMPUTED_VALUE"""),"Сирене Exquisa Котидж без Лактоза")</f>
        <v>Сирене Exquisa Котидж без Лактоза</v>
      </c>
      <c r="C1006" s="7">
        <f>IFERROR(__xludf.DUMMYFUNCTION("""COMPUTED_VALUE"""),100.0)</f>
        <v>100</v>
      </c>
      <c r="D1006" s="7">
        <f>IFERROR(__xludf.DUMMYFUNCTION("""COMPUTED_VALUE"""),13.5)</f>
        <v>13.5</v>
      </c>
      <c r="E1006" s="16">
        <f>IFERROR(__xludf.DUMMYFUNCTION("""COMPUTED_VALUE"""),1.0)</f>
        <v>1</v>
      </c>
      <c r="F1006" s="16">
        <f>IFERROR(__xludf.DUMMYFUNCTION("""COMPUTED_VALUE"""),4.0)</f>
        <v>4</v>
      </c>
      <c r="G1006" s="16">
        <f>IFERROR(__xludf.DUMMYFUNCTION("""COMPUTED_VALUE"""),0.0)</f>
        <v>0</v>
      </c>
      <c r="H1006" s="16">
        <f>IFERROR(__xludf.DUMMYFUNCTION("""COMPUTED_VALUE"""),94.0)</f>
        <v>94</v>
      </c>
    </row>
    <row r="1007">
      <c r="A1007" s="16" t="str">
        <f>IFERROR(__xludf.DUMMYFUNCTION("""COMPUTED_VALUE"""),"Млечни")</f>
        <v>Млечни</v>
      </c>
      <c r="B1007" s="7" t="str">
        <f>IFERROR(__xludf.DUMMYFUNCTION("""COMPUTED_VALUE"""),"Пудинг Exquisa Протеинов Шоколад")</f>
        <v>Пудинг Exquisa Протеинов Шоколад</v>
      </c>
      <c r="C1007" s="7">
        <f>IFERROR(__xludf.DUMMYFUNCTION("""COMPUTED_VALUE"""),100.0)</f>
        <v>100</v>
      </c>
      <c r="D1007" s="7">
        <f>IFERROR(__xludf.DUMMYFUNCTION("""COMPUTED_VALUE"""),10.1)</f>
        <v>10.1</v>
      </c>
      <c r="E1007" s="16">
        <f>IFERROR(__xludf.DUMMYFUNCTION("""COMPUTED_VALUE"""),6.9)</f>
        <v>6.9</v>
      </c>
      <c r="F1007" s="16">
        <f>IFERROR(__xludf.DUMMYFUNCTION("""COMPUTED_VALUE"""),1.6)</f>
        <v>1.6</v>
      </c>
      <c r="G1007" s="16">
        <f>IFERROR(__xludf.DUMMYFUNCTION("""COMPUTED_VALUE"""),0.0)</f>
        <v>0</v>
      </c>
      <c r="H1007" s="16">
        <f>IFERROR(__xludf.DUMMYFUNCTION("""COMPUTED_VALUE"""),82.4)</f>
        <v>82.4</v>
      </c>
    </row>
    <row r="1008">
      <c r="A1008" s="16" t="str">
        <f>IFERROR(__xludf.DUMMYFUNCTION("""COMPUTED_VALUE"""),"Млечни")</f>
        <v>Млечни</v>
      </c>
      <c r="B1008" s="7" t="str">
        <f>IFERROR(__xludf.DUMMYFUNCTION("""COMPUTED_VALUE"""),"Скир-натурален MinusL - без лактоза")</f>
        <v>Скир-натурален MinusL - без лактоза</v>
      </c>
      <c r="C1008" s="7">
        <f>IFERROR(__xludf.DUMMYFUNCTION("""COMPUTED_VALUE"""),100.0)</f>
        <v>100</v>
      </c>
      <c r="D1008" s="7">
        <f>IFERROR(__xludf.DUMMYFUNCTION("""COMPUTED_VALUE"""),11.0)</f>
        <v>11</v>
      </c>
      <c r="E1008" s="16">
        <f>IFERROR(__xludf.DUMMYFUNCTION("""COMPUTED_VALUE"""),4.0)</f>
        <v>4</v>
      </c>
      <c r="F1008" s="16">
        <f>IFERROR(__xludf.DUMMYFUNCTION("""COMPUTED_VALUE"""),0.2)</f>
        <v>0.2</v>
      </c>
      <c r="G1008" s="16">
        <f>IFERROR(__xludf.DUMMYFUNCTION("""COMPUTED_VALUE"""),0.0)</f>
        <v>0</v>
      </c>
      <c r="H1008" s="16">
        <f>IFERROR(__xludf.DUMMYFUNCTION("""COMPUTED_VALUE"""),61.8)</f>
        <v>61.8</v>
      </c>
    </row>
    <row r="1009">
      <c r="A1009" s="16" t="str">
        <f>IFERROR(__xludf.DUMMYFUNCTION("""COMPUTED_VALUE"""),"Млечни")</f>
        <v>Млечни</v>
      </c>
      <c r="B1009" s="7" t="str">
        <f>IFERROR(__xludf.DUMMYFUNCTION("""COMPUTED_VALUE"""),"Филаделфия - без лактоза")</f>
        <v>Филаделфия - без лактоза</v>
      </c>
      <c r="C1009" s="7">
        <f>IFERROR(__xludf.DUMMYFUNCTION("""COMPUTED_VALUE"""),100.0)</f>
        <v>100</v>
      </c>
      <c r="D1009" s="7">
        <f>IFERROR(__xludf.DUMMYFUNCTION("""COMPUTED_VALUE"""),5.4)</f>
        <v>5.4</v>
      </c>
      <c r="E1009" s="16">
        <f>IFERROR(__xludf.DUMMYFUNCTION("""COMPUTED_VALUE"""),3.2)</f>
        <v>3.2</v>
      </c>
      <c r="F1009" s="16">
        <f>IFERROR(__xludf.DUMMYFUNCTION("""COMPUTED_VALUE"""),21.0)</f>
        <v>21</v>
      </c>
      <c r="G1009" s="16">
        <f>IFERROR(__xludf.DUMMYFUNCTION("""COMPUTED_VALUE"""),0.2)</f>
        <v>0.2</v>
      </c>
      <c r="H1009" s="16">
        <f>IFERROR(__xludf.DUMMYFUNCTION("""COMPUTED_VALUE"""),223.4)</f>
        <v>223.4</v>
      </c>
    </row>
    <row r="1010">
      <c r="A1010" s="16" t="str">
        <f>IFERROR(__xludf.DUMMYFUNCTION("""COMPUTED_VALUE"""),"Млечни")</f>
        <v>Млечни</v>
      </c>
      <c r="B1010" s="7" t="str">
        <f>IFERROR(__xludf.DUMMYFUNCTION("""COMPUTED_VALUE"""),"Сирене GAZI - без лактоза")</f>
        <v>Сирене GAZI - без лактоза</v>
      </c>
      <c r="C1010" s="7">
        <f>IFERROR(__xludf.DUMMYFUNCTION("""COMPUTED_VALUE"""),100.0)</f>
        <v>100</v>
      </c>
      <c r="D1010" s="7">
        <f>IFERROR(__xludf.DUMMYFUNCTION("""COMPUTED_VALUE"""),17.8)</f>
        <v>17.8</v>
      </c>
      <c r="E1010" s="16">
        <f>IFERROR(__xludf.DUMMYFUNCTION("""COMPUTED_VALUE"""),0.6)</f>
        <v>0.6</v>
      </c>
      <c r="F1010" s="16">
        <f>IFERROR(__xludf.DUMMYFUNCTION("""COMPUTED_VALUE"""),20.5)</f>
        <v>20.5</v>
      </c>
      <c r="G1010" s="16">
        <f>IFERROR(__xludf.DUMMYFUNCTION("""COMPUTED_VALUE"""),0.0)</f>
        <v>0</v>
      </c>
      <c r="H1010" s="16">
        <f>IFERROR(__xludf.DUMMYFUNCTION("""COMPUTED_VALUE"""),258.1)</f>
        <v>258.1</v>
      </c>
    </row>
    <row r="1011">
      <c r="A1011" s="16" t="str">
        <f>IFERROR(__xludf.DUMMYFUNCTION("""COMPUTED_VALUE"""),"Млечни")</f>
        <v>Млечни</v>
      </c>
      <c r="B1011" s="7" t="str">
        <f>IFERROR(__xludf.DUMMYFUNCTION("""COMPUTED_VALUE"""),"Сметана за кафе MinusL - без лактоза")</f>
        <v>Сметана за кафе MinusL - без лактоза</v>
      </c>
      <c r="C1011" s="7">
        <f>IFERROR(__xludf.DUMMYFUNCTION("""COMPUTED_VALUE"""),100.0)</f>
        <v>100</v>
      </c>
      <c r="D1011" s="7">
        <f>IFERROR(__xludf.DUMMYFUNCTION("""COMPUTED_VALUE"""),3.1)</f>
        <v>3.1</v>
      </c>
      <c r="E1011" s="16">
        <f>IFERROR(__xludf.DUMMYFUNCTION("""COMPUTED_VALUE"""),4.3)</f>
        <v>4.3</v>
      </c>
      <c r="F1011" s="16">
        <f>IFERROR(__xludf.DUMMYFUNCTION("""COMPUTED_VALUE"""),10.0)</f>
        <v>10</v>
      </c>
      <c r="G1011" s="16">
        <f>IFERROR(__xludf.DUMMYFUNCTION("""COMPUTED_VALUE"""),0.0)</f>
        <v>0</v>
      </c>
      <c r="H1011" s="16">
        <f>IFERROR(__xludf.DUMMYFUNCTION("""COMPUTED_VALUE"""),119.6)</f>
        <v>119.6</v>
      </c>
    </row>
    <row r="1012">
      <c r="A1012" s="16" t="str">
        <f>IFERROR(__xludf.DUMMYFUNCTION("""COMPUTED_VALUE"""),"Млечни")</f>
        <v>Млечни</v>
      </c>
      <c r="B1012" s="7" t="str">
        <f>IFERROR(__xludf.DUMMYFUNCTION("""COMPUTED_VALUE"""),"Протеинова напитка ванилия -""Edeka""-Gut &amp; Günstig")</f>
        <v>Протеинова напитка ванилия -"Edeka"-Gut &amp; Günstig</v>
      </c>
      <c r="C1012" s="12">
        <f>IFERROR(__xludf.DUMMYFUNCTION("""COMPUTED_VALUE"""),100.0)</f>
        <v>100</v>
      </c>
      <c r="D1012" s="7">
        <f>IFERROR(__xludf.DUMMYFUNCTION("""COMPUTED_VALUE"""),6.8)</f>
        <v>6.8</v>
      </c>
      <c r="E1012" s="16">
        <f>IFERROR(__xludf.DUMMYFUNCTION("""COMPUTED_VALUE"""),10.2)</f>
        <v>10.2</v>
      </c>
      <c r="F1012" s="16">
        <f>IFERROR(__xludf.DUMMYFUNCTION("""COMPUTED_VALUE"""),1.4)</f>
        <v>1.4</v>
      </c>
      <c r="G1012" s="16">
        <f>IFERROR(__xludf.DUMMYFUNCTION("""COMPUTED_VALUE"""),0.0)</f>
        <v>0</v>
      </c>
      <c r="H1012" s="16">
        <f>IFERROR(__xludf.DUMMYFUNCTION("""COMPUTED_VALUE"""),80.6)</f>
        <v>80.6</v>
      </c>
    </row>
    <row r="1013">
      <c r="A1013" s="16" t="str">
        <f>IFERROR(__xludf.DUMMYFUNCTION("""COMPUTED_VALUE"""),"Млечни")</f>
        <v>Млечни</v>
      </c>
      <c r="B1013" s="7" t="str">
        <f>IFERROR(__xludf.DUMMYFUNCTION("""COMPUTED_VALUE"""),"HIGH PROTEIN Caramel pudding Ehrmann")</f>
        <v>HIGH PROTEIN Caramel pudding Ehrmann</v>
      </c>
      <c r="C1013" s="12">
        <f>IFERROR(__xludf.DUMMYFUNCTION("""COMPUTED_VALUE"""),100.0)</f>
        <v>100</v>
      </c>
      <c r="D1013" s="7">
        <f>IFERROR(__xludf.DUMMYFUNCTION("""COMPUTED_VALUE"""),10.0)</f>
        <v>10</v>
      </c>
      <c r="E1013" s="16">
        <f>IFERROR(__xludf.DUMMYFUNCTION("""COMPUTED_VALUE"""),5.5)</f>
        <v>5.5</v>
      </c>
      <c r="F1013" s="16">
        <f>IFERROR(__xludf.DUMMYFUNCTION("""COMPUTED_VALUE"""),1.5)</f>
        <v>1.5</v>
      </c>
      <c r="G1013" s="16">
        <f>IFERROR(__xludf.DUMMYFUNCTION("""COMPUTED_VALUE"""),0.0)</f>
        <v>0</v>
      </c>
      <c r="H1013" s="16">
        <f>IFERROR(__xludf.DUMMYFUNCTION("""COMPUTED_VALUE"""),75.5)</f>
        <v>75.5</v>
      </c>
    </row>
    <row r="1014">
      <c r="A1014" s="16" t="str">
        <f>IFERROR(__xludf.DUMMYFUNCTION("""COMPUTED_VALUE"""),"Млечни")</f>
        <v>Млечни</v>
      </c>
      <c r="B1014" s="7" t="str">
        <f>IFERROR(__xludf.DUMMYFUNCTION("""COMPUTED_VALUE"""),"Нискомасшена извара Albe (Al Campo)")</f>
        <v>Нискомасшена извара Albe (Al Campo)</v>
      </c>
      <c r="C1014" s="12">
        <f>IFERROR(__xludf.DUMMYFUNCTION("""COMPUTED_VALUE"""),100.0)</f>
        <v>100</v>
      </c>
      <c r="D1014" s="7">
        <f>IFERROR(__xludf.DUMMYFUNCTION("""COMPUTED_VALUE"""),10.0)</f>
        <v>10</v>
      </c>
      <c r="E1014" s="16">
        <f>IFERROR(__xludf.DUMMYFUNCTION("""COMPUTED_VALUE"""),3.0)</f>
        <v>3</v>
      </c>
      <c r="F1014" s="16">
        <f>IFERROR(__xludf.DUMMYFUNCTION("""COMPUTED_VALUE"""),2.0)</f>
        <v>2</v>
      </c>
      <c r="G1014" s="16">
        <f>IFERROR(__xludf.DUMMYFUNCTION("""COMPUTED_VALUE"""),0.0)</f>
        <v>0</v>
      </c>
      <c r="H1014" s="16">
        <f>IFERROR(__xludf.DUMMYFUNCTION("""COMPUTED_VALUE"""),70.0)</f>
        <v>70</v>
      </c>
    </row>
    <row r="1015">
      <c r="A1015" s="16" t="str">
        <f>IFERROR(__xludf.DUMMYFUNCTION("""COMPUTED_VALUE"""),"Млечни")</f>
        <v>Млечни</v>
      </c>
      <c r="B1015" s="7" t="str">
        <f>IFERROR(__xludf.DUMMYFUNCTION("""COMPUTED_VALUE"""),"Котидж Сирене 4% Arla (Mercadona)")</f>
        <v>Котидж Сирене 4% Arla (Mercadona)</v>
      </c>
      <c r="C1015" s="12">
        <f>IFERROR(__xludf.DUMMYFUNCTION("""COMPUTED_VALUE"""),100.0)</f>
        <v>100</v>
      </c>
      <c r="D1015" s="7">
        <f>IFERROR(__xludf.DUMMYFUNCTION("""COMPUTED_VALUE"""),14.0)</f>
        <v>14</v>
      </c>
      <c r="E1015" s="16">
        <f>IFERROR(__xludf.DUMMYFUNCTION("""COMPUTED_VALUE"""),1.8)</f>
        <v>1.8</v>
      </c>
      <c r="F1015" s="16">
        <f>IFERROR(__xludf.DUMMYFUNCTION("""COMPUTED_VALUE"""),4.0)</f>
        <v>4</v>
      </c>
      <c r="G1015" s="16">
        <f>IFERROR(__xludf.DUMMYFUNCTION("""COMPUTED_VALUE"""),0.0)</f>
        <v>0</v>
      </c>
      <c r="H1015" s="16">
        <f>IFERROR(__xludf.DUMMYFUNCTION("""COMPUTED_VALUE"""),99.2)</f>
        <v>99.2</v>
      </c>
    </row>
    <row r="1016">
      <c r="A1016" s="16" t="str">
        <f>IFERROR(__xludf.DUMMYFUNCTION("""COMPUTED_VALUE"""),"Млечни")</f>
        <v>Млечни</v>
      </c>
      <c r="B1016" s="7" t="str">
        <f>IFERROR(__xludf.DUMMYFUNCTION("""COMPUTED_VALUE"""),"Нискомасшена извара Albe (Al Campo)")</f>
        <v>Нискомасшена извара Albe (Al Campo)</v>
      </c>
      <c r="C1016" s="12">
        <f>IFERROR(__xludf.DUMMYFUNCTION("""COMPUTED_VALUE"""),100.0)</f>
        <v>100</v>
      </c>
      <c r="D1016" s="7">
        <f>IFERROR(__xludf.DUMMYFUNCTION("""COMPUTED_VALUE"""),10.0)</f>
        <v>10</v>
      </c>
      <c r="E1016" s="16">
        <f>IFERROR(__xludf.DUMMYFUNCTION("""COMPUTED_VALUE"""),3.0)</f>
        <v>3</v>
      </c>
      <c r="F1016" s="16">
        <f>IFERROR(__xludf.DUMMYFUNCTION("""COMPUTED_VALUE"""),2.0)</f>
        <v>2</v>
      </c>
      <c r="G1016" s="16">
        <f>IFERROR(__xludf.DUMMYFUNCTION("""COMPUTED_VALUE"""),0.0)</f>
        <v>0</v>
      </c>
      <c r="H1016" s="16">
        <f>IFERROR(__xludf.DUMMYFUNCTION("""COMPUTED_VALUE"""),70.0)</f>
        <v>70</v>
      </c>
    </row>
    <row r="1017">
      <c r="A1017" s="16" t="str">
        <f>IFERROR(__xludf.DUMMYFUNCTION("""COMPUTED_VALUE"""),"Млечни")</f>
        <v>Млечни</v>
      </c>
      <c r="B1017" s="7" t="str">
        <f>IFERROR(__xludf.DUMMYFUNCTION("""COMPUTED_VALUE"""),"Кисело мляко 3.6% БДС - Бор Чвор")</f>
        <v>Кисело мляко 3.6% БДС - Бор Чвор</v>
      </c>
      <c r="C1017" s="12">
        <f>IFERROR(__xludf.DUMMYFUNCTION("""COMPUTED_VALUE"""),100.0)</f>
        <v>100</v>
      </c>
      <c r="D1017" s="7">
        <f>IFERROR(__xludf.DUMMYFUNCTION("""COMPUTED_VALUE"""),3.3)</f>
        <v>3.3</v>
      </c>
      <c r="E1017" s="16">
        <f>IFERROR(__xludf.DUMMYFUNCTION("""COMPUTED_VALUE"""),4.3)</f>
        <v>4.3</v>
      </c>
      <c r="F1017" s="16">
        <f>IFERROR(__xludf.DUMMYFUNCTION("""COMPUTED_VALUE"""),3.6)</f>
        <v>3.6</v>
      </c>
      <c r="G1017" s="16">
        <f>IFERROR(__xludf.DUMMYFUNCTION("""COMPUTED_VALUE"""),0.0)</f>
        <v>0</v>
      </c>
      <c r="H1017" s="16">
        <f>IFERROR(__xludf.DUMMYFUNCTION("""COMPUTED_VALUE"""),62.8)</f>
        <v>62.8</v>
      </c>
    </row>
    <row r="1018">
      <c r="A1018" s="16" t="str">
        <f>IFERROR(__xludf.DUMMYFUNCTION("""COMPUTED_VALUE"""),"Млечни")</f>
        <v>Млечни</v>
      </c>
      <c r="B1018" s="7" t="str">
        <f>IFERROR(__xludf.DUMMYFUNCTION("""COMPUTED_VALUE"""),"Кашкавал eatlean без лактоза, висок протеин")</f>
        <v>Кашкавал eatlean без лактоза, висок протеин</v>
      </c>
      <c r="C1018" s="12">
        <f>IFERROR(__xludf.DUMMYFUNCTION("""COMPUTED_VALUE"""),100.0)</f>
        <v>100</v>
      </c>
      <c r="D1018" s="7">
        <f>IFERROR(__xludf.DUMMYFUNCTION("""COMPUTED_VALUE"""),37.0)</f>
        <v>37</v>
      </c>
      <c r="E1018" s="16">
        <f>IFERROR(__xludf.DUMMYFUNCTION("""COMPUTED_VALUE"""),0.5)</f>
        <v>0.5</v>
      </c>
      <c r="F1018" s="16">
        <f>IFERROR(__xludf.DUMMYFUNCTION("""COMPUTED_VALUE"""),3.0)</f>
        <v>3</v>
      </c>
      <c r="G1018" s="16">
        <f>IFERROR(__xludf.DUMMYFUNCTION("""COMPUTED_VALUE"""),0.5)</f>
        <v>0.5</v>
      </c>
      <c r="H1018" s="16">
        <f>IFERROR(__xludf.DUMMYFUNCTION("""COMPUTED_VALUE"""),177.0)</f>
        <v>177</v>
      </c>
    </row>
    <row r="1019">
      <c r="A1019" s="16" t="str">
        <f>IFERROR(__xludf.DUMMYFUNCTION("""COMPUTED_VALUE"""),"Млечни")</f>
        <v>Млечни</v>
      </c>
      <c r="B1019" s="7" t="str">
        <f>IFERROR(__xludf.DUMMYFUNCTION("""COMPUTED_VALUE"""),"High Protein pudding Exquisa Шоколад")</f>
        <v>High Protein pudding Exquisa Шоколад</v>
      </c>
      <c r="C1019" s="12">
        <f>IFERROR(__xludf.DUMMYFUNCTION("""COMPUTED_VALUE"""),100.0)</f>
        <v>100</v>
      </c>
      <c r="D1019" s="7">
        <f>IFERROR(__xludf.DUMMYFUNCTION("""COMPUTED_VALUE"""),10.1)</f>
        <v>10.1</v>
      </c>
      <c r="E1019" s="16">
        <f>IFERROR(__xludf.DUMMYFUNCTION("""COMPUTED_VALUE"""),6.9)</f>
        <v>6.9</v>
      </c>
      <c r="F1019" s="16">
        <f>IFERROR(__xludf.DUMMYFUNCTION("""COMPUTED_VALUE"""),1.6)</f>
        <v>1.6</v>
      </c>
      <c r="G1019" s="16">
        <f>IFERROR(__xludf.DUMMYFUNCTION("""COMPUTED_VALUE"""),0.0)</f>
        <v>0</v>
      </c>
      <c r="H1019" s="16">
        <f>IFERROR(__xludf.DUMMYFUNCTION("""COMPUTED_VALUE"""),82.4)</f>
        <v>82.4</v>
      </c>
    </row>
    <row r="1020">
      <c r="A1020" s="16" t="str">
        <f>IFERROR(__xludf.DUMMYFUNCTION("""COMPUTED_VALUE"""),"Млечни")</f>
        <v>Млечни</v>
      </c>
      <c r="B1020" s="7" t="str">
        <f>IFERROR(__xludf.DUMMYFUNCTION("""COMPUTED_VALUE"""),"High Protein pudding Exquisa Ванилия")</f>
        <v>High Protein pudding Exquisa Ванилия</v>
      </c>
      <c r="C1020" s="12">
        <f>IFERROR(__xludf.DUMMYFUNCTION("""COMPUTED_VALUE"""),100.0)</f>
        <v>100</v>
      </c>
      <c r="D1020" s="7">
        <f>IFERROR(__xludf.DUMMYFUNCTION("""COMPUTED_VALUE"""),10.0)</f>
        <v>10</v>
      </c>
      <c r="E1020" s="16">
        <f>IFERROR(__xludf.DUMMYFUNCTION("""COMPUTED_VALUE"""),7.9)</f>
        <v>7.9</v>
      </c>
      <c r="F1020" s="16">
        <f>IFERROR(__xludf.DUMMYFUNCTION("""COMPUTED_VALUE"""),1.4)</f>
        <v>1.4</v>
      </c>
      <c r="G1020" s="16">
        <f>IFERROR(__xludf.DUMMYFUNCTION("""COMPUTED_VALUE"""),0.0)</f>
        <v>0</v>
      </c>
      <c r="H1020" s="16">
        <f>IFERROR(__xludf.DUMMYFUNCTION("""COMPUTED_VALUE"""),84.19999999999999)</f>
        <v>84.2</v>
      </c>
    </row>
    <row r="1021">
      <c r="A1021" s="16" t="str">
        <f>IFERROR(__xludf.DUMMYFUNCTION("""COMPUTED_VALUE"""),"Млечни")</f>
        <v>Млечни</v>
      </c>
      <c r="B1021" s="7" t="str">
        <f>IFERROR(__xludf.DUMMYFUNCTION("""COMPUTED_VALUE"""),"High Protein Chocolate Flavour Pudding")</f>
        <v>High Protein Chocolate Flavour Pudding</v>
      </c>
      <c r="C1021" s="12">
        <f>IFERROR(__xludf.DUMMYFUNCTION("""COMPUTED_VALUE"""),100.0)</f>
        <v>100</v>
      </c>
      <c r="D1021" s="7">
        <f>IFERROR(__xludf.DUMMYFUNCTION("""COMPUTED_VALUE"""),10.0)</f>
        <v>10</v>
      </c>
      <c r="E1021" s="16">
        <f>IFERROR(__xludf.DUMMYFUNCTION("""COMPUTED_VALUE"""),5.2)</f>
        <v>5.2</v>
      </c>
      <c r="F1021" s="16">
        <f>IFERROR(__xludf.DUMMYFUNCTION("""COMPUTED_VALUE"""),1.5)</f>
        <v>1.5</v>
      </c>
      <c r="G1021" s="16">
        <f>IFERROR(__xludf.DUMMYFUNCTION("""COMPUTED_VALUE"""),0.0)</f>
        <v>0</v>
      </c>
      <c r="H1021" s="16">
        <f>IFERROR(__xludf.DUMMYFUNCTION("""COMPUTED_VALUE"""),74.3)</f>
        <v>74.3</v>
      </c>
    </row>
    <row r="1022">
      <c r="A1022" s="16" t="str">
        <f>IFERROR(__xludf.DUMMYFUNCTION("""COMPUTED_VALUE"""),"Млечни")</f>
        <v>Млечни</v>
      </c>
      <c r="B1022" s="7" t="str">
        <f>IFERROR(__xludf.DUMMYFUNCTION("""COMPUTED_VALUE"""),"Прясно Мляко пълномаслено Масларски")</f>
        <v>Прясно Мляко пълномаслено Масларски</v>
      </c>
      <c r="C1022" s="12">
        <f>IFERROR(__xludf.DUMMYFUNCTION("""COMPUTED_VALUE"""),100.0)</f>
        <v>100</v>
      </c>
      <c r="D1022" s="7">
        <f>IFERROR(__xludf.DUMMYFUNCTION("""COMPUTED_VALUE"""),3.1)</f>
        <v>3.1</v>
      </c>
      <c r="E1022" s="16">
        <f>IFERROR(__xludf.DUMMYFUNCTION("""COMPUTED_VALUE"""),4.7)</f>
        <v>4.7</v>
      </c>
      <c r="F1022" s="16">
        <f>IFERROR(__xludf.DUMMYFUNCTION("""COMPUTED_VALUE"""),3.7)</f>
        <v>3.7</v>
      </c>
      <c r="G1022" s="16">
        <f>IFERROR(__xludf.DUMMYFUNCTION("""COMPUTED_VALUE"""),0.0)</f>
        <v>0</v>
      </c>
      <c r="H1022" s="16">
        <f>IFERROR(__xludf.DUMMYFUNCTION("""COMPUTED_VALUE"""),64.5)</f>
        <v>64.5</v>
      </c>
    </row>
    <row r="1023">
      <c r="A1023" s="16" t="str">
        <f>IFERROR(__xludf.DUMMYFUNCTION("""COMPUTED_VALUE"""),"Млечни")</f>
        <v>Млечни</v>
      </c>
      <c r="B1023" s="7" t="str">
        <f>IFERROR(__xludf.DUMMYFUNCTION("""COMPUTED_VALUE"""),"High protein vanille Drink (Lidl)")</f>
        <v>High protein vanille Drink (Lidl)</v>
      </c>
      <c r="C1023" s="12">
        <f>IFERROR(__xludf.DUMMYFUNCTION("""COMPUTED_VALUE"""),100.0)</f>
        <v>100</v>
      </c>
      <c r="D1023" s="7">
        <f>IFERROR(__xludf.DUMMYFUNCTION("""COMPUTED_VALUE"""),10.0)</f>
        <v>10</v>
      </c>
      <c r="E1023" s="16">
        <f>IFERROR(__xludf.DUMMYFUNCTION("""COMPUTED_VALUE"""),5.2)</f>
        <v>5.2</v>
      </c>
      <c r="F1023" s="16">
        <f>IFERROR(__xludf.DUMMYFUNCTION("""COMPUTED_VALUE"""),0.5)</f>
        <v>0.5</v>
      </c>
      <c r="G1023" s="16">
        <f>IFERROR(__xludf.DUMMYFUNCTION("""COMPUTED_VALUE"""),0.0)</f>
        <v>0</v>
      </c>
      <c r="H1023" s="16">
        <f>IFERROR(__xludf.DUMMYFUNCTION("""COMPUTED_VALUE"""),65.3)</f>
        <v>65.3</v>
      </c>
    </row>
    <row r="1024">
      <c r="A1024" s="16" t="str">
        <f>IFERROR(__xludf.DUMMYFUNCTION("""COMPUTED_VALUE"""),"Млечни")</f>
        <v>Млечни</v>
      </c>
      <c r="B1024" s="7" t="str">
        <f>IFERROR(__xludf.DUMMYFUNCTION("""COMPUTED_VALUE"""),"Ali &amp; Fines herbes")</f>
        <v>Ali &amp; Fines herbes</v>
      </c>
      <c r="C1024" s="12">
        <f>IFERROR(__xludf.DUMMYFUNCTION("""COMPUTED_VALUE"""),100.0)</f>
        <v>100</v>
      </c>
      <c r="D1024" s="7">
        <f>IFERROR(__xludf.DUMMYFUNCTION("""COMPUTED_VALUE"""),7.0)</f>
        <v>7</v>
      </c>
      <c r="E1024" s="16">
        <f>IFERROR(__xludf.DUMMYFUNCTION("""COMPUTED_VALUE"""),2.3)</f>
        <v>2.3</v>
      </c>
      <c r="F1024" s="16">
        <f>IFERROR(__xludf.DUMMYFUNCTION("""COMPUTED_VALUE"""),34.0)</f>
        <v>34</v>
      </c>
      <c r="G1024" s="16">
        <f>IFERROR(__xludf.DUMMYFUNCTION("""COMPUTED_VALUE"""),0.0)</f>
        <v>0</v>
      </c>
      <c r="H1024" s="16">
        <f>IFERROR(__xludf.DUMMYFUNCTION("""COMPUTED_VALUE"""),343.2)</f>
        <v>343.2</v>
      </c>
    </row>
    <row r="1025">
      <c r="A1025" s="16" t="str">
        <f>IFERROR(__xludf.DUMMYFUNCTION("""COMPUTED_VALUE"""),"Млечни")</f>
        <v>Млечни</v>
      </c>
      <c r="B1025" s="7" t="str">
        <f>IFERROR(__xludf.DUMMYFUNCTION("""COMPUTED_VALUE"""),"Топено сирене Smoret")</f>
        <v>Топено сирене Smoret</v>
      </c>
      <c r="C1025" s="12">
        <f>IFERROR(__xludf.DUMMYFUNCTION("""COMPUTED_VALUE"""),100.0)</f>
        <v>100</v>
      </c>
      <c r="D1025" s="7">
        <f>IFERROR(__xludf.DUMMYFUNCTION("""COMPUTED_VALUE"""),8.3)</f>
        <v>8.3</v>
      </c>
      <c r="E1025" s="16">
        <f>IFERROR(__xludf.DUMMYFUNCTION("""COMPUTED_VALUE"""),3.0)</f>
        <v>3</v>
      </c>
      <c r="F1025" s="16">
        <f>IFERROR(__xludf.DUMMYFUNCTION("""COMPUTED_VALUE"""),17.8)</f>
        <v>17.8</v>
      </c>
      <c r="G1025" s="16">
        <f>IFERROR(__xludf.DUMMYFUNCTION("""COMPUTED_VALUE"""),0.0)</f>
        <v>0</v>
      </c>
      <c r="H1025" s="16">
        <f>IFERROR(__xludf.DUMMYFUNCTION("""COMPUTED_VALUE"""),205.40000000000003)</f>
        <v>205.4</v>
      </c>
    </row>
    <row r="1026">
      <c r="A1026" s="16" t="str">
        <f>IFERROR(__xludf.DUMMYFUNCTION("""COMPUTED_VALUE"""),"Млечни")</f>
        <v>Млечни</v>
      </c>
      <c r="B1026" s="7" t="str">
        <f>IFERROR(__xludf.DUMMYFUNCTION("""COMPUTED_VALUE"""),"Овче сирене LACRIMA")</f>
        <v>Овче сирене LACRIMA</v>
      </c>
      <c r="C1026" s="12">
        <f>IFERROR(__xludf.DUMMYFUNCTION("""COMPUTED_VALUE"""),100.0)</f>
        <v>100</v>
      </c>
      <c r="D1026" s="7">
        <f>IFERROR(__xludf.DUMMYFUNCTION("""COMPUTED_VALUE"""),22.0)</f>
        <v>22</v>
      </c>
      <c r="E1026" s="16">
        <f>IFERROR(__xludf.DUMMYFUNCTION("""COMPUTED_VALUE"""),0.5)</f>
        <v>0.5</v>
      </c>
      <c r="F1026" s="16">
        <f>IFERROR(__xludf.DUMMYFUNCTION("""COMPUTED_VALUE"""),24.0)</f>
        <v>24</v>
      </c>
      <c r="G1026" s="16">
        <f>IFERROR(__xludf.DUMMYFUNCTION("""COMPUTED_VALUE"""),0.0)</f>
        <v>0</v>
      </c>
      <c r="H1026" s="16">
        <f>IFERROR(__xludf.DUMMYFUNCTION("""COMPUTED_VALUE"""),306.0)</f>
        <v>306</v>
      </c>
    </row>
    <row r="1027">
      <c r="A1027" s="16" t="str">
        <f>IFERROR(__xludf.DUMMYFUNCTION("""COMPUTED_VALUE"""),"Млечни")</f>
        <v>Млечни</v>
      </c>
      <c r="B1027" s="7" t="str">
        <f>IFERROR(__xludf.DUMMYFUNCTION("""COMPUTED_VALUE"""),"Извара Ситово")</f>
        <v>Извара Ситово</v>
      </c>
      <c r="C1027" s="12">
        <f>IFERROR(__xludf.DUMMYFUNCTION("""COMPUTED_VALUE"""),100.0)</f>
        <v>100</v>
      </c>
      <c r="D1027" s="7">
        <f>IFERROR(__xludf.DUMMYFUNCTION("""COMPUTED_VALUE"""),15.0)</f>
        <v>15</v>
      </c>
      <c r="E1027" s="16">
        <f>IFERROR(__xludf.DUMMYFUNCTION("""COMPUTED_VALUE"""),3.3)</f>
        <v>3.3</v>
      </c>
      <c r="F1027" s="16">
        <f>IFERROR(__xludf.DUMMYFUNCTION("""COMPUTED_VALUE"""),9.0)</f>
        <v>9</v>
      </c>
      <c r="G1027" s="16">
        <f>IFERROR(__xludf.DUMMYFUNCTION("""COMPUTED_VALUE"""),0.0)</f>
        <v>0</v>
      </c>
      <c r="H1027" s="16">
        <f>IFERROR(__xludf.DUMMYFUNCTION("""COMPUTED_VALUE"""),154.2)</f>
        <v>154.2</v>
      </c>
    </row>
    <row r="1028">
      <c r="A1028" s="16" t="str">
        <f>IFERROR(__xludf.DUMMYFUNCTION("""COMPUTED_VALUE"""),"Млечни")</f>
        <v>Млечни</v>
      </c>
      <c r="B1028" s="7" t="str">
        <f>IFERROR(__xludf.DUMMYFUNCTION("""COMPUTED_VALUE"""),"Киндер")</f>
        <v>Киндер</v>
      </c>
      <c r="C1028" s="12">
        <f>IFERROR(__xludf.DUMMYFUNCTION("""COMPUTED_VALUE"""),100.0)</f>
        <v>100</v>
      </c>
      <c r="D1028" s="7">
        <f>IFERROR(__xludf.DUMMYFUNCTION("""COMPUTED_VALUE"""),8.7)</f>
        <v>8.7</v>
      </c>
      <c r="E1028" s="16">
        <f>IFERROR(__xludf.DUMMYFUNCTION("""COMPUTED_VALUE"""),53.5)</f>
        <v>53.5</v>
      </c>
      <c r="F1028" s="16">
        <f>IFERROR(__xludf.DUMMYFUNCTION("""COMPUTED_VALUE"""),35.0)</f>
        <v>35</v>
      </c>
      <c r="G1028" s="16">
        <f>IFERROR(__xludf.DUMMYFUNCTION("""COMPUTED_VALUE"""),0.0)</f>
        <v>0</v>
      </c>
      <c r="H1028" s="16">
        <f>IFERROR(__xludf.DUMMYFUNCTION("""COMPUTED_VALUE"""),563.8)</f>
        <v>563.8</v>
      </c>
    </row>
    <row r="1029">
      <c r="A1029" s="16" t="str">
        <f>IFERROR(__xludf.DUMMYFUNCTION("""COMPUTED_VALUE"""),"Млечни")</f>
        <v>Млечни</v>
      </c>
      <c r="B1029" s="7" t="str">
        <f>IFERROR(__xludf.DUMMYFUNCTION("""COMPUTED_VALUE"""),"Кисело мляко Ведраре, овче, 6,5%")</f>
        <v>Кисело мляко Ведраре, овче, 6,5%</v>
      </c>
      <c r="C1029" s="12">
        <f>IFERROR(__xludf.DUMMYFUNCTION("""COMPUTED_VALUE"""),100.0)</f>
        <v>100</v>
      </c>
      <c r="D1029" s="7">
        <f>IFERROR(__xludf.DUMMYFUNCTION("""COMPUTED_VALUE"""),5.2)</f>
        <v>5.2</v>
      </c>
      <c r="E1029" s="16">
        <f>IFERROR(__xludf.DUMMYFUNCTION("""COMPUTED_VALUE"""),4.2)</f>
        <v>4.2</v>
      </c>
      <c r="F1029" s="16">
        <f>IFERROR(__xludf.DUMMYFUNCTION("""COMPUTED_VALUE"""),6.5)</f>
        <v>6.5</v>
      </c>
      <c r="G1029" s="16">
        <f>IFERROR(__xludf.DUMMYFUNCTION("""COMPUTED_VALUE"""),0.0)</f>
        <v>0</v>
      </c>
      <c r="H1029" s="16">
        <f>IFERROR(__xludf.DUMMYFUNCTION("""COMPUTED_VALUE"""),96.1)</f>
        <v>96.1</v>
      </c>
    </row>
    <row r="1030">
      <c r="A1030" s="16" t="str">
        <f>IFERROR(__xludf.DUMMYFUNCTION("""COMPUTED_VALUE"""),"Млечни")</f>
        <v>Млечни</v>
      </c>
      <c r="B1030" s="7" t="str">
        <f>IFERROR(__xludf.DUMMYFUNCTION("""COMPUTED_VALUE"""),"Quarkcreme Chokolate Chios MinusL без лактоза")</f>
        <v>Quarkcreme Chokolate Chios MinusL без лактоза</v>
      </c>
      <c r="C1030" s="12">
        <f>IFERROR(__xludf.DUMMYFUNCTION("""COMPUTED_VALUE"""),100.0)</f>
        <v>100</v>
      </c>
      <c r="D1030" s="7">
        <f>IFERROR(__xludf.DUMMYFUNCTION("""COMPUTED_VALUE"""),7.2)</f>
        <v>7.2</v>
      </c>
      <c r="E1030" s="16">
        <f>IFERROR(__xludf.DUMMYFUNCTION("""COMPUTED_VALUE"""),9.8)</f>
        <v>9.8</v>
      </c>
      <c r="F1030" s="16">
        <f>IFERROR(__xludf.DUMMYFUNCTION("""COMPUTED_VALUE"""),2.1)</f>
        <v>2.1</v>
      </c>
      <c r="G1030" s="16">
        <f>IFERROR(__xludf.DUMMYFUNCTION("""COMPUTED_VALUE"""),0.0)</f>
        <v>0</v>
      </c>
      <c r="H1030" s="16">
        <f>IFERROR(__xludf.DUMMYFUNCTION("""COMPUTED_VALUE"""),86.9)</f>
        <v>86.9</v>
      </c>
    </row>
    <row r="1031">
      <c r="A1031" s="16" t="str">
        <f>IFERROR(__xludf.DUMMYFUNCTION("""COMPUTED_VALUE"""),"Млечни")</f>
        <v>Млечни</v>
      </c>
      <c r="B1031" s="7" t="str">
        <f>IFERROR(__xludf.DUMMYFUNCTION("""COMPUTED_VALUE"""),"Скир Arla Low Fat")</f>
        <v>Скир Arla Low Fat</v>
      </c>
      <c r="C1031" s="12">
        <f>IFERROR(__xludf.DUMMYFUNCTION("""COMPUTED_VALUE"""),100.0)</f>
        <v>100</v>
      </c>
      <c r="D1031" s="7">
        <f>IFERROR(__xludf.DUMMYFUNCTION("""COMPUTED_VALUE"""),10.6)</f>
        <v>10.6</v>
      </c>
      <c r="E1031" s="16">
        <f>IFERROR(__xludf.DUMMYFUNCTION("""COMPUTED_VALUE"""),4.0)</f>
        <v>4</v>
      </c>
      <c r="F1031" s="16">
        <f>IFERROR(__xludf.DUMMYFUNCTION("""COMPUTED_VALUE"""),0.5)</f>
        <v>0.5</v>
      </c>
      <c r="G1031" s="16">
        <f>IFERROR(__xludf.DUMMYFUNCTION("""COMPUTED_VALUE"""),0.0)</f>
        <v>0</v>
      </c>
      <c r="H1031" s="16">
        <f>IFERROR(__xludf.DUMMYFUNCTION("""COMPUTED_VALUE"""),62.9)</f>
        <v>62.9</v>
      </c>
    </row>
    <row r="1032">
      <c r="A1032" s="16" t="str">
        <f>IFERROR(__xludf.DUMMYFUNCTION("""COMPUTED_VALUE"""),"Млечни")</f>
        <v>Млечни</v>
      </c>
      <c r="B1032" s="7" t="str">
        <f>IFERROR(__xludf.DUMMYFUNCTION("""COMPUTED_VALUE"""),"Плодово кисело мляко")</f>
        <v>Плодово кисело мляко</v>
      </c>
      <c r="C1032" s="12">
        <f>IFERROR(__xludf.DUMMYFUNCTION("""COMPUTED_VALUE"""),100.0)</f>
        <v>100</v>
      </c>
      <c r="D1032" s="7">
        <f>IFERROR(__xludf.DUMMYFUNCTION("""COMPUTED_VALUE"""),3.6)</f>
        <v>3.6</v>
      </c>
      <c r="E1032" s="16">
        <f>IFERROR(__xludf.DUMMYFUNCTION("""COMPUTED_VALUE"""),12.8)</f>
        <v>12.8</v>
      </c>
      <c r="F1032" s="16">
        <f>IFERROR(__xludf.DUMMYFUNCTION("""COMPUTED_VALUE"""),1.4)</f>
        <v>1.4</v>
      </c>
      <c r="G1032" s="16">
        <f>IFERROR(__xludf.DUMMYFUNCTION("""COMPUTED_VALUE"""),0.0)</f>
        <v>0</v>
      </c>
      <c r="H1032" s="16">
        <f>IFERROR(__xludf.DUMMYFUNCTION("""COMPUTED_VALUE"""),78.2)</f>
        <v>78.2</v>
      </c>
    </row>
    <row r="1033">
      <c r="A1033" s="16" t="str">
        <f>IFERROR(__xludf.DUMMYFUNCTION("""COMPUTED_VALUE"""),"Млечни")</f>
        <v>Млечни</v>
      </c>
      <c r="B1033" s="7" t="str">
        <f>IFERROR(__xludf.DUMMYFUNCTION("""COMPUTED_VALUE"""),"Quark Creme Natut MinusL - без лактоза")</f>
        <v>Quark Creme Natut MinusL - без лактоза</v>
      </c>
      <c r="C1033" s="12">
        <f>IFERROR(__xludf.DUMMYFUNCTION("""COMPUTED_VALUE"""),100.0)</f>
        <v>100</v>
      </c>
      <c r="D1033" s="7">
        <f>IFERROR(__xludf.DUMMYFUNCTION("""COMPUTED_VALUE"""),8.4)</f>
        <v>8.4</v>
      </c>
      <c r="E1033" s="16">
        <f>IFERROR(__xludf.DUMMYFUNCTION("""COMPUTED_VALUE"""),3.4)</f>
        <v>3.4</v>
      </c>
      <c r="F1033" s="16">
        <f>IFERROR(__xludf.DUMMYFUNCTION("""COMPUTED_VALUE"""),0.2)</f>
        <v>0.2</v>
      </c>
      <c r="G1033" s="16">
        <f>IFERROR(__xludf.DUMMYFUNCTION("""COMPUTED_VALUE"""),0.0)</f>
        <v>0</v>
      </c>
      <c r="H1033" s="16">
        <f>IFERROR(__xludf.DUMMYFUNCTION("""COMPUTED_VALUE"""),49.0)</f>
        <v>49</v>
      </c>
    </row>
    <row r="1034">
      <c r="A1034" s="16" t="str">
        <f>IFERROR(__xludf.DUMMYFUNCTION("""COMPUTED_VALUE"""),"Млечни")</f>
        <v>Млечни</v>
      </c>
      <c r="B1034" s="7" t="str">
        <f>IFERROR(__xludf.DUMMYFUNCTION("""COMPUTED_VALUE"""),"Скир Arla Low Fat Strawberry")</f>
        <v>Скир Arla Low Fat Strawberry</v>
      </c>
      <c r="C1034" s="12">
        <f>IFERROR(__xludf.DUMMYFUNCTION("""COMPUTED_VALUE"""),100.0)</f>
        <v>100</v>
      </c>
      <c r="D1034" s="7">
        <f>IFERROR(__xludf.DUMMYFUNCTION("""COMPUTED_VALUE"""),9.3)</f>
        <v>9.3</v>
      </c>
      <c r="E1034" s="16">
        <f>IFERROR(__xludf.DUMMYFUNCTION("""COMPUTED_VALUE"""),7.4)</f>
        <v>7.4</v>
      </c>
      <c r="F1034" s="16">
        <f>IFERROR(__xludf.DUMMYFUNCTION("""COMPUTED_VALUE"""),0.5)</f>
        <v>0.5</v>
      </c>
      <c r="G1034" s="16">
        <f>IFERROR(__xludf.DUMMYFUNCTION("""COMPUTED_VALUE"""),0.1)</f>
        <v>0.1</v>
      </c>
      <c r="H1034" s="16">
        <f>IFERROR(__xludf.DUMMYFUNCTION("""COMPUTED_VALUE"""),71.30000000000001)</f>
        <v>71.3</v>
      </c>
    </row>
    <row r="1035">
      <c r="A1035" s="16" t="str">
        <f>IFERROR(__xludf.DUMMYFUNCTION("""COMPUTED_VALUE"""),"Млечни")</f>
        <v>Млечни</v>
      </c>
      <c r="B1035" s="7" t="str">
        <f>IFERROR(__xludf.DUMMYFUNCTION("""COMPUTED_VALUE"""),"Йогурт Олимпус пълномаслен")</f>
        <v>Йогурт Олимпус пълномаслен</v>
      </c>
      <c r="C1035" s="12">
        <f>IFERROR(__xludf.DUMMYFUNCTION("""COMPUTED_VALUE"""),100.0)</f>
        <v>100</v>
      </c>
      <c r="D1035" s="7">
        <f>IFERROR(__xludf.DUMMYFUNCTION("""COMPUTED_VALUE"""),6.5)</f>
        <v>6.5</v>
      </c>
      <c r="E1035" s="16">
        <f>IFERROR(__xludf.DUMMYFUNCTION("""COMPUTED_VALUE"""),4.0)</f>
        <v>4</v>
      </c>
      <c r="F1035" s="16">
        <f>IFERROR(__xludf.DUMMYFUNCTION("""COMPUTED_VALUE"""),10.0)</f>
        <v>10</v>
      </c>
      <c r="G1035" s="16">
        <f>IFERROR(__xludf.DUMMYFUNCTION("""COMPUTED_VALUE"""),0.0)</f>
        <v>0</v>
      </c>
      <c r="H1035" s="16">
        <f>IFERROR(__xludf.DUMMYFUNCTION("""COMPUTED_VALUE"""),132.0)</f>
        <v>132</v>
      </c>
    </row>
    <row r="1036">
      <c r="A1036" s="16" t="str">
        <f>IFERROR(__xludf.DUMMYFUNCTION("""COMPUTED_VALUE"""),"Млечни")</f>
        <v>Млечни</v>
      </c>
      <c r="B1036" s="7" t="str">
        <f>IFERROR(__xludf.DUMMYFUNCTION("""COMPUTED_VALUE"""),"Arla Protein Blueberry Yogurt")</f>
        <v>Arla Protein Blueberry Yogurt</v>
      </c>
      <c r="C1036" s="12">
        <f>IFERROR(__xludf.DUMMYFUNCTION("""COMPUTED_VALUE"""),100.0)</f>
        <v>100</v>
      </c>
      <c r="D1036" s="7">
        <f>IFERROR(__xludf.DUMMYFUNCTION("""COMPUTED_VALUE"""),10.0)</f>
        <v>10</v>
      </c>
      <c r="E1036" s="16">
        <f>IFERROR(__xludf.DUMMYFUNCTION("""COMPUTED_VALUE"""),6.5)</f>
        <v>6.5</v>
      </c>
      <c r="F1036" s="16">
        <f>IFERROR(__xludf.DUMMYFUNCTION("""COMPUTED_VALUE"""),0.2)</f>
        <v>0.2</v>
      </c>
      <c r="G1036" s="16">
        <f>IFERROR(__xludf.DUMMYFUNCTION("""COMPUTED_VALUE"""),0.0)</f>
        <v>0</v>
      </c>
      <c r="H1036" s="16">
        <f>IFERROR(__xludf.DUMMYFUNCTION("""COMPUTED_VALUE"""),67.8)</f>
        <v>67.8</v>
      </c>
    </row>
    <row r="1037">
      <c r="A1037" s="16" t="str">
        <f>IFERROR(__xludf.DUMMYFUNCTION("""COMPUTED_VALUE"""),"Млечни")</f>
        <v>Млечни</v>
      </c>
      <c r="B1037" s="7" t="str">
        <f>IFERROR(__xludf.DUMMYFUNCTION("""COMPUTED_VALUE"""),"Arla Skyr Strawberry Yogurt")</f>
        <v>Arla Skyr Strawberry Yogurt</v>
      </c>
      <c r="C1037" s="12">
        <f>IFERROR(__xludf.DUMMYFUNCTION("""COMPUTED_VALUE"""),100.0)</f>
        <v>100</v>
      </c>
      <c r="D1037" s="7">
        <f>IFERROR(__xludf.DUMMYFUNCTION("""COMPUTED_VALUE"""),9.6)</f>
        <v>9.6</v>
      </c>
      <c r="E1037" s="16">
        <f>IFERROR(__xludf.DUMMYFUNCTION("""COMPUTED_VALUE"""),7.4)</f>
        <v>7.4</v>
      </c>
      <c r="F1037" s="16">
        <f>IFERROR(__xludf.DUMMYFUNCTION("""COMPUTED_VALUE"""),0.5)</f>
        <v>0.5</v>
      </c>
      <c r="G1037" s="16">
        <f>IFERROR(__xludf.DUMMYFUNCTION("""COMPUTED_VALUE"""),0.1)</f>
        <v>0.1</v>
      </c>
      <c r="H1037" s="16">
        <f>IFERROR(__xludf.DUMMYFUNCTION("""COMPUTED_VALUE"""),72.5)</f>
        <v>72.5</v>
      </c>
    </row>
    <row r="1038">
      <c r="A1038" s="16" t="str">
        <f>IFERROR(__xludf.DUMMYFUNCTION("""COMPUTED_VALUE"""),"Млечни")</f>
        <v>Млечни</v>
      </c>
      <c r="B1038" s="7" t="str">
        <f>IFERROR(__xludf.DUMMYFUNCTION("""COMPUTED_VALUE"""),"High Protein Milk Product Различни плодови варианти")</f>
        <v>High Protein Milk Product Различни плодови варианти</v>
      </c>
      <c r="C1038" s="12">
        <f>IFERROR(__xludf.DUMMYFUNCTION("""COMPUTED_VALUE"""),100.0)</f>
        <v>100</v>
      </c>
      <c r="D1038" s="7">
        <f>IFERROR(__xludf.DUMMYFUNCTION("""COMPUTED_VALUE"""),10.0)</f>
        <v>10</v>
      </c>
      <c r="E1038" s="16">
        <f>IFERROR(__xludf.DUMMYFUNCTION("""COMPUTED_VALUE"""),6.0)</f>
        <v>6</v>
      </c>
      <c r="F1038" s="16">
        <f>IFERROR(__xludf.DUMMYFUNCTION("""COMPUTED_VALUE"""),0.3)</f>
        <v>0.3</v>
      </c>
      <c r="G1038" s="16">
        <f>IFERROR(__xludf.DUMMYFUNCTION("""COMPUTED_VALUE"""),0.0)</f>
        <v>0</v>
      </c>
      <c r="H1038" s="16">
        <f>IFERROR(__xludf.DUMMYFUNCTION("""COMPUTED_VALUE"""),66.7)</f>
        <v>66.7</v>
      </c>
    </row>
    <row r="1039">
      <c r="A1039" s="16" t="str">
        <f>IFERROR(__xludf.DUMMYFUNCTION("""COMPUTED_VALUE"""),"Млечни")</f>
        <v>Млечни</v>
      </c>
      <c r="B1039" s="7" t="str">
        <f>IFERROR(__xludf.DUMMYFUNCTION("""COMPUTED_VALUE"""),"Скир с мед  MILSANI")</f>
        <v>Скир с мед  MILSANI</v>
      </c>
      <c r="C1039" s="12">
        <f>IFERROR(__xludf.DUMMYFUNCTION("""COMPUTED_VALUE"""),100.0)</f>
        <v>100</v>
      </c>
      <c r="D1039" s="7">
        <f>IFERROR(__xludf.DUMMYFUNCTION("""COMPUTED_VALUE"""),8.9)</f>
        <v>8.9</v>
      </c>
      <c r="E1039" s="16">
        <f>IFERROR(__xludf.DUMMYFUNCTION("""COMPUTED_VALUE"""),11.0)</f>
        <v>11</v>
      </c>
      <c r="F1039" s="16">
        <f>IFERROR(__xludf.DUMMYFUNCTION("""COMPUTED_VALUE"""),0.5)</f>
        <v>0.5</v>
      </c>
      <c r="G1039" s="16">
        <f>IFERROR(__xludf.DUMMYFUNCTION("""COMPUTED_VALUE"""),0.0)</f>
        <v>0</v>
      </c>
      <c r="H1039" s="16">
        <f>IFERROR(__xludf.DUMMYFUNCTION("""COMPUTED_VALUE"""),84.1)</f>
        <v>84.1</v>
      </c>
    </row>
    <row r="1040">
      <c r="A1040" s="16" t="str">
        <f>IFERROR(__xludf.DUMMYFUNCTION("""COMPUTED_VALUE"""),"Млечни")</f>
        <v>Млечни</v>
      </c>
      <c r="B1040" s="7" t="str">
        <f>IFERROR(__xludf.DUMMYFUNCTION("""COMPUTED_VALUE"""),"Скир ягода кауфланд")</f>
        <v>Скир ягода кауфланд</v>
      </c>
      <c r="C1040" s="12">
        <f>IFERROR(__xludf.DUMMYFUNCTION("""COMPUTED_VALUE"""),100.0)</f>
        <v>100</v>
      </c>
      <c r="D1040" s="7">
        <f>IFERROR(__xludf.DUMMYFUNCTION("""COMPUTED_VALUE"""),8.8)</f>
        <v>8.8</v>
      </c>
      <c r="E1040" s="16">
        <f>IFERROR(__xludf.DUMMYFUNCTION("""COMPUTED_VALUE"""),8.7)</f>
        <v>8.7</v>
      </c>
      <c r="F1040" s="16">
        <f>IFERROR(__xludf.DUMMYFUNCTION("""COMPUTED_VALUE"""),0.5)</f>
        <v>0.5</v>
      </c>
      <c r="G1040" s="16">
        <f>IFERROR(__xludf.DUMMYFUNCTION("""COMPUTED_VALUE"""),0.5)</f>
        <v>0.5</v>
      </c>
      <c r="H1040" s="16">
        <f>IFERROR(__xludf.DUMMYFUNCTION("""COMPUTED_VALUE"""),74.5)</f>
        <v>74.5</v>
      </c>
    </row>
    <row r="1041">
      <c r="A1041" s="16" t="str">
        <f>IFERROR(__xludf.DUMMYFUNCTION("""COMPUTED_VALUE"""),"Млечни")</f>
        <v>Млечни</v>
      </c>
      <c r="B1041" s="7" t="str">
        <f>IFERROR(__xludf.DUMMYFUNCTION("""COMPUTED_VALUE"""),"Скир Bourbon Vanille Kaуфланд")</f>
        <v>Скир Bourbon Vanille Kaуфланд</v>
      </c>
      <c r="C1041" s="12">
        <f>IFERROR(__xludf.DUMMYFUNCTION("""COMPUTED_VALUE"""),100.0)</f>
        <v>100</v>
      </c>
      <c r="D1041" s="7">
        <f>IFERROR(__xludf.DUMMYFUNCTION("""COMPUTED_VALUE"""),8.8)</f>
        <v>8.8</v>
      </c>
      <c r="E1041" s="16">
        <f>IFERROR(__xludf.DUMMYFUNCTION("""COMPUTED_VALUE"""),9.5)</f>
        <v>9.5</v>
      </c>
      <c r="F1041" s="16">
        <f>IFERROR(__xludf.DUMMYFUNCTION("""COMPUTED_VALUE"""),0.5)</f>
        <v>0.5</v>
      </c>
      <c r="G1041" s="16">
        <f>IFERROR(__xludf.DUMMYFUNCTION("""COMPUTED_VALUE"""),0.0)</f>
        <v>0</v>
      </c>
      <c r="H1041" s="16">
        <f>IFERROR(__xludf.DUMMYFUNCTION("""COMPUTED_VALUE"""),77.7)</f>
        <v>77.7</v>
      </c>
    </row>
    <row r="1042">
      <c r="A1042" s="16" t="str">
        <f>IFERROR(__xludf.DUMMYFUNCTION("""COMPUTED_VALUE"""),"Млечни")</f>
        <v>Млечни</v>
      </c>
      <c r="B1042" s="7" t="str">
        <f>IFERROR(__xludf.DUMMYFUNCTION("""COMPUTED_VALUE"""),"Quark creme Natur HIGH Protein Kaufland")</f>
        <v>Quark creme Natur HIGH Protein Kaufland</v>
      </c>
      <c r="C1042" s="12">
        <f>IFERROR(__xludf.DUMMYFUNCTION("""COMPUTED_VALUE"""),100.0)</f>
        <v>100</v>
      </c>
      <c r="D1042" s="7">
        <f>IFERROR(__xludf.DUMMYFUNCTION("""COMPUTED_VALUE"""),13.8)</f>
        <v>13.8</v>
      </c>
      <c r="E1042" s="16">
        <f>IFERROR(__xludf.DUMMYFUNCTION("""COMPUTED_VALUE"""),2.8)</f>
        <v>2.8</v>
      </c>
      <c r="F1042" s="16">
        <f>IFERROR(__xludf.DUMMYFUNCTION("""COMPUTED_VALUE"""),0.4)</f>
        <v>0.4</v>
      </c>
      <c r="G1042" s="16">
        <f>IFERROR(__xludf.DUMMYFUNCTION("""COMPUTED_VALUE"""),0.0)</f>
        <v>0</v>
      </c>
      <c r="H1042" s="16">
        <f>IFERROR(__xludf.DUMMYFUNCTION("""COMPUTED_VALUE"""),70.0)</f>
        <v>70</v>
      </c>
    </row>
    <row r="1043">
      <c r="A1043" s="16" t="str">
        <f>IFERROR(__xludf.DUMMYFUNCTION("""COMPUTED_VALUE"""),"Млечни")</f>
        <v>Млечни</v>
      </c>
      <c r="B1043" s="7" t="str">
        <f>IFERROR(__xludf.DUMMYFUNCTION("""COMPUTED_VALUE"""),"Пудинг ванилия HIGH Protein Кауфланд")</f>
        <v>Пудинг ванилия HIGH Protein Кауфланд</v>
      </c>
      <c r="C1043" s="12">
        <f>IFERROR(__xludf.DUMMYFUNCTION("""COMPUTED_VALUE"""),100.0)</f>
        <v>100</v>
      </c>
      <c r="D1043" s="7">
        <f>IFERROR(__xludf.DUMMYFUNCTION("""COMPUTED_VALUE"""),10.0)</f>
        <v>10</v>
      </c>
      <c r="E1043" s="16">
        <f>IFERROR(__xludf.DUMMYFUNCTION("""COMPUTED_VALUE"""),6.4)</f>
        <v>6.4</v>
      </c>
      <c r="F1043" s="16">
        <f>IFERROR(__xludf.DUMMYFUNCTION("""COMPUTED_VALUE"""),1.5)</f>
        <v>1.5</v>
      </c>
      <c r="G1043" s="16">
        <f>IFERROR(__xludf.DUMMYFUNCTION("""COMPUTED_VALUE"""),0.0)</f>
        <v>0</v>
      </c>
      <c r="H1043" s="16">
        <f>IFERROR(__xludf.DUMMYFUNCTION("""COMPUTED_VALUE"""),79.1)</f>
        <v>79.1</v>
      </c>
    </row>
    <row r="1044">
      <c r="A1044" s="16" t="str">
        <f>IFERROR(__xludf.DUMMYFUNCTION("""COMPUTED_VALUE"""),"Млечни")</f>
        <v>Млечни</v>
      </c>
      <c r="B1044" s="7" t="str">
        <f>IFERROR(__xludf.DUMMYFUNCTION("""COMPUTED_VALUE"""),"Котидж сирене Exquisa")</f>
        <v>Котидж сирене Exquisa</v>
      </c>
      <c r="C1044" s="12">
        <f>IFERROR(__xludf.DUMMYFUNCTION("""COMPUTED_VALUE"""),100.0)</f>
        <v>100</v>
      </c>
      <c r="D1044" s="7">
        <f>IFERROR(__xludf.DUMMYFUNCTION("""COMPUTED_VALUE"""),13.0)</f>
        <v>13</v>
      </c>
      <c r="E1044" s="16">
        <f>IFERROR(__xludf.DUMMYFUNCTION("""COMPUTED_VALUE"""),1.0)</f>
        <v>1</v>
      </c>
      <c r="F1044" s="16">
        <f>IFERROR(__xludf.DUMMYFUNCTION("""COMPUTED_VALUE"""),4.0)</f>
        <v>4</v>
      </c>
      <c r="G1044" s="16">
        <f>IFERROR(__xludf.DUMMYFUNCTION("""COMPUTED_VALUE"""),0.0)</f>
        <v>0</v>
      </c>
      <c r="H1044" s="16">
        <f>IFERROR(__xludf.DUMMYFUNCTION("""COMPUTED_VALUE"""),92.0)</f>
        <v>92</v>
      </c>
    </row>
    <row r="1045">
      <c r="A1045" s="16" t="str">
        <f>IFERROR(__xludf.DUMMYFUNCTION("""COMPUTED_VALUE"""),"Млечни")</f>
        <v>Млечни</v>
      </c>
      <c r="B1045" s="7" t="str">
        <f>IFERROR(__xludf.DUMMYFUNCTION("""COMPUTED_VALUE"""),"Кашкавал Кенана")</f>
        <v>Кашкавал Кенана</v>
      </c>
      <c r="C1045" s="12">
        <f>IFERROR(__xludf.DUMMYFUNCTION("""COMPUTED_VALUE"""),100.0)</f>
        <v>100</v>
      </c>
      <c r="D1045" s="7">
        <f>IFERROR(__xludf.DUMMYFUNCTION("""COMPUTED_VALUE"""),25.6)</f>
        <v>25.6</v>
      </c>
      <c r="E1045" s="16">
        <f>IFERROR(__xludf.DUMMYFUNCTION("""COMPUTED_VALUE"""),0.6)</f>
        <v>0.6</v>
      </c>
      <c r="F1045" s="16">
        <f>IFERROR(__xludf.DUMMYFUNCTION("""COMPUTED_VALUE"""),25.8)</f>
        <v>25.8</v>
      </c>
      <c r="G1045" s="16">
        <f>IFERROR(__xludf.DUMMYFUNCTION("""COMPUTED_VALUE"""),0.0)</f>
        <v>0</v>
      </c>
      <c r="H1045" s="16">
        <f>IFERROR(__xludf.DUMMYFUNCTION("""COMPUTED_VALUE"""),337.0)</f>
        <v>337</v>
      </c>
    </row>
    <row r="1046">
      <c r="A1046" s="16" t="str">
        <f>IFERROR(__xludf.DUMMYFUNCTION("""COMPUTED_VALUE"""),"Млечни")</f>
        <v>Млечни</v>
      </c>
      <c r="B1046" s="7" t="str">
        <f>IFERROR(__xludf.DUMMYFUNCTION("""COMPUTED_VALUE"""),"Кварк Exquisa Fitline Боровинка")</f>
        <v>Кварк Exquisa Fitline Боровинка</v>
      </c>
      <c r="C1046" s="12">
        <f>IFERROR(__xludf.DUMMYFUNCTION("""COMPUTED_VALUE"""),100.0)</f>
        <v>100</v>
      </c>
      <c r="D1046" s="7">
        <f>IFERROR(__xludf.DUMMYFUNCTION("""COMPUTED_VALUE"""),10.0)</f>
        <v>10</v>
      </c>
      <c r="E1046" s="16">
        <f>IFERROR(__xludf.DUMMYFUNCTION("""COMPUTED_VALUE"""),5.7)</f>
        <v>5.7</v>
      </c>
      <c r="F1046" s="16">
        <f>IFERROR(__xludf.DUMMYFUNCTION("""COMPUTED_VALUE"""),0.2)</f>
        <v>0.2</v>
      </c>
      <c r="G1046" s="16">
        <f>IFERROR(__xludf.DUMMYFUNCTION("""COMPUTED_VALUE"""),0.0)</f>
        <v>0</v>
      </c>
      <c r="H1046" s="16">
        <f>IFERROR(__xludf.DUMMYFUNCTION("""COMPUTED_VALUE"""),64.6)</f>
        <v>64.6</v>
      </c>
    </row>
    <row r="1047">
      <c r="A1047" s="16" t="str">
        <f>IFERROR(__xludf.DUMMYFUNCTION("""COMPUTED_VALUE"""),"Млечни")</f>
        <v>Млечни</v>
      </c>
      <c r="B1047" s="7" t="str">
        <f>IFERROR(__xludf.DUMMYFUNCTION("""COMPUTED_VALUE"""),"Körniger Frischkäse - без лактоза")</f>
        <v>Körniger Frischkäse - без лактоза</v>
      </c>
      <c r="C1047" s="12">
        <f>IFERROR(__xludf.DUMMYFUNCTION("""COMPUTED_VALUE"""),100.0)</f>
        <v>100</v>
      </c>
      <c r="D1047" s="7">
        <f>IFERROR(__xludf.DUMMYFUNCTION("""COMPUTED_VALUE"""),12.0)</f>
        <v>12</v>
      </c>
      <c r="E1047" s="16">
        <f>IFERROR(__xludf.DUMMYFUNCTION("""COMPUTED_VALUE"""),3.0)</f>
        <v>3</v>
      </c>
      <c r="F1047" s="16">
        <f>IFERROR(__xludf.DUMMYFUNCTION("""COMPUTED_VALUE"""),2.2)</f>
        <v>2.2</v>
      </c>
      <c r="G1047" s="16">
        <f>IFERROR(__xludf.DUMMYFUNCTION("""COMPUTED_VALUE"""),0.0)</f>
        <v>0</v>
      </c>
      <c r="H1047" s="16">
        <f>IFERROR(__xludf.DUMMYFUNCTION("""COMPUTED_VALUE"""),79.8)</f>
        <v>79.8</v>
      </c>
    </row>
    <row r="1048">
      <c r="A1048" s="16" t="str">
        <f>IFERROR(__xludf.DUMMYFUNCTION("""COMPUTED_VALUE"""),"Пресни плодове")</f>
        <v>Пресни плодове</v>
      </c>
      <c r="B1048" s="7" t="str">
        <f>IFERROR(__xludf.DUMMYFUNCTION("""COMPUTED_VALUE"""),"Ананас")</f>
        <v>Ананас</v>
      </c>
      <c r="C1048" s="7">
        <f>IFERROR(__xludf.DUMMYFUNCTION("""COMPUTED_VALUE"""),100.0)</f>
        <v>100</v>
      </c>
      <c r="D1048" s="7">
        <f>IFERROR(__xludf.DUMMYFUNCTION("""COMPUTED_VALUE"""),0.54)</f>
        <v>0.54</v>
      </c>
      <c r="E1048" s="16">
        <f>IFERROR(__xludf.DUMMYFUNCTION("""COMPUTED_VALUE"""),13.120000000000001)</f>
        <v>13.12</v>
      </c>
      <c r="F1048" s="16">
        <f>IFERROR(__xludf.DUMMYFUNCTION("""COMPUTED_VALUE"""),0.1)</f>
        <v>0.1</v>
      </c>
      <c r="G1048" s="16">
        <f>IFERROR(__xludf.DUMMYFUNCTION("""COMPUTED_VALUE"""),1.4)</f>
        <v>1.4</v>
      </c>
      <c r="H1048" s="23">
        <f>IFERROR(__xludf.DUMMYFUNCTION("""COMPUTED_VALUE"""),55.54)</f>
        <v>55.54</v>
      </c>
    </row>
    <row r="1049">
      <c r="A1049" s="16" t="str">
        <f>IFERROR(__xludf.DUMMYFUNCTION("""COMPUTED_VALUE"""),"Пресни плодове")</f>
        <v>Пресни плодове</v>
      </c>
      <c r="B1049" s="7" t="str">
        <f>IFERROR(__xludf.DUMMYFUNCTION("""COMPUTED_VALUE"""),"Банан")</f>
        <v>Банан</v>
      </c>
      <c r="C1049" s="7">
        <f>IFERROR(__xludf.DUMMYFUNCTION("""COMPUTED_VALUE"""),100.0)</f>
        <v>100</v>
      </c>
      <c r="D1049" s="7">
        <f>IFERROR(__xludf.DUMMYFUNCTION("""COMPUTED_VALUE"""),1.1)</f>
        <v>1.1</v>
      </c>
      <c r="E1049" s="16">
        <f>IFERROR(__xludf.DUMMYFUNCTION("""COMPUTED_VALUE"""),22.8)</f>
        <v>22.8</v>
      </c>
      <c r="F1049" s="16">
        <f>IFERROR(__xludf.DUMMYFUNCTION("""COMPUTED_VALUE"""),0.3)</f>
        <v>0.3</v>
      </c>
      <c r="G1049" s="16" t="str">
        <f>IFERROR(__xludf.DUMMYFUNCTION("""COMPUTED_VALUE"""),"2.6")</f>
        <v>2.6</v>
      </c>
      <c r="H1049" s="23">
        <f>IFERROR(__xludf.DUMMYFUNCTION("""COMPUTED_VALUE"""),98.30000000000001)</f>
        <v>98.3</v>
      </c>
    </row>
    <row r="1050">
      <c r="A1050" s="16" t="str">
        <f>IFERROR(__xludf.DUMMYFUNCTION("""COMPUTED_VALUE"""),"Пресни плодове")</f>
        <v>Пресни плодове</v>
      </c>
      <c r="B1050" s="7" t="str">
        <f>IFERROR(__xludf.DUMMYFUNCTION("""COMPUTED_VALUE"""),"Боровинки")</f>
        <v>Боровинки</v>
      </c>
      <c r="C1050" s="7">
        <f>IFERROR(__xludf.DUMMYFUNCTION("""COMPUTED_VALUE"""),100.0)</f>
        <v>100</v>
      </c>
      <c r="D1050" s="7">
        <f>IFERROR(__xludf.DUMMYFUNCTION("""COMPUTED_VALUE"""),0.74)</f>
        <v>0.74</v>
      </c>
      <c r="E1050" s="16">
        <f>IFERROR(__xludf.DUMMYFUNCTION("""COMPUTED_VALUE"""),14.49)</f>
        <v>14.49</v>
      </c>
      <c r="F1050" s="16">
        <f>IFERROR(__xludf.DUMMYFUNCTION("""COMPUTED_VALUE"""),0.3)</f>
        <v>0.3</v>
      </c>
      <c r="G1050" s="16">
        <f>IFERROR(__xludf.DUMMYFUNCTION("""COMPUTED_VALUE"""),2.4)</f>
        <v>2.4</v>
      </c>
      <c r="H1050" s="23">
        <f>IFERROR(__xludf.DUMMYFUNCTION("""COMPUTED_VALUE"""),63.620000000000005)</f>
        <v>63.62</v>
      </c>
    </row>
    <row r="1051">
      <c r="A1051" s="16" t="str">
        <f>IFERROR(__xludf.DUMMYFUNCTION("""COMPUTED_VALUE"""),"Пресни плодове")</f>
        <v>Пресни плодове</v>
      </c>
      <c r="B1051" s="7" t="str">
        <f>IFERROR(__xludf.DUMMYFUNCTION("""COMPUTED_VALUE"""),"Грейпфрут")</f>
        <v>Грейпфрут</v>
      </c>
      <c r="C1051" s="7" t="str">
        <f>IFERROR(__xludf.DUMMYFUNCTION("""COMPUTED_VALUE"""),"100")</f>
        <v>100</v>
      </c>
      <c r="D1051" s="7">
        <f>IFERROR(__xludf.DUMMYFUNCTION("""COMPUTED_VALUE"""),0.8)</f>
        <v>0.8</v>
      </c>
      <c r="E1051" s="16">
        <f>IFERROR(__xludf.DUMMYFUNCTION("""COMPUTED_VALUE"""),10.7)</f>
        <v>10.7</v>
      </c>
      <c r="F1051" s="16">
        <f>IFERROR(__xludf.DUMMYFUNCTION("""COMPUTED_VALUE"""),0.1)</f>
        <v>0.1</v>
      </c>
      <c r="G1051" s="16">
        <f>IFERROR(__xludf.DUMMYFUNCTION("""COMPUTED_VALUE"""),1.6)</f>
        <v>1.6</v>
      </c>
      <c r="H1051" s="23">
        <f>IFERROR(__xludf.DUMMYFUNCTION("""COMPUTED_VALUE"""),46.9)</f>
        <v>46.9</v>
      </c>
    </row>
    <row r="1052">
      <c r="A1052" s="16" t="str">
        <f>IFERROR(__xludf.DUMMYFUNCTION("""COMPUTED_VALUE"""),"Пресни плодове")</f>
        <v>Пресни плодове</v>
      </c>
      <c r="B1052" s="7" t="str">
        <f>IFERROR(__xludf.DUMMYFUNCTION("""COMPUTED_VALUE"""),"Грозде")</f>
        <v>Грозде</v>
      </c>
      <c r="C1052" s="7">
        <f>IFERROR(__xludf.DUMMYFUNCTION("""COMPUTED_VALUE"""),100.0)</f>
        <v>100</v>
      </c>
      <c r="D1052" s="7">
        <f>IFERROR(__xludf.DUMMYFUNCTION("""COMPUTED_VALUE"""),0.72)</f>
        <v>0.72</v>
      </c>
      <c r="E1052" s="16">
        <f>IFERROR(__xludf.DUMMYFUNCTION("""COMPUTED_VALUE"""),18.1)</f>
        <v>18.1</v>
      </c>
      <c r="F1052" s="16">
        <f>IFERROR(__xludf.DUMMYFUNCTION("""COMPUTED_VALUE"""),0.2)</f>
        <v>0.2</v>
      </c>
      <c r="G1052" s="16">
        <f>IFERROR(__xludf.DUMMYFUNCTION("""COMPUTED_VALUE"""),0.9)</f>
        <v>0.9</v>
      </c>
      <c r="H1052" s="23">
        <f>IFERROR(__xludf.DUMMYFUNCTION("""COMPUTED_VALUE"""),77.08)</f>
        <v>77.08</v>
      </c>
    </row>
    <row r="1053">
      <c r="A1053" s="16" t="str">
        <f>IFERROR(__xludf.DUMMYFUNCTION("""COMPUTED_VALUE"""),"Пресни плодове")</f>
        <v>Пресни плодове</v>
      </c>
      <c r="B1053" s="7" t="str">
        <f>IFERROR(__xludf.DUMMYFUNCTION("""COMPUTED_VALUE"""),"Диня")</f>
        <v>Диня</v>
      </c>
      <c r="C1053" s="7">
        <f>IFERROR(__xludf.DUMMYFUNCTION("""COMPUTED_VALUE"""),100.0)</f>
        <v>100</v>
      </c>
      <c r="D1053" s="7">
        <f>IFERROR(__xludf.DUMMYFUNCTION("""COMPUTED_VALUE"""),0.61)</f>
        <v>0.61</v>
      </c>
      <c r="E1053" s="16">
        <f>IFERROR(__xludf.DUMMYFUNCTION("""COMPUTED_VALUE"""),7.5)</f>
        <v>7.5</v>
      </c>
      <c r="F1053" s="16">
        <f>IFERROR(__xludf.DUMMYFUNCTION("""COMPUTED_VALUE"""),0.2)</f>
        <v>0.2</v>
      </c>
      <c r="G1053" s="16">
        <f>IFERROR(__xludf.DUMMYFUNCTION("""COMPUTED_VALUE"""),0.4)</f>
        <v>0.4</v>
      </c>
      <c r="H1053" s="23">
        <f>IFERROR(__xludf.DUMMYFUNCTION("""COMPUTED_VALUE"""),34.239999999999995)</f>
        <v>34.24</v>
      </c>
    </row>
    <row r="1054">
      <c r="A1054" s="16" t="str">
        <f>IFERROR(__xludf.DUMMYFUNCTION("""COMPUTED_VALUE"""),"Пресни плодове")</f>
        <v>Пресни плодове</v>
      </c>
      <c r="B1054" s="7" t="str">
        <f>IFERROR(__xludf.DUMMYFUNCTION("""COMPUTED_VALUE"""),"Кайсия")</f>
        <v>Кайсия</v>
      </c>
      <c r="C1054" s="7">
        <f>IFERROR(__xludf.DUMMYFUNCTION("""COMPUTED_VALUE"""),100.0)</f>
        <v>100</v>
      </c>
      <c r="D1054" s="7">
        <f>IFERROR(__xludf.DUMMYFUNCTION("""COMPUTED_VALUE"""),1.4000000000000001)</f>
        <v>1.4</v>
      </c>
      <c r="E1054" s="16">
        <f>IFERROR(__xludf.DUMMYFUNCTION("""COMPUTED_VALUE"""),11.200000000000001)</f>
        <v>11.2</v>
      </c>
      <c r="F1054" s="16">
        <f>IFERROR(__xludf.DUMMYFUNCTION("""COMPUTED_VALUE"""),0.4)</f>
        <v>0.4</v>
      </c>
      <c r="G1054" s="16">
        <f>IFERROR(__xludf.DUMMYFUNCTION("""COMPUTED_VALUE"""),2.0)</f>
        <v>2</v>
      </c>
      <c r="H1054" s="23">
        <f>IFERROR(__xludf.DUMMYFUNCTION("""COMPUTED_VALUE"""),54.00000000000001)</f>
        <v>54</v>
      </c>
    </row>
    <row r="1055">
      <c r="A1055" s="16" t="str">
        <f>IFERROR(__xludf.DUMMYFUNCTION("""COMPUTED_VALUE"""),"Пресни плодове")</f>
        <v>Пресни плодове</v>
      </c>
      <c r="B1055" s="7" t="str">
        <f>IFERROR(__xludf.DUMMYFUNCTION("""COMPUTED_VALUE"""),"Касис")</f>
        <v>Касис</v>
      </c>
      <c r="C1055" s="7" t="str">
        <f>IFERROR(__xludf.DUMMYFUNCTION("""COMPUTED_VALUE"""),"100")</f>
        <v>100</v>
      </c>
      <c r="D1055" s="7">
        <f>IFERROR(__xludf.DUMMYFUNCTION("""COMPUTED_VALUE"""),1.4)</f>
        <v>1.4</v>
      </c>
      <c r="E1055" s="16">
        <f>IFERROR(__xludf.DUMMYFUNCTION("""COMPUTED_VALUE"""),15.4)</f>
        <v>15.4</v>
      </c>
      <c r="F1055" s="16">
        <f>IFERROR(__xludf.DUMMYFUNCTION("""COMPUTED_VALUE"""),0.4)</f>
        <v>0.4</v>
      </c>
      <c r="G1055" s="16">
        <f>IFERROR(__xludf.DUMMYFUNCTION("""COMPUTED_VALUE"""),0.0)</f>
        <v>0</v>
      </c>
      <c r="H1055" s="23">
        <f>IFERROR(__xludf.DUMMYFUNCTION("""COMPUTED_VALUE"""),70.8)</f>
        <v>70.8</v>
      </c>
    </row>
    <row r="1056">
      <c r="A1056" s="16" t="str">
        <f>IFERROR(__xludf.DUMMYFUNCTION("""COMPUTED_VALUE"""),"Пресни плодове")</f>
        <v>Пресни плодове</v>
      </c>
      <c r="B1056" s="7" t="str">
        <f>IFERROR(__xludf.DUMMYFUNCTION("""COMPUTED_VALUE"""),"Киви")</f>
        <v>Киви</v>
      </c>
      <c r="C1056" s="7">
        <f>IFERROR(__xludf.DUMMYFUNCTION("""COMPUTED_VALUE"""),100.0)</f>
        <v>100</v>
      </c>
      <c r="D1056" s="7">
        <f>IFERROR(__xludf.DUMMYFUNCTION("""COMPUTED_VALUE"""),1.1400000000000001)</f>
        <v>1.14</v>
      </c>
      <c r="E1056" s="16">
        <f>IFERROR(__xludf.DUMMYFUNCTION("""COMPUTED_VALUE"""),14.66)</f>
        <v>14.66</v>
      </c>
      <c r="F1056" s="16">
        <f>IFERROR(__xludf.DUMMYFUNCTION("""COMPUTED_VALUE"""),0.5)</f>
        <v>0.5</v>
      </c>
      <c r="G1056" s="16">
        <f>IFERROR(__xludf.DUMMYFUNCTION("""COMPUTED_VALUE"""),3.0)</f>
        <v>3</v>
      </c>
      <c r="H1056" s="23">
        <f>IFERROR(__xludf.DUMMYFUNCTION("""COMPUTED_VALUE"""),67.7)</f>
        <v>67.7</v>
      </c>
    </row>
    <row r="1057">
      <c r="A1057" s="16" t="str">
        <f>IFERROR(__xludf.DUMMYFUNCTION("""COMPUTED_VALUE"""),"Пресни плодове")</f>
        <v>Пресни плодове</v>
      </c>
      <c r="B1057" s="7" t="str">
        <f>IFERROR(__xludf.DUMMYFUNCTION("""COMPUTED_VALUE"""),"Круша")</f>
        <v>Круша</v>
      </c>
      <c r="C1057" s="7">
        <f>IFERROR(__xludf.DUMMYFUNCTION("""COMPUTED_VALUE"""),100.0)</f>
        <v>100</v>
      </c>
      <c r="D1057" s="7">
        <f>IFERROR(__xludf.DUMMYFUNCTION("""COMPUTED_VALUE"""),0.36)</f>
        <v>0.36</v>
      </c>
      <c r="E1057" s="16">
        <f>IFERROR(__xludf.DUMMYFUNCTION("""COMPUTED_VALUE"""),15.5)</f>
        <v>15.5</v>
      </c>
      <c r="F1057" s="16">
        <f>IFERROR(__xludf.DUMMYFUNCTION("""COMPUTED_VALUE"""),0.1)</f>
        <v>0.1</v>
      </c>
      <c r="G1057" s="16">
        <f>IFERROR(__xludf.DUMMYFUNCTION("""COMPUTED_VALUE"""),3.1)</f>
        <v>3.1</v>
      </c>
      <c r="H1057" s="23">
        <f>IFERROR(__xludf.DUMMYFUNCTION("""COMPUTED_VALUE"""),64.34)</f>
        <v>64.34</v>
      </c>
    </row>
    <row r="1058">
      <c r="A1058" s="16" t="str">
        <f>IFERROR(__xludf.DUMMYFUNCTION("""COMPUTED_VALUE"""),"Пресни плодове")</f>
        <v>Пресни плодове</v>
      </c>
      <c r="B1058" s="7" t="str">
        <f>IFERROR(__xludf.DUMMYFUNCTION("""COMPUTED_VALUE"""),"Къпини")</f>
        <v>Къпини</v>
      </c>
      <c r="C1058" s="7" t="str">
        <f>IFERROR(__xludf.DUMMYFUNCTION("""COMPUTED_VALUE"""),"100")</f>
        <v>100</v>
      </c>
      <c r="D1058" s="7">
        <f>IFERROR(__xludf.DUMMYFUNCTION("""COMPUTED_VALUE"""),1.4)</f>
        <v>1.4</v>
      </c>
      <c r="E1058" s="16">
        <f>IFERROR(__xludf.DUMMYFUNCTION("""COMPUTED_VALUE"""),10.2)</f>
        <v>10.2</v>
      </c>
      <c r="F1058" s="16">
        <f>IFERROR(__xludf.DUMMYFUNCTION("""COMPUTED_VALUE"""),0.5)</f>
        <v>0.5</v>
      </c>
      <c r="G1058" s="16">
        <f>IFERROR(__xludf.DUMMYFUNCTION("""COMPUTED_VALUE"""),5.3)</f>
        <v>5.3</v>
      </c>
      <c r="H1058" s="23">
        <f>IFERROR(__xludf.DUMMYFUNCTION("""COMPUTED_VALUE"""),50.9)</f>
        <v>50.9</v>
      </c>
    </row>
    <row r="1059">
      <c r="A1059" s="16" t="str">
        <f>IFERROR(__xludf.DUMMYFUNCTION("""COMPUTED_VALUE"""),"Пресни плодове")</f>
        <v>Пресни плодове</v>
      </c>
      <c r="B1059" s="7" t="str">
        <f>IFERROR(__xludf.DUMMYFUNCTION("""COMPUTED_VALUE"""),"Лимон (с кората)")</f>
        <v>Лимон (с кората)</v>
      </c>
      <c r="C1059" s="7">
        <f>IFERROR(__xludf.DUMMYFUNCTION("""COMPUTED_VALUE"""),100.0)</f>
        <v>100</v>
      </c>
      <c r="D1059" s="7">
        <f>IFERROR(__xludf.DUMMYFUNCTION("""COMPUTED_VALUE"""),1.7)</f>
        <v>1.7</v>
      </c>
      <c r="E1059" s="16">
        <f>IFERROR(__xludf.DUMMYFUNCTION("""COMPUTED_VALUE"""),10.7)</f>
        <v>10.7</v>
      </c>
      <c r="F1059" s="16">
        <f>IFERROR(__xludf.DUMMYFUNCTION("""COMPUTED_VALUE"""),0.3)</f>
        <v>0.3</v>
      </c>
      <c r="G1059" s="16">
        <f>IFERROR(__xludf.DUMMYFUNCTION("""COMPUTED_VALUE"""),4.7)</f>
        <v>4.7</v>
      </c>
      <c r="H1059" s="23">
        <f>IFERROR(__xludf.DUMMYFUNCTION("""COMPUTED_VALUE"""),52.3)</f>
        <v>52.3</v>
      </c>
    </row>
    <row r="1060">
      <c r="A1060" s="16" t="str">
        <f>IFERROR(__xludf.DUMMYFUNCTION("""COMPUTED_VALUE"""),"Пресни плодове")</f>
        <v>Пресни плодове</v>
      </c>
      <c r="B1060" s="7" t="str">
        <f>IFERROR(__xludf.DUMMYFUNCTION("""COMPUTED_VALUE"""),"Малини")</f>
        <v>Малини</v>
      </c>
      <c r="C1060" s="7" t="str">
        <f>IFERROR(__xludf.DUMMYFUNCTION("""COMPUTED_VALUE"""),"100")</f>
        <v>100</v>
      </c>
      <c r="D1060" s="7">
        <f>IFERROR(__xludf.DUMMYFUNCTION("""COMPUTED_VALUE"""),1.2)</f>
        <v>1.2</v>
      </c>
      <c r="E1060" s="16">
        <f>IFERROR(__xludf.DUMMYFUNCTION("""COMPUTED_VALUE"""),11.9)</f>
        <v>11.9</v>
      </c>
      <c r="F1060" s="16">
        <f>IFERROR(__xludf.DUMMYFUNCTION("""COMPUTED_VALUE"""),0.7)</f>
        <v>0.7</v>
      </c>
      <c r="G1060" s="16">
        <f>IFERROR(__xludf.DUMMYFUNCTION("""COMPUTED_VALUE"""),6.5)</f>
        <v>6.5</v>
      </c>
      <c r="H1060" s="23">
        <f>IFERROR(__xludf.DUMMYFUNCTION("""COMPUTED_VALUE"""),58.699999999999996)</f>
        <v>58.7</v>
      </c>
    </row>
    <row r="1061">
      <c r="A1061" s="16" t="str">
        <f>IFERROR(__xludf.DUMMYFUNCTION("""COMPUTED_VALUE"""),"Пресни плодове")</f>
        <v>Пресни плодове</v>
      </c>
      <c r="B1061" s="7" t="str">
        <f>IFERROR(__xludf.DUMMYFUNCTION("""COMPUTED_VALUE"""),"Манго")</f>
        <v>Манго</v>
      </c>
      <c r="C1061" s="7" t="str">
        <f>IFERROR(__xludf.DUMMYFUNCTION("""COMPUTED_VALUE"""),"100")</f>
        <v>100</v>
      </c>
      <c r="D1061" s="7">
        <f>IFERROR(__xludf.DUMMYFUNCTION("""COMPUTED_VALUE"""),0.5)</f>
        <v>0.5</v>
      </c>
      <c r="E1061" s="16">
        <f>IFERROR(__xludf.DUMMYFUNCTION("""COMPUTED_VALUE"""),17.0)</f>
        <v>17</v>
      </c>
      <c r="F1061" s="16">
        <f>IFERROR(__xludf.DUMMYFUNCTION("""COMPUTED_VALUE"""),0.3)</f>
        <v>0.3</v>
      </c>
      <c r="G1061" s="16">
        <f>IFERROR(__xludf.DUMMYFUNCTION("""COMPUTED_VALUE"""),1.8)</f>
        <v>1.8</v>
      </c>
      <c r="H1061" s="23">
        <f>IFERROR(__xludf.DUMMYFUNCTION("""COMPUTED_VALUE"""),72.7)</f>
        <v>72.7</v>
      </c>
    </row>
    <row r="1062">
      <c r="A1062" s="16" t="str">
        <f>IFERROR(__xludf.DUMMYFUNCTION("""COMPUTED_VALUE"""),"Пресни плодове")</f>
        <v>Пресни плодове</v>
      </c>
      <c r="B1062" s="7" t="str">
        <f>IFERROR(__xludf.DUMMYFUNCTION("""COMPUTED_VALUE"""),"Мандарини")</f>
        <v>Мандарини</v>
      </c>
      <c r="C1062" s="7">
        <f>IFERROR(__xludf.DUMMYFUNCTION("""COMPUTED_VALUE"""),100.0)</f>
        <v>100</v>
      </c>
      <c r="D1062" s="7">
        <f>IFERROR(__xludf.DUMMYFUNCTION("""COMPUTED_VALUE"""),0.8099999999999999)</f>
        <v>0.81</v>
      </c>
      <c r="E1062" s="16">
        <f>IFERROR(__xludf.DUMMYFUNCTION("""COMPUTED_VALUE"""),13.34)</f>
        <v>13.34</v>
      </c>
      <c r="F1062" s="16">
        <f>IFERROR(__xludf.DUMMYFUNCTION("""COMPUTED_VALUE"""),0.3)</f>
        <v>0.3</v>
      </c>
      <c r="G1062" s="16">
        <f>IFERROR(__xludf.DUMMYFUNCTION("""COMPUTED_VALUE"""),1.8)</f>
        <v>1.8</v>
      </c>
      <c r="H1062" s="23">
        <f>IFERROR(__xludf.DUMMYFUNCTION("""COMPUTED_VALUE"""),59.300000000000004)</f>
        <v>59.3</v>
      </c>
    </row>
    <row r="1063">
      <c r="A1063" s="16" t="str">
        <f>IFERROR(__xludf.DUMMYFUNCTION("""COMPUTED_VALUE"""),"Пресни плодове")</f>
        <v>Пресни плодове</v>
      </c>
      <c r="B1063" s="7" t="str">
        <f>IFERROR(__xludf.DUMMYFUNCTION("""COMPUTED_VALUE"""),"Маракуя")</f>
        <v>Маракуя</v>
      </c>
      <c r="C1063" s="7" t="str">
        <f>IFERROR(__xludf.DUMMYFUNCTION("""COMPUTED_VALUE"""),"100")</f>
        <v>100</v>
      </c>
      <c r="D1063" s="7">
        <f>IFERROR(__xludf.DUMMYFUNCTION("""COMPUTED_VALUE"""),2.2)</f>
        <v>2.2</v>
      </c>
      <c r="E1063" s="16">
        <f>IFERROR(__xludf.DUMMYFUNCTION("""COMPUTED_VALUE"""),23.4)</f>
        <v>23.4</v>
      </c>
      <c r="F1063" s="16">
        <f>IFERROR(__xludf.DUMMYFUNCTION("""COMPUTED_VALUE"""),0.7)</f>
        <v>0.7</v>
      </c>
      <c r="G1063" s="16">
        <f>IFERROR(__xludf.DUMMYFUNCTION("""COMPUTED_VALUE"""),10.4)</f>
        <v>10.4</v>
      </c>
      <c r="H1063" s="23">
        <f>IFERROR(__xludf.DUMMYFUNCTION("""COMPUTED_VALUE"""),108.69999999999999)</f>
        <v>108.7</v>
      </c>
    </row>
    <row r="1064">
      <c r="A1064" s="16" t="str">
        <f>IFERROR(__xludf.DUMMYFUNCTION("""COMPUTED_VALUE"""),"Пресни плодове")</f>
        <v>Пресни плодове</v>
      </c>
      <c r="B1064" s="7" t="str">
        <f>IFERROR(__xludf.DUMMYFUNCTION("""COMPUTED_VALUE"""),"Нар")</f>
        <v>Нар</v>
      </c>
      <c r="C1064" s="7" t="str">
        <f>IFERROR(__xludf.DUMMYFUNCTION("""COMPUTED_VALUE"""),"100")</f>
        <v>100</v>
      </c>
      <c r="D1064" s="7">
        <f>IFERROR(__xludf.DUMMYFUNCTION("""COMPUTED_VALUE"""),1.7)</f>
        <v>1.7</v>
      </c>
      <c r="E1064" s="16">
        <f>IFERROR(__xludf.DUMMYFUNCTION("""COMPUTED_VALUE"""),18.7)</f>
        <v>18.7</v>
      </c>
      <c r="F1064" s="16">
        <f>IFERROR(__xludf.DUMMYFUNCTION("""COMPUTED_VALUE"""),1.2)</f>
        <v>1.2</v>
      </c>
      <c r="G1064" s="16">
        <f>IFERROR(__xludf.DUMMYFUNCTION("""COMPUTED_VALUE"""),4.0)</f>
        <v>4</v>
      </c>
      <c r="H1064" s="23">
        <f>IFERROR(__xludf.DUMMYFUNCTION("""COMPUTED_VALUE"""),92.39999999999999)</f>
        <v>92.4</v>
      </c>
    </row>
    <row r="1065">
      <c r="A1065" s="16" t="str">
        <f>IFERROR(__xludf.DUMMYFUNCTION("""COMPUTED_VALUE"""),"Пресни плодове")</f>
        <v>Пресни плодове</v>
      </c>
      <c r="B1065" s="7" t="str">
        <f>IFERROR(__xludf.DUMMYFUNCTION("""COMPUTED_VALUE"""),"Нектарина")</f>
        <v>Нектарина</v>
      </c>
      <c r="C1065" s="7" t="str">
        <f>IFERROR(__xludf.DUMMYFUNCTION("""COMPUTED_VALUE"""),"100")</f>
        <v>100</v>
      </c>
      <c r="D1065" s="7">
        <f>IFERROR(__xludf.DUMMYFUNCTION("""COMPUTED_VALUE"""),1.1)</f>
        <v>1.1</v>
      </c>
      <c r="E1065" s="16">
        <f>IFERROR(__xludf.DUMMYFUNCTION("""COMPUTED_VALUE"""),10.6)</f>
        <v>10.6</v>
      </c>
      <c r="F1065" s="16">
        <f>IFERROR(__xludf.DUMMYFUNCTION("""COMPUTED_VALUE"""),0.3)</f>
        <v>0.3</v>
      </c>
      <c r="G1065" s="16">
        <f>IFERROR(__xludf.DUMMYFUNCTION("""COMPUTED_VALUE"""),1.7)</f>
        <v>1.7</v>
      </c>
      <c r="H1065" s="23">
        <f>IFERROR(__xludf.DUMMYFUNCTION("""COMPUTED_VALUE"""),49.5)</f>
        <v>49.5</v>
      </c>
    </row>
    <row r="1066">
      <c r="A1066" s="16" t="str">
        <f>IFERROR(__xludf.DUMMYFUNCTION("""COMPUTED_VALUE"""),"Пресни плодове")</f>
        <v>Пресни плодове</v>
      </c>
      <c r="B1066" s="7" t="str">
        <f>IFERROR(__xludf.DUMMYFUNCTION("""COMPUTED_VALUE"""),"Папая")</f>
        <v>Папая</v>
      </c>
      <c r="C1066" s="7" t="str">
        <f>IFERROR(__xludf.DUMMYFUNCTION("""COMPUTED_VALUE"""),"100")</f>
        <v>100</v>
      </c>
      <c r="D1066" s="7">
        <f>IFERROR(__xludf.DUMMYFUNCTION("""COMPUTED_VALUE"""),0.6)</f>
        <v>0.6</v>
      </c>
      <c r="E1066" s="16">
        <f>IFERROR(__xludf.DUMMYFUNCTION("""COMPUTED_VALUE"""),9.8)</f>
        <v>9.8</v>
      </c>
      <c r="F1066" s="16">
        <f>IFERROR(__xludf.DUMMYFUNCTION("""COMPUTED_VALUE"""),0.1)</f>
        <v>0.1</v>
      </c>
      <c r="G1066" s="16">
        <f>IFERROR(__xludf.DUMMYFUNCTION("""COMPUTED_VALUE"""),1.8)</f>
        <v>1.8</v>
      </c>
      <c r="H1066" s="23">
        <f>IFERROR(__xludf.DUMMYFUNCTION("""COMPUTED_VALUE"""),42.5)</f>
        <v>42.5</v>
      </c>
    </row>
    <row r="1067">
      <c r="A1067" s="16" t="str">
        <f>IFERROR(__xludf.DUMMYFUNCTION("""COMPUTED_VALUE"""),"Пресни плодове")</f>
        <v>Пресни плодове</v>
      </c>
      <c r="B1067" s="7" t="str">
        <f>IFERROR(__xludf.DUMMYFUNCTION("""COMPUTED_VALUE"""),"Помело")</f>
        <v>Помело</v>
      </c>
      <c r="C1067" s="7" t="str">
        <f>IFERROR(__xludf.DUMMYFUNCTION("""COMPUTED_VALUE"""),"100")</f>
        <v>100</v>
      </c>
      <c r="D1067" s="7">
        <f>IFERROR(__xludf.DUMMYFUNCTION("""COMPUTED_VALUE"""),0.8)</f>
        <v>0.8</v>
      </c>
      <c r="E1067" s="16">
        <f>IFERROR(__xludf.DUMMYFUNCTION("""COMPUTED_VALUE"""),9.6)</f>
        <v>9.6</v>
      </c>
      <c r="F1067" s="16">
        <f>IFERROR(__xludf.DUMMYFUNCTION("""COMPUTED_VALUE"""),0.0)</f>
        <v>0</v>
      </c>
      <c r="G1067" s="16">
        <f>IFERROR(__xludf.DUMMYFUNCTION("""COMPUTED_VALUE"""),1.0)</f>
        <v>1</v>
      </c>
      <c r="H1067" s="23">
        <f>IFERROR(__xludf.DUMMYFUNCTION("""COMPUTED_VALUE"""),41.6)</f>
        <v>41.6</v>
      </c>
    </row>
    <row r="1068">
      <c r="A1068" s="16" t="str">
        <f>IFERROR(__xludf.DUMMYFUNCTION("""COMPUTED_VALUE"""),"Пресни плодове")</f>
        <v>Пресни плодове</v>
      </c>
      <c r="B1068" s="7" t="str">
        <f>IFERROR(__xludf.DUMMYFUNCTION("""COMPUTED_VALUE"""),"Портокал")</f>
        <v>Портокал</v>
      </c>
      <c r="C1068" s="7">
        <f>IFERROR(__xludf.DUMMYFUNCTION("""COMPUTED_VALUE"""),100.0)</f>
        <v>100</v>
      </c>
      <c r="D1068" s="7">
        <f>IFERROR(__xludf.DUMMYFUNCTION("""COMPUTED_VALUE"""),0.9)</f>
        <v>0.9</v>
      </c>
      <c r="E1068" s="16">
        <f>IFERROR(__xludf.DUMMYFUNCTION("""COMPUTED_VALUE"""),11.7)</f>
        <v>11.7</v>
      </c>
      <c r="F1068" s="16">
        <f>IFERROR(__xludf.DUMMYFUNCTION("""COMPUTED_VALUE"""),0.1)</f>
        <v>0.1</v>
      </c>
      <c r="G1068" s="16">
        <f>IFERROR(__xludf.DUMMYFUNCTION("""COMPUTED_VALUE"""),2.4)</f>
        <v>2.4</v>
      </c>
      <c r="H1068" s="23">
        <f>IFERROR(__xludf.DUMMYFUNCTION("""COMPUTED_VALUE"""),51.3)</f>
        <v>51.3</v>
      </c>
    </row>
    <row r="1069">
      <c r="A1069" s="16" t="str">
        <f>IFERROR(__xludf.DUMMYFUNCTION("""COMPUTED_VALUE"""),"Пресни плодове")</f>
        <v>Пресни плодове</v>
      </c>
      <c r="B1069" s="7" t="str">
        <f>IFERROR(__xludf.DUMMYFUNCTION("""COMPUTED_VALUE"""),"Праскови")</f>
        <v>Праскови</v>
      </c>
      <c r="C1069" s="7">
        <f>IFERROR(__xludf.DUMMYFUNCTION("""COMPUTED_VALUE"""),100.0)</f>
        <v>100</v>
      </c>
      <c r="D1069" s="7">
        <f>IFERROR(__xludf.DUMMYFUNCTION("""COMPUTED_VALUE"""),0.9)</f>
        <v>0.9</v>
      </c>
      <c r="E1069" s="16">
        <f>IFERROR(__xludf.DUMMYFUNCTION("""COMPUTED_VALUE"""),9.9)</f>
        <v>9.9</v>
      </c>
      <c r="F1069" s="16">
        <f>IFERROR(__xludf.DUMMYFUNCTION("""COMPUTED_VALUE"""),0.3)</f>
        <v>0.3</v>
      </c>
      <c r="G1069" s="16" t="str">
        <f>IFERROR(__xludf.DUMMYFUNCTION("""COMPUTED_VALUE"""),"1.5")</f>
        <v>1.5</v>
      </c>
      <c r="H1069" s="23">
        <f>IFERROR(__xludf.DUMMYFUNCTION("""COMPUTED_VALUE"""),45.900000000000006)</f>
        <v>45.9</v>
      </c>
    </row>
    <row r="1070">
      <c r="A1070" s="16" t="str">
        <f>IFERROR(__xludf.DUMMYFUNCTION("""COMPUTED_VALUE"""),"Пресни плодове")</f>
        <v>Пресни плодове</v>
      </c>
      <c r="B1070" s="7" t="str">
        <f>IFERROR(__xludf.DUMMYFUNCTION("""COMPUTED_VALUE"""),"Пъпеш")</f>
        <v>Пъпеш</v>
      </c>
      <c r="C1070" s="7">
        <f>IFERROR(__xludf.DUMMYFUNCTION("""COMPUTED_VALUE"""),100.0)</f>
        <v>100</v>
      </c>
      <c r="D1070" s="7">
        <f>IFERROR(__xludf.DUMMYFUNCTION("""COMPUTED_VALUE"""),0.5)</f>
        <v>0.5</v>
      </c>
      <c r="E1070" s="16">
        <f>IFERROR(__xludf.DUMMYFUNCTION("""COMPUTED_VALUE"""),9.1)</f>
        <v>9.1</v>
      </c>
      <c r="F1070" s="16">
        <f>IFERROR(__xludf.DUMMYFUNCTION("""COMPUTED_VALUE"""),0.1)</f>
        <v>0.1</v>
      </c>
      <c r="G1070" s="16">
        <f>IFERROR(__xludf.DUMMYFUNCTION("""COMPUTED_VALUE"""),0.8)</f>
        <v>0.8</v>
      </c>
      <c r="H1070" s="23">
        <f>IFERROR(__xludf.DUMMYFUNCTION("""COMPUTED_VALUE"""),39.3)</f>
        <v>39.3</v>
      </c>
    </row>
    <row r="1071">
      <c r="A1071" s="16" t="str">
        <f>IFERROR(__xludf.DUMMYFUNCTION("""COMPUTED_VALUE"""),"Пресни плодове")</f>
        <v>Пресни плодове</v>
      </c>
      <c r="B1071" s="7" t="str">
        <f>IFERROR(__xludf.DUMMYFUNCTION("""COMPUTED_VALUE"""),"Пъпеш - Канталууп")</f>
        <v>Пъпеш - Канталууп</v>
      </c>
      <c r="C1071" s="7">
        <f>IFERROR(__xludf.DUMMYFUNCTION("""COMPUTED_VALUE"""),100.0)</f>
        <v>100</v>
      </c>
      <c r="D1071" s="7">
        <f>IFERROR(__xludf.DUMMYFUNCTION("""COMPUTED_VALUE"""),0.8)</f>
        <v>0.8</v>
      </c>
      <c r="E1071" s="16">
        <f>IFERROR(__xludf.DUMMYFUNCTION("""COMPUTED_VALUE"""),8.8)</f>
        <v>8.8</v>
      </c>
      <c r="F1071" s="16">
        <f>IFERROR(__xludf.DUMMYFUNCTION("""COMPUTED_VALUE"""),0.2)</f>
        <v>0.2</v>
      </c>
      <c r="G1071" s="16">
        <f>IFERROR(__xludf.DUMMYFUNCTION("""COMPUTED_VALUE"""),0.9)</f>
        <v>0.9</v>
      </c>
      <c r="H1071" s="23">
        <f>IFERROR(__xludf.DUMMYFUNCTION("""COMPUTED_VALUE"""),40.2)</f>
        <v>40.2</v>
      </c>
    </row>
    <row r="1072">
      <c r="A1072" s="16" t="str">
        <f>IFERROR(__xludf.DUMMYFUNCTION("""COMPUTED_VALUE"""),"Пресни плодове")</f>
        <v>Пресни плодове</v>
      </c>
      <c r="B1072" s="7" t="str">
        <f>IFERROR(__xludf.DUMMYFUNCTION("""COMPUTED_VALUE"""),"Сини сливи")</f>
        <v>Сини сливи</v>
      </c>
      <c r="C1072" s="7">
        <f>IFERROR(__xludf.DUMMYFUNCTION("""COMPUTED_VALUE"""),100.0)</f>
        <v>100</v>
      </c>
      <c r="D1072" s="7">
        <f>IFERROR(__xludf.DUMMYFUNCTION("""COMPUTED_VALUE"""),0.7000000000000001)</f>
        <v>0.7</v>
      </c>
      <c r="E1072" s="16">
        <f>IFERROR(__xludf.DUMMYFUNCTION("""COMPUTED_VALUE"""),11.42)</f>
        <v>11.42</v>
      </c>
      <c r="F1072" s="16">
        <f>IFERROR(__xludf.DUMMYFUNCTION("""COMPUTED_VALUE"""),0.3)</f>
        <v>0.3</v>
      </c>
      <c r="G1072" s="16">
        <f>IFERROR(__xludf.DUMMYFUNCTION("""COMPUTED_VALUE"""),1.4)</f>
        <v>1.4</v>
      </c>
      <c r="H1072" s="23">
        <f>IFERROR(__xludf.DUMMYFUNCTION("""COMPUTED_VALUE"""),51.18)</f>
        <v>51.18</v>
      </c>
    </row>
    <row r="1073">
      <c r="A1073" s="16" t="str">
        <f>IFERROR(__xludf.DUMMYFUNCTION("""COMPUTED_VALUE"""),"Пресни плодове")</f>
        <v>Пресни плодове</v>
      </c>
      <c r="B1073" s="7" t="str">
        <f>IFERROR(__xludf.DUMMYFUNCTION("""COMPUTED_VALUE"""),"Смокини")</f>
        <v>Смокини</v>
      </c>
      <c r="C1073" s="7">
        <f>IFERROR(__xludf.DUMMYFUNCTION("""COMPUTED_VALUE"""),100.0)</f>
        <v>100</v>
      </c>
      <c r="D1073" s="7">
        <f>IFERROR(__xludf.DUMMYFUNCTION("""COMPUTED_VALUE"""),0.7)</f>
        <v>0.7</v>
      </c>
      <c r="E1073" s="16">
        <f>IFERROR(__xludf.DUMMYFUNCTION("""COMPUTED_VALUE"""),19.18)</f>
        <v>19.18</v>
      </c>
      <c r="F1073" s="16">
        <f>IFERROR(__xludf.DUMMYFUNCTION("""COMPUTED_VALUE"""),0.3)</f>
        <v>0.3</v>
      </c>
      <c r="G1073" s="16">
        <f>IFERROR(__xludf.DUMMYFUNCTION("""COMPUTED_VALUE"""),2.9)</f>
        <v>2.9</v>
      </c>
      <c r="H1073" s="23">
        <f>IFERROR(__xludf.DUMMYFUNCTION("""COMPUTED_VALUE"""),82.22)</f>
        <v>82.22</v>
      </c>
    </row>
    <row r="1074">
      <c r="A1074" s="16" t="str">
        <f>IFERROR(__xludf.DUMMYFUNCTION("""COMPUTED_VALUE"""),"Пресни плодове")</f>
        <v>Пресни плодове</v>
      </c>
      <c r="B1074" s="7" t="str">
        <f>IFERROR(__xludf.DUMMYFUNCTION("""COMPUTED_VALUE"""),"Червени боровинки")</f>
        <v>Червени боровинки</v>
      </c>
      <c r="C1074" s="7" t="str">
        <f>IFERROR(__xludf.DUMMYFUNCTION("""COMPUTED_VALUE"""),"100")</f>
        <v>100</v>
      </c>
      <c r="D1074" s="7">
        <f>IFERROR(__xludf.DUMMYFUNCTION("""COMPUTED_VALUE"""),0.4)</f>
        <v>0.4</v>
      </c>
      <c r="E1074" s="16">
        <f>IFERROR(__xludf.DUMMYFUNCTION("""COMPUTED_VALUE"""),12.2)</f>
        <v>12.2</v>
      </c>
      <c r="F1074" s="16">
        <f>IFERROR(__xludf.DUMMYFUNCTION("""COMPUTED_VALUE"""),0.1)</f>
        <v>0.1</v>
      </c>
      <c r="G1074" s="16">
        <f>IFERROR(__xludf.DUMMYFUNCTION("""COMPUTED_VALUE"""),4.6)</f>
        <v>4.6</v>
      </c>
      <c r="H1074" s="23">
        <f>IFERROR(__xludf.DUMMYFUNCTION("""COMPUTED_VALUE"""),51.3)</f>
        <v>51.3</v>
      </c>
    </row>
    <row r="1075">
      <c r="A1075" s="16" t="str">
        <f>IFERROR(__xludf.DUMMYFUNCTION("""COMPUTED_VALUE"""),"Пресни плодове")</f>
        <v>Пресни плодове</v>
      </c>
      <c r="B1075" s="7" t="str">
        <f>IFERROR(__xludf.DUMMYFUNCTION("""COMPUTED_VALUE"""),"Череши")</f>
        <v>Череши</v>
      </c>
      <c r="C1075" s="7">
        <f>IFERROR(__xludf.DUMMYFUNCTION("""COMPUTED_VALUE"""),100.0)</f>
        <v>100</v>
      </c>
      <c r="D1075" s="7">
        <f>IFERROR(__xludf.DUMMYFUNCTION("""COMPUTED_VALUE"""),1.1)</f>
        <v>1.1</v>
      </c>
      <c r="E1075" s="16">
        <f>IFERROR(__xludf.DUMMYFUNCTION("""COMPUTED_VALUE"""),16.0)</f>
        <v>16</v>
      </c>
      <c r="F1075" s="16">
        <f>IFERROR(__xludf.DUMMYFUNCTION("""COMPUTED_VALUE"""),0.2)</f>
        <v>0.2</v>
      </c>
      <c r="G1075" s="16">
        <f>IFERROR(__xludf.DUMMYFUNCTION("""COMPUTED_VALUE"""),2.1)</f>
        <v>2.1</v>
      </c>
      <c r="H1075" s="23">
        <f>IFERROR(__xludf.DUMMYFUNCTION("""COMPUTED_VALUE"""),70.2)</f>
        <v>70.2</v>
      </c>
    </row>
    <row r="1076">
      <c r="A1076" s="16" t="str">
        <f>IFERROR(__xludf.DUMMYFUNCTION("""COMPUTED_VALUE"""),"Пресни плодове")</f>
        <v>Пресни плодове</v>
      </c>
      <c r="B1076" s="7" t="str">
        <f>IFERROR(__xludf.DUMMYFUNCTION("""COMPUTED_VALUE"""),"Ябълки")</f>
        <v>Ябълки</v>
      </c>
      <c r="C1076" s="7">
        <f>IFERROR(__xludf.DUMMYFUNCTION("""COMPUTED_VALUE"""),100.0)</f>
        <v>100</v>
      </c>
      <c r="D1076" s="7">
        <f>IFERROR(__xludf.DUMMYFUNCTION("""COMPUTED_VALUE"""),0.26)</f>
        <v>0.26</v>
      </c>
      <c r="E1076" s="16">
        <f>IFERROR(__xludf.DUMMYFUNCTION("""COMPUTED_VALUE"""),13.8)</f>
        <v>13.8</v>
      </c>
      <c r="F1076" s="16">
        <f>IFERROR(__xludf.DUMMYFUNCTION("""COMPUTED_VALUE"""),0.2)</f>
        <v>0.2</v>
      </c>
      <c r="G1076" s="16">
        <f>IFERROR(__xludf.DUMMYFUNCTION("""COMPUTED_VALUE"""),2.4)</f>
        <v>2.4</v>
      </c>
      <c r="H1076" s="23">
        <f>IFERROR(__xludf.DUMMYFUNCTION("""COMPUTED_VALUE"""),58.04)</f>
        <v>58.04</v>
      </c>
    </row>
    <row r="1077">
      <c r="A1077" s="16" t="str">
        <f>IFERROR(__xludf.DUMMYFUNCTION("""COMPUTED_VALUE"""),"Пресни плодове")</f>
        <v>Пресни плодове</v>
      </c>
      <c r="B1077" s="7" t="str">
        <f>IFERROR(__xludf.DUMMYFUNCTION("""COMPUTED_VALUE"""),"Ягоди")</f>
        <v>Ягоди</v>
      </c>
      <c r="C1077" s="7">
        <f>IFERROR(__xludf.DUMMYFUNCTION("""COMPUTED_VALUE"""),100.0)</f>
        <v>100</v>
      </c>
      <c r="D1077" s="7">
        <f>IFERROR(__xludf.DUMMYFUNCTION("""COMPUTED_VALUE"""),0.67)</f>
        <v>0.67</v>
      </c>
      <c r="E1077" s="16">
        <f>IFERROR(__xludf.DUMMYFUNCTION("""COMPUTED_VALUE"""),7.7)</f>
        <v>7.7</v>
      </c>
      <c r="F1077" s="16">
        <f>IFERROR(__xludf.DUMMYFUNCTION("""COMPUTED_VALUE"""),0.3)</f>
        <v>0.3</v>
      </c>
      <c r="G1077" s="16">
        <f>IFERROR(__xludf.DUMMYFUNCTION("""COMPUTED_VALUE"""),2.0)</f>
        <v>2</v>
      </c>
      <c r="H1077" s="23">
        <f>IFERROR(__xludf.DUMMYFUNCTION("""COMPUTED_VALUE"""),36.18000000000001)</f>
        <v>36.18</v>
      </c>
    </row>
    <row r="1078">
      <c r="A1078" s="16" t="str">
        <f>IFERROR(__xludf.DUMMYFUNCTION("""COMPUTED_VALUE"""),"Пресни плодове")</f>
        <v>Пресни плодове</v>
      </c>
      <c r="B1078" s="7" t="str">
        <f>IFERROR(__xludf.DUMMYFUNCTION("""COMPUTED_VALUE"""),"Арония")</f>
        <v>Арония</v>
      </c>
      <c r="C1078" s="7">
        <f>IFERROR(__xludf.DUMMYFUNCTION("""COMPUTED_VALUE"""),100.0)</f>
        <v>100</v>
      </c>
      <c r="D1078" s="7">
        <f>IFERROR(__xludf.DUMMYFUNCTION("""COMPUTED_VALUE"""),1.5)</f>
        <v>1.5</v>
      </c>
      <c r="E1078" s="16">
        <f>IFERROR(__xludf.DUMMYFUNCTION("""COMPUTED_VALUE"""),12.0)</f>
        <v>12</v>
      </c>
      <c r="F1078" s="16">
        <f>IFERROR(__xludf.DUMMYFUNCTION("""COMPUTED_VALUE"""),0.0)</f>
        <v>0</v>
      </c>
      <c r="G1078" s="16">
        <f>IFERROR(__xludf.DUMMYFUNCTION("""COMPUTED_VALUE"""),0.0)</f>
        <v>0</v>
      </c>
      <c r="H1078" s="23">
        <f>IFERROR(__xludf.DUMMYFUNCTION("""COMPUTED_VALUE"""),54.0)</f>
        <v>54</v>
      </c>
    </row>
    <row r="1079">
      <c r="A1079" s="16" t="str">
        <f>IFERROR(__xludf.DUMMYFUNCTION("""COMPUTED_VALUE"""),"Пресни плодове")</f>
        <v>Пресни плодове</v>
      </c>
      <c r="B1079" s="7" t="str">
        <f>IFERROR(__xludf.DUMMYFUNCTION("""COMPUTED_VALUE"""),"Арония")</f>
        <v>Арония</v>
      </c>
      <c r="C1079" s="7">
        <f>IFERROR(__xludf.DUMMYFUNCTION("""COMPUTED_VALUE"""),100.0)</f>
        <v>100</v>
      </c>
      <c r="D1079" s="7">
        <f>IFERROR(__xludf.DUMMYFUNCTION("""COMPUTED_VALUE"""),1.5)</f>
        <v>1.5</v>
      </c>
      <c r="E1079" s="16">
        <f>IFERROR(__xludf.DUMMYFUNCTION("""COMPUTED_VALUE"""),12.0)</f>
        <v>12</v>
      </c>
      <c r="F1079" s="16">
        <f>IFERROR(__xludf.DUMMYFUNCTION("""COMPUTED_VALUE"""),0.0)</f>
        <v>0</v>
      </c>
      <c r="G1079" s="16">
        <f>IFERROR(__xludf.DUMMYFUNCTION("""COMPUTED_VALUE"""),1.0)</f>
        <v>1</v>
      </c>
      <c r="H1079" s="23">
        <f>IFERROR(__xludf.DUMMYFUNCTION("""COMPUTED_VALUE"""),54.0)</f>
        <v>54</v>
      </c>
    </row>
    <row r="1080">
      <c r="A1080" s="16" t="str">
        <f>IFERROR(__xludf.DUMMYFUNCTION("""COMPUTED_VALUE"""),"Пресни плодове")</f>
        <v>Пресни плодове</v>
      </c>
      <c r="B1080" s="7" t="str">
        <f>IFERROR(__xludf.DUMMYFUNCTION("""COMPUTED_VALUE"""),"Райска ябълка")</f>
        <v>Райска ябълка</v>
      </c>
      <c r="C1080" s="7">
        <f>IFERROR(__xludf.DUMMYFUNCTION("""COMPUTED_VALUE"""),100.0)</f>
        <v>100</v>
      </c>
      <c r="D1080" s="7">
        <f>IFERROR(__xludf.DUMMYFUNCTION("""COMPUTED_VALUE"""),0.8)</f>
        <v>0.8</v>
      </c>
      <c r="E1080" s="16">
        <f>IFERROR(__xludf.DUMMYFUNCTION("""COMPUTED_VALUE"""),33.5)</f>
        <v>33.5</v>
      </c>
      <c r="F1080" s="16">
        <f>IFERROR(__xludf.DUMMYFUNCTION("""COMPUTED_VALUE"""),0.4)</f>
        <v>0.4</v>
      </c>
      <c r="G1080" s="16">
        <f>IFERROR(__xludf.DUMMYFUNCTION("""COMPUTED_VALUE"""),0.0)</f>
        <v>0</v>
      </c>
      <c r="H1080" s="23">
        <f>IFERROR(__xludf.DUMMYFUNCTION("""COMPUTED_VALUE"""),140.79999999999998)</f>
        <v>140.8</v>
      </c>
    </row>
    <row r="1081">
      <c r="A1081" s="16" t="str">
        <f>IFERROR(__xludf.DUMMYFUNCTION("""COMPUTED_VALUE"""),"Пресни плодове")</f>
        <v>Пресни плодове</v>
      </c>
      <c r="B1081" s="7" t="str">
        <f>IFERROR(__xludf.DUMMYFUNCTION("""COMPUTED_VALUE"""),"Фурми-пресни")</f>
        <v>Фурми-пресни</v>
      </c>
      <c r="C1081" s="7">
        <f>IFERROR(__xludf.DUMMYFUNCTION("""COMPUTED_VALUE"""),100.0)</f>
        <v>100</v>
      </c>
      <c r="D1081" s="7">
        <f>IFERROR(__xludf.DUMMYFUNCTION("""COMPUTED_VALUE"""),1.8)</f>
        <v>1.8</v>
      </c>
      <c r="E1081" s="16">
        <f>IFERROR(__xludf.DUMMYFUNCTION("""COMPUTED_VALUE"""),37.0)</f>
        <v>37</v>
      </c>
      <c r="F1081" s="16">
        <f>IFERROR(__xludf.DUMMYFUNCTION("""COMPUTED_VALUE"""),1.0)</f>
        <v>1</v>
      </c>
      <c r="G1081" s="16">
        <f>IFERROR(__xludf.DUMMYFUNCTION("""COMPUTED_VALUE"""),3.5)</f>
        <v>3.5</v>
      </c>
      <c r="H1081" s="23">
        <f>IFERROR(__xludf.DUMMYFUNCTION("""COMPUTED_VALUE"""),164.2)</f>
        <v>164.2</v>
      </c>
    </row>
    <row r="1082">
      <c r="A1082" s="16" t="str">
        <f>IFERROR(__xludf.DUMMYFUNCTION("""COMPUTED_VALUE"""),"Пресни плодове")</f>
        <v>Пресни плодове</v>
      </c>
      <c r="B1082" s="7" t="str">
        <f>IFERROR(__xludf.DUMMYFUNCTION("""COMPUTED_VALUE"""),"Дюла")</f>
        <v>Дюла</v>
      </c>
      <c r="C1082" s="7">
        <f>IFERROR(__xludf.DUMMYFUNCTION("""COMPUTED_VALUE"""),100.0)</f>
        <v>100</v>
      </c>
      <c r="D1082" s="7">
        <f>IFERROR(__xludf.DUMMYFUNCTION("""COMPUTED_VALUE"""),0.4)</f>
        <v>0.4</v>
      </c>
      <c r="E1082" s="16">
        <f>IFERROR(__xludf.DUMMYFUNCTION("""COMPUTED_VALUE"""),15.3)</f>
        <v>15.3</v>
      </c>
      <c r="F1082" s="16">
        <f>IFERROR(__xludf.DUMMYFUNCTION("""COMPUTED_VALUE"""),0.1)</f>
        <v>0.1</v>
      </c>
      <c r="G1082" s="16">
        <f>IFERROR(__xludf.DUMMYFUNCTION("""COMPUTED_VALUE"""),1.9)</f>
        <v>1.9</v>
      </c>
      <c r="H1082" s="23">
        <f>IFERROR(__xludf.DUMMYFUNCTION("""COMPUTED_VALUE"""),63.7)</f>
        <v>63.7</v>
      </c>
    </row>
    <row r="1083">
      <c r="A1083" s="16" t="str">
        <f>IFERROR(__xludf.DUMMYFUNCTION("""COMPUTED_VALUE"""),"Пресни плодове")</f>
        <v>Пресни плодове</v>
      </c>
      <c r="B1083" s="7" t="str">
        <f>IFERROR(__xludf.DUMMYFUNCTION("""COMPUTED_VALUE"""),"Личи")</f>
        <v>Личи</v>
      </c>
      <c r="C1083" s="7">
        <f>IFERROR(__xludf.DUMMYFUNCTION("""COMPUTED_VALUE"""),100.0)</f>
        <v>100</v>
      </c>
      <c r="D1083" s="7">
        <f>IFERROR(__xludf.DUMMYFUNCTION("""COMPUTED_VALUE"""),0.82)</f>
        <v>0.82</v>
      </c>
      <c r="E1083" s="16">
        <f>IFERROR(__xludf.DUMMYFUNCTION("""COMPUTED_VALUE"""),16.52)</f>
        <v>16.52</v>
      </c>
      <c r="F1083" s="16">
        <f>IFERROR(__xludf.DUMMYFUNCTION("""COMPUTED_VALUE"""),0.43)</f>
        <v>0.43</v>
      </c>
      <c r="G1083" s="16">
        <f>IFERROR(__xludf.DUMMYFUNCTION("""COMPUTED_VALUE"""),1.5)</f>
        <v>1.5</v>
      </c>
      <c r="H1083" s="23">
        <f>IFERROR(__xludf.DUMMYFUNCTION("""COMPUTED_VALUE"""),73.23)</f>
        <v>73.23</v>
      </c>
    </row>
    <row r="1084">
      <c r="A1084" s="16" t="str">
        <f>IFERROR(__xludf.DUMMYFUNCTION("""COMPUTED_VALUE"""),"Пресни плодове")</f>
        <v>Пресни плодове</v>
      </c>
      <c r="B1084" s="7" t="str">
        <f>IFERROR(__xludf.DUMMYFUNCTION("""COMPUTED_VALUE"""),"Кактус плод")</f>
        <v>Кактус плод</v>
      </c>
      <c r="C1084" s="7">
        <f>IFERROR(__xludf.DUMMYFUNCTION("""COMPUTED_VALUE"""),100.0)</f>
        <v>100</v>
      </c>
      <c r="D1084" s="7">
        <f>IFERROR(__xludf.DUMMYFUNCTION("""COMPUTED_VALUE"""),2.0)</f>
        <v>2</v>
      </c>
      <c r="E1084" s="16">
        <f>IFERROR(__xludf.DUMMYFUNCTION("""COMPUTED_VALUE"""),20.0)</f>
        <v>20</v>
      </c>
      <c r="F1084" s="16">
        <f>IFERROR(__xludf.DUMMYFUNCTION("""COMPUTED_VALUE"""),1.0)</f>
        <v>1</v>
      </c>
      <c r="G1084" s="16">
        <f>IFERROR(__xludf.DUMMYFUNCTION("""COMPUTED_VALUE"""),8.0)</f>
        <v>8</v>
      </c>
      <c r="H1084" s="23">
        <f>IFERROR(__xludf.DUMMYFUNCTION("""COMPUTED_VALUE"""),97.0)</f>
        <v>97</v>
      </c>
    </row>
    <row r="1085">
      <c r="A1085" s="16" t="str">
        <f>IFERROR(__xludf.DUMMYFUNCTION("""COMPUTED_VALUE"""),"Пресни плодове")</f>
        <v>Пресни плодове</v>
      </c>
      <c r="B1085" s="7" t="str">
        <f>IFERROR(__xludf.DUMMYFUNCTION("""COMPUTED_VALUE"""),"Грозде")</f>
        <v>Грозде</v>
      </c>
      <c r="C1085" s="12">
        <f>IFERROR(__xludf.DUMMYFUNCTION("""COMPUTED_VALUE"""),100.0)</f>
        <v>100</v>
      </c>
      <c r="D1085" s="7">
        <f>IFERROR(__xludf.DUMMYFUNCTION("""COMPUTED_VALUE"""),0.72)</f>
        <v>0.72</v>
      </c>
      <c r="E1085" s="16">
        <f>IFERROR(__xludf.DUMMYFUNCTION("""COMPUTED_VALUE"""),18.1)</f>
        <v>18.1</v>
      </c>
      <c r="F1085" s="16">
        <f>IFERROR(__xludf.DUMMYFUNCTION("""COMPUTED_VALUE"""),0.16)</f>
        <v>0.16</v>
      </c>
      <c r="G1085" s="16">
        <f>IFERROR(__xludf.DUMMYFUNCTION("""COMPUTED_VALUE"""),0.9)</f>
        <v>0.9</v>
      </c>
      <c r="H1085" s="16">
        <f>IFERROR(__xludf.DUMMYFUNCTION("""COMPUTED_VALUE"""),76.72)</f>
        <v>76.72</v>
      </c>
    </row>
    <row r="1086">
      <c r="A1086" s="16" t="str">
        <f>IFERROR(__xludf.DUMMYFUNCTION("""COMPUTED_VALUE"""),"Пресни плодове")</f>
        <v>Пресни плодове</v>
      </c>
      <c r="B1086" s="7" t="str">
        <f>IFERROR(__xludf.DUMMYFUNCTION("""COMPUTED_VALUE"""),"Боровинки")</f>
        <v>Боровинки</v>
      </c>
      <c r="C1086" s="12">
        <f>IFERROR(__xludf.DUMMYFUNCTION("""COMPUTED_VALUE"""),100.0)</f>
        <v>100</v>
      </c>
      <c r="D1086" s="7">
        <f>IFERROR(__xludf.DUMMYFUNCTION("""COMPUTED_VALUE"""),0.74)</f>
        <v>0.74</v>
      </c>
      <c r="E1086" s="16">
        <f>IFERROR(__xludf.DUMMYFUNCTION("""COMPUTED_VALUE"""),14.49)</f>
        <v>14.49</v>
      </c>
      <c r="F1086" s="16">
        <f>IFERROR(__xludf.DUMMYFUNCTION("""COMPUTED_VALUE"""),0.33)</f>
        <v>0.33</v>
      </c>
      <c r="G1086" s="16">
        <f>IFERROR(__xludf.DUMMYFUNCTION("""COMPUTED_VALUE"""),2.4)</f>
        <v>2.4</v>
      </c>
      <c r="H1086" s="16">
        <f>IFERROR(__xludf.DUMMYFUNCTION("""COMPUTED_VALUE"""),63.89)</f>
        <v>63.89</v>
      </c>
    </row>
    <row r="1087">
      <c r="A1087" s="16" t="str">
        <f>IFERROR(__xludf.DUMMYFUNCTION("""COMPUTED_VALUE"""),"Протеин на прах")</f>
        <v>Протеин на прах</v>
      </c>
      <c r="B1087" s="7" t="str">
        <f>IFERROR(__xludf.DUMMYFUNCTION("""COMPUTED_VALUE"""),"Pure Nutrition Hydro 100")</f>
        <v>Pure Nutrition Hydro 100</v>
      </c>
      <c r="C1087" s="12">
        <f>IFERROR(__xludf.DUMMYFUNCTION("""COMPUTED_VALUE"""),100.0)</f>
        <v>100</v>
      </c>
      <c r="D1087" s="7">
        <f>IFERROR(__xludf.DUMMYFUNCTION("""COMPUTED_VALUE"""),80.0)</f>
        <v>80</v>
      </c>
      <c r="E1087" s="16">
        <f>IFERROR(__xludf.DUMMYFUNCTION("""COMPUTED_VALUE"""),3.3)</f>
        <v>3.3</v>
      </c>
      <c r="F1087" s="16">
        <f>IFERROR(__xludf.DUMMYFUNCTION("""COMPUTED_VALUE"""),3.3)</f>
        <v>3.3</v>
      </c>
      <c r="G1087" s="16">
        <f>IFERROR(__xludf.DUMMYFUNCTION("""COMPUTED_VALUE"""),0.0)</f>
        <v>0</v>
      </c>
      <c r="H1087" s="23">
        <f>IFERROR(__xludf.DUMMYFUNCTION("""COMPUTED_VALUE"""),362.9)</f>
        <v>362.9</v>
      </c>
    </row>
    <row r="1088">
      <c r="A1088" s="16" t="str">
        <f>IFERROR(__xludf.DUMMYFUNCTION("""COMPUTED_VALUE"""),"Протеин на прах")</f>
        <v>Протеин на прах</v>
      </c>
      <c r="B1088" s="7" t="str">
        <f>IFERROR(__xludf.DUMMYFUNCTION("""COMPUTED_VALUE"""),"BULK PURE WHEY PROTEIN")</f>
        <v>BULK PURE WHEY PROTEIN</v>
      </c>
      <c r="C1088" s="12">
        <f>IFERROR(__xludf.DUMMYFUNCTION("""COMPUTED_VALUE"""),100.0)</f>
        <v>100</v>
      </c>
      <c r="D1088" s="7">
        <f>IFERROR(__xludf.DUMMYFUNCTION("""COMPUTED_VALUE"""),72.0)</f>
        <v>72</v>
      </c>
      <c r="E1088" s="16">
        <f>IFERROR(__xludf.DUMMYFUNCTION("""COMPUTED_VALUE"""),12.0)</f>
        <v>12</v>
      </c>
      <c r="F1088" s="16">
        <f>IFERROR(__xludf.DUMMYFUNCTION("""COMPUTED_VALUE"""),4.0)</f>
        <v>4</v>
      </c>
      <c r="G1088" s="16">
        <f>IFERROR(__xludf.DUMMYFUNCTION("""COMPUTED_VALUE"""),3.4)</f>
        <v>3.4</v>
      </c>
      <c r="H1088" s="16">
        <f>IFERROR(__xludf.DUMMYFUNCTION("""COMPUTED_VALUE"""),372.0)</f>
        <v>372</v>
      </c>
    </row>
    <row r="1089">
      <c r="A1089" s="16" t="str">
        <f>IFERROR(__xludf.DUMMYFUNCTION("""COMPUTED_VALUE"""),"Протеин на прах")</f>
        <v>Протеин на прах</v>
      </c>
      <c r="B1089" s="7" t="str">
        <f>IFERROR(__xludf.DUMMYFUNCTION("""COMPUTED_VALUE"""),"Iso Whey Zero (cookies &amp; cream) BiotechUsa")</f>
        <v>Iso Whey Zero (cookies &amp; cream) BiotechUsa</v>
      </c>
      <c r="C1089" s="12">
        <f>IFERROR(__xludf.DUMMYFUNCTION("""COMPUTED_VALUE"""),100.0)</f>
        <v>100</v>
      </c>
      <c r="D1089" s="7">
        <f>IFERROR(__xludf.DUMMYFUNCTION("""COMPUTED_VALUE"""),84.0)</f>
        <v>84</v>
      </c>
      <c r="E1089" s="16">
        <f>IFERROR(__xludf.DUMMYFUNCTION("""COMPUTED_VALUE"""),5.2)</f>
        <v>5.2</v>
      </c>
      <c r="F1089" s="16">
        <f>IFERROR(__xludf.DUMMYFUNCTION("""COMPUTED_VALUE"""),2.0)</f>
        <v>2</v>
      </c>
      <c r="G1089" s="16">
        <f>IFERROR(__xludf.DUMMYFUNCTION("""COMPUTED_VALUE"""),0.0)</f>
        <v>0</v>
      </c>
      <c r="H1089" s="23">
        <f>IFERROR(__xludf.DUMMYFUNCTION("""COMPUTED_VALUE"""),374.8)</f>
        <v>374.8</v>
      </c>
    </row>
    <row r="1090">
      <c r="A1090" s="16" t="str">
        <f>IFERROR(__xludf.DUMMYFUNCTION("""COMPUTED_VALUE"""),"Протеин на прах")</f>
        <v>Протеин на прах</v>
      </c>
      <c r="B1090" s="7" t="str">
        <f>IFERROR(__xludf.DUMMYFUNCTION("""COMPUTED_VALUE"""),"Whey seceltion performance line")</f>
        <v>Whey seceltion performance line</v>
      </c>
      <c r="C1090" s="12">
        <f>IFERROR(__xludf.DUMMYFUNCTION("""COMPUTED_VALUE"""),100.0)</f>
        <v>100</v>
      </c>
      <c r="D1090" s="7">
        <f>IFERROR(__xludf.DUMMYFUNCTION("""COMPUTED_VALUE"""),80.0)</f>
        <v>80</v>
      </c>
      <c r="E1090" s="16">
        <f>IFERROR(__xludf.DUMMYFUNCTION("""COMPUTED_VALUE"""),1.7)</f>
        <v>1.7</v>
      </c>
      <c r="F1090" s="16">
        <f>IFERROR(__xludf.DUMMYFUNCTION("""COMPUTED_VALUE"""),3.0)</f>
        <v>3</v>
      </c>
      <c r="G1090" s="16">
        <f>IFERROR(__xludf.DUMMYFUNCTION("""COMPUTED_VALUE"""),0.0)</f>
        <v>0</v>
      </c>
      <c r="H1090" s="23">
        <f>IFERROR(__xludf.DUMMYFUNCTION("""COMPUTED_VALUE"""),353.8)</f>
        <v>353.8</v>
      </c>
    </row>
    <row r="1091">
      <c r="A1091" s="16" t="str">
        <f>IFERROR(__xludf.DUMMYFUNCTION("""COMPUTED_VALUE"""),"Протеин на прах")</f>
        <v>Протеин на прах</v>
      </c>
      <c r="B1091" s="7" t="str">
        <f>IFERROR(__xludf.DUMMYFUNCTION("""COMPUTED_VALUE"""),"High Protein Bar ""FitSpo""")</f>
        <v>High Protein Bar "FitSpo"</v>
      </c>
      <c r="C1091" s="12">
        <f>IFERROR(__xludf.DUMMYFUNCTION("""COMPUTED_VALUE"""),100.0)</f>
        <v>100</v>
      </c>
      <c r="D1091" s="7">
        <f>IFERROR(__xludf.DUMMYFUNCTION("""COMPUTED_VALUE"""),31.0)</f>
        <v>31</v>
      </c>
      <c r="E1091" s="16">
        <f>IFERROR(__xludf.DUMMYFUNCTION("""COMPUTED_VALUE"""),35.0)</f>
        <v>35</v>
      </c>
      <c r="F1091" s="16">
        <f>IFERROR(__xludf.DUMMYFUNCTION("""COMPUTED_VALUE"""),17.0)</f>
        <v>17</v>
      </c>
      <c r="G1091" s="16">
        <f>IFERROR(__xludf.DUMMYFUNCTION("""COMPUTED_VALUE"""),0.0)</f>
        <v>0</v>
      </c>
      <c r="H1091" s="23">
        <f>IFERROR(__xludf.DUMMYFUNCTION("""COMPUTED_VALUE"""),417.0)</f>
        <v>417</v>
      </c>
    </row>
    <row r="1092">
      <c r="A1092" s="16" t="str">
        <f>IFERROR(__xludf.DUMMYFUNCTION("""COMPUTED_VALUE"""),"Протеин на прах")</f>
        <v>Протеин на прах</v>
      </c>
      <c r="B1092" s="7" t="str">
        <f>IFERROR(__xludf.DUMMYFUNCTION("""COMPUTED_VALUE"""),"Колаген / Collagen - PURE NUTRITION")</f>
        <v>Колаген / Collagen - PURE NUTRITION</v>
      </c>
      <c r="C1092" s="12">
        <f>IFERROR(__xludf.DUMMYFUNCTION("""COMPUTED_VALUE"""),100.0)</f>
        <v>100</v>
      </c>
      <c r="D1092" s="7">
        <f>IFERROR(__xludf.DUMMYFUNCTION("""COMPUTED_VALUE"""),40.0)</f>
        <v>40</v>
      </c>
      <c r="E1092" s="16">
        <f>IFERROR(__xludf.DUMMYFUNCTION("""COMPUTED_VALUE"""),1.2)</f>
        <v>1.2</v>
      </c>
      <c r="F1092" s="16">
        <f>IFERROR(__xludf.DUMMYFUNCTION("""COMPUTED_VALUE"""),0.4)</f>
        <v>0.4</v>
      </c>
      <c r="G1092" s="16">
        <f>IFERROR(__xludf.DUMMYFUNCTION("""COMPUTED_VALUE"""),0.0)</f>
        <v>0</v>
      </c>
      <c r="H1092" s="23">
        <f>IFERROR(__xludf.DUMMYFUNCTION("""COMPUTED_VALUE"""),168.4)</f>
        <v>168.4</v>
      </c>
    </row>
    <row r="1093">
      <c r="A1093" s="16" t="str">
        <f>IFERROR(__xludf.DUMMYFUNCTION("""COMPUTED_VALUE"""),"Протеин на прах")</f>
        <v>Протеин на прах</v>
      </c>
      <c r="B1093" s="7" t="str">
        <f>IFERROR(__xludf.DUMMYFUNCTION("""COMPUTED_VALUE"""),"Dymatize Iso 100 - Whey")</f>
        <v>Dymatize Iso 100 - Whey</v>
      </c>
      <c r="C1093" s="7">
        <f>IFERROR(__xludf.DUMMYFUNCTION("""COMPUTED_VALUE"""),100.0)</f>
        <v>100</v>
      </c>
      <c r="D1093" s="7">
        <f>IFERROR(__xludf.DUMMYFUNCTION("""COMPUTED_VALUE"""),82.0)</f>
        <v>82</v>
      </c>
      <c r="E1093" s="16">
        <f>IFERROR(__xludf.DUMMYFUNCTION("""COMPUTED_VALUE"""),7.0)</f>
        <v>7</v>
      </c>
      <c r="F1093" s="16">
        <f>IFERROR(__xludf.DUMMYFUNCTION("""COMPUTED_VALUE"""),0.5)</f>
        <v>0.5</v>
      </c>
      <c r="G1093" s="16">
        <f>IFERROR(__xludf.DUMMYFUNCTION("""COMPUTED_VALUE"""),0.0)</f>
        <v>0</v>
      </c>
      <c r="H1093" s="23">
        <f>IFERROR(__xludf.DUMMYFUNCTION("""COMPUTED_VALUE"""),360.5)</f>
        <v>360.5</v>
      </c>
    </row>
    <row r="1094">
      <c r="A1094" s="16" t="str">
        <f>IFERROR(__xludf.DUMMYFUNCTION("""COMPUTED_VALUE"""),"Протеин на прах")</f>
        <v>Протеин на прах</v>
      </c>
      <c r="B1094" s="7" t="str">
        <f>IFERROR(__xludf.DUMMYFUNCTION("""COMPUTED_VALUE"""),"Грахов протеин (Zoya)")</f>
        <v>Грахов протеин (Zoya)</v>
      </c>
      <c r="C1094" s="7">
        <f>IFERROR(__xludf.DUMMYFUNCTION("""COMPUTED_VALUE"""),100.0)</f>
        <v>100</v>
      </c>
      <c r="D1094" s="7">
        <f>IFERROR(__xludf.DUMMYFUNCTION("""COMPUTED_VALUE"""),78.0)</f>
        <v>78</v>
      </c>
      <c r="E1094" s="16">
        <f>IFERROR(__xludf.DUMMYFUNCTION("""COMPUTED_VALUE"""),4.8)</f>
        <v>4.8</v>
      </c>
      <c r="F1094" s="16">
        <f>IFERROR(__xludf.DUMMYFUNCTION("""COMPUTED_VALUE"""),5.4)</f>
        <v>5.4</v>
      </c>
      <c r="G1094" s="16">
        <f>IFERROR(__xludf.DUMMYFUNCTION("""COMPUTED_VALUE"""),0.0)</f>
        <v>0</v>
      </c>
      <c r="H1094" s="23">
        <f>IFERROR(__xludf.DUMMYFUNCTION("""COMPUTED_VALUE"""),379.8)</f>
        <v>379.8</v>
      </c>
    </row>
    <row r="1095">
      <c r="A1095" s="16" t="str">
        <f>IFERROR(__xludf.DUMMYFUNCTION("""COMPUTED_VALUE"""),"Протеин на прах")</f>
        <v>Протеин на прах</v>
      </c>
      <c r="B1095" s="7" t="str">
        <f>IFERROR(__xludf.DUMMYFUNCTION("""COMPUTED_VALUE"""),"Dymatize Elite Whey")</f>
        <v>Dymatize Elite Whey</v>
      </c>
      <c r="C1095" s="7">
        <f>IFERROR(__xludf.DUMMYFUNCTION("""COMPUTED_VALUE"""),100.0)</f>
        <v>100</v>
      </c>
      <c r="D1095" s="7">
        <f>IFERROR(__xludf.DUMMYFUNCTION("""COMPUTED_VALUE"""),73.0)</f>
        <v>73</v>
      </c>
      <c r="E1095" s="16">
        <f>IFERROR(__xludf.DUMMYFUNCTION("""COMPUTED_VALUE"""),4.0)</f>
        <v>4</v>
      </c>
      <c r="F1095" s="16">
        <f>IFERROR(__xludf.DUMMYFUNCTION("""COMPUTED_VALUE"""),9.0)</f>
        <v>9</v>
      </c>
      <c r="G1095" s="16">
        <f>IFERROR(__xludf.DUMMYFUNCTION("""COMPUTED_VALUE"""),0.0)</f>
        <v>0</v>
      </c>
      <c r="H1095" s="23">
        <f>IFERROR(__xludf.DUMMYFUNCTION("""COMPUTED_VALUE"""),389.0)</f>
        <v>389</v>
      </c>
    </row>
    <row r="1096">
      <c r="A1096" s="16" t="str">
        <f>IFERROR(__xludf.DUMMYFUNCTION("""COMPUTED_VALUE"""),"Протеин на прах")</f>
        <v>Протеин на прах</v>
      </c>
      <c r="B1096" s="7" t="str">
        <f>IFERROR(__xludf.DUMMYFUNCTION("""COMPUTED_VALUE"""),"Myprotein, impact whey protein, chocolate banana")</f>
        <v>Myprotein, impact whey protein, chocolate banana</v>
      </c>
      <c r="C1096" s="7">
        <f>IFERROR(__xludf.DUMMYFUNCTION("""COMPUTED_VALUE"""),100.0)</f>
        <v>100</v>
      </c>
      <c r="D1096" s="7">
        <f>IFERROR(__xludf.DUMMYFUNCTION("""COMPUTED_VALUE"""),82.0)</f>
        <v>82</v>
      </c>
      <c r="E1096" s="16">
        <f>IFERROR(__xludf.DUMMYFUNCTION("""COMPUTED_VALUE"""),4.0)</f>
        <v>4</v>
      </c>
      <c r="F1096" s="16">
        <f>IFERROR(__xludf.DUMMYFUNCTION("""COMPUTED_VALUE"""),7.5)</f>
        <v>7.5</v>
      </c>
      <c r="G1096" s="16">
        <f>IFERROR(__xludf.DUMMYFUNCTION("""COMPUTED_VALUE"""),0.0)</f>
        <v>0</v>
      </c>
      <c r="H1096" s="23">
        <f>IFERROR(__xludf.DUMMYFUNCTION("""COMPUTED_VALUE"""),411.5)</f>
        <v>411.5</v>
      </c>
    </row>
    <row r="1097">
      <c r="A1097" s="16" t="str">
        <f>IFERROR(__xludf.DUMMYFUNCTION("""COMPUTED_VALUE"""),"Протеин на прах")</f>
        <v>Протеин на прах</v>
      </c>
      <c r="B1097" s="7" t="str">
        <f>IFERROR(__xludf.DUMMYFUNCTION("""COMPUTED_VALUE"""),"Протеин на прах (всички суроватъчни протеини)")</f>
        <v>Протеин на прах (всички суроватъчни протеини)</v>
      </c>
      <c r="C1097" s="7">
        <f>IFERROR(__xludf.DUMMYFUNCTION("""COMPUTED_VALUE"""),100.0)</f>
        <v>100</v>
      </c>
      <c r="D1097" s="7">
        <f>IFERROR(__xludf.DUMMYFUNCTION("""COMPUTED_VALUE"""),82.0)</f>
        <v>82</v>
      </c>
      <c r="E1097" s="16">
        <f>IFERROR(__xludf.DUMMYFUNCTION("""COMPUTED_VALUE"""),4.0)</f>
        <v>4</v>
      </c>
      <c r="F1097" s="16">
        <f>IFERROR(__xludf.DUMMYFUNCTION("""COMPUTED_VALUE"""),7.5)</f>
        <v>7.5</v>
      </c>
      <c r="G1097" s="16">
        <f>IFERROR(__xludf.DUMMYFUNCTION("""COMPUTED_VALUE"""),0.0)</f>
        <v>0</v>
      </c>
      <c r="H1097" s="23">
        <f>IFERROR(__xludf.DUMMYFUNCTION("""COMPUTED_VALUE"""),411.5)</f>
        <v>411.5</v>
      </c>
    </row>
    <row r="1098">
      <c r="A1098" s="16" t="str">
        <f>IFERROR(__xludf.DUMMYFUNCTION("""COMPUTED_VALUE"""),"Протеин на прах")</f>
        <v>Протеин на прах</v>
      </c>
      <c r="B1098" s="7" t="str">
        <f>IFERROR(__xludf.DUMMYFUNCTION("""COMPUTED_VALUE"""),"MyProtein Impact Whey")</f>
        <v>MyProtein Impact Whey</v>
      </c>
      <c r="C1098" s="7">
        <f>IFERROR(__xludf.DUMMYFUNCTION("""COMPUTED_VALUE"""),100.0)</f>
        <v>100</v>
      </c>
      <c r="D1098" s="7">
        <f>IFERROR(__xludf.DUMMYFUNCTION("""COMPUTED_VALUE"""),75.0)</f>
        <v>75</v>
      </c>
      <c r="E1098" s="16">
        <f>IFERROR(__xludf.DUMMYFUNCTION("""COMPUTED_VALUE"""),3.7)</f>
        <v>3.7</v>
      </c>
      <c r="F1098" s="16">
        <f>IFERROR(__xludf.DUMMYFUNCTION("""COMPUTED_VALUE"""),7.4)</f>
        <v>7.4</v>
      </c>
      <c r="G1098" s="16">
        <f>IFERROR(__xludf.DUMMYFUNCTION("""COMPUTED_VALUE"""),0.0)</f>
        <v>0</v>
      </c>
      <c r="H1098" s="23">
        <f>IFERROR(__xludf.DUMMYFUNCTION("""COMPUTED_VALUE"""),381.40000000000003)</f>
        <v>381.4</v>
      </c>
    </row>
    <row r="1099">
      <c r="A1099" s="16" t="str">
        <f>IFERROR(__xludf.DUMMYFUNCTION("""COMPUTED_VALUE"""),"Протеин на прах")</f>
        <v>Протеин на прах</v>
      </c>
      <c r="B1099" s="7" t="str">
        <f>IFERROR(__xludf.DUMMYFUNCTION("""COMPUTED_VALUE"""),"Amix Whey Protein Powder")</f>
        <v>Amix Whey Protein Powder</v>
      </c>
      <c r="C1099" s="7">
        <f>IFERROR(__xludf.DUMMYFUNCTION("""COMPUTED_VALUE"""),100.0)</f>
        <v>100</v>
      </c>
      <c r="D1099" s="7">
        <f>IFERROR(__xludf.DUMMYFUNCTION("""COMPUTED_VALUE"""),82.0)</f>
        <v>82</v>
      </c>
      <c r="E1099" s="16">
        <f>IFERROR(__xludf.DUMMYFUNCTION("""COMPUTED_VALUE"""),4.0)</f>
        <v>4</v>
      </c>
      <c r="F1099" s="16">
        <f>IFERROR(__xludf.DUMMYFUNCTION("""COMPUTED_VALUE"""),6.0)</f>
        <v>6</v>
      </c>
      <c r="G1099" s="16">
        <f>IFERROR(__xludf.DUMMYFUNCTION("""COMPUTED_VALUE"""),0.0)</f>
        <v>0</v>
      </c>
      <c r="H1099" s="23">
        <f>IFERROR(__xludf.DUMMYFUNCTION("""COMPUTED_VALUE"""),129.65)</f>
        <v>129.65</v>
      </c>
    </row>
    <row r="1100">
      <c r="A1100" s="16" t="str">
        <f>IFERROR(__xludf.DUMMYFUNCTION("""COMPUTED_VALUE"""),"Протеин на прах")</f>
        <v>Протеин на прах</v>
      </c>
      <c r="B1100" s="7" t="str">
        <f>IFERROR(__xludf.DUMMYFUNCTION("""COMPUTED_VALUE"""),"Gym Beam Whey Protein")</f>
        <v>Gym Beam Whey Protein</v>
      </c>
      <c r="C1100" s="7">
        <f>IFERROR(__xludf.DUMMYFUNCTION("""COMPUTED_VALUE"""),100.0)</f>
        <v>100</v>
      </c>
      <c r="D1100" s="7">
        <f>IFERROR(__xludf.DUMMYFUNCTION("""COMPUTED_VALUE"""),75.0)</f>
        <v>75</v>
      </c>
      <c r="E1100" s="16">
        <f>IFERROR(__xludf.DUMMYFUNCTION("""COMPUTED_VALUE"""),4.0)</f>
        <v>4</v>
      </c>
      <c r="F1100" s="16">
        <f>IFERROR(__xludf.DUMMYFUNCTION("""COMPUTED_VALUE"""),5.0)</f>
        <v>5</v>
      </c>
      <c r="G1100" s="16">
        <f>IFERROR(__xludf.DUMMYFUNCTION("""COMPUTED_VALUE"""),0.0)</f>
        <v>0</v>
      </c>
      <c r="H1100" s="23">
        <f>IFERROR(__xludf.DUMMYFUNCTION("""COMPUTED_VALUE"""),113.3)</f>
        <v>113.3</v>
      </c>
    </row>
    <row r="1101">
      <c r="A1101" s="16" t="str">
        <f>IFERROR(__xludf.DUMMYFUNCTION("""COMPUTED_VALUE"""),"Протеин на прах")</f>
        <v>Протеин на прах</v>
      </c>
      <c r="B1101" s="7" t="str">
        <f>IFERROR(__xludf.DUMMYFUNCTION("""COMPUTED_VALUE"""),"USN - Whey Isolate")</f>
        <v>USN - Whey Isolate</v>
      </c>
      <c r="C1101" s="7">
        <f>IFERROR(__xludf.DUMMYFUNCTION("""COMPUTED_VALUE"""),100.0)</f>
        <v>100</v>
      </c>
      <c r="D1101" s="7">
        <f>IFERROR(__xludf.DUMMYFUNCTION("""COMPUTED_VALUE"""),74.0)</f>
        <v>74</v>
      </c>
      <c r="E1101" s="16">
        <f>IFERROR(__xludf.DUMMYFUNCTION("""COMPUTED_VALUE"""),6.0)</f>
        <v>6</v>
      </c>
      <c r="F1101" s="16">
        <f>IFERROR(__xludf.DUMMYFUNCTION("""COMPUTED_VALUE"""),6.0)</f>
        <v>6</v>
      </c>
      <c r="G1101" s="16">
        <f>IFERROR(__xludf.DUMMYFUNCTION("""COMPUTED_VALUE"""),2.6)</f>
        <v>2.6</v>
      </c>
      <c r="H1101" s="23">
        <f>IFERROR(__xludf.DUMMYFUNCTION("""COMPUTED_VALUE"""),374.0)</f>
        <v>374</v>
      </c>
    </row>
    <row r="1102">
      <c r="A1102" s="16" t="str">
        <f>IFERROR(__xludf.DUMMYFUNCTION("""COMPUTED_VALUE"""),"Протеин на прах")</f>
        <v>Протеин на прах</v>
      </c>
      <c r="B1102" s="7" t="str">
        <f>IFERROR(__xludf.DUMMYFUNCTION("""COMPUTED_VALUE"""),"Amix Pro Fusion - Whey ")</f>
        <v>Amix Pro Fusion - Whey </v>
      </c>
      <c r="C1102" s="7">
        <f>IFERROR(__xludf.DUMMYFUNCTION("""COMPUTED_VALUE"""),100.0)</f>
        <v>100</v>
      </c>
      <c r="D1102" s="7">
        <f>IFERROR(__xludf.DUMMYFUNCTION("""COMPUTED_VALUE"""),75.0)</f>
        <v>75</v>
      </c>
      <c r="E1102" s="16">
        <f>IFERROR(__xludf.DUMMYFUNCTION("""COMPUTED_VALUE"""),7.8)</f>
        <v>7.8</v>
      </c>
      <c r="F1102" s="16">
        <f>IFERROR(__xludf.DUMMYFUNCTION("""COMPUTED_VALUE"""),4.7)</f>
        <v>4.7</v>
      </c>
      <c r="G1102" s="16">
        <f>IFERROR(__xludf.DUMMYFUNCTION("""COMPUTED_VALUE"""),0.0)</f>
        <v>0</v>
      </c>
      <c r="H1102" s="23">
        <f>IFERROR(__xludf.DUMMYFUNCTION("""COMPUTED_VALUE"""),373.5)</f>
        <v>373.5</v>
      </c>
    </row>
    <row r="1103">
      <c r="A1103" s="16" t="str">
        <f>IFERROR(__xludf.DUMMYFUNCTION("""COMPUTED_VALUE"""),"Протеин на прах")</f>
        <v>Протеин на прах</v>
      </c>
      <c r="B1103" s="7" t="str">
        <f>IFERROR(__xludf.DUMMYFUNCTION("""COMPUTED_VALUE"""),"Proof Nutrition - Chocolate")</f>
        <v>Proof Nutrition - Chocolate</v>
      </c>
      <c r="C1103" s="7">
        <f>IFERROR(__xludf.DUMMYFUNCTION("""COMPUTED_VALUE"""),100.0)</f>
        <v>100</v>
      </c>
      <c r="D1103" s="7">
        <f>IFERROR(__xludf.DUMMYFUNCTION("""COMPUTED_VALUE"""),72.8)</f>
        <v>72.8</v>
      </c>
      <c r="E1103" s="16">
        <f>IFERROR(__xludf.DUMMYFUNCTION("""COMPUTED_VALUE"""),5.88)</f>
        <v>5.88</v>
      </c>
      <c r="F1103" s="16">
        <f>IFERROR(__xludf.DUMMYFUNCTION("""COMPUTED_VALUE"""),7.47)</f>
        <v>7.47</v>
      </c>
      <c r="G1103" s="16">
        <f>IFERROR(__xludf.DUMMYFUNCTION("""COMPUTED_VALUE"""),0.0)</f>
        <v>0</v>
      </c>
      <c r="H1103" s="23">
        <f>IFERROR(__xludf.DUMMYFUNCTION("""COMPUTED_VALUE"""),381.95)</f>
        <v>381.95</v>
      </c>
    </row>
    <row r="1104">
      <c r="A1104" s="16" t="str">
        <f>IFERROR(__xludf.DUMMYFUNCTION("""COMPUTED_VALUE"""),"Протеин на прах")</f>
        <v>Протеин на прах</v>
      </c>
      <c r="B1104" s="7" t="str">
        <f>IFERROR(__xludf.DUMMYFUNCTION("""COMPUTED_VALUE"""),"Протеин “Naturalico”")</f>
        <v>Протеин “Naturalico”</v>
      </c>
      <c r="C1104" s="7">
        <f>IFERROR(__xludf.DUMMYFUNCTION("""COMPUTED_VALUE"""),100.0)</f>
        <v>100</v>
      </c>
      <c r="D1104" s="7">
        <f>IFERROR(__xludf.DUMMYFUNCTION("""COMPUTED_VALUE"""),70.0)</f>
        <v>70</v>
      </c>
      <c r="E1104" s="16">
        <f>IFERROR(__xludf.DUMMYFUNCTION("""COMPUTED_VALUE"""),6.7)</f>
        <v>6.7</v>
      </c>
      <c r="F1104" s="16">
        <f>IFERROR(__xludf.DUMMYFUNCTION("""COMPUTED_VALUE"""),1.4)</f>
        <v>1.4</v>
      </c>
      <c r="G1104" s="16">
        <f>IFERROR(__xludf.DUMMYFUNCTION("""COMPUTED_VALUE"""),0.0)</f>
        <v>0</v>
      </c>
      <c r="H1104" s="23">
        <f>IFERROR(__xludf.DUMMYFUNCTION("""COMPUTED_VALUE"""),319.40000000000003)</f>
        <v>319.4</v>
      </c>
    </row>
    <row r="1105">
      <c r="A1105" s="16" t="str">
        <f>IFERROR(__xludf.DUMMYFUNCTION("""COMPUTED_VALUE"""),"Протеин на прах")</f>
        <v>Протеин на прах</v>
      </c>
      <c r="B1105" s="7" t="str">
        <f>IFERROR(__xludf.DUMMYFUNCTION("""COMPUTED_VALUE"""),"Gold Standard Whey")</f>
        <v>Gold Standard Whey</v>
      </c>
      <c r="C1105" s="7">
        <f>IFERROR(__xludf.DUMMYFUNCTION("""COMPUTED_VALUE"""),100.0)</f>
        <v>100</v>
      </c>
      <c r="D1105" s="7">
        <f>IFERROR(__xludf.DUMMYFUNCTION("""COMPUTED_VALUE"""),74.0)</f>
        <v>74</v>
      </c>
      <c r="E1105" s="16">
        <f>IFERROR(__xludf.DUMMYFUNCTION("""COMPUTED_VALUE"""),13.0)</f>
        <v>13</v>
      </c>
      <c r="F1105" s="16">
        <f>IFERROR(__xludf.DUMMYFUNCTION("""COMPUTED_VALUE"""),4.0)</f>
        <v>4</v>
      </c>
      <c r="G1105" s="16">
        <f>IFERROR(__xludf.DUMMYFUNCTION("""COMPUTED_VALUE"""),0.0)</f>
        <v>0</v>
      </c>
      <c r="H1105" s="23">
        <f>IFERROR(__xludf.DUMMYFUNCTION("""COMPUTED_VALUE"""),121.0)</f>
        <v>121</v>
      </c>
    </row>
    <row r="1106">
      <c r="A1106" s="16" t="str">
        <f>IFERROR(__xludf.DUMMYFUNCTION("""COMPUTED_VALUE"""),"Протеин на прах")</f>
        <v>Протеин на прах</v>
      </c>
      <c r="B1106" s="7" t="str">
        <f>IFERROR(__xludf.DUMMYFUNCTION("""COMPUTED_VALUE"""),"Gold Standard - Beef Protein")</f>
        <v>Gold Standard - Beef Protein</v>
      </c>
      <c r="C1106" s="7">
        <f>IFERROR(__xludf.DUMMYFUNCTION("""COMPUTED_VALUE"""),100.0)</f>
        <v>100</v>
      </c>
      <c r="D1106" s="7">
        <f>IFERROR(__xludf.DUMMYFUNCTION("""COMPUTED_VALUE"""),74.0)</f>
        <v>74</v>
      </c>
      <c r="E1106" s="16">
        <f>IFERROR(__xludf.DUMMYFUNCTION("""COMPUTED_VALUE"""),13.0)</f>
        <v>13</v>
      </c>
      <c r="F1106" s="16">
        <f>IFERROR(__xludf.DUMMYFUNCTION("""COMPUTED_VALUE"""),4.0)</f>
        <v>4</v>
      </c>
      <c r="G1106" s="16">
        <f>IFERROR(__xludf.DUMMYFUNCTION("""COMPUTED_VALUE"""),0.0)</f>
        <v>0</v>
      </c>
      <c r="H1106" s="23">
        <f>IFERROR(__xludf.DUMMYFUNCTION("""COMPUTED_VALUE"""),198.0)</f>
        <v>198</v>
      </c>
    </row>
    <row r="1107">
      <c r="A1107" s="16" t="str">
        <f>IFERROR(__xludf.DUMMYFUNCTION("""COMPUTED_VALUE"""),"Протеин на прах")</f>
        <v>Протеин на прах</v>
      </c>
      <c r="B1107" s="7" t="str">
        <f>IFERROR(__xludf.DUMMYFUNCTION("""COMPUTED_VALUE"""),"Ronnie Cole Pro - antinum")</f>
        <v>Ronnie Cole Pro - antinum</v>
      </c>
      <c r="C1107" s="7">
        <f>IFERROR(__xludf.DUMMYFUNCTION("""COMPUTED_VALUE"""),100.0)</f>
        <v>100</v>
      </c>
      <c r="D1107" s="7">
        <f>IFERROR(__xludf.DUMMYFUNCTION("""COMPUTED_VALUE"""),74.0)</f>
        <v>74</v>
      </c>
      <c r="E1107" s="16">
        <f>IFERROR(__xludf.DUMMYFUNCTION("""COMPUTED_VALUE"""),13.0)</f>
        <v>13</v>
      </c>
      <c r="F1107" s="16">
        <f>IFERROR(__xludf.DUMMYFUNCTION("""COMPUTED_VALUE"""),4.0)</f>
        <v>4</v>
      </c>
      <c r="G1107" s="16">
        <f>IFERROR(__xludf.DUMMYFUNCTION("""COMPUTED_VALUE"""),1.0)</f>
        <v>1</v>
      </c>
      <c r="H1107" s="23">
        <f>IFERROR(__xludf.DUMMYFUNCTION("""COMPUTED_VALUE"""),174.5)</f>
        <v>174.5</v>
      </c>
    </row>
    <row r="1108">
      <c r="A1108" s="16" t="str">
        <f>IFERROR(__xludf.DUMMYFUNCTION("""COMPUTED_VALUE"""),"Протеин на прах")</f>
        <v>Протеин на прах</v>
      </c>
      <c r="B1108" s="7" t="str">
        <f>IFERROR(__xludf.DUMMYFUNCTION("""COMPUTED_VALUE"""),"Gym Beam True Whey Chocolate Coconut")</f>
        <v>Gym Beam True Whey Chocolate Coconut</v>
      </c>
      <c r="C1108" s="7">
        <f>IFERROR(__xludf.DUMMYFUNCTION("""COMPUTED_VALUE"""),100.0)</f>
        <v>100</v>
      </c>
      <c r="D1108" s="7">
        <f>IFERROR(__xludf.DUMMYFUNCTION("""COMPUTED_VALUE"""),76.0)</f>
        <v>76</v>
      </c>
      <c r="E1108" s="16">
        <f>IFERROR(__xludf.DUMMYFUNCTION("""COMPUTED_VALUE"""),7.0)</f>
        <v>7</v>
      </c>
      <c r="F1108" s="16">
        <f>IFERROR(__xludf.DUMMYFUNCTION("""COMPUTED_VALUE"""),6.0)</f>
        <v>6</v>
      </c>
      <c r="G1108" s="16">
        <f>IFERROR(__xludf.DUMMYFUNCTION("""COMPUTED_VALUE"""),2.0)</f>
        <v>2</v>
      </c>
      <c r="H1108" s="23">
        <f>IFERROR(__xludf.DUMMYFUNCTION("""COMPUTED_VALUE"""),386.0)</f>
        <v>386</v>
      </c>
    </row>
    <row r="1109">
      <c r="A1109" s="16" t="str">
        <f>IFERROR(__xludf.DUMMYFUNCTION("""COMPUTED_VALUE"""),"Протеин на прах")</f>
        <v>Протеин на прах</v>
      </c>
      <c r="B1109" s="7" t="str">
        <f>IFERROR(__xludf.DUMMYFUNCTION("""COMPUTED_VALUE"""),"ISO WHEY ZERO (BioTechUSA)")</f>
        <v>ISO WHEY ZERO (BioTechUSA)</v>
      </c>
      <c r="C1109" s="7">
        <f>IFERROR(__xludf.DUMMYFUNCTION("""COMPUTED_VALUE"""),100.0)</f>
        <v>100</v>
      </c>
      <c r="D1109" s="7">
        <f>IFERROR(__xludf.DUMMYFUNCTION("""COMPUTED_VALUE"""),84.0)</f>
        <v>84</v>
      </c>
      <c r="E1109" s="16">
        <f>IFERROR(__xludf.DUMMYFUNCTION("""COMPUTED_VALUE"""),5.2)</f>
        <v>5.2</v>
      </c>
      <c r="F1109" s="16">
        <f>IFERROR(__xludf.DUMMYFUNCTION("""COMPUTED_VALUE"""),1.6)</f>
        <v>1.6</v>
      </c>
      <c r="G1109" s="16">
        <f>IFERROR(__xludf.DUMMYFUNCTION("""COMPUTED_VALUE"""),0.0)</f>
        <v>0</v>
      </c>
      <c r="H1109" s="23">
        <f>IFERROR(__xludf.DUMMYFUNCTION("""COMPUTED_VALUE"""),371.2)</f>
        <v>371.2</v>
      </c>
    </row>
    <row r="1110">
      <c r="A1110" s="16" t="str">
        <f>IFERROR(__xludf.DUMMYFUNCTION("""COMPUTED_VALUE"""),"Протеин на прах")</f>
        <v>Протеин на прах</v>
      </c>
      <c r="B1110" s="7" t="str">
        <f>IFERROR(__xludf.DUMMYFUNCTION("""COMPUTED_VALUE"""),"BODYLAB Whey Toffee")</f>
        <v>BODYLAB Whey Toffee</v>
      </c>
      <c r="C1110" s="7">
        <f>IFERROR(__xludf.DUMMYFUNCTION("""COMPUTED_VALUE"""),100.0)</f>
        <v>100</v>
      </c>
      <c r="D1110" s="7">
        <f>IFERROR(__xludf.DUMMYFUNCTION("""COMPUTED_VALUE"""),77.0)</f>
        <v>77</v>
      </c>
      <c r="E1110" s="16">
        <f>IFERROR(__xludf.DUMMYFUNCTION("""COMPUTED_VALUE"""),13.0)</f>
        <v>13</v>
      </c>
      <c r="F1110" s="16">
        <f>IFERROR(__xludf.DUMMYFUNCTION("""COMPUTED_VALUE"""),7.6)</f>
        <v>7.6</v>
      </c>
      <c r="G1110" s="16">
        <f>IFERROR(__xludf.DUMMYFUNCTION("""COMPUTED_VALUE"""),0.0)</f>
        <v>0</v>
      </c>
      <c r="H1110" s="23">
        <f>IFERROR(__xludf.DUMMYFUNCTION("""COMPUTED_VALUE"""),428.4)</f>
        <v>428.4</v>
      </c>
    </row>
    <row r="1111">
      <c r="A1111" s="16" t="str">
        <f>IFERROR(__xludf.DUMMYFUNCTION("""COMPUTED_VALUE"""),"Протеин на прах")</f>
        <v>Протеин на прах</v>
      </c>
      <c r="B1111" s="7" t="str">
        <f>IFERROR(__xludf.DUMMYFUNCTION("""COMPUTED_VALUE"""),"Big Man Multi - Phase Whey")</f>
        <v>Big Man Multi - Phase Whey</v>
      </c>
      <c r="C1111" s="7">
        <f>IFERROR(__xludf.DUMMYFUNCTION("""COMPUTED_VALUE"""),100.0)</f>
        <v>100</v>
      </c>
      <c r="D1111" s="7">
        <f>IFERROR(__xludf.DUMMYFUNCTION("""COMPUTED_VALUE"""),74.0)</f>
        <v>74</v>
      </c>
      <c r="E1111" s="16">
        <f>IFERROR(__xludf.DUMMYFUNCTION("""COMPUTED_VALUE"""),12.0)</f>
        <v>12</v>
      </c>
      <c r="F1111" s="16">
        <f>IFERROR(__xludf.DUMMYFUNCTION("""COMPUTED_VALUE"""),1.25)</f>
        <v>1.25</v>
      </c>
      <c r="G1111" s="16">
        <f>IFERROR(__xludf.DUMMYFUNCTION("""COMPUTED_VALUE"""),0.0)</f>
        <v>0</v>
      </c>
      <c r="H1111" s="23">
        <f>IFERROR(__xludf.DUMMYFUNCTION("""COMPUTED_VALUE"""),355.25)</f>
        <v>355.25</v>
      </c>
    </row>
    <row r="1112">
      <c r="A1112" s="16" t="str">
        <f>IFERROR(__xludf.DUMMYFUNCTION("""COMPUTED_VALUE"""),"Протеин на прах")</f>
        <v>Протеин на прах</v>
      </c>
      <c r="B1112" s="7" t="str">
        <f>IFERROR(__xludf.DUMMYFUNCTION("""COMPUTED_VALUE"""),"Pure Nutrition - Chocolate and Cocos")</f>
        <v>Pure Nutrition - Chocolate and Cocos</v>
      </c>
      <c r="C1112" s="7">
        <f>IFERROR(__xludf.DUMMYFUNCTION("""COMPUTED_VALUE"""),100.0)</f>
        <v>100</v>
      </c>
      <c r="D1112" s="7">
        <f>IFERROR(__xludf.DUMMYFUNCTION("""COMPUTED_VALUE"""),77.0)</f>
        <v>77</v>
      </c>
      <c r="E1112" s="16">
        <f>IFERROR(__xludf.DUMMYFUNCTION("""COMPUTED_VALUE"""),6.66)</f>
        <v>6.66</v>
      </c>
      <c r="F1112" s="16">
        <f>IFERROR(__xludf.DUMMYFUNCTION("""COMPUTED_VALUE"""),5.3)</f>
        <v>5.3</v>
      </c>
      <c r="G1112" s="16">
        <f>IFERROR(__xludf.DUMMYFUNCTION("""COMPUTED_VALUE"""),0.0)</f>
        <v>0</v>
      </c>
      <c r="H1112" s="23">
        <f>IFERROR(__xludf.DUMMYFUNCTION("""COMPUTED_VALUE"""),382.34)</f>
        <v>382.34</v>
      </c>
    </row>
    <row r="1113">
      <c r="A1113" s="16" t="str">
        <f>IFERROR(__xludf.DUMMYFUNCTION("""COMPUTED_VALUE"""),"Протеин на прах")</f>
        <v>Протеин на прах</v>
      </c>
      <c r="B1113" s="7" t="str">
        <f>IFERROR(__xludf.DUMMYFUNCTION("""COMPUTED_VALUE"""),"Swedish WHEY Vanilla Gelato")</f>
        <v>Swedish WHEY Vanilla Gelato</v>
      </c>
      <c r="C1113" s="7">
        <f>IFERROR(__xludf.DUMMYFUNCTION("""COMPUTED_VALUE"""),100.0)</f>
        <v>100</v>
      </c>
      <c r="D1113" s="7">
        <f>IFERROR(__xludf.DUMMYFUNCTION("""COMPUTED_VALUE"""),75.0)</f>
        <v>75</v>
      </c>
      <c r="E1113" s="16">
        <f>IFERROR(__xludf.DUMMYFUNCTION("""COMPUTED_VALUE"""),9.0)</f>
        <v>9</v>
      </c>
      <c r="F1113" s="16">
        <f>IFERROR(__xludf.DUMMYFUNCTION("""COMPUTED_VALUE"""),4.0)</f>
        <v>4</v>
      </c>
      <c r="G1113" s="16">
        <f>IFERROR(__xludf.DUMMYFUNCTION("""COMPUTED_VALUE"""),4.0)</f>
        <v>4</v>
      </c>
      <c r="H1113" s="23">
        <f>IFERROR(__xludf.DUMMYFUNCTION("""COMPUTED_VALUE"""),372.0)</f>
        <v>372</v>
      </c>
    </row>
    <row r="1114">
      <c r="A1114" s="16" t="str">
        <f>IFERROR(__xludf.DUMMYFUNCTION("""COMPUTED_VALUE"""),"Протеин на прах")</f>
        <v>Протеин на прах</v>
      </c>
      <c r="B1114" s="7" t="str">
        <f>IFERROR(__xludf.DUMMYFUNCTION("""COMPUTED_VALUE"""),"Грахов протеин биосвят")</f>
        <v>Грахов протеин биосвят</v>
      </c>
      <c r="C1114" s="7">
        <f>IFERROR(__xludf.DUMMYFUNCTION("""COMPUTED_VALUE"""),100.0)</f>
        <v>100</v>
      </c>
      <c r="D1114" s="7">
        <f>IFERROR(__xludf.DUMMYFUNCTION("""COMPUTED_VALUE"""),82.2)</f>
        <v>82.2</v>
      </c>
      <c r="E1114" s="16">
        <f>IFERROR(__xludf.DUMMYFUNCTION("""COMPUTED_VALUE"""),5.6)</f>
        <v>5.6</v>
      </c>
      <c r="F1114" s="16">
        <f>IFERROR(__xludf.DUMMYFUNCTION("""COMPUTED_VALUE"""),6.9)</f>
        <v>6.9</v>
      </c>
      <c r="G1114" s="16">
        <f>IFERROR(__xludf.DUMMYFUNCTION("""COMPUTED_VALUE"""),0.0)</f>
        <v>0</v>
      </c>
      <c r="H1114" s="23">
        <f>IFERROR(__xludf.DUMMYFUNCTION("""COMPUTED_VALUE"""),413.3)</f>
        <v>413.3</v>
      </c>
    </row>
    <row r="1115">
      <c r="A1115" s="16" t="str">
        <f>IFERROR(__xludf.DUMMYFUNCTION("""COMPUTED_VALUE"""),"Протеин на прах")</f>
        <v>Протеин на прах</v>
      </c>
      <c r="B1115" s="7" t="str">
        <f>IFERROR(__xludf.DUMMYFUNCTION("""COMPUTED_VALUE"""),"Пшеничен протеин ""Здравница""")</f>
        <v>Пшеничен протеин "Здравница"</v>
      </c>
      <c r="C1115" s="7">
        <f>IFERROR(__xludf.DUMMYFUNCTION("""COMPUTED_VALUE"""),100.0)</f>
        <v>100</v>
      </c>
      <c r="D1115" s="7">
        <f>IFERROR(__xludf.DUMMYFUNCTION("""COMPUTED_VALUE"""),88.3)</f>
        <v>88.3</v>
      </c>
      <c r="E1115" s="16">
        <f>IFERROR(__xludf.DUMMYFUNCTION("""COMPUTED_VALUE"""),7.3)</f>
        <v>7.3</v>
      </c>
      <c r="F1115" s="16">
        <f>IFERROR(__xludf.DUMMYFUNCTION("""COMPUTED_VALUE"""),6.0)</f>
        <v>6</v>
      </c>
      <c r="G1115" s="16">
        <f>IFERROR(__xludf.DUMMYFUNCTION("""COMPUTED_VALUE"""),0.0)</f>
        <v>0</v>
      </c>
      <c r="H1115" s="23">
        <f>IFERROR(__xludf.DUMMYFUNCTION("""COMPUTED_VALUE"""),436.4)</f>
        <v>436.4</v>
      </c>
    </row>
    <row r="1116">
      <c r="A1116" s="16" t="str">
        <f>IFERROR(__xludf.DUMMYFUNCTION("""COMPUTED_VALUE"""),"Протеин на прах")</f>
        <v>Протеин на прах</v>
      </c>
      <c r="B1116" s="7" t="str">
        <f>IFERROR(__xludf.DUMMYFUNCTION("""COMPUTED_VALUE"""),"Растителен протеин")</f>
        <v>Растителен протеин</v>
      </c>
      <c r="C1116" s="7">
        <f>IFERROR(__xludf.DUMMYFUNCTION("""COMPUTED_VALUE"""),100.0)</f>
        <v>100</v>
      </c>
      <c r="D1116" s="7">
        <f>IFERROR(__xludf.DUMMYFUNCTION("""COMPUTED_VALUE"""),74.0)</f>
        <v>74</v>
      </c>
      <c r="E1116" s="16">
        <f>IFERROR(__xludf.DUMMYFUNCTION("""COMPUTED_VALUE"""),9.0)</f>
        <v>9</v>
      </c>
      <c r="F1116" s="16">
        <f>IFERROR(__xludf.DUMMYFUNCTION("""COMPUTED_VALUE"""),7.1)</f>
        <v>7.1</v>
      </c>
      <c r="G1116" s="16">
        <f>IFERROR(__xludf.DUMMYFUNCTION("""COMPUTED_VALUE"""),2.8)</f>
        <v>2.8</v>
      </c>
      <c r="H1116" s="23">
        <f>IFERROR(__xludf.DUMMYFUNCTION("""COMPUTED_VALUE"""),395.9)</f>
        <v>395.9</v>
      </c>
    </row>
    <row r="1117">
      <c r="A1117" s="16" t="str">
        <f>IFERROR(__xludf.DUMMYFUNCTION("""COMPUTED_VALUE"""),"Протеин на прах")</f>
        <v>Протеин на прах</v>
      </c>
      <c r="B1117" s="7" t="str">
        <f>IFERROR(__xludf.DUMMYFUNCTION("""COMPUTED_VALUE"""),"Протеин Whey Fit Spo")</f>
        <v>Протеин Whey Fit Spo</v>
      </c>
      <c r="C1117" s="7">
        <f>IFERROR(__xludf.DUMMYFUNCTION("""COMPUTED_VALUE"""),100.0)</f>
        <v>100</v>
      </c>
      <c r="D1117" s="7">
        <f>IFERROR(__xludf.DUMMYFUNCTION("""COMPUTED_VALUE"""),75.0)</f>
        <v>75</v>
      </c>
      <c r="E1117" s="16">
        <f>IFERROR(__xludf.DUMMYFUNCTION("""COMPUTED_VALUE"""),8.9)</f>
        <v>8.9</v>
      </c>
      <c r="F1117" s="16">
        <f>IFERROR(__xludf.DUMMYFUNCTION("""COMPUTED_VALUE"""),5.4)</f>
        <v>5.4</v>
      </c>
      <c r="G1117" s="16">
        <f>IFERROR(__xludf.DUMMYFUNCTION("""COMPUTED_VALUE"""),0.0)</f>
        <v>0</v>
      </c>
      <c r="H1117" s="23">
        <f>IFERROR(__xludf.DUMMYFUNCTION("""COMPUTED_VALUE"""),384.20000000000005)</f>
        <v>384.2</v>
      </c>
    </row>
    <row r="1118">
      <c r="A1118" s="16" t="str">
        <f>IFERROR(__xludf.DUMMYFUNCTION("""COMPUTED_VALUE"""),"Протеин на прах")</f>
        <v>Протеин на прах</v>
      </c>
      <c r="B1118" s="7" t="str">
        <f>IFERROR(__xludf.DUMMYFUNCTION("""COMPUTED_VALUE"""),"Протеин Proof Nutrition Whey")</f>
        <v>Протеин Proof Nutrition Whey</v>
      </c>
      <c r="C1118" s="7">
        <f>IFERROR(__xludf.DUMMYFUNCTION("""COMPUTED_VALUE"""),100.0)</f>
        <v>100</v>
      </c>
      <c r="D1118" s="7">
        <f>IFERROR(__xludf.DUMMYFUNCTION("""COMPUTED_VALUE"""),72.8)</f>
        <v>72.8</v>
      </c>
      <c r="E1118" s="16">
        <f>IFERROR(__xludf.DUMMYFUNCTION("""COMPUTED_VALUE"""),5.88)</f>
        <v>5.88</v>
      </c>
      <c r="F1118" s="16">
        <f>IFERROR(__xludf.DUMMYFUNCTION("""COMPUTED_VALUE"""),7.47)</f>
        <v>7.47</v>
      </c>
      <c r="G1118" s="16">
        <f>IFERROR(__xludf.DUMMYFUNCTION("""COMPUTED_VALUE"""),0.0)</f>
        <v>0</v>
      </c>
      <c r="H1118" s="23">
        <f>IFERROR(__xludf.DUMMYFUNCTION("""COMPUTED_VALUE"""),381.95)</f>
        <v>381.95</v>
      </c>
    </row>
    <row r="1119">
      <c r="A1119" s="16" t="str">
        <f>IFERROR(__xludf.DUMMYFUNCTION("""COMPUTED_VALUE"""),"Протеин на прах")</f>
        <v>Протеин на прах</v>
      </c>
      <c r="B1119" s="7" t="str">
        <f>IFERROR(__xludf.DUMMYFUNCTION("""COMPUTED_VALUE"""),"Dragoon Superfoods Almond Protein")</f>
        <v>Dragoon Superfoods Almond Protein</v>
      </c>
      <c r="C1119" s="7">
        <f>IFERROR(__xludf.DUMMYFUNCTION("""COMPUTED_VALUE"""),100.0)</f>
        <v>100</v>
      </c>
      <c r="D1119" s="7">
        <f>IFERROR(__xludf.DUMMYFUNCTION("""COMPUTED_VALUE"""),50.0)</f>
        <v>50</v>
      </c>
      <c r="E1119" s="16">
        <f>IFERROR(__xludf.DUMMYFUNCTION("""COMPUTED_VALUE"""),7.9)</f>
        <v>7.9</v>
      </c>
      <c r="F1119" s="16">
        <f>IFERROR(__xludf.DUMMYFUNCTION("""COMPUTED_VALUE"""),15.0)</f>
        <v>15</v>
      </c>
      <c r="G1119" s="16">
        <f>IFERROR(__xludf.DUMMYFUNCTION("""COMPUTED_VALUE"""),14.0)</f>
        <v>14</v>
      </c>
      <c r="H1119" s="23">
        <f>IFERROR(__xludf.DUMMYFUNCTION("""COMPUTED_VALUE"""),366.6)</f>
        <v>366.6</v>
      </c>
    </row>
    <row r="1120">
      <c r="A1120" s="16" t="str">
        <f>IFERROR(__xludf.DUMMYFUNCTION("""COMPUTED_VALUE"""),"Протеин на прах")</f>
        <v>Протеин на прах</v>
      </c>
      <c r="B1120" s="7" t="str">
        <f>IFERROR(__xludf.DUMMYFUNCTION("""COMPUTED_VALUE"""),"Herbalife 24 rebuild шоколад (1кг) на прах")</f>
        <v>Herbalife 24 rebuild шоколад (1кг) на прах</v>
      </c>
      <c r="C1120" s="7">
        <f>IFERROR(__xludf.DUMMYFUNCTION("""COMPUTED_VALUE"""),100.0)</f>
        <v>100</v>
      </c>
      <c r="D1120" s="7">
        <f>IFERROR(__xludf.DUMMYFUNCTION("""COMPUTED_VALUE"""),51.0)</f>
        <v>51</v>
      </c>
      <c r="E1120" s="16">
        <f>IFERROR(__xludf.DUMMYFUNCTION("""COMPUTED_VALUE"""),36.0)</f>
        <v>36</v>
      </c>
      <c r="F1120" s="16">
        <f>IFERROR(__xludf.DUMMYFUNCTION("""COMPUTED_VALUE"""),3.0)</f>
        <v>3</v>
      </c>
      <c r="G1120" s="16">
        <f>IFERROR(__xludf.DUMMYFUNCTION("""COMPUTED_VALUE"""),1.5)</f>
        <v>1.5</v>
      </c>
      <c r="H1120" s="23">
        <f>IFERROR(__xludf.DUMMYFUNCTION("""COMPUTED_VALUE"""),375.0)</f>
        <v>375</v>
      </c>
    </row>
    <row r="1121">
      <c r="A1121" s="16" t="str">
        <f>IFERROR(__xludf.DUMMYFUNCTION("""COMPUTED_VALUE"""),"Протеин на прах")</f>
        <v>Протеин на прах</v>
      </c>
      <c r="B1121" s="7" t="str">
        <f>IFERROR(__xludf.DUMMYFUNCTION("""COMPUTED_VALUE"""),"Isolate Protein - DECATHLON")</f>
        <v>Isolate Protein - DECATHLON</v>
      </c>
      <c r="C1121" s="7">
        <f>IFERROR(__xludf.DUMMYFUNCTION("""COMPUTED_VALUE"""),100.0)</f>
        <v>100</v>
      </c>
      <c r="D1121" s="7">
        <f>IFERROR(__xludf.DUMMYFUNCTION("""COMPUTED_VALUE"""),80.0)</f>
        <v>80</v>
      </c>
      <c r="E1121" s="16">
        <f>IFERROR(__xludf.DUMMYFUNCTION("""COMPUTED_VALUE"""),5.0)</f>
        <v>5</v>
      </c>
      <c r="F1121" s="16">
        <f>IFERROR(__xludf.DUMMYFUNCTION("""COMPUTED_VALUE"""),3.8)</f>
        <v>3.8</v>
      </c>
      <c r="G1121" s="16">
        <f>IFERROR(__xludf.DUMMYFUNCTION("""COMPUTED_VALUE"""),0.0)</f>
        <v>0</v>
      </c>
      <c r="H1121" s="23">
        <f>IFERROR(__xludf.DUMMYFUNCTION("""COMPUTED_VALUE"""),374.2)</f>
        <v>374.2</v>
      </c>
    </row>
    <row r="1122">
      <c r="A1122" s="16" t="str">
        <f>IFERROR(__xludf.DUMMYFUNCTION("""COMPUTED_VALUE"""),"Протеин на прах")</f>
        <v>Протеин на прах</v>
      </c>
      <c r="B1122" s="7" t="str">
        <f>IFERROR(__xludf.DUMMYFUNCTION("""COMPUTED_VALUE"""),"OstroVit Whey Protein Isolate Vanilia")</f>
        <v>OstroVit Whey Protein Isolate Vanilia</v>
      </c>
      <c r="C1122" s="7">
        <f>IFERROR(__xludf.DUMMYFUNCTION("""COMPUTED_VALUE"""),100.0)</f>
        <v>100</v>
      </c>
      <c r="D1122" s="7">
        <f>IFERROR(__xludf.DUMMYFUNCTION("""COMPUTED_VALUE"""),88.0)</f>
        <v>88</v>
      </c>
      <c r="E1122" s="16">
        <f>IFERROR(__xludf.DUMMYFUNCTION("""COMPUTED_VALUE"""),1.2)</f>
        <v>1.2</v>
      </c>
      <c r="F1122" s="16">
        <f>IFERROR(__xludf.DUMMYFUNCTION("""COMPUTED_VALUE"""),1.0)</f>
        <v>1</v>
      </c>
      <c r="G1122" s="16">
        <f>IFERROR(__xludf.DUMMYFUNCTION("""COMPUTED_VALUE"""),0.0)</f>
        <v>0</v>
      </c>
      <c r="H1122" s="23">
        <f>IFERROR(__xludf.DUMMYFUNCTION("""COMPUTED_VALUE"""),365.8)</f>
        <v>365.8</v>
      </c>
    </row>
    <row r="1123">
      <c r="A1123" s="16" t="str">
        <f>IFERROR(__xludf.DUMMYFUNCTION("""COMPUTED_VALUE"""),"Протеин на прах")</f>
        <v>Протеин на прах</v>
      </c>
      <c r="B1123" s="7" t="str">
        <f>IFERROR(__xludf.DUMMYFUNCTION("""COMPUTED_VALUE"""),"PN Hydro 100")</f>
        <v>PN Hydro 100</v>
      </c>
      <c r="C1123" s="7">
        <f>IFERROR(__xludf.DUMMYFUNCTION("""COMPUTED_VALUE"""),100.0)</f>
        <v>100</v>
      </c>
      <c r="D1123" s="7">
        <f>IFERROR(__xludf.DUMMYFUNCTION("""COMPUTED_VALUE"""),80.0)</f>
        <v>80</v>
      </c>
      <c r="E1123" s="16">
        <f>IFERROR(__xludf.DUMMYFUNCTION("""COMPUTED_VALUE"""),3.3)</f>
        <v>3.3</v>
      </c>
      <c r="F1123" s="16">
        <f>IFERROR(__xludf.DUMMYFUNCTION("""COMPUTED_VALUE"""),3.3)</f>
        <v>3.3</v>
      </c>
      <c r="G1123" s="16">
        <f>IFERROR(__xludf.DUMMYFUNCTION("""COMPUTED_VALUE"""),0.0)</f>
        <v>0</v>
      </c>
      <c r="H1123" s="23">
        <f>IFERROR(__xludf.DUMMYFUNCTION("""COMPUTED_VALUE"""),362.9)</f>
        <v>362.9</v>
      </c>
    </row>
    <row r="1124">
      <c r="A1124" s="16" t="str">
        <f>IFERROR(__xludf.DUMMYFUNCTION("""COMPUTED_VALUE"""),"Протеин на прах")</f>
        <v>Протеин на прах</v>
      </c>
      <c r="B1124" s="7" t="str">
        <f>IFERROR(__xludf.DUMMYFUNCTION("""COMPUTED_VALUE"""),"ISO 100 HYDROLYZED 100% WHEY PROTEIN ISOLATE")</f>
        <v>ISO 100 HYDROLYZED 100% WHEY PROTEIN ISOLATE</v>
      </c>
      <c r="C1124" s="7">
        <f>IFERROR(__xludf.DUMMYFUNCTION("""COMPUTED_VALUE"""),100.0)</f>
        <v>100</v>
      </c>
      <c r="D1124" s="7">
        <f>IFERROR(__xludf.DUMMYFUNCTION("""COMPUTED_VALUE"""),78.0)</f>
        <v>78</v>
      </c>
      <c r="E1124" s="16">
        <f>IFERROR(__xludf.DUMMYFUNCTION("""COMPUTED_VALUE"""),3.3)</f>
        <v>3.3</v>
      </c>
      <c r="F1124" s="16">
        <f>IFERROR(__xludf.DUMMYFUNCTION("""COMPUTED_VALUE"""),2.1)</f>
        <v>2.1</v>
      </c>
      <c r="G1124" s="16">
        <f>IFERROR(__xludf.DUMMYFUNCTION("""COMPUTED_VALUE"""),0.0)</f>
        <v>0</v>
      </c>
      <c r="H1124" s="23">
        <f>IFERROR(__xludf.DUMMYFUNCTION("""COMPUTED_VALUE"""),344.09999999999997)</f>
        <v>344.1</v>
      </c>
    </row>
    <row r="1125">
      <c r="A1125" s="16" t="str">
        <f>IFERROR(__xludf.DUMMYFUNCTION("""COMPUTED_VALUE"""),"Протеин на прах")</f>
        <v>Протеин на прах</v>
      </c>
      <c r="B1125" s="7" t="str">
        <f>IFERROR(__xludf.DUMMYFUNCTION("""COMPUTED_VALUE"""),"Everbuild nutrition ultrapremium WHEY Build")</f>
        <v>Everbuild nutrition ultrapremium WHEY Build</v>
      </c>
      <c r="C1125" s="7">
        <f>IFERROR(__xludf.DUMMYFUNCTION("""COMPUTED_VALUE"""),100.0)</f>
        <v>100</v>
      </c>
      <c r="D1125" s="7">
        <f>IFERROR(__xludf.DUMMYFUNCTION("""COMPUTED_VALUE"""),72.0)</f>
        <v>72</v>
      </c>
      <c r="E1125" s="16">
        <f>IFERROR(__xludf.DUMMYFUNCTION("""COMPUTED_VALUE"""),12.0)</f>
        <v>12</v>
      </c>
      <c r="F1125" s="16">
        <f>IFERROR(__xludf.DUMMYFUNCTION("""COMPUTED_VALUE"""),4.5)</f>
        <v>4.5</v>
      </c>
      <c r="G1125" s="16">
        <f>IFERROR(__xludf.DUMMYFUNCTION("""COMPUTED_VALUE"""),0.0)</f>
        <v>0</v>
      </c>
      <c r="H1125" s="23">
        <f>IFERROR(__xludf.DUMMYFUNCTION("""COMPUTED_VALUE"""),376.5)</f>
        <v>376.5</v>
      </c>
    </row>
    <row r="1126">
      <c r="A1126" s="16" t="str">
        <f>IFERROR(__xludf.DUMMYFUNCTION("""COMPUTED_VALUE"""),"Протеин на прах")</f>
        <v>Протеин на прах</v>
      </c>
      <c r="B1126" s="7" t="str">
        <f>IFERROR(__xludf.DUMMYFUNCTION("""COMPUTED_VALUE"""),"HS LABS - WHEY PRO")</f>
        <v>HS LABS - WHEY PRO</v>
      </c>
      <c r="C1126" s="7">
        <f>IFERROR(__xludf.DUMMYFUNCTION("""COMPUTED_VALUE"""),100.0)</f>
        <v>100</v>
      </c>
      <c r="D1126" s="7">
        <f>IFERROR(__xludf.DUMMYFUNCTION("""COMPUTED_VALUE"""),72.0)</f>
        <v>72</v>
      </c>
      <c r="E1126" s="16">
        <f>IFERROR(__xludf.DUMMYFUNCTION("""COMPUTED_VALUE"""),14.85)</f>
        <v>14.85</v>
      </c>
      <c r="F1126" s="16">
        <f>IFERROR(__xludf.DUMMYFUNCTION("""COMPUTED_VALUE"""),52.8)</f>
        <v>52.8</v>
      </c>
      <c r="G1126" s="16">
        <f>IFERROR(__xludf.DUMMYFUNCTION("""COMPUTED_VALUE"""),0.0)</f>
        <v>0</v>
      </c>
      <c r="H1126" s="23">
        <f>IFERROR(__xludf.DUMMYFUNCTION("""COMPUTED_VALUE"""),822.5999999999999)</f>
        <v>822.6</v>
      </c>
    </row>
    <row r="1127">
      <c r="A1127" s="16" t="str">
        <f>IFERROR(__xludf.DUMMYFUNCTION("""COMPUTED_VALUE"""),"Протеин на прах")</f>
        <v>Протеин на прах</v>
      </c>
      <c r="B1127" s="7" t="str">
        <f>IFERROR(__xludf.DUMMYFUNCTION("""COMPUTED_VALUE"""),"Protein pancake mix- растителен")</f>
        <v>Protein pancake mix- растителен</v>
      </c>
      <c r="C1127" s="7">
        <f>IFERROR(__xludf.DUMMYFUNCTION("""COMPUTED_VALUE"""),100.0)</f>
        <v>100</v>
      </c>
      <c r="D1127" s="7">
        <f>IFERROR(__xludf.DUMMYFUNCTION("""COMPUTED_VALUE"""),20.0)</f>
        <v>20</v>
      </c>
      <c r="E1127" s="16">
        <f>IFERROR(__xludf.DUMMYFUNCTION("""COMPUTED_VALUE"""),50.0)</f>
        <v>50</v>
      </c>
      <c r="F1127" s="16">
        <f>IFERROR(__xludf.DUMMYFUNCTION("""COMPUTED_VALUE"""),4.0)</f>
        <v>4</v>
      </c>
      <c r="G1127" s="16">
        <f>IFERROR(__xludf.DUMMYFUNCTION("""COMPUTED_VALUE"""),14.0)</f>
        <v>14</v>
      </c>
      <c r="H1127" s="23">
        <f>IFERROR(__xludf.DUMMYFUNCTION("""COMPUTED_VALUE"""),316.0)</f>
        <v>316</v>
      </c>
    </row>
    <row r="1128">
      <c r="A1128" s="16" t="str">
        <f>IFERROR(__xludf.DUMMYFUNCTION("""COMPUTED_VALUE"""),"Протеин на прах")</f>
        <v>Протеин на прах</v>
      </c>
      <c r="B1128" s="7" t="str">
        <f>IFERROR(__xludf.DUMMYFUNCTION("""COMPUTED_VALUE"""),"Pea Protein Dragon / Грахов протеин")</f>
        <v>Pea Protein Dragon / Грахов протеин</v>
      </c>
      <c r="C1128" s="7">
        <f>IFERROR(__xludf.DUMMYFUNCTION("""COMPUTED_VALUE"""),100.0)</f>
        <v>100</v>
      </c>
      <c r="D1128" s="7">
        <f>IFERROR(__xludf.DUMMYFUNCTION("""COMPUTED_VALUE"""),82.0)</f>
        <v>82</v>
      </c>
      <c r="E1128" s="16">
        <f>IFERROR(__xludf.DUMMYFUNCTION("""COMPUTED_VALUE"""),4.5)</f>
        <v>4.5</v>
      </c>
      <c r="F1128" s="16">
        <f>IFERROR(__xludf.DUMMYFUNCTION("""COMPUTED_VALUE"""),8.2)</f>
        <v>8.2</v>
      </c>
      <c r="G1128" s="16">
        <f>IFERROR(__xludf.DUMMYFUNCTION("""COMPUTED_VALUE"""),3.8)</f>
        <v>3.8</v>
      </c>
      <c r="H1128" s="23">
        <f>IFERROR(__xludf.DUMMYFUNCTION("""COMPUTED_VALUE"""),419.8)</f>
        <v>419.8</v>
      </c>
    </row>
    <row r="1129">
      <c r="A1129" s="16" t="str">
        <f>IFERROR(__xludf.DUMMYFUNCTION("""COMPUTED_VALUE"""),"Протеин на прах")</f>
        <v>Протеин на прах</v>
      </c>
      <c r="B1129" s="7" t="str">
        <f>IFERROR(__xludf.DUMMYFUNCTION("""COMPUTED_VALUE"""),"Pure Nutrition Whey Isolate Double Chocolate")</f>
        <v>Pure Nutrition Whey Isolate Double Chocolate</v>
      </c>
      <c r="C1129" s="7">
        <f>IFERROR(__xludf.DUMMYFUNCTION("""COMPUTED_VALUE"""),100.0)</f>
        <v>100</v>
      </c>
      <c r="D1129" s="7">
        <f>IFERROR(__xludf.DUMMYFUNCTION("""COMPUTED_VALUE"""),90.0)</f>
        <v>90</v>
      </c>
      <c r="E1129" s="16">
        <f>IFERROR(__xludf.DUMMYFUNCTION("""COMPUTED_VALUE"""),2.4)</f>
        <v>2.4</v>
      </c>
      <c r="F1129" s="16">
        <f>IFERROR(__xludf.DUMMYFUNCTION("""COMPUTED_VALUE"""),0.4)</f>
        <v>0.4</v>
      </c>
      <c r="G1129" s="16">
        <f>IFERROR(__xludf.DUMMYFUNCTION("""COMPUTED_VALUE"""),0.0)</f>
        <v>0</v>
      </c>
      <c r="H1129" s="23">
        <f>IFERROR(__xludf.DUMMYFUNCTION("""COMPUTED_VALUE"""),373.20000000000005)</f>
        <v>373.2</v>
      </c>
    </row>
    <row r="1130">
      <c r="A1130" s="16" t="str">
        <f>IFERROR(__xludf.DUMMYFUNCTION("""COMPUTED_VALUE"""),"Протеин на прах")</f>
        <v>Протеин на прах</v>
      </c>
      <c r="B1130" s="7" t="str">
        <f>IFERROR(__xludf.DUMMYFUNCTION("""COMPUTED_VALUE"""),"Rule One Protein")</f>
        <v>Rule One Protein</v>
      </c>
      <c r="C1130" s="7">
        <f>IFERROR(__xludf.DUMMYFUNCTION("""COMPUTED_VALUE"""),100.0)</f>
        <v>100</v>
      </c>
      <c r="D1130" s="7">
        <f>IFERROR(__xludf.DUMMYFUNCTION("""COMPUTED_VALUE"""),85.32)</f>
        <v>85.32</v>
      </c>
      <c r="E1130" s="16">
        <f>IFERROR(__xludf.DUMMYFUNCTION("""COMPUTED_VALUE"""),3.42)</f>
        <v>3.42</v>
      </c>
      <c r="F1130" s="16">
        <f>IFERROR(__xludf.DUMMYFUNCTION("""COMPUTED_VALUE"""),0.0)</f>
        <v>0</v>
      </c>
      <c r="G1130" s="16">
        <f>IFERROR(__xludf.DUMMYFUNCTION("""COMPUTED_VALUE"""),0.0)</f>
        <v>0</v>
      </c>
      <c r="H1130" s="23">
        <f>IFERROR(__xludf.DUMMYFUNCTION("""COMPUTED_VALUE"""),354.96)</f>
        <v>354.96</v>
      </c>
    </row>
    <row r="1131">
      <c r="A1131" s="16" t="str">
        <f>IFERROR(__xludf.DUMMYFUNCTION("""COMPUTED_VALUE"""),"Протеин на прах")</f>
        <v>Протеин на прах</v>
      </c>
      <c r="B1131" s="7" t="str">
        <f>IFERROR(__xludf.DUMMYFUNCTION("""COMPUTED_VALUE"""),"FitSpo Суроватъчен протеин на прах - Бисквити с крем")</f>
        <v>FitSpo Суроватъчен протеин на прах - Бисквити с крем</v>
      </c>
      <c r="C1131" s="7">
        <f>IFERROR(__xludf.DUMMYFUNCTION("""COMPUTED_VALUE"""),100.0)</f>
        <v>100</v>
      </c>
      <c r="D1131" s="7">
        <f>IFERROR(__xludf.DUMMYFUNCTION("""COMPUTED_VALUE"""),75.0)</f>
        <v>75</v>
      </c>
      <c r="E1131" s="16">
        <f>IFERROR(__xludf.DUMMYFUNCTION("""COMPUTED_VALUE"""),8.8)</f>
        <v>8.8</v>
      </c>
      <c r="F1131" s="16">
        <f>IFERROR(__xludf.DUMMYFUNCTION("""COMPUTED_VALUE"""),5.4)</f>
        <v>5.4</v>
      </c>
      <c r="G1131" s="16">
        <f>IFERROR(__xludf.DUMMYFUNCTION("""COMPUTED_VALUE"""),0.0)</f>
        <v>0</v>
      </c>
      <c r="H1131" s="23">
        <f>IFERROR(__xludf.DUMMYFUNCTION("""COMPUTED_VALUE"""),383.8)</f>
        <v>383.8</v>
      </c>
    </row>
    <row r="1132">
      <c r="A1132" s="16" t="str">
        <f>IFERROR(__xludf.DUMMYFUNCTION("""COMPUTED_VALUE"""),"Протеин на прах")</f>
        <v>Протеин на прах</v>
      </c>
      <c r="B1132" s="7" t="str">
        <f>IFERROR(__xludf.DUMMYFUNCTION("""COMPUTED_VALUE"""),"Dragon Superfoods Конопен Протеин")</f>
        <v>Dragon Superfoods Конопен Протеин</v>
      </c>
      <c r="C1132" s="7">
        <f>IFERROR(__xludf.DUMMYFUNCTION("""COMPUTED_VALUE"""),100.0)</f>
        <v>100</v>
      </c>
      <c r="D1132" s="7">
        <f>IFERROR(__xludf.DUMMYFUNCTION("""COMPUTED_VALUE"""),48.0)</f>
        <v>48</v>
      </c>
      <c r="E1132" s="16">
        <f>IFERROR(__xludf.DUMMYFUNCTION("""COMPUTED_VALUE"""),18.0)</f>
        <v>18</v>
      </c>
      <c r="F1132" s="16">
        <f>IFERROR(__xludf.DUMMYFUNCTION("""COMPUTED_VALUE"""),11.0)</f>
        <v>11</v>
      </c>
      <c r="G1132" s="16">
        <f>IFERROR(__xludf.DUMMYFUNCTION("""COMPUTED_VALUE"""),7.2)</f>
        <v>7.2</v>
      </c>
      <c r="H1132" s="23">
        <f>IFERROR(__xludf.DUMMYFUNCTION("""COMPUTED_VALUE"""),363.0)</f>
        <v>363</v>
      </c>
    </row>
    <row r="1133">
      <c r="A1133" s="16" t="str">
        <f>IFERROR(__xludf.DUMMYFUNCTION("""COMPUTED_VALUE"""),"Протеин на прах")</f>
        <v>Протеин на прах</v>
      </c>
      <c r="B1133" s="7" t="str">
        <f>IFERROR(__xludf.DUMMYFUNCTION("""COMPUTED_VALUE"""),"OPTIMUM NUTRITION GOLD STANDARD 100% WHEY - Cookies&amp;Cream")</f>
        <v>OPTIMUM NUTRITION GOLD STANDARD 100% WHEY - Cookies&amp;Cream</v>
      </c>
      <c r="C1133" s="7">
        <f>IFERROR(__xludf.DUMMYFUNCTION("""COMPUTED_VALUE"""),100.0)</f>
        <v>100</v>
      </c>
      <c r="D1133" s="7">
        <f>IFERROR(__xludf.DUMMYFUNCTION("""COMPUTED_VALUE"""),77.4)</f>
        <v>77.4</v>
      </c>
      <c r="E1133" s="16">
        <f>IFERROR(__xludf.DUMMYFUNCTION("""COMPUTED_VALUE"""),7.8)</f>
        <v>7.8</v>
      </c>
      <c r="F1133" s="16">
        <f>IFERROR(__xludf.DUMMYFUNCTION("""COMPUTED_VALUE"""),2.5)</f>
        <v>2.5</v>
      </c>
      <c r="G1133" s="16">
        <f>IFERROR(__xludf.DUMMYFUNCTION("""COMPUTED_VALUE"""),0.2)</f>
        <v>0.2</v>
      </c>
      <c r="H1133" s="16">
        <f>IFERROR(__xludf.DUMMYFUNCTION("""COMPUTED_VALUE"""),363.3)</f>
        <v>363.3</v>
      </c>
    </row>
    <row r="1134">
      <c r="A1134" s="16" t="str">
        <f>IFERROR(__xludf.DUMMYFUNCTION("""COMPUTED_VALUE"""),"Протеин на прах")</f>
        <v>Протеин на прах</v>
      </c>
      <c r="B1134" s="7" t="str">
        <f>IFERROR(__xludf.DUMMYFUNCTION("""COMPUTED_VALUE"""),"Vegan protein blend/MPсуров")</f>
        <v>Vegan protein blend/MPсуров</v>
      </c>
      <c r="C1134" s="7">
        <f>IFERROR(__xludf.DUMMYFUNCTION("""COMPUTED_VALUE"""),100.0)</f>
        <v>100</v>
      </c>
      <c r="D1134" s="7">
        <f>IFERROR(__xludf.DUMMYFUNCTION("""COMPUTED_VALUE"""),71.0)</f>
        <v>71</v>
      </c>
      <c r="E1134" s="16">
        <f>IFERROR(__xludf.DUMMYFUNCTION("""COMPUTED_VALUE"""),13.0)</f>
        <v>13</v>
      </c>
      <c r="F1134" s="16">
        <f>IFERROR(__xludf.DUMMYFUNCTION("""COMPUTED_VALUE"""),1.8)</f>
        <v>1.8</v>
      </c>
      <c r="G1134" s="16">
        <f>IFERROR(__xludf.DUMMYFUNCTION("""COMPUTED_VALUE"""),2.2)</f>
        <v>2.2</v>
      </c>
      <c r="H1134" s="16">
        <f>IFERROR(__xludf.DUMMYFUNCTION("""COMPUTED_VALUE"""),352.2)</f>
        <v>352.2</v>
      </c>
    </row>
    <row r="1135">
      <c r="A1135" s="16" t="str">
        <f>IFERROR(__xludf.DUMMYFUNCTION("""COMPUTED_VALUE"""),"Протеин на прах")</f>
        <v>Протеин на прах</v>
      </c>
      <c r="B1135" s="7" t="str">
        <f>IFERROR(__xludf.DUMMYFUNCTION("""COMPUTED_VALUE"""),"Vegan protein pancake mix /MPсуров")</f>
        <v>Vegan protein pancake mix /MPсуров</v>
      </c>
      <c r="C1135" s="7">
        <f>IFERROR(__xludf.DUMMYFUNCTION("""COMPUTED_VALUE"""),100.0)</f>
        <v>100</v>
      </c>
      <c r="D1135" s="7">
        <f>IFERROR(__xludf.DUMMYFUNCTION("""COMPUTED_VALUE"""),20.0)</f>
        <v>20</v>
      </c>
      <c r="E1135" s="16">
        <f>IFERROR(__xludf.DUMMYFUNCTION("""COMPUTED_VALUE"""),50.0)</f>
        <v>50</v>
      </c>
      <c r="F1135" s="16">
        <f>IFERROR(__xludf.DUMMYFUNCTION("""COMPUTED_VALUE"""),4.0)</f>
        <v>4</v>
      </c>
      <c r="G1135" s="16">
        <f>IFERROR(__xludf.DUMMYFUNCTION("""COMPUTED_VALUE"""),14.0)</f>
        <v>14</v>
      </c>
      <c r="H1135" s="16">
        <f>IFERROR(__xludf.DUMMYFUNCTION("""COMPUTED_VALUE"""),316.0)</f>
        <v>316</v>
      </c>
    </row>
    <row r="1136">
      <c r="A1136" s="16" t="str">
        <f>IFERROR(__xludf.DUMMYFUNCTION("""COMPUTED_VALUE"""),"Протеин на прах")</f>
        <v>Протеин на прах</v>
      </c>
      <c r="B1136" s="7" t="str">
        <f>IFERROR(__xludf.DUMMYFUNCTION("""COMPUTED_VALUE"""),"Dragon Superfoods Peanut Flavour")</f>
        <v>Dragon Superfoods Peanut Flavour</v>
      </c>
      <c r="C1136" s="12">
        <f>IFERROR(__xludf.DUMMYFUNCTION("""COMPUTED_VALUE"""),100.0)</f>
        <v>100</v>
      </c>
      <c r="D1136" s="7">
        <f>IFERROR(__xludf.DUMMYFUNCTION("""COMPUTED_VALUE"""),49.0)</f>
        <v>49</v>
      </c>
      <c r="E1136" s="16">
        <f>IFERROR(__xludf.DUMMYFUNCTION("""COMPUTED_VALUE"""),22.0)</f>
        <v>22</v>
      </c>
      <c r="F1136" s="16">
        <f>IFERROR(__xludf.DUMMYFUNCTION("""COMPUTED_VALUE"""),9.7)</f>
        <v>9.7</v>
      </c>
      <c r="G1136" s="16">
        <f>IFERROR(__xludf.DUMMYFUNCTION("""COMPUTED_VALUE"""),13.0)</f>
        <v>13</v>
      </c>
      <c r="H1136" s="16">
        <f>IFERROR(__xludf.DUMMYFUNCTION("""COMPUTED_VALUE"""),371.3)</f>
        <v>371.3</v>
      </c>
    </row>
    <row r="1137">
      <c r="A1137" s="16" t="str">
        <f>IFERROR(__xludf.DUMMYFUNCTION("""COMPUTED_VALUE"""),"Протеин на прах")</f>
        <v>Протеин на прах</v>
      </c>
      <c r="B1137" s="7" t="str">
        <f>IFERROR(__xludf.DUMMYFUNCTION("""COMPUTED_VALUE"""),"Dragon Superfoods Protein Mix")</f>
        <v>Dragon Superfoods Protein Mix</v>
      </c>
      <c r="C1137" s="12">
        <f>IFERROR(__xludf.DUMMYFUNCTION("""COMPUTED_VALUE"""),100.0)</f>
        <v>100</v>
      </c>
      <c r="D1137" s="7">
        <f>IFERROR(__xludf.DUMMYFUNCTION("""COMPUTED_VALUE"""),43.0)</f>
        <v>43</v>
      </c>
      <c r="E1137" s="16">
        <f>IFERROR(__xludf.DUMMYFUNCTION("""COMPUTED_VALUE"""),14.0)</f>
        <v>14</v>
      </c>
      <c r="F1137" s="16">
        <f>IFERROR(__xludf.DUMMYFUNCTION("""COMPUTED_VALUE"""),12.0)</f>
        <v>12</v>
      </c>
      <c r="G1137" s="16">
        <f>IFERROR(__xludf.DUMMYFUNCTION("""COMPUTED_VALUE"""),18.0)</f>
        <v>18</v>
      </c>
      <c r="H1137" s="16">
        <f>IFERROR(__xludf.DUMMYFUNCTION("""COMPUTED_VALUE"""),336.0)</f>
        <v>336</v>
      </c>
    </row>
    <row r="1138">
      <c r="A1138" s="16" t="str">
        <f>IFERROR(__xludf.DUMMYFUNCTION("""COMPUTED_VALUE"""),"Протеин на прах")</f>
        <v>Протеин на прах</v>
      </c>
      <c r="B1138" s="7" t="str">
        <f>IFERROR(__xludf.DUMMYFUNCTION("""COMPUTED_VALUE"""),"Dragon Superfoods Pumpkin Seed Protein")</f>
        <v>Dragon Superfoods Pumpkin Seed Protein</v>
      </c>
      <c r="C1138" s="12">
        <f>IFERROR(__xludf.DUMMYFUNCTION("""COMPUTED_VALUE"""),100.0)</f>
        <v>100</v>
      </c>
      <c r="D1138" s="7">
        <f>IFERROR(__xludf.DUMMYFUNCTION("""COMPUTED_VALUE"""),61.0)</f>
        <v>61</v>
      </c>
      <c r="E1138" s="16">
        <f>IFERROR(__xludf.DUMMYFUNCTION("""COMPUTED_VALUE"""),3.0)</f>
        <v>3</v>
      </c>
      <c r="F1138" s="16">
        <f>IFERROR(__xludf.DUMMYFUNCTION("""COMPUTED_VALUE"""),11.0)</f>
        <v>11</v>
      </c>
      <c r="G1138" s="16">
        <f>IFERROR(__xludf.DUMMYFUNCTION("""COMPUTED_VALUE"""),11.0)</f>
        <v>11</v>
      </c>
      <c r="H1138" s="16">
        <f>IFERROR(__xludf.DUMMYFUNCTION("""COMPUTED_VALUE"""),355.0)</f>
        <v>355</v>
      </c>
    </row>
    <row r="1139">
      <c r="A1139" s="16" t="str">
        <f>IFERROR(__xludf.DUMMYFUNCTION("""COMPUTED_VALUE"""),"Протеин на прах")</f>
        <v>Протеин на прах</v>
      </c>
      <c r="B1139" s="7" t="str">
        <f>IFERROR(__xludf.DUMMYFUNCTION("""COMPUTED_VALUE"""),"GymBeam Яйчен Албумин - шоколад")</f>
        <v>GymBeam Яйчен Албумин - шоколад</v>
      </c>
      <c r="C1139" s="12">
        <f>IFERROR(__xludf.DUMMYFUNCTION("""COMPUTED_VALUE"""),100.0)</f>
        <v>100</v>
      </c>
      <c r="D1139" s="7">
        <f>IFERROR(__xludf.DUMMYFUNCTION("""COMPUTED_VALUE"""),73.0)</f>
        <v>73</v>
      </c>
      <c r="E1139" s="16">
        <f>IFERROR(__xludf.DUMMYFUNCTION("""COMPUTED_VALUE"""),7.85)</f>
        <v>7.85</v>
      </c>
      <c r="F1139" s="16">
        <f>IFERROR(__xludf.DUMMYFUNCTION("""COMPUTED_VALUE"""),1.1)</f>
        <v>1.1</v>
      </c>
      <c r="G1139" s="16">
        <f>IFERROR(__xludf.DUMMYFUNCTION("""COMPUTED_VALUE"""),0.0)</f>
        <v>0</v>
      </c>
      <c r="H1139" s="16">
        <f>IFERROR(__xludf.DUMMYFUNCTION("""COMPUTED_VALUE"""),333.29999999999995)</f>
        <v>333.3</v>
      </c>
    </row>
    <row r="1140">
      <c r="A1140" s="16" t="str">
        <f>IFERROR(__xludf.DUMMYFUNCTION("""COMPUTED_VALUE"""),"Протеин на прах")</f>
        <v>Протеин на прах</v>
      </c>
      <c r="B1140" s="7" t="str">
        <f>IFERROR(__xludf.DUMMYFUNCTION("""COMPUTED_VALUE"""),"Whey protein - Proof Nutrition, Cookies and Cream ")</f>
        <v>Whey protein - Proof Nutrition, Cookies and Cream </v>
      </c>
      <c r="C1140" s="12">
        <f>IFERROR(__xludf.DUMMYFUNCTION("""COMPUTED_VALUE"""),100.0)</f>
        <v>100</v>
      </c>
      <c r="D1140" s="7">
        <f>IFERROR(__xludf.DUMMYFUNCTION("""COMPUTED_VALUE"""),82.0)</f>
        <v>82</v>
      </c>
      <c r="E1140" s="16">
        <f>IFERROR(__xludf.DUMMYFUNCTION("""COMPUTED_VALUE"""),4.0)</f>
        <v>4</v>
      </c>
      <c r="F1140" s="16">
        <f>IFERROR(__xludf.DUMMYFUNCTION("""COMPUTED_VALUE"""),7.0)</f>
        <v>7</v>
      </c>
      <c r="G1140" s="16">
        <f>IFERROR(__xludf.DUMMYFUNCTION("""COMPUTED_VALUE"""),0.0)</f>
        <v>0</v>
      </c>
      <c r="H1140" s="16">
        <f>IFERROR(__xludf.DUMMYFUNCTION("""COMPUTED_VALUE"""),407.0)</f>
        <v>407</v>
      </c>
    </row>
    <row r="1141">
      <c r="A1141" s="16" t="str">
        <f>IFERROR(__xludf.DUMMYFUNCTION("""COMPUTED_VALUE"""),"Протеин на прах")</f>
        <v>Протеин на прах</v>
      </c>
      <c r="B1141" s="7" t="str">
        <f>IFERROR(__xludf.DUMMYFUNCTION("""COMPUTED_VALUE"""),"Whey protein - Proof Nutrition, Chocolate ")</f>
        <v>Whey protein - Proof Nutrition, Chocolate </v>
      </c>
      <c r="C1141" s="12">
        <f>IFERROR(__xludf.DUMMYFUNCTION("""COMPUTED_VALUE"""),100.0)</f>
        <v>100</v>
      </c>
      <c r="D1141" s="7">
        <f>IFERROR(__xludf.DUMMYFUNCTION("""COMPUTED_VALUE"""),72.8)</f>
        <v>72.8</v>
      </c>
      <c r="E1141" s="16">
        <f>IFERROR(__xludf.DUMMYFUNCTION("""COMPUTED_VALUE"""),5.9)</f>
        <v>5.9</v>
      </c>
      <c r="F1141" s="16">
        <f>IFERROR(__xludf.DUMMYFUNCTION("""COMPUTED_VALUE"""),7.5)</f>
        <v>7.5</v>
      </c>
      <c r="G1141" s="16">
        <f>IFERROR(__xludf.DUMMYFUNCTION("""COMPUTED_VALUE"""),0.0)</f>
        <v>0</v>
      </c>
      <c r="H1141" s="16">
        <f>IFERROR(__xludf.DUMMYFUNCTION("""COMPUTED_VALUE"""),382.3)</f>
        <v>382.3</v>
      </c>
    </row>
    <row r="1142">
      <c r="A1142" s="16" t="str">
        <f>IFERROR(__xludf.DUMMYFUNCTION("""COMPUTED_VALUE"""),"Протеин на прах")</f>
        <v>Протеин на прах</v>
      </c>
      <c r="B1142" s="7" t="str">
        <f>IFERROR(__xludf.DUMMYFUNCTION("""COMPUTED_VALUE"""),"Whey protein - Proof Nutrition, Strawberry Cheesecake ")</f>
        <v>Whey protein - Proof Nutrition, Strawberry Cheesecake </v>
      </c>
      <c r="C1142" s="12">
        <f>IFERROR(__xludf.DUMMYFUNCTION("""COMPUTED_VALUE"""),100.0)</f>
        <v>100</v>
      </c>
      <c r="D1142" s="7">
        <f>IFERROR(__xludf.DUMMYFUNCTION("""COMPUTED_VALUE"""),82.0)</f>
        <v>82</v>
      </c>
      <c r="E1142" s="16">
        <f>IFERROR(__xludf.DUMMYFUNCTION("""COMPUTED_VALUE"""),4.0)</f>
        <v>4</v>
      </c>
      <c r="F1142" s="16">
        <f>IFERROR(__xludf.DUMMYFUNCTION("""COMPUTED_VALUE"""),7.0)</f>
        <v>7</v>
      </c>
      <c r="G1142" s="16">
        <f>IFERROR(__xludf.DUMMYFUNCTION("""COMPUTED_VALUE"""),0.0)</f>
        <v>0</v>
      </c>
      <c r="H1142" s="16">
        <f>IFERROR(__xludf.DUMMYFUNCTION("""COMPUTED_VALUE"""),407.0)</f>
        <v>407</v>
      </c>
    </row>
    <row r="1143">
      <c r="A1143" s="16" t="str">
        <f>IFERROR(__xludf.DUMMYFUNCTION("""COMPUTED_VALUE"""),"Протеинови барове")</f>
        <v>Протеинови барове</v>
      </c>
      <c r="B1143" s="7" t="str">
        <f>IFERROR(__xludf.DUMMYFUNCTION("""COMPUTED_VALUE"""),"Протеинов бар ""GO BIG"" Chocolate")</f>
        <v>Протеинов бар "GO BIG" Chocolate</v>
      </c>
      <c r="C1143" s="12">
        <f>IFERROR(__xludf.DUMMYFUNCTION("""COMPUTED_VALUE"""),100.0)</f>
        <v>100</v>
      </c>
      <c r="D1143" s="7">
        <f>IFERROR(__xludf.DUMMYFUNCTION("""COMPUTED_VALUE"""),34.0)</f>
        <v>34</v>
      </c>
      <c r="E1143" s="16">
        <f>IFERROR(__xludf.DUMMYFUNCTION("""COMPUTED_VALUE"""),20.0)</f>
        <v>20</v>
      </c>
      <c r="F1143" s="16">
        <f>IFERROR(__xludf.DUMMYFUNCTION("""COMPUTED_VALUE"""),8.0)</f>
        <v>8</v>
      </c>
      <c r="G1143" s="16">
        <f>IFERROR(__xludf.DUMMYFUNCTION("""COMPUTED_VALUE"""),0.0)</f>
        <v>0</v>
      </c>
      <c r="H1143" s="23">
        <f>IFERROR(__xludf.DUMMYFUNCTION("""COMPUTED_VALUE"""),288.0)</f>
        <v>288</v>
      </c>
    </row>
    <row r="1144">
      <c r="A1144" s="16" t="str">
        <f>IFERROR(__xludf.DUMMYFUNCTION("""COMPUTED_VALUE"""),"Протеинови барове")</f>
        <v>Протеинови барове</v>
      </c>
      <c r="B1144" s="7" t="str">
        <f>IFERROR(__xludf.DUMMYFUNCTION("""COMPUTED_VALUE"""),"protein brownie/ G bar/")</f>
        <v>protein brownie/ G bar/</v>
      </c>
      <c r="C1144" s="7">
        <f>IFERROR(__xludf.DUMMYFUNCTION("""COMPUTED_VALUE"""),100.0)</f>
        <v>100</v>
      </c>
      <c r="D1144" s="7">
        <f>IFERROR(__xludf.DUMMYFUNCTION("""COMPUTED_VALUE"""),30.0)</f>
        <v>30</v>
      </c>
      <c r="E1144" s="16">
        <f>IFERROR(__xludf.DUMMYFUNCTION("""COMPUTED_VALUE"""),41.6)</f>
        <v>41.6</v>
      </c>
      <c r="F1144" s="16">
        <f>IFERROR(__xludf.DUMMYFUNCTION("""COMPUTED_VALUE"""),9.7)</f>
        <v>9.7</v>
      </c>
      <c r="G1144" s="16">
        <f>IFERROR(__xludf.DUMMYFUNCTION("""COMPUTED_VALUE"""),0.0)</f>
        <v>0</v>
      </c>
      <c r="H1144" s="23">
        <f>IFERROR(__xludf.DUMMYFUNCTION("""COMPUTED_VALUE"""),373.7)</f>
        <v>373.7</v>
      </c>
    </row>
    <row r="1145">
      <c r="A1145" s="16" t="str">
        <f>IFERROR(__xludf.DUMMYFUNCTION("""COMPUTED_VALUE"""),"Протеинови барове")</f>
        <v>Протеинови барове</v>
      </c>
      <c r="B1145" s="7" t="str">
        <f>IFERROR(__xludf.DUMMYFUNCTION("""COMPUTED_VALUE"""),"анаболик про бар")</f>
        <v>анаболик про бар</v>
      </c>
      <c r="C1145" s="7">
        <f>IFERROR(__xludf.DUMMYFUNCTION("""COMPUTED_VALUE"""),100.0)</f>
        <v>100</v>
      </c>
      <c r="D1145" s="7">
        <f>IFERROR(__xludf.DUMMYFUNCTION("""COMPUTED_VALUE"""),40.0)</f>
        <v>40</v>
      </c>
      <c r="E1145" s="16">
        <f>IFERROR(__xludf.DUMMYFUNCTION("""COMPUTED_VALUE"""),29.0)</f>
        <v>29</v>
      </c>
      <c r="F1145" s="16">
        <f>IFERROR(__xludf.DUMMYFUNCTION("""COMPUTED_VALUE"""),3.2)</f>
        <v>3.2</v>
      </c>
      <c r="G1145" s="16">
        <f>IFERROR(__xludf.DUMMYFUNCTION("""COMPUTED_VALUE"""),2.3)</f>
        <v>2.3</v>
      </c>
      <c r="H1145" s="23">
        <f>IFERROR(__xludf.DUMMYFUNCTION("""COMPUTED_VALUE"""),304.8)</f>
        <v>304.8</v>
      </c>
    </row>
    <row r="1146">
      <c r="A1146" s="16" t="str">
        <f>IFERROR(__xludf.DUMMYFUNCTION("""COMPUTED_VALUE"""),"Протеинови барове")</f>
        <v>Протеинови барове</v>
      </c>
      <c r="B1146" s="7" t="str">
        <f>IFERROR(__xludf.DUMMYFUNCTION("""COMPUTED_VALUE"""),"Протеинов десерт Herbalife citrus")</f>
        <v>Протеинов десерт Herbalife citrus</v>
      </c>
      <c r="C1146" s="7">
        <f>IFERROR(__xludf.DUMMYFUNCTION("""COMPUTED_VALUE"""),100.0)</f>
        <v>100</v>
      </c>
      <c r="D1146" s="7">
        <f>IFERROR(__xludf.DUMMYFUNCTION("""COMPUTED_VALUE"""),28.0)</f>
        <v>28</v>
      </c>
      <c r="E1146" s="16">
        <f>IFERROR(__xludf.DUMMYFUNCTION("""COMPUTED_VALUE"""),45.0)</f>
        <v>45</v>
      </c>
      <c r="F1146" s="16">
        <f>IFERROR(__xludf.DUMMYFUNCTION("""COMPUTED_VALUE"""),12.0)</f>
        <v>12</v>
      </c>
      <c r="G1146" s="16">
        <f>IFERROR(__xludf.DUMMYFUNCTION("""COMPUTED_VALUE"""),0.0)</f>
        <v>0</v>
      </c>
      <c r="H1146" s="23">
        <f>IFERROR(__xludf.DUMMYFUNCTION("""COMPUTED_VALUE"""),400.0)</f>
        <v>400</v>
      </c>
    </row>
    <row r="1147">
      <c r="A1147" s="16" t="str">
        <f>IFERROR(__xludf.DUMMYFUNCTION("""COMPUTED_VALUE"""),"Протеинови барове")</f>
        <v>Протеинови барове</v>
      </c>
      <c r="B1147" s="7" t="str">
        <f>IFERROR(__xludf.DUMMYFUNCTION("""COMPUTED_VALUE"""),"Протеинов десерт Fibre one (10g protein) 24g")</f>
        <v>Протеинов десерт Fibre one (10g protein) 24g</v>
      </c>
      <c r="C1147" s="7">
        <f>IFERROR(__xludf.DUMMYFUNCTION("""COMPUTED_VALUE"""),100.0)</f>
        <v>100</v>
      </c>
      <c r="D1147" s="7">
        <f>IFERROR(__xludf.DUMMYFUNCTION("""COMPUTED_VALUE"""),41.8)</f>
        <v>41.8</v>
      </c>
      <c r="E1147" s="16">
        <f>IFERROR(__xludf.DUMMYFUNCTION("""COMPUTED_VALUE"""),18.3)</f>
        <v>18.3</v>
      </c>
      <c r="F1147" s="16">
        <f>IFERROR(__xludf.DUMMYFUNCTION("""COMPUTED_VALUE"""),10.1)</f>
        <v>10.1</v>
      </c>
      <c r="G1147" s="16">
        <f>IFERROR(__xludf.DUMMYFUNCTION("""COMPUTED_VALUE"""),16.7)</f>
        <v>16.7</v>
      </c>
      <c r="H1147" s="23">
        <f>IFERROR(__xludf.DUMMYFUNCTION("""COMPUTED_VALUE"""),331.29999999999995)</f>
        <v>331.3</v>
      </c>
    </row>
    <row r="1148">
      <c r="A1148" s="16" t="str">
        <f>IFERROR(__xludf.DUMMYFUNCTION("""COMPUTED_VALUE"""),"Протеинови барове")</f>
        <v>Протеинови барове</v>
      </c>
      <c r="B1148" s="7" t="str">
        <f>IFERROR(__xludf.DUMMYFUNCTION("""COMPUTED_VALUE"""),"Fit Spo - Cookies &amp; Caramel")</f>
        <v>Fit Spo - Cookies &amp; Caramel</v>
      </c>
      <c r="C1148" s="7">
        <f>IFERROR(__xludf.DUMMYFUNCTION("""COMPUTED_VALUE"""),100.0)</f>
        <v>100</v>
      </c>
      <c r="D1148" s="7">
        <f>IFERROR(__xludf.DUMMYFUNCTION("""COMPUTED_VALUE"""),30.0)</f>
        <v>30</v>
      </c>
      <c r="E1148" s="16">
        <f>IFERROR(__xludf.DUMMYFUNCTION("""COMPUTED_VALUE"""),39.0)</f>
        <v>39</v>
      </c>
      <c r="F1148" s="16">
        <f>IFERROR(__xludf.DUMMYFUNCTION("""COMPUTED_VALUE"""),15.0)</f>
        <v>15</v>
      </c>
      <c r="G1148" s="16">
        <f>IFERROR(__xludf.DUMMYFUNCTION("""COMPUTED_VALUE"""),6.3)</f>
        <v>6.3</v>
      </c>
      <c r="H1148" s="23">
        <f>IFERROR(__xludf.DUMMYFUNCTION("""COMPUTED_VALUE"""),411.0)</f>
        <v>411</v>
      </c>
    </row>
    <row r="1149">
      <c r="A1149" s="16" t="str">
        <f>IFERROR(__xludf.DUMMYFUNCTION("""COMPUTED_VALUE"""),"Протеинови барове")</f>
        <v>Протеинови барове</v>
      </c>
      <c r="B1149" s="7" t="str">
        <f>IFERROR(__xludf.DUMMYFUNCTION("""COMPUTED_VALUE"""),"Nick`s brownie crisp protein bar")</f>
        <v>Nick`s brownie crisp protein bar</v>
      </c>
      <c r="C1149" s="7">
        <f>IFERROR(__xludf.DUMMYFUNCTION("""COMPUTED_VALUE"""),100.0)</f>
        <v>100</v>
      </c>
      <c r="D1149" s="7">
        <f>IFERROR(__xludf.DUMMYFUNCTION("""COMPUTED_VALUE"""),30.0)</f>
        <v>30</v>
      </c>
      <c r="E1149" s="16">
        <f>IFERROR(__xludf.DUMMYFUNCTION("""COMPUTED_VALUE"""),26.7)</f>
        <v>26.7</v>
      </c>
      <c r="F1149" s="16">
        <f>IFERROR(__xludf.DUMMYFUNCTION("""COMPUTED_VALUE"""),21.0)</f>
        <v>21</v>
      </c>
      <c r="G1149" s="16">
        <f>IFERROR(__xludf.DUMMYFUNCTION("""COMPUTED_VALUE"""),13.3)</f>
        <v>13.3</v>
      </c>
      <c r="H1149" s="23">
        <f>IFERROR(__xludf.DUMMYFUNCTION("""COMPUTED_VALUE"""),415.8)</f>
        <v>415.8</v>
      </c>
    </row>
    <row r="1150">
      <c r="A1150" s="16" t="str">
        <f>IFERROR(__xludf.DUMMYFUNCTION("""COMPUTED_VALUE"""),"Протеинови барове")</f>
        <v>Протеинови барове</v>
      </c>
      <c r="B1150" s="7" t="str">
        <f>IFERROR(__xludf.DUMMYFUNCTION("""COMPUTED_VALUE"""),"Nick`s- peanuts n` fudge")</f>
        <v>Nick`s- peanuts n` fudge</v>
      </c>
      <c r="C1150" s="7">
        <f>IFERROR(__xludf.DUMMYFUNCTION("""COMPUTED_VALUE"""),100.0)</f>
        <v>100</v>
      </c>
      <c r="D1150" s="7">
        <f>IFERROR(__xludf.DUMMYFUNCTION("""COMPUTED_VALUE"""),12.6)</f>
        <v>12.6</v>
      </c>
      <c r="E1150" s="16">
        <f>IFERROR(__xludf.DUMMYFUNCTION("""COMPUTED_VALUE"""),27.5)</f>
        <v>27.5</v>
      </c>
      <c r="F1150" s="16">
        <f>IFERROR(__xludf.DUMMYFUNCTION("""COMPUTED_VALUE"""),33.8)</f>
        <v>33.8</v>
      </c>
      <c r="G1150" s="16">
        <f>IFERROR(__xludf.DUMMYFUNCTION("""COMPUTED_VALUE"""),19.8)</f>
        <v>19.8</v>
      </c>
      <c r="H1150" s="23">
        <f>IFERROR(__xludf.DUMMYFUNCTION("""COMPUTED_VALUE"""),464.6)</f>
        <v>464.6</v>
      </c>
    </row>
    <row r="1151">
      <c r="A1151" s="16" t="str">
        <f>IFERROR(__xludf.DUMMYFUNCTION("""COMPUTED_VALUE"""),"Протеинови барове")</f>
        <v>Протеинови барове</v>
      </c>
      <c r="B1151" s="7" t="str">
        <f>IFERROR(__xludf.DUMMYFUNCTION("""COMPUTED_VALUE"""),"Livity Nature Bar Coconut &amp; Cocoa")</f>
        <v>Livity Nature Bar Coconut &amp; Cocoa</v>
      </c>
      <c r="C1151" s="12">
        <f>IFERROR(__xludf.DUMMYFUNCTION("""COMPUTED_VALUE"""),100.0)</f>
        <v>100</v>
      </c>
      <c r="D1151" s="7">
        <f>IFERROR(__xludf.DUMMYFUNCTION("""COMPUTED_VALUE"""),6.4)</f>
        <v>6.4</v>
      </c>
      <c r="E1151" s="16">
        <f>IFERROR(__xludf.DUMMYFUNCTION("""COMPUTED_VALUE"""),47.0)</f>
        <v>47</v>
      </c>
      <c r="F1151" s="16">
        <f>IFERROR(__xludf.DUMMYFUNCTION("""COMPUTED_VALUE"""),20.0)</f>
        <v>20</v>
      </c>
      <c r="G1151" s="16">
        <f>IFERROR(__xludf.DUMMYFUNCTION("""COMPUTED_VALUE"""),10.0)</f>
        <v>10</v>
      </c>
      <c r="H1151" s="23">
        <f>IFERROR(__xludf.DUMMYFUNCTION("""COMPUTED_VALUE"""),393.6)</f>
        <v>393.6</v>
      </c>
    </row>
    <row r="1152">
      <c r="A1152" s="16" t="str">
        <f>IFERROR(__xludf.DUMMYFUNCTION("""COMPUTED_VALUE"""),"Протеинови барове")</f>
        <v>Протеинови барове</v>
      </c>
      <c r="B1152" s="7" t="str">
        <f>IFERROR(__xludf.DUMMYFUNCTION("""COMPUTED_VALUE"""),"FlapJack - Oat Bar Chocolate - Fit Spo")</f>
        <v>FlapJack - Oat Bar Chocolate - Fit Spo</v>
      </c>
      <c r="C1152" s="12">
        <f>IFERROR(__xludf.DUMMYFUNCTION("""COMPUTED_VALUE"""),100.0)</f>
        <v>100</v>
      </c>
      <c r="D1152" s="7">
        <f>IFERROR(__xludf.DUMMYFUNCTION("""COMPUTED_VALUE"""),6.7)</f>
        <v>6.7</v>
      </c>
      <c r="E1152" s="16">
        <f>IFERROR(__xludf.DUMMYFUNCTION("""COMPUTED_VALUE"""),53.0)</f>
        <v>53</v>
      </c>
      <c r="F1152" s="16">
        <f>IFERROR(__xludf.DUMMYFUNCTION("""COMPUTED_VALUE"""),21.9)</f>
        <v>21.9</v>
      </c>
      <c r="G1152" s="16">
        <f>IFERROR(__xludf.DUMMYFUNCTION("""COMPUTED_VALUE"""),4.7)</f>
        <v>4.7</v>
      </c>
      <c r="H1152" s="23">
        <f>IFERROR(__xludf.DUMMYFUNCTION("""COMPUTED_VALUE"""),435.9)</f>
        <v>435.9</v>
      </c>
    </row>
    <row r="1153">
      <c r="A1153" s="16" t="str">
        <f>IFERROR(__xludf.DUMMYFUNCTION("""COMPUTED_VALUE"""),"Протеинови барове")</f>
        <v>Протеинови барове</v>
      </c>
      <c r="B1153" s="7" t="str">
        <f>IFERROR(__xludf.DUMMYFUNCTION("""COMPUTED_VALUE"""),"Спортнес ДМ")</f>
        <v>Спортнес ДМ</v>
      </c>
      <c r="C1153" s="7">
        <f>IFERROR(__xludf.DUMMYFUNCTION("""COMPUTED_VALUE"""),100.0)</f>
        <v>100</v>
      </c>
      <c r="D1153" s="7">
        <f>IFERROR(__xludf.DUMMYFUNCTION("""COMPUTED_VALUE"""),49.5)</f>
        <v>49.5</v>
      </c>
      <c r="E1153" s="16">
        <f>IFERROR(__xludf.DUMMYFUNCTION("""COMPUTED_VALUE"""),26.4)</f>
        <v>26.4</v>
      </c>
      <c r="F1153" s="16">
        <f>IFERROR(__xludf.DUMMYFUNCTION("""COMPUTED_VALUE"""),10.5)</f>
        <v>10.5</v>
      </c>
      <c r="G1153" s="16">
        <f>IFERROR(__xludf.DUMMYFUNCTION("""COMPUTED_VALUE"""),0.0)</f>
        <v>0</v>
      </c>
      <c r="H1153" s="23">
        <f>IFERROR(__xludf.DUMMYFUNCTION("""COMPUTED_VALUE"""),398.1)</f>
        <v>398.1</v>
      </c>
    </row>
    <row r="1154">
      <c r="A1154" s="16" t="str">
        <f>IFERROR(__xludf.DUMMYFUNCTION("""COMPUTED_VALUE"""),"Протеинови барове")</f>
        <v>Протеинови барове</v>
      </c>
      <c r="B1154" s="7" t="str">
        <f>IFERROR(__xludf.DUMMYFUNCTION("""COMPUTED_VALUE"""),"Fit Spo Stracciatella")</f>
        <v>Fit Spo Stracciatella</v>
      </c>
      <c r="C1154" s="7">
        <f>IFERROR(__xludf.DUMMYFUNCTION("""COMPUTED_VALUE"""),100.0)</f>
        <v>100</v>
      </c>
      <c r="D1154" s="7">
        <f>IFERROR(__xludf.DUMMYFUNCTION("""COMPUTED_VALUE"""),34.0)</f>
        <v>34</v>
      </c>
      <c r="E1154" s="16">
        <f>IFERROR(__xludf.DUMMYFUNCTION("""COMPUTED_VALUE"""),9.2)</f>
        <v>9.2</v>
      </c>
      <c r="F1154" s="16">
        <f>IFERROR(__xludf.DUMMYFUNCTION("""COMPUTED_VALUE"""),13.5)</f>
        <v>13.5</v>
      </c>
      <c r="G1154" s="16">
        <f>IFERROR(__xludf.DUMMYFUNCTION("""COMPUTED_VALUE"""),30.0)</f>
        <v>30</v>
      </c>
      <c r="H1154" s="23">
        <f>IFERROR(__xludf.DUMMYFUNCTION("""COMPUTED_VALUE"""),294.3)</f>
        <v>294.3</v>
      </c>
    </row>
    <row r="1155">
      <c r="A1155" s="16" t="str">
        <f>IFERROR(__xludf.DUMMYFUNCTION("""COMPUTED_VALUE"""),"Протеинови барове")</f>
        <v>Протеинови барове</v>
      </c>
      <c r="B1155" s="7" t="str">
        <f>IFERROR(__xludf.DUMMYFUNCTION("""COMPUTED_VALUE"""),"Brownie Chocolate and Orange")</f>
        <v>Brownie Chocolate and Orange</v>
      </c>
      <c r="C1155" s="12">
        <f>IFERROR(__xludf.DUMMYFUNCTION("""COMPUTED_VALUE"""),100.0)</f>
        <v>100</v>
      </c>
      <c r="D1155" s="7">
        <f>IFERROR(__xludf.DUMMYFUNCTION("""COMPUTED_VALUE"""),23.0)</f>
        <v>23</v>
      </c>
      <c r="E1155" s="16">
        <f>IFERROR(__xludf.DUMMYFUNCTION("""COMPUTED_VALUE"""),19.0)</f>
        <v>19</v>
      </c>
      <c r="F1155" s="16">
        <f>IFERROR(__xludf.DUMMYFUNCTION("""COMPUTED_VALUE"""),19.0)</f>
        <v>19</v>
      </c>
      <c r="G1155" s="16">
        <f>IFERROR(__xludf.DUMMYFUNCTION("""COMPUTED_VALUE"""),5.0)</f>
        <v>5</v>
      </c>
      <c r="H1155" s="16">
        <f>IFERROR(__xludf.DUMMYFUNCTION("""COMPUTED_VALUE"""),339.0)</f>
        <v>339</v>
      </c>
    </row>
    <row r="1156">
      <c r="A1156" s="16" t="str">
        <f>IFERROR(__xludf.DUMMYFUNCTION("""COMPUTED_VALUE"""),"Протеинови барове")</f>
        <v>Протеинови барове</v>
      </c>
      <c r="B1156" s="7" t="str">
        <f>IFERROR(__xludf.DUMMYFUNCTION("""COMPUTED_VALUE"""),"Аthletic XL-chocolate &amp; cookies")</f>
        <v>Аthletic XL-chocolate &amp; cookies</v>
      </c>
      <c r="C1156" s="7">
        <f>IFERROR(__xludf.DUMMYFUNCTION("""COMPUTED_VALUE"""),100.0)</f>
        <v>100</v>
      </c>
      <c r="D1156" s="7">
        <f>IFERROR(__xludf.DUMMYFUNCTION("""COMPUTED_VALUE"""),34.0)</f>
        <v>34</v>
      </c>
      <c r="E1156" s="16">
        <f>IFERROR(__xludf.DUMMYFUNCTION("""COMPUTED_VALUE"""),20.0)</f>
        <v>20</v>
      </c>
      <c r="F1156" s="16">
        <f>IFERROR(__xludf.DUMMYFUNCTION("""COMPUTED_VALUE"""),8.0)</f>
        <v>8</v>
      </c>
      <c r="G1156" s="16">
        <f>IFERROR(__xludf.DUMMYFUNCTION("""COMPUTED_VALUE"""),0.0)</f>
        <v>0</v>
      </c>
      <c r="H1156" s="23">
        <f>IFERROR(__xludf.DUMMYFUNCTION("""COMPUTED_VALUE"""),288.0)</f>
        <v>288</v>
      </c>
    </row>
    <row r="1157">
      <c r="A1157" s="16" t="str">
        <f>IFERROR(__xludf.DUMMYFUNCTION("""COMPUTED_VALUE"""),"Протеинови барове")</f>
        <v>Протеинови барове</v>
      </c>
      <c r="B1157" s="7" t="str">
        <f>IFERROR(__xludf.DUMMYFUNCTION("""COMPUTED_VALUE"""),"Crunchy Chocolate Brownie - fit spo")</f>
        <v>Crunchy Chocolate Brownie - fit spo</v>
      </c>
      <c r="C1157" s="7">
        <f>IFERROR(__xludf.DUMMYFUNCTION("""COMPUTED_VALUE"""),100.0)</f>
        <v>100</v>
      </c>
      <c r="D1157" s="7">
        <f>IFERROR(__xludf.DUMMYFUNCTION("""COMPUTED_VALUE"""),31.0)</f>
        <v>31</v>
      </c>
      <c r="E1157" s="16">
        <f>IFERROR(__xludf.DUMMYFUNCTION("""COMPUTED_VALUE"""),37.0)</f>
        <v>37</v>
      </c>
      <c r="F1157" s="16">
        <f>IFERROR(__xludf.DUMMYFUNCTION("""COMPUTED_VALUE"""),17.0)</f>
        <v>17</v>
      </c>
      <c r="G1157" s="16">
        <f>IFERROR(__xludf.DUMMYFUNCTION("""COMPUTED_VALUE"""),0.0)</f>
        <v>0</v>
      </c>
      <c r="H1157" s="23">
        <f>IFERROR(__xludf.DUMMYFUNCTION("""COMPUTED_VALUE"""),425.0)</f>
        <v>425</v>
      </c>
    </row>
    <row r="1158">
      <c r="A1158" s="16" t="str">
        <f>IFERROR(__xludf.DUMMYFUNCTION("""COMPUTED_VALUE"""),"Протеинови барове")</f>
        <v>Протеинови барове</v>
      </c>
      <c r="B1158" s="7" t="str">
        <f>IFERROR(__xludf.DUMMYFUNCTION("""COMPUTED_VALUE"""),"Брауни Choco Chef's")</f>
        <v>Брауни Choco Chef's</v>
      </c>
      <c r="C1158" s="7">
        <f>IFERROR(__xludf.DUMMYFUNCTION("""COMPUTED_VALUE"""),100.0)</f>
        <v>100</v>
      </c>
      <c r="D1158" s="7">
        <f>IFERROR(__xludf.DUMMYFUNCTION("""COMPUTED_VALUE"""),23.0)</f>
        <v>23</v>
      </c>
      <c r="E1158" s="16">
        <f>IFERROR(__xludf.DUMMYFUNCTION("""COMPUTED_VALUE"""),19.0)</f>
        <v>19</v>
      </c>
      <c r="F1158" s="16">
        <f>IFERROR(__xludf.DUMMYFUNCTION("""COMPUTED_VALUE"""),19.0)</f>
        <v>19</v>
      </c>
      <c r="G1158" s="16">
        <f>IFERROR(__xludf.DUMMYFUNCTION("""COMPUTED_VALUE"""),5.0)</f>
        <v>5</v>
      </c>
      <c r="H1158" s="23">
        <f>IFERROR(__xludf.DUMMYFUNCTION("""COMPUTED_VALUE"""),339.0)</f>
        <v>339</v>
      </c>
    </row>
    <row r="1159">
      <c r="A1159" s="16" t="str">
        <f>IFERROR(__xludf.DUMMYFUNCTION("""COMPUTED_VALUE"""),"Протеинови барове")</f>
        <v>Протеинови барове</v>
      </c>
      <c r="B1159" s="7" t="str">
        <f>IFERROR(__xludf.DUMMYFUNCTION("""COMPUTED_VALUE"""),"Fit Spo Coconut 2 bars")</f>
        <v>Fit Spo Coconut 2 bars</v>
      </c>
      <c r="C1159" s="7">
        <f>IFERROR(__xludf.DUMMYFUNCTION("""COMPUTED_VALUE"""),100.0)</f>
        <v>100</v>
      </c>
      <c r="D1159" s="7">
        <f>IFERROR(__xludf.DUMMYFUNCTION("""COMPUTED_VALUE"""),33.0)</f>
        <v>33</v>
      </c>
      <c r="E1159" s="16">
        <f>IFERROR(__xludf.DUMMYFUNCTION("""COMPUTED_VALUE"""),38.4)</f>
        <v>38.4</v>
      </c>
      <c r="F1159" s="16">
        <f>IFERROR(__xludf.DUMMYFUNCTION("""COMPUTED_VALUE"""),16.0)</f>
        <v>16</v>
      </c>
      <c r="G1159" s="16">
        <f>IFERROR(__xludf.DUMMYFUNCTION("""COMPUTED_VALUE"""),5.7)</f>
        <v>5.7</v>
      </c>
      <c r="H1159" s="23">
        <f>IFERROR(__xludf.DUMMYFUNCTION("""COMPUTED_VALUE"""),429.6)</f>
        <v>429.6</v>
      </c>
    </row>
    <row r="1160">
      <c r="A1160" s="16" t="str">
        <f>IFERROR(__xludf.DUMMYFUNCTION("""COMPUTED_VALUE"""),"Протеинови барове")</f>
        <v>Протеинови барове</v>
      </c>
      <c r="B1160" s="7" t="str">
        <f>IFERROR(__xludf.DUMMYFUNCTION("""COMPUTED_VALUE"""),"Fit Spo - Protein Oat Bites")</f>
        <v>Fit Spo - Protein Oat Bites</v>
      </c>
      <c r="C1160" s="7">
        <f>IFERROR(__xludf.DUMMYFUNCTION("""COMPUTED_VALUE"""),100.0)</f>
        <v>100</v>
      </c>
      <c r="D1160" s="7">
        <f>IFERROR(__xludf.DUMMYFUNCTION("""COMPUTED_VALUE"""),22.3)</f>
        <v>22.3</v>
      </c>
      <c r="E1160" s="16">
        <f>IFERROR(__xludf.DUMMYFUNCTION("""COMPUTED_VALUE"""),39.2)</f>
        <v>39.2</v>
      </c>
      <c r="F1160" s="16">
        <f>IFERROR(__xludf.DUMMYFUNCTION("""COMPUTED_VALUE"""),17.9)</f>
        <v>17.9</v>
      </c>
      <c r="G1160" s="16">
        <f>IFERROR(__xludf.DUMMYFUNCTION("""COMPUTED_VALUE"""),6.1)</f>
        <v>6.1</v>
      </c>
      <c r="H1160" s="23">
        <f>IFERROR(__xludf.DUMMYFUNCTION("""COMPUTED_VALUE"""),407.1)</f>
        <v>407.1</v>
      </c>
    </row>
    <row r="1161">
      <c r="A1161" s="16" t="str">
        <f>IFERROR(__xludf.DUMMYFUNCTION("""COMPUTED_VALUE"""),"Протеинови барове")</f>
        <v>Протеинови барове</v>
      </c>
      <c r="B1161" s="7" t="str">
        <f>IFERROR(__xludf.DUMMYFUNCTION("""COMPUTED_VALUE"""),"Fit Spo - шоколад и банан")</f>
        <v>Fit Spo - шоколад и банан</v>
      </c>
      <c r="C1161" s="7">
        <f>IFERROR(__xludf.DUMMYFUNCTION("""COMPUTED_VALUE"""),100.0)</f>
        <v>100</v>
      </c>
      <c r="D1161" s="7">
        <f>IFERROR(__xludf.DUMMYFUNCTION("""COMPUTED_VALUE"""),33.0)</f>
        <v>33</v>
      </c>
      <c r="E1161" s="16">
        <f>IFERROR(__xludf.DUMMYFUNCTION("""COMPUTED_VALUE"""),38.0)</f>
        <v>38</v>
      </c>
      <c r="F1161" s="16">
        <f>IFERROR(__xludf.DUMMYFUNCTION("""COMPUTED_VALUE"""),14.0)</f>
        <v>14</v>
      </c>
      <c r="G1161" s="16">
        <f>IFERROR(__xludf.DUMMYFUNCTION("""COMPUTED_VALUE"""),1.8)</f>
        <v>1.8</v>
      </c>
      <c r="H1161" s="23">
        <f>IFERROR(__xludf.DUMMYFUNCTION("""COMPUTED_VALUE"""),410.0)</f>
        <v>410</v>
      </c>
    </row>
    <row r="1162">
      <c r="A1162" s="16" t="str">
        <f>IFERROR(__xludf.DUMMYFUNCTION("""COMPUTED_VALUE"""),"Протеинови барове")</f>
        <v>Протеинови барове</v>
      </c>
      <c r="B1162" s="7" t="str">
        <f>IFERROR(__xludf.DUMMYFUNCTION("""COMPUTED_VALUE"""),"Станго - шоколад и портокал")</f>
        <v>Станго - шоколад и портокал</v>
      </c>
      <c r="C1162" s="7">
        <f>IFERROR(__xludf.DUMMYFUNCTION("""COMPUTED_VALUE"""),100.0)</f>
        <v>100</v>
      </c>
      <c r="D1162" s="7">
        <f>IFERROR(__xludf.DUMMYFUNCTION("""COMPUTED_VALUE"""),19.2)</f>
        <v>19.2</v>
      </c>
      <c r="E1162" s="16">
        <f>IFERROR(__xludf.DUMMYFUNCTION("""COMPUTED_VALUE"""),24.5)</f>
        <v>24.5</v>
      </c>
      <c r="F1162" s="16">
        <f>IFERROR(__xludf.DUMMYFUNCTION("""COMPUTED_VALUE"""),30.2)</f>
        <v>30.2</v>
      </c>
      <c r="G1162" s="16">
        <f>IFERROR(__xludf.DUMMYFUNCTION("""COMPUTED_VALUE"""),0.0)</f>
        <v>0</v>
      </c>
      <c r="H1162" s="23">
        <f>IFERROR(__xludf.DUMMYFUNCTION("""COMPUTED_VALUE"""),446.6)</f>
        <v>446.6</v>
      </c>
    </row>
    <row r="1163">
      <c r="A1163" s="16" t="str">
        <f>IFERROR(__xludf.DUMMYFUNCTION("""COMPUTED_VALUE"""),"Протеинови барове")</f>
        <v>Протеинови барове</v>
      </c>
      <c r="B1163" s="7" t="str">
        <f>IFERROR(__xludf.DUMMYFUNCTION("""COMPUTED_VALUE"""),"Fit Spo - Бисквитка с крем")</f>
        <v>Fit Spo - Бисквитка с крем</v>
      </c>
      <c r="C1163" s="7">
        <f>IFERROR(__xludf.DUMMYFUNCTION("""COMPUTED_VALUE"""),100.0)</f>
        <v>100</v>
      </c>
      <c r="D1163" s="7">
        <f>IFERROR(__xludf.DUMMYFUNCTION("""COMPUTED_VALUE"""),37.0)</f>
        <v>37</v>
      </c>
      <c r="E1163" s="16">
        <f>IFERROR(__xludf.DUMMYFUNCTION("""COMPUTED_VALUE"""),38.0)</f>
        <v>38</v>
      </c>
      <c r="F1163" s="16">
        <f>IFERROR(__xludf.DUMMYFUNCTION("""COMPUTED_VALUE"""),15.0)</f>
        <v>15</v>
      </c>
      <c r="G1163" s="16"/>
      <c r="H1163" s="23">
        <f>IFERROR(__xludf.DUMMYFUNCTION("""COMPUTED_VALUE"""),435.0)</f>
        <v>435</v>
      </c>
    </row>
    <row r="1164">
      <c r="A1164" s="16" t="str">
        <f>IFERROR(__xludf.DUMMYFUNCTION("""COMPUTED_VALUE"""),"Протеинови барове")</f>
        <v>Протеинови барове</v>
      </c>
      <c r="B1164" s="7" t="str">
        <f>IFERROR(__xludf.DUMMYFUNCTION("""COMPUTED_VALUE"""),"Flap Jack XL Oat Bar")</f>
        <v>Flap Jack XL Oat Bar</v>
      </c>
      <c r="C1164" s="7">
        <f>IFERROR(__xludf.DUMMYFUNCTION("""COMPUTED_VALUE"""),100.0)</f>
        <v>100</v>
      </c>
      <c r="D1164" s="7">
        <f>IFERROR(__xludf.DUMMYFUNCTION("""COMPUTED_VALUE"""),4.6)</f>
        <v>4.6</v>
      </c>
      <c r="E1164" s="16">
        <f>IFERROR(__xludf.DUMMYFUNCTION("""COMPUTED_VALUE"""),55.0)</f>
        <v>55</v>
      </c>
      <c r="F1164" s="16">
        <f>IFERROR(__xludf.DUMMYFUNCTION("""COMPUTED_VALUE"""),24.0)</f>
        <v>24</v>
      </c>
      <c r="G1164" s="16">
        <f>IFERROR(__xludf.DUMMYFUNCTION("""COMPUTED_VALUE"""),0.0)</f>
        <v>0</v>
      </c>
      <c r="H1164" s="23">
        <f>IFERROR(__xludf.DUMMYFUNCTION("""COMPUTED_VALUE"""),454.4)</f>
        <v>454.4</v>
      </c>
    </row>
    <row r="1165">
      <c r="A1165" s="16" t="str">
        <f>IFERROR(__xludf.DUMMYFUNCTION("""COMPUTED_VALUE"""),"Протеинови барове")</f>
        <v>Протеинови барове</v>
      </c>
      <c r="B1165" s="7" t="str">
        <f>IFERROR(__xludf.DUMMYFUNCTION("""COMPUTED_VALUE"""),"PerformancBAR")</f>
        <v>PerformancBAR</v>
      </c>
      <c r="C1165" s="7">
        <f>IFERROR(__xludf.DUMMYFUNCTION("""COMPUTED_VALUE"""),100.0)</f>
        <v>100</v>
      </c>
      <c r="D1165" s="7">
        <f>IFERROR(__xludf.DUMMYFUNCTION("""COMPUTED_VALUE"""),19.0)</f>
        <v>19</v>
      </c>
      <c r="E1165" s="16">
        <f>IFERROR(__xludf.DUMMYFUNCTION("""COMPUTED_VALUE"""),7.5)</f>
        <v>7.5</v>
      </c>
      <c r="F1165" s="16">
        <f>IFERROR(__xludf.DUMMYFUNCTION("""COMPUTED_VALUE"""),5.5)</f>
        <v>5.5</v>
      </c>
      <c r="G1165" s="16">
        <f>IFERROR(__xludf.DUMMYFUNCTION("""COMPUTED_VALUE"""),9.0)</f>
        <v>9</v>
      </c>
      <c r="H1165" s="23">
        <f>IFERROR(__xludf.DUMMYFUNCTION("""COMPUTED_VALUE"""),155.5)</f>
        <v>155.5</v>
      </c>
    </row>
    <row r="1166">
      <c r="A1166" s="16" t="str">
        <f>IFERROR(__xludf.DUMMYFUNCTION("""COMPUTED_VALUE"""),"Протеинови барове")</f>
        <v>Протеинови барове</v>
      </c>
      <c r="B1166" s="7" t="str">
        <f>IFERROR(__xludf.DUMMYFUNCTION("""COMPUTED_VALUE"""),"Fit Spo Crispy Cookie Dough Protein Bar")</f>
        <v>Fit Spo Crispy Cookie Dough Protein Bar</v>
      </c>
      <c r="C1166" s="7">
        <f>IFERROR(__xludf.DUMMYFUNCTION("""COMPUTED_VALUE"""),100.0)</f>
        <v>100</v>
      </c>
      <c r="D1166" s="7">
        <f>IFERROR(__xludf.DUMMYFUNCTION("""COMPUTED_VALUE"""),30.18)</f>
        <v>30.18</v>
      </c>
      <c r="E1166" s="16">
        <f>IFERROR(__xludf.DUMMYFUNCTION("""COMPUTED_VALUE"""),30.47)</f>
        <v>30.47</v>
      </c>
      <c r="F1166" s="16">
        <f>IFERROR(__xludf.DUMMYFUNCTION("""COMPUTED_VALUE"""),11.85)</f>
        <v>11.85</v>
      </c>
      <c r="G1166" s="16">
        <f>IFERROR(__xludf.DUMMYFUNCTION("""COMPUTED_VALUE"""),1.18)</f>
        <v>1.18</v>
      </c>
      <c r="H1166" s="23">
        <f>IFERROR(__xludf.DUMMYFUNCTION("""COMPUTED_VALUE"""),349.25)</f>
        <v>349.25</v>
      </c>
    </row>
    <row r="1167">
      <c r="A1167" s="16" t="str">
        <f>IFERROR(__xludf.DUMMYFUNCTION("""COMPUTED_VALUE"""),"Протеинови барове")</f>
        <v>Протеинови барове</v>
      </c>
      <c r="B1167" s="7" t="str">
        <f>IFERROR(__xludf.DUMMYFUNCTION("""COMPUTED_VALUE"""),"Power pro forest fruit")</f>
        <v>Power pro forest fruit</v>
      </c>
      <c r="C1167" s="7">
        <f>IFERROR(__xludf.DUMMYFUNCTION("""COMPUTED_VALUE"""),100.0)</f>
        <v>100</v>
      </c>
      <c r="D1167" s="7">
        <f>IFERROR(__xludf.DUMMYFUNCTION("""COMPUTED_VALUE"""),21.0)</f>
        <v>21</v>
      </c>
      <c r="E1167" s="16">
        <f>IFERROR(__xludf.DUMMYFUNCTION("""COMPUTED_VALUE"""),25.0)</f>
        <v>25</v>
      </c>
      <c r="F1167" s="16">
        <f>IFERROR(__xludf.DUMMYFUNCTION("""COMPUTED_VALUE"""),12.0)</f>
        <v>12</v>
      </c>
      <c r="G1167" s="16">
        <f>IFERROR(__xludf.DUMMYFUNCTION("""COMPUTED_VALUE"""),12.0)</f>
        <v>12</v>
      </c>
      <c r="H1167" s="23">
        <f>IFERROR(__xludf.DUMMYFUNCTION("""COMPUTED_VALUE"""),292.0)</f>
        <v>292</v>
      </c>
    </row>
    <row r="1168">
      <c r="A1168" s="16" t="str">
        <f>IFERROR(__xludf.DUMMYFUNCTION("""COMPUTED_VALUE"""),"Протеинови барове")</f>
        <v>Протеинови барове</v>
      </c>
      <c r="B1168" s="7" t="str">
        <f>IFERROR(__xludf.DUMMYFUNCTION("""COMPUTED_VALUE"""),"Nature tech forest fruit")</f>
        <v>Nature tech forest fruit</v>
      </c>
      <c r="C1168" s="7">
        <f>IFERROR(__xludf.DUMMYFUNCTION("""COMPUTED_VALUE"""),100.0)</f>
        <v>100</v>
      </c>
      <c r="D1168" s="7">
        <f>IFERROR(__xludf.DUMMYFUNCTION("""COMPUTED_VALUE"""),27.0)</f>
        <v>27</v>
      </c>
      <c r="E1168" s="16">
        <f>IFERROR(__xludf.DUMMYFUNCTION("""COMPUTED_VALUE"""),32.0)</f>
        <v>32</v>
      </c>
      <c r="F1168" s="16">
        <f>IFERROR(__xludf.DUMMYFUNCTION("""COMPUTED_VALUE"""),15.0)</f>
        <v>15</v>
      </c>
      <c r="G1168" s="16">
        <f>IFERROR(__xludf.DUMMYFUNCTION("""COMPUTED_VALUE"""),15.0)</f>
        <v>15</v>
      </c>
      <c r="H1168" s="23">
        <f>IFERROR(__xludf.DUMMYFUNCTION("""COMPUTED_VALUE"""),371.0)</f>
        <v>371</v>
      </c>
    </row>
    <row r="1169">
      <c r="A1169" s="16" t="str">
        <f>IFERROR(__xludf.DUMMYFUNCTION("""COMPUTED_VALUE"""),"Протеинови барове")</f>
        <v>Протеинови барове</v>
      </c>
      <c r="B1169" s="7" t="str">
        <f>IFERROR(__xludf.DUMMYFUNCTION("""COMPUTED_VALUE"""),"Протеинов бар ""Proof Nutrition"" - кокос")</f>
        <v>Протеинов бар "Proof Nutrition" - кокос</v>
      </c>
      <c r="C1169" s="7">
        <f>IFERROR(__xludf.DUMMYFUNCTION("""COMPUTED_VALUE"""),100.0)</f>
        <v>100</v>
      </c>
      <c r="D1169" s="7">
        <f>IFERROR(__xludf.DUMMYFUNCTION("""COMPUTED_VALUE"""),28.0)</f>
        <v>28</v>
      </c>
      <c r="E1169" s="16">
        <f>IFERROR(__xludf.DUMMYFUNCTION("""COMPUTED_VALUE"""),28.0)</f>
        <v>28</v>
      </c>
      <c r="F1169" s="16">
        <f>IFERROR(__xludf.DUMMYFUNCTION("""COMPUTED_VALUE"""),33.0)</f>
        <v>33</v>
      </c>
      <c r="G1169" s="16">
        <f>IFERROR(__xludf.DUMMYFUNCTION("""COMPUTED_VALUE"""),0.0)</f>
        <v>0</v>
      </c>
      <c r="H1169" s="23">
        <f>IFERROR(__xludf.DUMMYFUNCTION("""COMPUTED_VALUE"""),521.0)</f>
        <v>521</v>
      </c>
    </row>
    <row r="1170">
      <c r="A1170" s="16" t="str">
        <f>IFERROR(__xludf.DUMMYFUNCTION("""COMPUTED_VALUE"""),"Протеинови барове")</f>
        <v>Протеинови барове</v>
      </c>
      <c r="B1170" s="7" t="str">
        <f>IFERROR(__xludf.DUMMYFUNCTION("""COMPUTED_VALUE"""),"Протеинов бар ""Proof Nutrition"" - фъстък")</f>
        <v>Протеинов бар "Proof Nutrition" - фъстък</v>
      </c>
      <c r="C1170" s="7">
        <f>IFERROR(__xludf.DUMMYFUNCTION("""COMPUTED_VALUE"""),100.0)</f>
        <v>100</v>
      </c>
      <c r="D1170" s="7">
        <f>IFERROR(__xludf.DUMMYFUNCTION("""COMPUTED_VALUE"""),30.5)</f>
        <v>30.5</v>
      </c>
      <c r="E1170" s="16">
        <f>IFERROR(__xludf.DUMMYFUNCTION("""COMPUTED_VALUE"""),27.17)</f>
        <v>27.17</v>
      </c>
      <c r="F1170" s="16">
        <f>IFERROR(__xludf.DUMMYFUNCTION("""COMPUTED_VALUE"""),30.5)</f>
        <v>30.5</v>
      </c>
      <c r="G1170" s="16">
        <f>IFERROR(__xludf.DUMMYFUNCTION("""COMPUTED_VALUE"""),0.0)</f>
        <v>0</v>
      </c>
      <c r="H1170" s="23">
        <f>IFERROR(__xludf.DUMMYFUNCTION("""COMPUTED_VALUE"""),505.18)</f>
        <v>505.18</v>
      </c>
    </row>
    <row r="1171">
      <c r="A1171" s="16" t="str">
        <f>IFERROR(__xludf.DUMMYFUNCTION("""COMPUTED_VALUE"""),"Протеинови барове")</f>
        <v>Протеинови барове</v>
      </c>
      <c r="B1171" s="7" t="str">
        <f>IFERROR(__xludf.DUMMYFUNCTION("""COMPUTED_VALUE"""),"Fit Spo Ягода и бял шоколад ЛИДЛ")</f>
        <v>Fit Spo Ягода и бял шоколад ЛИДЛ</v>
      </c>
      <c r="C1171" s="7">
        <f>IFERROR(__xludf.DUMMYFUNCTION("""COMPUTED_VALUE"""),100.0)</f>
        <v>100</v>
      </c>
      <c r="D1171" s="7">
        <f>IFERROR(__xludf.DUMMYFUNCTION("""COMPUTED_VALUE"""),30.0)</f>
        <v>30</v>
      </c>
      <c r="E1171" s="16">
        <f>IFERROR(__xludf.DUMMYFUNCTION("""COMPUTED_VALUE"""),45.0)</f>
        <v>45</v>
      </c>
      <c r="F1171" s="16">
        <f>IFERROR(__xludf.DUMMYFUNCTION("""COMPUTED_VALUE"""),12.0)</f>
        <v>12</v>
      </c>
      <c r="G1171" s="16">
        <f>IFERROR(__xludf.DUMMYFUNCTION("""COMPUTED_VALUE"""),3.2)</f>
        <v>3.2</v>
      </c>
      <c r="H1171" s="23">
        <f>IFERROR(__xludf.DUMMYFUNCTION("""COMPUTED_VALUE"""),408.0)</f>
        <v>408</v>
      </c>
    </row>
    <row r="1172">
      <c r="A1172" s="16" t="str">
        <f>IFERROR(__xludf.DUMMYFUNCTION("""COMPUTED_VALUE"""),"Протеинови барове")</f>
        <v>Протеинови барове</v>
      </c>
      <c r="B1172" s="7" t="str">
        <f>IFERROR(__xludf.DUMMYFUNCTION("""COMPUTED_VALUE"""),"MyProtein Lean FlapJack Chocolate Chip")</f>
        <v>MyProtein Lean FlapJack Chocolate Chip</v>
      </c>
      <c r="C1172" s="7">
        <f>IFERROR(__xludf.DUMMYFUNCTION("""COMPUTED_VALUE"""),100.0)</f>
        <v>100</v>
      </c>
      <c r="D1172" s="7">
        <f>IFERROR(__xludf.DUMMYFUNCTION("""COMPUTED_VALUE"""),10.0)</f>
        <v>10</v>
      </c>
      <c r="E1172" s="16">
        <f>IFERROR(__xludf.DUMMYFUNCTION("""COMPUTED_VALUE"""),25.0)</f>
        <v>25</v>
      </c>
      <c r="F1172" s="16">
        <f>IFERROR(__xludf.DUMMYFUNCTION("""COMPUTED_VALUE"""),3.0)</f>
        <v>3</v>
      </c>
      <c r="G1172" s="16">
        <f>IFERROR(__xludf.DUMMYFUNCTION("""COMPUTED_VALUE"""),5.6)</f>
        <v>5.6</v>
      </c>
      <c r="H1172" s="23">
        <f>IFERROR(__xludf.DUMMYFUNCTION("""COMPUTED_VALUE"""),167.0)</f>
        <v>167</v>
      </c>
    </row>
    <row r="1173">
      <c r="A1173" s="16" t="str">
        <f>IFERROR(__xludf.DUMMYFUNCTION("""COMPUTED_VALUE"""),"Протеинови барове")</f>
        <v>Протеинови барове</v>
      </c>
      <c r="B1173" s="7" t="str">
        <f>IFERROR(__xludf.DUMMYFUNCTION("""COMPUTED_VALUE"""),"MyProtein Lean FlapJack Chocolate Chip")</f>
        <v>MyProtein Lean FlapJack Chocolate Chip</v>
      </c>
      <c r="C1173" s="7">
        <f>IFERROR(__xludf.DUMMYFUNCTION("""COMPUTED_VALUE"""),100.0)</f>
        <v>100</v>
      </c>
      <c r="D1173" s="7">
        <f>IFERROR(__xludf.DUMMYFUNCTION("""COMPUTED_VALUE"""),21.0)</f>
        <v>21</v>
      </c>
      <c r="E1173" s="16">
        <f>IFERROR(__xludf.DUMMYFUNCTION("""COMPUTED_VALUE"""),51.0)</f>
        <v>51</v>
      </c>
      <c r="F1173" s="16">
        <f>IFERROR(__xludf.DUMMYFUNCTION("""COMPUTED_VALUE"""),5.9)</f>
        <v>5.9</v>
      </c>
      <c r="G1173" s="16">
        <f>IFERROR(__xludf.DUMMYFUNCTION("""COMPUTED_VALUE"""),11.0)</f>
        <v>11</v>
      </c>
      <c r="H1173" s="23">
        <f>IFERROR(__xludf.DUMMYFUNCTION("""COMPUTED_VALUE"""),341.1)</f>
        <v>341.1</v>
      </c>
    </row>
    <row r="1174">
      <c r="A1174" s="16" t="str">
        <f>IFERROR(__xludf.DUMMYFUNCTION("""COMPUTED_VALUE"""),"Протеинови барове")</f>
        <v>Протеинови барове</v>
      </c>
      <c r="B1174" s="7" t="str">
        <f>IFERROR(__xludf.DUMMYFUNCTION("""COMPUTED_VALUE"""),"MyProtein Lean Brownie")</f>
        <v>MyProtein Lean Brownie</v>
      </c>
      <c r="C1174" s="7">
        <f>IFERROR(__xludf.DUMMYFUNCTION("""COMPUTED_VALUE"""),100.0)</f>
        <v>100</v>
      </c>
      <c r="D1174" s="7">
        <f>IFERROR(__xludf.DUMMYFUNCTION("""COMPUTED_VALUE"""),28.0)</f>
        <v>28</v>
      </c>
      <c r="E1174" s="16">
        <f>IFERROR(__xludf.DUMMYFUNCTION("""COMPUTED_VALUE"""),33.0)</f>
        <v>33</v>
      </c>
      <c r="F1174" s="16">
        <f>IFERROR(__xludf.DUMMYFUNCTION("""COMPUTED_VALUE"""),15.0)</f>
        <v>15</v>
      </c>
      <c r="G1174" s="16">
        <f>IFERROR(__xludf.DUMMYFUNCTION("""COMPUTED_VALUE"""),12.0)</f>
        <v>12</v>
      </c>
      <c r="H1174" s="23">
        <f>IFERROR(__xludf.DUMMYFUNCTION("""COMPUTED_VALUE"""),379.0)</f>
        <v>379</v>
      </c>
    </row>
    <row r="1175">
      <c r="A1175" s="16" t="str">
        <f>IFERROR(__xludf.DUMMYFUNCTION("""COMPUTED_VALUE"""),"Протеинови барове")</f>
        <v>Протеинови барове</v>
      </c>
      <c r="B1175" s="7" t="str">
        <f>IFERROR(__xludf.DUMMYFUNCTION("""COMPUTED_VALUE"""),"Barebells cookies &amp; cream")</f>
        <v>Barebells cookies &amp; cream</v>
      </c>
      <c r="C1175" s="7">
        <f>IFERROR(__xludf.DUMMYFUNCTION("""COMPUTED_VALUE"""),100.0)</f>
        <v>100</v>
      </c>
      <c r="D1175" s="7">
        <f>IFERROR(__xludf.DUMMYFUNCTION("""COMPUTED_VALUE"""),36.0)</f>
        <v>36</v>
      </c>
      <c r="E1175" s="16">
        <f>IFERROR(__xludf.DUMMYFUNCTION("""COMPUTED_VALUE"""),31.0)</f>
        <v>31</v>
      </c>
      <c r="F1175" s="16">
        <f>IFERROR(__xludf.DUMMYFUNCTION("""COMPUTED_VALUE"""),12.0)</f>
        <v>12</v>
      </c>
      <c r="G1175" s="16">
        <f>IFERROR(__xludf.DUMMYFUNCTION("""COMPUTED_VALUE"""),0.5)</f>
        <v>0.5</v>
      </c>
      <c r="H1175" s="23">
        <f>IFERROR(__xludf.DUMMYFUNCTION("""COMPUTED_VALUE"""),376.0)</f>
        <v>376</v>
      </c>
    </row>
    <row r="1176">
      <c r="A1176" s="16" t="str">
        <f>IFERROR(__xludf.DUMMYFUNCTION("""COMPUTED_VALUE"""),"Протеинови барове")</f>
        <v>Протеинови барове</v>
      </c>
      <c r="B1176" s="7" t="str">
        <f>IFERROR(__xludf.DUMMYFUNCTION("""COMPUTED_VALUE"""),"Livity 25% Egg White Protein")</f>
        <v>Livity 25% Egg White Protein</v>
      </c>
      <c r="C1176" s="7">
        <f>IFERROR(__xludf.DUMMYFUNCTION("""COMPUTED_VALUE"""),100.0)</f>
        <v>100</v>
      </c>
      <c r="D1176" s="7">
        <f>IFERROR(__xludf.DUMMYFUNCTION("""COMPUTED_VALUE"""),25.0)</f>
        <v>25</v>
      </c>
      <c r="E1176" s="16">
        <f>IFERROR(__xludf.DUMMYFUNCTION("""COMPUTED_VALUE"""),40.0)</f>
        <v>40</v>
      </c>
      <c r="F1176" s="16">
        <f>IFERROR(__xludf.DUMMYFUNCTION("""COMPUTED_VALUE"""),13.0)</f>
        <v>13</v>
      </c>
      <c r="G1176" s="16">
        <f>IFERROR(__xludf.DUMMYFUNCTION("""COMPUTED_VALUE"""),7.2)</f>
        <v>7.2</v>
      </c>
      <c r="H1176" s="23">
        <f>IFERROR(__xludf.DUMMYFUNCTION("""COMPUTED_VALUE"""),377.0)</f>
        <v>377</v>
      </c>
    </row>
    <row r="1177">
      <c r="A1177" s="16" t="str">
        <f>IFERROR(__xludf.DUMMYFUNCTION("""COMPUTED_VALUE"""),"Протеинови барове")</f>
        <v>Протеинови барове</v>
      </c>
      <c r="B1177" s="7" t="str">
        <f>IFERROR(__xludf.DUMMYFUNCTION("""COMPUTED_VALUE"""),"Fit Spo - ягода и бял шоколад")</f>
        <v>Fit Spo - ягода и бял шоколад</v>
      </c>
      <c r="C1177" s="7">
        <f>IFERROR(__xludf.DUMMYFUNCTION("""COMPUTED_VALUE"""),100.0)</f>
        <v>100</v>
      </c>
      <c r="D1177" s="7">
        <f>IFERROR(__xludf.DUMMYFUNCTION("""COMPUTED_VALUE"""),17.0)</f>
        <v>17</v>
      </c>
      <c r="E1177" s="16">
        <f>IFERROR(__xludf.DUMMYFUNCTION("""COMPUTED_VALUE"""),25.0)</f>
        <v>25</v>
      </c>
      <c r="F1177" s="16">
        <f>IFERROR(__xludf.DUMMYFUNCTION("""COMPUTED_VALUE"""),6.44)</f>
        <v>6.44</v>
      </c>
      <c r="G1177" s="16">
        <f>IFERROR(__xludf.DUMMYFUNCTION("""COMPUTED_VALUE"""),1.76)</f>
        <v>1.76</v>
      </c>
      <c r="H1177" s="23">
        <f>IFERROR(__xludf.DUMMYFUNCTION("""COMPUTED_VALUE"""),225.96)</f>
        <v>225.96</v>
      </c>
    </row>
    <row r="1178">
      <c r="A1178" s="16" t="str">
        <f>IFERROR(__xludf.DUMMYFUNCTION("""COMPUTED_VALUE"""),"Протеинови барове")</f>
        <v>Протеинови барове</v>
      </c>
      <c r="B1178" s="7" t="str">
        <f>IFERROR(__xludf.DUMMYFUNCTION("""COMPUTED_VALUE"""),"Протеинов Бар GO BIG Choco")</f>
        <v>Протеинов Бар GO BIG Choco</v>
      </c>
      <c r="C1178" s="7">
        <f>IFERROR(__xludf.DUMMYFUNCTION("""COMPUTED_VALUE"""),100.0)</f>
        <v>100</v>
      </c>
      <c r="D1178" s="7">
        <f>IFERROR(__xludf.DUMMYFUNCTION("""COMPUTED_VALUE"""),34.0)</f>
        <v>34</v>
      </c>
      <c r="E1178" s="16">
        <f>IFERROR(__xludf.DUMMYFUNCTION("""COMPUTED_VALUE"""),20.0)</f>
        <v>20</v>
      </c>
      <c r="F1178" s="16">
        <f>IFERROR(__xludf.DUMMYFUNCTION("""COMPUTED_VALUE"""),8.0)</f>
        <v>8</v>
      </c>
      <c r="G1178" s="16">
        <f>IFERROR(__xludf.DUMMYFUNCTION("""COMPUTED_VALUE"""),0.0)</f>
        <v>0</v>
      </c>
      <c r="H1178" s="23">
        <f>IFERROR(__xludf.DUMMYFUNCTION("""COMPUTED_VALUE"""),288.0)</f>
        <v>288</v>
      </c>
    </row>
    <row r="1179">
      <c r="A1179" s="16" t="str">
        <f>IFERROR(__xludf.DUMMYFUNCTION("""COMPUTED_VALUE"""),"Протеинови барове")</f>
        <v>Протеинови барове</v>
      </c>
      <c r="B1179" s="7" t="str">
        <f>IFERROR(__xludf.DUMMYFUNCTION("""COMPUTED_VALUE"""),"Active Choice протеинов бар – Cocoa &amp; Orange (70гр.)")</f>
        <v>Active Choice протеинов бар – Cocoa &amp; Orange (70гр.)</v>
      </c>
      <c r="C1179" s="7">
        <f>IFERROR(__xludf.DUMMYFUNCTION("""COMPUTED_VALUE"""),100.0)</f>
        <v>100</v>
      </c>
      <c r="D1179" s="7">
        <f>IFERROR(__xludf.DUMMYFUNCTION("""COMPUTED_VALUE"""),21.0)</f>
        <v>21</v>
      </c>
      <c r="E1179" s="16">
        <f>IFERROR(__xludf.DUMMYFUNCTION("""COMPUTED_VALUE"""),11.8)</f>
        <v>11.8</v>
      </c>
      <c r="F1179" s="16">
        <f>IFERROR(__xludf.DUMMYFUNCTION("""COMPUTED_VALUE"""),12.6)</f>
        <v>12.6</v>
      </c>
      <c r="G1179" s="16">
        <f>IFERROR(__xludf.DUMMYFUNCTION("""COMPUTED_VALUE"""),10.8)</f>
        <v>10.8</v>
      </c>
      <c r="H1179" s="23">
        <f>IFERROR(__xludf.DUMMYFUNCTION("""COMPUTED_VALUE"""),244.59999999999997)</f>
        <v>244.6</v>
      </c>
    </row>
    <row r="1180">
      <c r="A1180" s="16" t="str">
        <f>IFERROR(__xludf.DUMMYFUNCTION("""COMPUTED_VALUE"""),"Протеинови барове")</f>
        <v>Протеинови барове</v>
      </c>
      <c r="B1180" s="7" t="str">
        <f>IFERROR(__xludf.DUMMYFUNCTION("""COMPUTED_VALUE"""),"Energy Sport Bar - Cereals and Chocolate - Isostar")</f>
        <v>Energy Sport Bar - Cereals and Chocolate - Isostar</v>
      </c>
      <c r="C1180" s="7">
        <f>IFERROR(__xludf.DUMMYFUNCTION("""COMPUTED_VALUE"""),100.0)</f>
        <v>100</v>
      </c>
      <c r="D1180" s="7">
        <f>IFERROR(__xludf.DUMMYFUNCTION("""COMPUTED_VALUE"""),6.2)</f>
        <v>6.2</v>
      </c>
      <c r="E1180" s="16">
        <f>IFERROR(__xludf.DUMMYFUNCTION("""COMPUTED_VALUE"""),70.0)</f>
        <v>70</v>
      </c>
      <c r="F1180" s="16">
        <f>IFERROR(__xludf.DUMMYFUNCTION("""COMPUTED_VALUE"""),12.0)</f>
        <v>12</v>
      </c>
      <c r="G1180" s="16">
        <f>IFERROR(__xludf.DUMMYFUNCTION("""COMPUTED_VALUE"""),0.0)</f>
        <v>0</v>
      </c>
      <c r="H1180" s="23">
        <f>IFERROR(__xludf.DUMMYFUNCTION("""COMPUTED_VALUE"""),412.8)</f>
        <v>412.8</v>
      </c>
    </row>
    <row r="1181">
      <c r="A1181" s="16" t="str">
        <f>IFERROR(__xludf.DUMMYFUNCTION("""COMPUTED_VALUE"""),"Протеинови барове")</f>
        <v>Протеинови барове</v>
      </c>
      <c r="B1181" s="7" t="str">
        <f>IFERROR(__xludf.DUMMYFUNCTION("""COMPUTED_VALUE"""),"Станго - червена боровинка и бял шоколад")</f>
        <v>Станго - червена боровинка и бял шоколад</v>
      </c>
      <c r="C1181" s="12">
        <f>IFERROR(__xludf.DUMMYFUNCTION("""COMPUTED_VALUE"""),100.0)</f>
        <v>100</v>
      </c>
      <c r="D1181" s="7">
        <f>IFERROR(__xludf.DUMMYFUNCTION("""COMPUTED_VALUE"""),19.2)</f>
        <v>19.2</v>
      </c>
      <c r="E1181" s="16">
        <f>IFERROR(__xludf.DUMMYFUNCTION("""COMPUTED_VALUE"""),23.5)</f>
        <v>23.5</v>
      </c>
      <c r="F1181" s="16">
        <f>IFERROR(__xludf.DUMMYFUNCTION("""COMPUTED_VALUE"""),29.0)</f>
        <v>29</v>
      </c>
      <c r="G1181" s="16">
        <f>IFERROR(__xludf.DUMMYFUNCTION("""COMPUTED_VALUE"""),0.0)</f>
        <v>0</v>
      </c>
      <c r="H1181" s="16">
        <f>IFERROR(__xludf.DUMMYFUNCTION("""COMPUTED_VALUE"""),431.8)</f>
        <v>431.8</v>
      </c>
    </row>
    <row r="1182">
      <c r="A1182" s="16" t="str">
        <f>IFERROR(__xludf.DUMMYFUNCTION("""COMPUTED_VALUE"""),"Протеинови барове")</f>
        <v>Протеинови барове</v>
      </c>
      <c r="B1182" s="7" t="str">
        <f>IFERROR(__xludf.DUMMYFUNCTION("""COMPUTED_VALUE"""),"FitSpo Lo Carb Фъстъци и Карамел")</f>
        <v>FitSpo Lo Carb Фъстъци и Карамел</v>
      </c>
      <c r="C1182" s="12">
        <f>IFERROR(__xludf.DUMMYFUNCTION("""COMPUTED_VALUE"""),100.0)</f>
        <v>100</v>
      </c>
      <c r="D1182" s="7">
        <f>IFERROR(__xludf.DUMMYFUNCTION("""COMPUTED_VALUE"""),33.0)</f>
        <v>33</v>
      </c>
      <c r="E1182" s="16">
        <f>IFERROR(__xludf.DUMMYFUNCTION("""COMPUTED_VALUE"""),9.6)</f>
        <v>9.6</v>
      </c>
      <c r="F1182" s="16">
        <f>IFERROR(__xludf.DUMMYFUNCTION("""COMPUTED_VALUE"""),13.0)</f>
        <v>13</v>
      </c>
      <c r="G1182" s="16">
        <f>IFERROR(__xludf.DUMMYFUNCTION("""COMPUTED_VALUE"""),0.0)</f>
        <v>0</v>
      </c>
      <c r="H1182" s="16">
        <f>IFERROR(__xludf.DUMMYFUNCTION("""COMPUTED_VALUE"""),287.4)</f>
        <v>287.4</v>
      </c>
    </row>
    <row r="1183">
      <c r="A1183" s="16" t="str">
        <f>IFERROR(__xludf.DUMMYFUNCTION("""COMPUTED_VALUE"""),"Протеинови барове")</f>
        <v>Протеинови барове</v>
      </c>
      <c r="B1183" s="7" t="str">
        <f>IFERROR(__xludf.DUMMYFUNCTION("""COMPUTED_VALUE"""),"Fit Spo Power Шоколад")</f>
        <v>Fit Spo Power Шоколад</v>
      </c>
      <c r="C1183" s="12">
        <f>IFERROR(__xludf.DUMMYFUNCTION("""COMPUTED_VALUE"""),100.0)</f>
        <v>100</v>
      </c>
      <c r="D1183" s="7">
        <f>IFERROR(__xludf.DUMMYFUNCTION("""COMPUTED_VALUE"""),30.0)</f>
        <v>30</v>
      </c>
      <c r="E1183" s="16">
        <f>IFERROR(__xludf.DUMMYFUNCTION("""COMPUTED_VALUE"""),43.0)</f>
        <v>43</v>
      </c>
      <c r="F1183" s="16">
        <f>IFERROR(__xludf.DUMMYFUNCTION("""COMPUTED_VALUE"""),12.0)</f>
        <v>12</v>
      </c>
      <c r="G1183" s="16">
        <f>IFERROR(__xludf.DUMMYFUNCTION("""COMPUTED_VALUE"""),4.0)</f>
        <v>4</v>
      </c>
      <c r="H1183" s="16">
        <f>IFERROR(__xludf.DUMMYFUNCTION("""COMPUTED_VALUE"""),400.0)</f>
        <v>400</v>
      </c>
    </row>
    <row r="1184">
      <c r="A1184" s="16" t="str">
        <f>IFERROR(__xludf.DUMMYFUNCTION("""COMPUTED_VALUE"""),"Протеинови барове")</f>
        <v>Протеинови барове</v>
      </c>
      <c r="B1184" s="7" t="str">
        <f>IFERROR(__xludf.DUMMYFUNCTION("""COMPUTED_VALUE"""),"Fit Spo Power Ягода с Бял Шоколад")</f>
        <v>Fit Spo Power Ягода с Бял Шоколад</v>
      </c>
      <c r="C1184" s="12">
        <f>IFERROR(__xludf.DUMMYFUNCTION("""COMPUTED_VALUE"""),100.0)</f>
        <v>100</v>
      </c>
      <c r="D1184" s="7">
        <f>IFERROR(__xludf.DUMMYFUNCTION("""COMPUTED_VALUE"""),30.0)</f>
        <v>30</v>
      </c>
      <c r="E1184" s="16">
        <f>IFERROR(__xludf.DUMMYFUNCTION("""COMPUTED_VALUE"""),45.0)</f>
        <v>45</v>
      </c>
      <c r="F1184" s="16">
        <f>IFERROR(__xludf.DUMMYFUNCTION("""COMPUTED_VALUE"""),12.0)</f>
        <v>12</v>
      </c>
      <c r="G1184" s="16">
        <f>IFERROR(__xludf.DUMMYFUNCTION("""COMPUTED_VALUE"""),3.2)</f>
        <v>3.2</v>
      </c>
      <c r="H1184" s="16">
        <f>IFERROR(__xludf.DUMMYFUNCTION("""COMPUTED_VALUE"""),408.0)</f>
        <v>408</v>
      </c>
    </row>
    <row r="1185">
      <c r="A1185" s="16" t="str">
        <f>IFERROR(__xludf.DUMMYFUNCTION("""COMPUTED_VALUE"""),"Протеинови барове")</f>
        <v>Протеинови барове</v>
      </c>
      <c r="B1185" s="7" t="str">
        <f>IFERROR(__xludf.DUMMYFUNCTION("""COMPUTED_VALUE"""),"FST Protein Bar")</f>
        <v>FST Protein Bar</v>
      </c>
      <c r="C1185" s="7">
        <f>IFERROR(__xludf.DUMMYFUNCTION("""COMPUTED_VALUE"""),100.0)</f>
        <v>100</v>
      </c>
      <c r="D1185" s="7">
        <f>IFERROR(__xludf.DUMMYFUNCTION("""COMPUTED_VALUE"""),30.0)</f>
        <v>30</v>
      </c>
      <c r="E1185" s="16">
        <f>IFERROR(__xludf.DUMMYFUNCTION("""COMPUTED_VALUE"""),20.0)</f>
        <v>20</v>
      </c>
      <c r="F1185" s="16">
        <f>IFERROR(__xludf.DUMMYFUNCTION("""COMPUTED_VALUE"""),8.0)</f>
        <v>8</v>
      </c>
      <c r="G1185" s="16">
        <f>IFERROR(__xludf.DUMMYFUNCTION("""COMPUTED_VALUE"""),0.0)</f>
        <v>0</v>
      </c>
      <c r="H1185" s="23">
        <f>IFERROR(__xludf.DUMMYFUNCTION("""COMPUTED_VALUE"""),272.0)</f>
        <v>272</v>
      </c>
    </row>
    <row r="1186">
      <c r="A1186" s="16" t="str">
        <f>IFERROR(__xludf.DUMMYFUNCTION("""COMPUTED_VALUE"""),"Протеинови барове")</f>
        <v>Протеинови барове</v>
      </c>
      <c r="B1186" s="7" t="str">
        <f>IFERROR(__xludf.DUMMYFUNCTION("""COMPUTED_VALUE"""),"PerformanceBar Low Sugar (Gluten free/high fibre)")</f>
        <v>PerformanceBar Low Sugar (Gluten free/high fibre)</v>
      </c>
      <c r="C1186" s="7">
        <f>IFERROR(__xludf.DUMMYFUNCTION("""COMPUTED_VALUE"""),100.0)</f>
        <v>100</v>
      </c>
      <c r="D1186" s="7">
        <f>IFERROR(__xludf.DUMMYFUNCTION("""COMPUTED_VALUE"""),37.0)</f>
        <v>37</v>
      </c>
      <c r="E1186" s="16">
        <f>IFERROR(__xludf.DUMMYFUNCTION("""COMPUTED_VALUE"""),15.0)</f>
        <v>15</v>
      </c>
      <c r="F1186" s="16">
        <f>IFERROR(__xludf.DUMMYFUNCTION("""COMPUTED_VALUE"""),11.0)</f>
        <v>11</v>
      </c>
      <c r="G1186" s="16">
        <f>IFERROR(__xludf.DUMMYFUNCTION("""COMPUTED_VALUE"""),18.0)</f>
        <v>18</v>
      </c>
      <c r="H1186" s="23">
        <f>IFERROR(__xludf.DUMMYFUNCTION("""COMPUTED_VALUE"""),307.0)</f>
        <v>307</v>
      </c>
    </row>
    <row r="1187">
      <c r="A1187" s="16" t="str">
        <f>IFERROR(__xludf.DUMMYFUNCTION("""COMPUTED_VALUE"""),"Риба")</f>
        <v>Риба</v>
      </c>
      <c r="B1187" s="7" t="str">
        <f>IFERROR(__xludf.DUMMYFUNCTION("""COMPUTED_VALUE"""),"Скумрия (сурово състояние)")</f>
        <v>Скумрия (сурово състояние)</v>
      </c>
      <c r="C1187" s="7" t="str">
        <f>IFERROR(__xludf.DUMMYFUNCTION("""COMPUTED_VALUE"""),"100")</f>
        <v>100</v>
      </c>
      <c r="D1187" s="7">
        <f>IFERROR(__xludf.DUMMYFUNCTION("""COMPUTED_VALUE"""),18.0)</f>
        <v>18</v>
      </c>
      <c r="E1187" s="16">
        <f>IFERROR(__xludf.DUMMYFUNCTION("""COMPUTED_VALUE"""),0.0)</f>
        <v>0</v>
      </c>
      <c r="F1187" s="16">
        <f>IFERROR(__xludf.DUMMYFUNCTION("""COMPUTED_VALUE"""),14.0)</f>
        <v>14</v>
      </c>
      <c r="G1187" s="16">
        <f>IFERROR(__xludf.DUMMYFUNCTION("""COMPUTED_VALUE"""),0.0)</f>
        <v>0</v>
      </c>
      <c r="H1187" s="23">
        <f>IFERROR(__xludf.DUMMYFUNCTION("""COMPUTED_VALUE"""),198.0)</f>
        <v>198</v>
      </c>
    </row>
    <row r="1188">
      <c r="A1188" s="16" t="str">
        <f>IFERROR(__xludf.DUMMYFUNCTION("""COMPUTED_VALUE"""),"Риба")</f>
        <v>Риба</v>
      </c>
      <c r="B1188" s="7" t="str">
        <f>IFERROR(__xludf.DUMMYFUNCTION("""COMPUTED_VALUE"""),"Скумрия (печена)")</f>
        <v>Скумрия (печена)</v>
      </c>
      <c r="C1188" s="7" t="str">
        <f>IFERROR(__xludf.DUMMYFUNCTION("""COMPUTED_VALUE"""),"100")</f>
        <v>100</v>
      </c>
      <c r="D1188" s="7">
        <f>IFERROR(__xludf.DUMMYFUNCTION("""COMPUTED_VALUE"""),23.9)</f>
        <v>23.9</v>
      </c>
      <c r="E1188" s="16">
        <f>IFERROR(__xludf.DUMMYFUNCTION("""COMPUTED_VALUE"""),0.0)</f>
        <v>0</v>
      </c>
      <c r="F1188" s="16">
        <f>IFERROR(__xludf.DUMMYFUNCTION("""COMPUTED_VALUE"""),17.8)</f>
        <v>17.8</v>
      </c>
      <c r="G1188" s="16">
        <f>IFERROR(__xludf.DUMMYFUNCTION("""COMPUTED_VALUE"""),0.0)</f>
        <v>0</v>
      </c>
      <c r="H1188" s="23">
        <f>IFERROR(__xludf.DUMMYFUNCTION("""COMPUTED_VALUE"""),255.8)</f>
        <v>255.8</v>
      </c>
    </row>
    <row r="1189">
      <c r="A1189" s="16" t="str">
        <f>IFERROR(__xludf.DUMMYFUNCTION("""COMPUTED_VALUE"""),"Риба")</f>
        <v>Риба</v>
      </c>
      <c r="B1189" s="7" t="str">
        <f>IFERROR(__xludf.DUMMYFUNCTION("""COMPUTED_VALUE"""),"Сьомга - котлет (сурово състояние)")</f>
        <v>Сьомга - котлет (сурово състояние)</v>
      </c>
      <c r="C1189" s="7" t="str">
        <f>IFERROR(__xludf.DUMMYFUNCTION("""COMPUTED_VALUE"""),"100")</f>
        <v>100</v>
      </c>
      <c r="D1189" s="7">
        <f>IFERROR(__xludf.DUMMYFUNCTION("""COMPUTED_VALUE"""),20.0)</f>
        <v>20</v>
      </c>
      <c r="E1189" s="16">
        <f>IFERROR(__xludf.DUMMYFUNCTION("""COMPUTED_VALUE"""),0.0)</f>
        <v>0</v>
      </c>
      <c r="F1189" s="16">
        <f>IFERROR(__xludf.DUMMYFUNCTION("""COMPUTED_VALUE"""),12.0)</f>
        <v>12</v>
      </c>
      <c r="G1189" s="16">
        <f>IFERROR(__xludf.DUMMYFUNCTION("""COMPUTED_VALUE"""),0.0)</f>
        <v>0</v>
      </c>
      <c r="H1189" s="23">
        <f>IFERROR(__xludf.DUMMYFUNCTION("""COMPUTED_VALUE"""),188.0)</f>
        <v>188</v>
      </c>
    </row>
    <row r="1190">
      <c r="A1190" s="16" t="str">
        <f>IFERROR(__xludf.DUMMYFUNCTION("""COMPUTED_VALUE"""),"Риба")</f>
        <v>Риба</v>
      </c>
      <c r="B1190" s="7" t="str">
        <f>IFERROR(__xludf.DUMMYFUNCTION("""COMPUTED_VALUE"""),"Сьомга - филе (сурово състояние)")</f>
        <v>Сьомга - филе (сурово състояние)</v>
      </c>
      <c r="C1190" s="7" t="str">
        <f>IFERROR(__xludf.DUMMYFUNCTION("""COMPUTED_VALUE"""),"100")</f>
        <v>100</v>
      </c>
      <c r="D1190" s="7">
        <f>IFERROR(__xludf.DUMMYFUNCTION("""COMPUTED_VALUE"""),20.0)</f>
        <v>20</v>
      </c>
      <c r="E1190" s="16">
        <f>IFERROR(__xludf.DUMMYFUNCTION("""COMPUTED_VALUE"""),0.0)</f>
        <v>0</v>
      </c>
      <c r="F1190" s="16">
        <f>IFERROR(__xludf.DUMMYFUNCTION("""COMPUTED_VALUE"""),8.0)</f>
        <v>8</v>
      </c>
      <c r="G1190" s="16">
        <f>IFERROR(__xludf.DUMMYFUNCTION("""COMPUTED_VALUE"""),0.0)</f>
        <v>0</v>
      </c>
      <c r="H1190" s="23">
        <f>IFERROR(__xludf.DUMMYFUNCTION("""COMPUTED_VALUE"""),152.0)</f>
        <v>152</v>
      </c>
    </row>
    <row r="1191">
      <c r="A1191" s="16" t="str">
        <f>IFERROR(__xludf.DUMMYFUNCTION("""COMPUTED_VALUE"""),"Риба")</f>
        <v>Риба</v>
      </c>
      <c r="B1191" s="7" t="str">
        <f>IFERROR(__xludf.DUMMYFUNCTION("""COMPUTED_VALUE"""),"Сьомгова пъстърва - филе (сурово състояние)")</f>
        <v>Сьомгова пъстърва - филе (сурово състояние)</v>
      </c>
      <c r="C1191" s="7" t="str">
        <f>IFERROR(__xludf.DUMMYFUNCTION("""COMPUTED_VALUE"""),"100")</f>
        <v>100</v>
      </c>
      <c r="D1191" s="7">
        <f>IFERROR(__xludf.DUMMYFUNCTION("""COMPUTED_VALUE"""),20.0)</f>
        <v>20</v>
      </c>
      <c r="E1191" s="16">
        <f>IFERROR(__xludf.DUMMYFUNCTION("""COMPUTED_VALUE"""),0.0)</f>
        <v>0</v>
      </c>
      <c r="F1191" s="16">
        <f>IFERROR(__xludf.DUMMYFUNCTION("""COMPUTED_VALUE"""),6.0)</f>
        <v>6</v>
      </c>
      <c r="G1191" s="16">
        <f>IFERROR(__xludf.DUMMYFUNCTION("""COMPUTED_VALUE"""),0.0)</f>
        <v>0</v>
      </c>
      <c r="H1191" s="23">
        <f>IFERROR(__xludf.DUMMYFUNCTION("""COMPUTED_VALUE"""),134.0)</f>
        <v>134</v>
      </c>
    </row>
    <row r="1192">
      <c r="A1192" s="16" t="str">
        <f>IFERROR(__xludf.DUMMYFUNCTION("""COMPUTED_VALUE"""),"Риба")</f>
        <v>Риба</v>
      </c>
      <c r="B1192" s="7" t="str">
        <f>IFERROR(__xludf.DUMMYFUNCTION("""COMPUTED_VALUE"""),"Пъстърва (сурово състояние)")</f>
        <v>Пъстърва (сурово състояние)</v>
      </c>
      <c r="C1192" s="7" t="str">
        <f>IFERROR(__xludf.DUMMYFUNCTION("""COMPUTED_VALUE"""),"100")</f>
        <v>100</v>
      </c>
      <c r="D1192" s="7">
        <f>IFERROR(__xludf.DUMMYFUNCTION("""COMPUTED_VALUE"""),20.0)</f>
        <v>20</v>
      </c>
      <c r="E1192" s="16">
        <f>IFERROR(__xludf.DUMMYFUNCTION("""COMPUTED_VALUE"""),0.0)</f>
        <v>0</v>
      </c>
      <c r="F1192" s="16">
        <f>IFERROR(__xludf.DUMMYFUNCTION("""COMPUTED_VALUE"""),7.0)</f>
        <v>7</v>
      </c>
      <c r="G1192" s="16">
        <f>IFERROR(__xludf.DUMMYFUNCTION("""COMPUTED_VALUE"""),0.0)</f>
        <v>0</v>
      </c>
      <c r="H1192" s="23">
        <f>IFERROR(__xludf.DUMMYFUNCTION("""COMPUTED_VALUE"""),143.0)</f>
        <v>143</v>
      </c>
    </row>
    <row r="1193">
      <c r="A1193" s="16" t="str">
        <f>IFERROR(__xludf.DUMMYFUNCTION("""COMPUTED_VALUE"""),"Риба")</f>
        <v>Риба</v>
      </c>
      <c r="B1193" s="7" t="str">
        <f>IFERROR(__xludf.DUMMYFUNCTION("""COMPUTED_VALUE"""),"Пъстърва (печена)")</f>
        <v>Пъстърва (печена)</v>
      </c>
      <c r="C1193" s="7">
        <f>IFERROR(__xludf.DUMMYFUNCTION("""COMPUTED_VALUE"""),100.0)</f>
        <v>100</v>
      </c>
      <c r="D1193" s="7">
        <f>IFERROR(__xludf.DUMMYFUNCTION("""COMPUTED_VALUE"""),22.9)</f>
        <v>22.9</v>
      </c>
      <c r="E1193" s="16">
        <f>IFERROR(__xludf.DUMMYFUNCTION("""COMPUTED_VALUE"""),0.0)</f>
        <v>0</v>
      </c>
      <c r="F1193" s="16">
        <f>IFERROR(__xludf.DUMMYFUNCTION("""COMPUTED_VALUE"""),5.8)</f>
        <v>5.8</v>
      </c>
      <c r="G1193" s="16">
        <f>IFERROR(__xludf.DUMMYFUNCTION("""COMPUTED_VALUE"""),0.0)</f>
        <v>0</v>
      </c>
      <c r="H1193" s="23">
        <f>IFERROR(__xludf.DUMMYFUNCTION("""COMPUTED_VALUE"""),143.79999999999998)</f>
        <v>143.8</v>
      </c>
    </row>
    <row r="1194">
      <c r="A1194" s="16" t="str">
        <f>IFERROR(__xludf.DUMMYFUNCTION("""COMPUTED_VALUE"""),"Риба")</f>
        <v>Риба</v>
      </c>
      <c r="B1194" s="7" t="str">
        <f>IFERROR(__xludf.DUMMYFUNCTION("""COMPUTED_VALUE"""),"Лаврак (сурово състояние)")</f>
        <v>Лаврак (сурово състояние)</v>
      </c>
      <c r="C1194" s="7" t="str">
        <f>IFERROR(__xludf.DUMMYFUNCTION("""COMPUTED_VALUE"""),"100")</f>
        <v>100</v>
      </c>
      <c r="D1194" s="7">
        <f>IFERROR(__xludf.DUMMYFUNCTION("""COMPUTED_VALUE"""),18.0)</f>
        <v>18</v>
      </c>
      <c r="E1194" s="16">
        <f>IFERROR(__xludf.DUMMYFUNCTION("""COMPUTED_VALUE"""),0.0)</f>
        <v>0</v>
      </c>
      <c r="F1194" s="16">
        <f>IFERROR(__xludf.DUMMYFUNCTION("""COMPUTED_VALUE"""),5.0)</f>
        <v>5</v>
      </c>
      <c r="G1194" s="16">
        <f>IFERROR(__xludf.DUMMYFUNCTION("""COMPUTED_VALUE"""),0.0)</f>
        <v>0</v>
      </c>
      <c r="H1194" s="23">
        <f>IFERROR(__xludf.DUMMYFUNCTION("""COMPUTED_VALUE"""),117.0)</f>
        <v>117</v>
      </c>
    </row>
    <row r="1195">
      <c r="A1195" s="16" t="str">
        <f>IFERROR(__xludf.DUMMYFUNCTION("""COMPUTED_VALUE"""),"Риба")</f>
        <v>Риба</v>
      </c>
      <c r="B1195" s="7" t="str">
        <f>IFERROR(__xludf.DUMMYFUNCTION("""COMPUTED_VALUE"""),"Лефер (сурово състояние)")</f>
        <v>Лефер (сурово състояние)</v>
      </c>
      <c r="C1195" s="7">
        <f>IFERROR(__xludf.DUMMYFUNCTION("""COMPUTED_VALUE"""),100.0)</f>
        <v>100</v>
      </c>
      <c r="D1195" s="7">
        <f>IFERROR(__xludf.DUMMYFUNCTION("""COMPUTED_VALUE"""),20.0)</f>
        <v>20</v>
      </c>
      <c r="E1195" s="16">
        <f>IFERROR(__xludf.DUMMYFUNCTION("""COMPUTED_VALUE"""),0.0)</f>
        <v>0</v>
      </c>
      <c r="F1195" s="16">
        <f>IFERROR(__xludf.DUMMYFUNCTION("""COMPUTED_VALUE"""),4.2)</f>
        <v>4.2</v>
      </c>
      <c r="G1195" s="16">
        <f>IFERROR(__xludf.DUMMYFUNCTION("""COMPUTED_VALUE"""),0.0)</f>
        <v>0</v>
      </c>
      <c r="H1195" s="23">
        <f>IFERROR(__xludf.DUMMYFUNCTION("""COMPUTED_VALUE"""),117.80000000000001)</f>
        <v>117.8</v>
      </c>
    </row>
    <row r="1196">
      <c r="A1196" s="16" t="str">
        <f>IFERROR(__xludf.DUMMYFUNCTION("""COMPUTED_VALUE"""),"Риба")</f>
        <v>Риба</v>
      </c>
      <c r="B1196" s="7" t="str">
        <f>IFERROR(__xludf.DUMMYFUNCTION("""COMPUTED_VALUE"""),"Ципура (сурово състояние)")</f>
        <v>Ципура (сурово състояние)</v>
      </c>
      <c r="C1196" s="7" t="str">
        <f>IFERROR(__xludf.DUMMYFUNCTION("""COMPUTED_VALUE"""),"100")</f>
        <v>100</v>
      </c>
      <c r="D1196" s="7">
        <f>IFERROR(__xludf.DUMMYFUNCTION("""COMPUTED_VALUE"""),20.0)</f>
        <v>20</v>
      </c>
      <c r="E1196" s="16">
        <f>IFERROR(__xludf.DUMMYFUNCTION("""COMPUTED_VALUE"""),0.0)</f>
        <v>0</v>
      </c>
      <c r="F1196" s="16">
        <f>IFERROR(__xludf.DUMMYFUNCTION("""COMPUTED_VALUE"""),3.0)</f>
        <v>3</v>
      </c>
      <c r="G1196" s="16">
        <f>IFERROR(__xludf.DUMMYFUNCTION("""COMPUTED_VALUE"""),0.0)</f>
        <v>0</v>
      </c>
      <c r="H1196" s="23">
        <f>IFERROR(__xludf.DUMMYFUNCTION("""COMPUTED_VALUE"""),107.0)</f>
        <v>107</v>
      </c>
    </row>
    <row r="1197">
      <c r="A1197" s="16" t="str">
        <f>IFERROR(__xludf.DUMMYFUNCTION("""COMPUTED_VALUE"""),"Риба")</f>
        <v>Риба</v>
      </c>
      <c r="B1197" s="7" t="str">
        <f>IFERROR(__xludf.DUMMYFUNCTION("""COMPUTED_VALUE"""),"Хек- филе (сурово състояние)")</f>
        <v>Хек- филе (сурово състояние)</v>
      </c>
      <c r="C1197" s="7" t="str">
        <f>IFERROR(__xludf.DUMMYFUNCTION("""COMPUTED_VALUE"""),"100")</f>
        <v>100</v>
      </c>
      <c r="D1197" s="7">
        <f>IFERROR(__xludf.DUMMYFUNCTION("""COMPUTED_VALUE"""),18.0)</f>
        <v>18</v>
      </c>
      <c r="E1197" s="16">
        <f>IFERROR(__xludf.DUMMYFUNCTION("""COMPUTED_VALUE"""),0.0)</f>
        <v>0</v>
      </c>
      <c r="F1197" s="16">
        <f>IFERROR(__xludf.DUMMYFUNCTION("""COMPUTED_VALUE"""),2.0)</f>
        <v>2</v>
      </c>
      <c r="G1197" s="16">
        <f>IFERROR(__xludf.DUMMYFUNCTION("""COMPUTED_VALUE"""),0.0)</f>
        <v>0</v>
      </c>
      <c r="H1197" s="23">
        <f>IFERROR(__xludf.DUMMYFUNCTION("""COMPUTED_VALUE"""),90.0)</f>
        <v>90</v>
      </c>
    </row>
    <row r="1198">
      <c r="A1198" s="16" t="str">
        <f>IFERROR(__xludf.DUMMYFUNCTION("""COMPUTED_VALUE"""),"Риба")</f>
        <v>Риба</v>
      </c>
      <c r="B1198" s="7" t="str">
        <f>IFERROR(__xludf.DUMMYFUNCTION("""COMPUTED_VALUE"""),"Риба тон в собствен сос (консерва)")</f>
        <v>Риба тон в собствен сос (консерва)</v>
      </c>
      <c r="C1198" s="7">
        <f>IFERROR(__xludf.DUMMYFUNCTION("""COMPUTED_VALUE"""),100.0)</f>
        <v>100</v>
      </c>
      <c r="D1198" s="7">
        <f>IFERROR(__xludf.DUMMYFUNCTION("""COMPUTED_VALUE"""),20.0)</f>
        <v>20</v>
      </c>
      <c r="E1198" s="16">
        <f>IFERROR(__xludf.DUMMYFUNCTION("""COMPUTED_VALUE"""),0.0)</f>
        <v>0</v>
      </c>
      <c r="F1198" s="16">
        <f>IFERROR(__xludf.DUMMYFUNCTION("""COMPUTED_VALUE"""),1.0)</f>
        <v>1</v>
      </c>
      <c r="G1198" s="16">
        <f>IFERROR(__xludf.DUMMYFUNCTION("""COMPUTED_VALUE"""),0.0)</f>
        <v>0</v>
      </c>
      <c r="H1198" s="23">
        <f>IFERROR(__xludf.DUMMYFUNCTION("""COMPUTED_VALUE"""),89.0)</f>
        <v>89</v>
      </c>
    </row>
    <row r="1199">
      <c r="A1199" s="16" t="str">
        <f>IFERROR(__xludf.DUMMYFUNCTION("""COMPUTED_VALUE"""),"Риба")</f>
        <v>Риба</v>
      </c>
      <c r="B1199" s="7" t="str">
        <f>IFERROR(__xludf.DUMMYFUNCTION("""COMPUTED_VALUE"""),"Скариди (сурово състояние)")</f>
        <v>Скариди (сурово състояние)</v>
      </c>
      <c r="C1199" s="7" t="str">
        <f>IFERROR(__xludf.DUMMYFUNCTION("""COMPUTED_VALUE"""),"100")</f>
        <v>100</v>
      </c>
      <c r="D1199" s="7">
        <f>IFERROR(__xludf.DUMMYFUNCTION("""COMPUTED_VALUE"""),20.0)</f>
        <v>20</v>
      </c>
      <c r="E1199" s="16">
        <f>IFERROR(__xludf.DUMMYFUNCTION("""COMPUTED_VALUE"""),0.0)</f>
        <v>0</v>
      </c>
      <c r="F1199" s="16">
        <f>IFERROR(__xludf.DUMMYFUNCTION("""COMPUTED_VALUE"""),2.0)</f>
        <v>2</v>
      </c>
      <c r="G1199" s="16">
        <f>IFERROR(__xludf.DUMMYFUNCTION("""COMPUTED_VALUE"""),0.0)</f>
        <v>0</v>
      </c>
      <c r="H1199" s="23">
        <f>IFERROR(__xludf.DUMMYFUNCTION("""COMPUTED_VALUE"""),98.0)</f>
        <v>98</v>
      </c>
    </row>
    <row r="1200">
      <c r="A1200" s="16" t="str">
        <f>IFERROR(__xludf.DUMMYFUNCTION("""COMPUTED_VALUE"""),"Риба")</f>
        <v>Риба</v>
      </c>
      <c r="B1200" s="7" t="str">
        <f>IFERROR(__xludf.DUMMYFUNCTION("""COMPUTED_VALUE"""),"Миди (сурово състояние)")</f>
        <v>Миди (сурово състояние)</v>
      </c>
      <c r="C1200" s="7" t="str">
        <f>IFERROR(__xludf.DUMMYFUNCTION("""COMPUTED_VALUE"""),"100")</f>
        <v>100</v>
      </c>
      <c r="D1200" s="7">
        <f>IFERROR(__xludf.DUMMYFUNCTION("""COMPUTED_VALUE"""),12.0)</f>
        <v>12</v>
      </c>
      <c r="E1200" s="16">
        <f>IFERROR(__xludf.DUMMYFUNCTION("""COMPUTED_VALUE"""),2.5)</f>
        <v>2.5</v>
      </c>
      <c r="F1200" s="16">
        <f>IFERROR(__xludf.DUMMYFUNCTION("""COMPUTED_VALUE"""),1.0)</f>
        <v>1</v>
      </c>
      <c r="G1200" s="16">
        <f>IFERROR(__xludf.DUMMYFUNCTION("""COMPUTED_VALUE"""),0.0)</f>
        <v>0</v>
      </c>
      <c r="H1200" s="23">
        <f>IFERROR(__xludf.DUMMYFUNCTION("""COMPUTED_VALUE"""),67.0)</f>
        <v>67</v>
      </c>
    </row>
    <row r="1201">
      <c r="A1201" s="16" t="str">
        <f>IFERROR(__xludf.DUMMYFUNCTION("""COMPUTED_VALUE"""),"Риба")</f>
        <v>Риба</v>
      </c>
      <c r="B1201" s="7" t="str">
        <f>IFERROR(__xludf.DUMMYFUNCTION("""COMPUTED_VALUE"""),"Риба тон в необработено маслиново масло (консерва)")</f>
        <v>Риба тон в необработено маслиново масло (консерва)</v>
      </c>
      <c r="C1201" s="7">
        <f>IFERROR(__xludf.DUMMYFUNCTION("""COMPUTED_VALUE"""),100.0)</f>
        <v>100</v>
      </c>
      <c r="D1201" s="7">
        <f>IFERROR(__xludf.DUMMYFUNCTION("""COMPUTED_VALUE"""),17.0)</f>
        <v>17</v>
      </c>
      <c r="E1201" s="16">
        <f>IFERROR(__xludf.DUMMYFUNCTION("""COMPUTED_VALUE"""),0.0)</f>
        <v>0</v>
      </c>
      <c r="F1201" s="16">
        <f>IFERROR(__xludf.DUMMYFUNCTION("""COMPUTED_VALUE"""),37.0)</f>
        <v>37</v>
      </c>
      <c r="G1201" s="16">
        <f>IFERROR(__xludf.DUMMYFUNCTION("""COMPUTED_VALUE"""),0.0)</f>
        <v>0</v>
      </c>
      <c r="H1201" s="23">
        <f>IFERROR(__xludf.DUMMYFUNCTION("""COMPUTED_VALUE"""),401.0)</f>
        <v>401</v>
      </c>
    </row>
    <row r="1202">
      <c r="A1202" s="16" t="str">
        <f>IFERROR(__xludf.DUMMYFUNCTION("""COMPUTED_VALUE"""),"Риба")</f>
        <v>Риба</v>
      </c>
      <c r="B1202" s="7" t="str">
        <f>IFERROR(__xludf.DUMMYFUNCTION("""COMPUTED_VALUE"""),"Сьомга пушена (Negro)")</f>
        <v>Сьомга пушена (Negro)</v>
      </c>
      <c r="C1202" s="7">
        <f>IFERROR(__xludf.DUMMYFUNCTION("""COMPUTED_VALUE"""),100.0)</f>
        <v>100</v>
      </c>
      <c r="D1202" s="7">
        <f>IFERROR(__xludf.DUMMYFUNCTION("""COMPUTED_VALUE"""),17.7)</f>
        <v>17.7</v>
      </c>
      <c r="E1202" s="16">
        <f>IFERROR(__xludf.DUMMYFUNCTION("""COMPUTED_VALUE"""),4.0)</f>
        <v>4</v>
      </c>
      <c r="F1202" s="16">
        <f>IFERROR(__xludf.DUMMYFUNCTION("""COMPUTED_VALUE"""),12.2)</f>
        <v>12.2</v>
      </c>
      <c r="G1202" s="16">
        <f>IFERROR(__xludf.DUMMYFUNCTION("""COMPUTED_VALUE"""),0.0)</f>
        <v>0</v>
      </c>
      <c r="H1202" s="23">
        <f>IFERROR(__xludf.DUMMYFUNCTION("""COMPUTED_VALUE"""),196.6)</f>
        <v>196.6</v>
      </c>
    </row>
    <row r="1203">
      <c r="A1203" s="16" t="str">
        <f>IFERROR(__xludf.DUMMYFUNCTION("""COMPUTED_VALUE"""),"Риба")</f>
        <v>Риба</v>
      </c>
      <c r="B1203" s="7" t="str">
        <f>IFERROR(__xludf.DUMMYFUNCTION("""COMPUTED_VALUE"""),"Паламуд (суров)")</f>
        <v>Паламуд (суров)</v>
      </c>
      <c r="C1203" s="7">
        <f>IFERROR(__xludf.DUMMYFUNCTION("""COMPUTED_VALUE"""),100.0)</f>
        <v>100</v>
      </c>
      <c r="D1203" s="7">
        <f>IFERROR(__xludf.DUMMYFUNCTION("""COMPUTED_VALUE"""),20.5)</f>
        <v>20.5</v>
      </c>
      <c r="E1203" s="16">
        <f>IFERROR(__xludf.DUMMYFUNCTION("""COMPUTED_VALUE"""),0.0)</f>
        <v>0</v>
      </c>
      <c r="F1203" s="16">
        <f>IFERROR(__xludf.DUMMYFUNCTION("""COMPUTED_VALUE"""),5.0)</f>
        <v>5</v>
      </c>
      <c r="G1203" s="16">
        <f>IFERROR(__xludf.DUMMYFUNCTION("""COMPUTED_VALUE"""),0.0)</f>
        <v>0</v>
      </c>
      <c r="H1203" s="23">
        <f>IFERROR(__xludf.DUMMYFUNCTION("""COMPUTED_VALUE"""),127.0)</f>
        <v>127</v>
      </c>
    </row>
    <row r="1204">
      <c r="A1204" s="16" t="str">
        <f>IFERROR(__xludf.DUMMYFUNCTION("""COMPUTED_VALUE"""),"Риба")</f>
        <v>Риба</v>
      </c>
      <c r="B1204" s="7" t="str">
        <f>IFERROR(__xludf.DUMMYFUNCTION("""COMPUTED_VALUE"""),"Скариди сурови, Лидал")</f>
        <v>Скариди сурови, Лидал</v>
      </c>
      <c r="C1204" s="7">
        <f>IFERROR(__xludf.DUMMYFUNCTION("""COMPUTED_VALUE"""),100.0)</f>
        <v>100</v>
      </c>
      <c r="D1204" s="7">
        <f>IFERROR(__xludf.DUMMYFUNCTION("""COMPUTED_VALUE"""),15.6)</f>
        <v>15.6</v>
      </c>
      <c r="E1204" s="16">
        <f>IFERROR(__xludf.DUMMYFUNCTION("""COMPUTED_VALUE"""),0.1)</f>
        <v>0.1</v>
      </c>
      <c r="F1204" s="16">
        <f>IFERROR(__xludf.DUMMYFUNCTION("""COMPUTED_VALUE"""),0.2)</f>
        <v>0.2</v>
      </c>
      <c r="G1204" s="16">
        <f>IFERROR(__xludf.DUMMYFUNCTION("""COMPUTED_VALUE"""),0.0)</f>
        <v>0</v>
      </c>
      <c r="H1204" s="23">
        <f>IFERROR(__xludf.DUMMYFUNCTION("""COMPUTED_VALUE"""),64.6)</f>
        <v>64.6</v>
      </c>
    </row>
    <row r="1205">
      <c r="A1205" s="16" t="str">
        <f>IFERROR(__xludf.DUMMYFUNCTION("""COMPUTED_VALUE"""),"Риба")</f>
        <v>Риба</v>
      </c>
      <c r="B1205" s="7" t="str">
        <f>IFERROR(__xludf.DUMMYFUNCTION("""COMPUTED_VALUE"""),"Сьомга филе (готвена, печена)")</f>
        <v>Сьомга филе (готвена, печена)</v>
      </c>
      <c r="C1205" s="7">
        <f>IFERROR(__xludf.DUMMYFUNCTION("""COMPUTED_VALUE"""),100.0)</f>
        <v>100</v>
      </c>
      <c r="D1205" s="7">
        <f>IFERROR(__xludf.DUMMYFUNCTION("""COMPUTED_VALUE"""),25.44)</f>
        <v>25.44</v>
      </c>
      <c r="E1205" s="16">
        <f>IFERROR(__xludf.DUMMYFUNCTION("""COMPUTED_VALUE"""),0.0)</f>
        <v>0</v>
      </c>
      <c r="F1205" s="16">
        <f>IFERROR(__xludf.DUMMYFUNCTION("""COMPUTED_VALUE"""),8.13)</f>
        <v>8.13</v>
      </c>
      <c r="G1205" s="16">
        <f>IFERROR(__xludf.DUMMYFUNCTION("""COMPUTED_VALUE"""),0.0)</f>
        <v>0</v>
      </c>
      <c r="H1205" s="23">
        <f>IFERROR(__xludf.DUMMYFUNCTION("""COMPUTED_VALUE"""),174.93)</f>
        <v>174.93</v>
      </c>
    </row>
    <row r="1206">
      <c r="A1206" s="16" t="str">
        <f>IFERROR(__xludf.DUMMYFUNCTION("""COMPUTED_VALUE"""),"Риба")</f>
        <v>Риба</v>
      </c>
      <c r="B1206" s="7" t="str">
        <f>IFERROR(__xludf.DUMMYFUNCTION("""COMPUTED_VALUE"""),"Риба тон филе - прясно")</f>
        <v>Риба тон филе - прясно</v>
      </c>
      <c r="C1206" s="7">
        <f>IFERROR(__xludf.DUMMYFUNCTION("""COMPUTED_VALUE"""),100.0)</f>
        <v>100</v>
      </c>
      <c r="D1206" s="7">
        <f>IFERROR(__xludf.DUMMYFUNCTION("""COMPUTED_VALUE"""),23.0)</f>
        <v>23</v>
      </c>
      <c r="E1206" s="16">
        <f>IFERROR(__xludf.DUMMYFUNCTION("""COMPUTED_VALUE"""),0.0)</f>
        <v>0</v>
      </c>
      <c r="F1206" s="16">
        <f>IFERROR(__xludf.DUMMYFUNCTION("""COMPUTED_VALUE"""),2.0)</f>
        <v>2</v>
      </c>
      <c r="G1206" s="16">
        <f>IFERROR(__xludf.DUMMYFUNCTION("""COMPUTED_VALUE"""),0.0)</f>
        <v>0</v>
      </c>
      <c r="H1206" s="23">
        <f>IFERROR(__xludf.DUMMYFUNCTION("""COMPUTED_VALUE"""),110.0)</f>
        <v>110</v>
      </c>
    </row>
    <row r="1207">
      <c r="A1207" s="16" t="str">
        <f>IFERROR(__xludf.DUMMYFUNCTION("""COMPUTED_VALUE"""),"Риба")</f>
        <v>Риба</v>
      </c>
      <c r="B1207" s="7" t="str">
        <f>IFERROR(__xludf.DUMMYFUNCTION("""COMPUTED_VALUE"""),"ОКТОПОД LIDL")</f>
        <v>ОКТОПОД LIDL</v>
      </c>
      <c r="C1207" s="7">
        <f>IFERROR(__xludf.DUMMYFUNCTION("""COMPUTED_VALUE"""),100.0)</f>
        <v>100</v>
      </c>
      <c r="D1207" s="7">
        <f>IFERROR(__xludf.DUMMYFUNCTION("""COMPUTED_VALUE"""),9.0)</f>
        <v>9</v>
      </c>
      <c r="E1207" s="16">
        <f>IFERROR(__xludf.DUMMYFUNCTION("""COMPUTED_VALUE"""),1.0)</f>
        <v>1</v>
      </c>
      <c r="F1207" s="16">
        <f>IFERROR(__xludf.DUMMYFUNCTION("""COMPUTED_VALUE"""),0.7)</f>
        <v>0.7</v>
      </c>
      <c r="G1207" s="16">
        <f>IFERROR(__xludf.DUMMYFUNCTION("""COMPUTED_VALUE"""),0.0)</f>
        <v>0</v>
      </c>
      <c r="H1207" s="23">
        <f>IFERROR(__xludf.DUMMYFUNCTION("""COMPUTED_VALUE"""),46.3)</f>
        <v>46.3</v>
      </c>
    </row>
    <row r="1208">
      <c r="A1208" s="16" t="str">
        <f>IFERROR(__xludf.DUMMYFUNCTION("""COMPUTED_VALUE"""),"Риба")</f>
        <v>Риба</v>
      </c>
      <c r="B1208" s="7" t="str">
        <f>IFERROR(__xludf.DUMMYFUNCTION("""COMPUTED_VALUE"""),"Треска (сурова)")</f>
        <v>Треска (сурова)</v>
      </c>
      <c r="C1208" s="7">
        <f>IFERROR(__xludf.DUMMYFUNCTION("""COMPUTED_VALUE"""),100.0)</f>
        <v>100</v>
      </c>
      <c r="D1208" s="7">
        <f>IFERROR(__xludf.DUMMYFUNCTION("""COMPUTED_VALUE"""),18.0)</f>
        <v>18</v>
      </c>
      <c r="E1208" s="16">
        <f>IFERROR(__xludf.DUMMYFUNCTION("""COMPUTED_VALUE"""),0.0)</f>
        <v>0</v>
      </c>
      <c r="F1208" s="16">
        <f>IFERROR(__xludf.DUMMYFUNCTION("""COMPUTED_VALUE"""),0.7)</f>
        <v>0.7</v>
      </c>
      <c r="G1208" s="16">
        <f>IFERROR(__xludf.DUMMYFUNCTION("""COMPUTED_VALUE"""),0.0)</f>
        <v>0</v>
      </c>
      <c r="H1208" s="23">
        <f>IFERROR(__xludf.DUMMYFUNCTION("""COMPUTED_VALUE"""),78.3)</f>
        <v>78.3</v>
      </c>
    </row>
    <row r="1209">
      <c r="A1209" s="16" t="str">
        <f>IFERROR(__xludf.DUMMYFUNCTION("""COMPUTED_VALUE"""),"Риба")</f>
        <v>Риба</v>
      </c>
      <c r="B1209" s="7" t="str">
        <f>IFERROR(__xludf.DUMMYFUNCTION("""COMPUTED_VALUE"""),"Скумрия котлет рибна закуска (консерва)")</f>
        <v>Скумрия котлет рибна закуска (консерва)</v>
      </c>
      <c r="C1209" s="7">
        <f>IFERROR(__xludf.DUMMYFUNCTION("""COMPUTED_VALUE"""),100.0)</f>
        <v>100</v>
      </c>
      <c r="D1209" s="7">
        <f>IFERROR(__xludf.DUMMYFUNCTION("""COMPUTED_VALUE"""),13.0)</f>
        <v>13</v>
      </c>
      <c r="E1209" s="16">
        <f>IFERROR(__xludf.DUMMYFUNCTION("""COMPUTED_VALUE"""),1.7)</f>
        <v>1.7</v>
      </c>
      <c r="F1209" s="16">
        <f>IFERROR(__xludf.DUMMYFUNCTION("""COMPUTED_VALUE"""),1.1)</f>
        <v>1.1</v>
      </c>
      <c r="G1209" s="16">
        <f>IFERROR(__xludf.DUMMYFUNCTION("""COMPUTED_VALUE"""),0.0)</f>
        <v>0</v>
      </c>
      <c r="H1209" s="23">
        <f>IFERROR(__xludf.DUMMYFUNCTION("""COMPUTED_VALUE"""),68.7)</f>
        <v>68.7</v>
      </c>
    </row>
    <row r="1210">
      <c r="A1210" s="16" t="str">
        <f>IFERROR(__xludf.DUMMYFUNCTION("""COMPUTED_VALUE"""),"Риба")</f>
        <v>Риба</v>
      </c>
      <c r="B1210" s="7" t="str">
        <f>IFERROR(__xludf.DUMMYFUNCTION("""COMPUTED_VALUE"""),"Калмари (сурови)")</f>
        <v>Калмари (сурови)</v>
      </c>
      <c r="C1210" s="7">
        <f>IFERROR(__xludf.DUMMYFUNCTION("""COMPUTED_VALUE"""),100.0)</f>
        <v>100</v>
      </c>
      <c r="D1210" s="7">
        <f>IFERROR(__xludf.DUMMYFUNCTION("""COMPUTED_VALUE"""),15.0)</f>
        <v>15</v>
      </c>
      <c r="E1210" s="16">
        <f>IFERROR(__xludf.DUMMYFUNCTION("""COMPUTED_VALUE"""),1.0)</f>
        <v>1</v>
      </c>
      <c r="F1210" s="16">
        <f>IFERROR(__xludf.DUMMYFUNCTION("""COMPUTED_VALUE"""),3.0)</f>
        <v>3</v>
      </c>
      <c r="G1210" s="16">
        <f>IFERROR(__xludf.DUMMYFUNCTION("""COMPUTED_VALUE"""),0.0)</f>
        <v>0</v>
      </c>
      <c r="H1210" s="23">
        <f>IFERROR(__xludf.DUMMYFUNCTION("""COMPUTED_VALUE"""),91.0)</f>
        <v>91</v>
      </c>
    </row>
    <row r="1211">
      <c r="A1211" s="16" t="str">
        <f>IFERROR(__xludf.DUMMYFUNCTION("""COMPUTED_VALUE"""),"Риба")</f>
        <v>Риба</v>
      </c>
      <c r="B1211" s="7" t="str">
        <f>IFERROR(__xludf.DUMMYFUNCTION("""COMPUTED_VALUE"""),"Риба тон с растително масло RioMare (консерва)")</f>
        <v>Риба тон с растително масло RioMare (консерва)</v>
      </c>
      <c r="C1211" s="7">
        <f>IFERROR(__xludf.DUMMYFUNCTION("""COMPUTED_VALUE"""),100.0)</f>
        <v>100</v>
      </c>
      <c r="D1211" s="7">
        <f>IFERROR(__xludf.DUMMYFUNCTION("""COMPUTED_VALUE"""),17.0)</f>
        <v>17</v>
      </c>
      <c r="E1211" s="16">
        <f>IFERROR(__xludf.DUMMYFUNCTION("""COMPUTED_VALUE"""),0.0)</f>
        <v>0</v>
      </c>
      <c r="F1211" s="16">
        <f>IFERROR(__xludf.DUMMYFUNCTION("""COMPUTED_VALUE"""),37.0)</f>
        <v>37</v>
      </c>
      <c r="G1211" s="16">
        <f>IFERROR(__xludf.DUMMYFUNCTION("""COMPUTED_VALUE"""),0.0)</f>
        <v>0</v>
      </c>
      <c r="H1211" s="23">
        <f>IFERROR(__xludf.DUMMYFUNCTION("""COMPUTED_VALUE"""),401.0)</f>
        <v>401</v>
      </c>
    </row>
    <row r="1212">
      <c r="A1212" s="16" t="str">
        <f>IFERROR(__xludf.DUMMYFUNCTION("""COMPUTED_VALUE"""),"Риба")</f>
        <v>Риба</v>
      </c>
      <c r="B1212" s="7" t="str">
        <f>IFERROR(__xludf.DUMMYFUNCTION("""COMPUTED_VALUE"""),"Миди (замразени от ЛИДЛ)")</f>
        <v>Миди (замразени от ЛИДЛ)</v>
      </c>
      <c r="C1212" s="7">
        <f>IFERROR(__xludf.DUMMYFUNCTION("""COMPUTED_VALUE"""),100.0)</f>
        <v>100</v>
      </c>
      <c r="D1212" s="7">
        <f>IFERROR(__xludf.DUMMYFUNCTION("""COMPUTED_VALUE"""),20.5)</f>
        <v>20.5</v>
      </c>
      <c r="E1212" s="16">
        <f>IFERROR(__xludf.DUMMYFUNCTION("""COMPUTED_VALUE"""),0.5)</f>
        <v>0.5</v>
      </c>
      <c r="F1212" s="16">
        <f>IFERROR(__xludf.DUMMYFUNCTION("""COMPUTED_VALUE"""),4.3)</f>
        <v>4.3</v>
      </c>
      <c r="G1212" s="16">
        <f>IFERROR(__xludf.DUMMYFUNCTION("""COMPUTED_VALUE"""),0.0)</f>
        <v>0</v>
      </c>
      <c r="H1212" s="23">
        <f>IFERROR(__xludf.DUMMYFUNCTION("""COMPUTED_VALUE"""),122.69999999999999)</f>
        <v>122.7</v>
      </c>
    </row>
    <row r="1213">
      <c r="A1213" s="16" t="str">
        <f>IFERROR(__xludf.DUMMYFUNCTION("""COMPUTED_VALUE"""),"Риба")</f>
        <v>Риба</v>
      </c>
      <c r="B1213" s="7" t="str">
        <f>IFERROR(__xludf.DUMMYFUNCTION("""COMPUTED_VALUE"""),"Скариди (raw &amp; peeled - LIDL)")</f>
        <v>Скариди (raw &amp; peeled - LIDL)</v>
      </c>
      <c r="C1213" s="7">
        <f>IFERROR(__xludf.DUMMYFUNCTION("""COMPUTED_VALUE"""),100.0)</f>
        <v>100</v>
      </c>
      <c r="D1213" s="7">
        <f>IFERROR(__xludf.DUMMYFUNCTION("""COMPUTED_VALUE"""),10.2)</f>
        <v>10.2</v>
      </c>
      <c r="E1213" s="16">
        <f>IFERROR(__xludf.DUMMYFUNCTION("""COMPUTED_VALUE"""),0.1)</f>
        <v>0.1</v>
      </c>
      <c r="F1213" s="16">
        <f>IFERROR(__xludf.DUMMYFUNCTION("""COMPUTED_VALUE"""),0.5)</f>
        <v>0.5</v>
      </c>
      <c r="G1213" s="16">
        <f>IFERROR(__xludf.DUMMYFUNCTION("""COMPUTED_VALUE"""),0.0)</f>
        <v>0</v>
      </c>
      <c r="H1213" s="23">
        <f>IFERROR(__xludf.DUMMYFUNCTION("""COMPUTED_VALUE"""),45.699999999999996)</f>
        <v>45.7</v>
      </c>
    </row>
    <row r="1214">
      <c r="A1214" s="16" t="str">
        <f>IFERROR(__xludf.DUMMYFUNCTION("""COMPUTED_VALUE"""),"Риба")</f>
        <v>Риба</v>
      </c>
      <c r="B1214" s="7" t="str">
        <f>IFERROR(__xludf.DUMMYFUNCTION("""COMPUTED_VALUE"""),"Пушена Сьомга ASDA")</f>
        <v>Пушена Сьомга ASDA</v>
      </c>
      <c r="C1214" s="7">
        <f>IFERROR(__xludf.DUMMYFUNCTION("""COMPUTED_VALUE"""),100.0)</f>
        <v>100</v>
      </c>
      <c r="D1214" s="7">
        <f>IFERROR(__xludf.DUMMYFUNCTION("""COMPUTED_VALUE"""),23.0)</f>
        <v>23</v>
      </c>
      <c r="E1214" s="16">
        <f>IFERROR(__xludf.DUMMYFUNCTION("""COMPUTED_VALUE"""),0.6)</f>
        <v>0.6</v>
      </c>
      <c r="F1214" s="16">
        <f>IFERROR(__xludf.DUMMYFUNCTION("""COMPUTED_VALUE"""),7.5)</f>
        <v>7.5</v>
      </c>
      <c r="G1214" s="16">
        <f>IFERROR(__xludf.DUMMYFUNCTION("""COMPUTED_VALUE"""),0.6)</f>
        <v>0.6</v>
      </c>
      <c r="H1214" s="23">
        <f>IFERROR(__xludf.DUMMYFUNCTION("""COMPUTED_VALUE"""),161.9)</f>
        <v>161.9</v>
      </c>
    </row>
    <row r="1215">
      <c r="A1215" s="16" t="str">
        <f>IFERROR(__xludf.DUMMYFUNCTION("""COMPUTED_VALUE"""),"Риба")</f>
        <v>Риба</v>
      </c>
      <c r="B1215" s="7" t="str">
        <f>IFERROR(__xludf.DUMMYFUNCTION("""COMPUTED_VALUE"""),"Морски костур, Суров")</f>
        <v>Морски костур, Суров</v>
      </c>
      <c r="C1215" s="7">
        <f>IFERROR(__xludf.DUMMYFUNCTION("""COMPUTED_VALUE"""),100.0)</f>
        <v>100</v>
      </c>
      <c r="D1215" s="7">
        <f>IFERROR(__xludf.DUMMYFUNCTION("""COMPUTED_VALUE"""),18.43)</f>
        <v>18.43</v>
      </c>
      <c r="E1215" s="16">
        <f>IFERROR(__xludf.DUMMYFUNCTION("""COMPUTED_VALUE"""),0.0)</f>
        <v>0</v>
      </c>
      <c r="F1215" s="16">
        <f>IFERROR(__xludf.DUMMYFUNCTION("""COMPUTED_VALUE"""),2.0)</f>
        <v>2</v>
      </c>
      <c r="G1215" s="16">
        <f>IFERROR(__xludf.DUMMYFUNCTION("""COMPUTED_VALUE"""),0.0)</f>
        <v>0</v>
      </c>
      <c r="H1215" s="23">
        <f>IFERROR(__xludf.DUMMYFUNCTION("""COMPUTED_VALUE"""),91.72)</f>
        <v>91.72</v>
      </c>
    </row>
    <row r="1216">
      <c r="A1216" s="16" t="str">
        <f>IFERROR(__xludf.DUMMYFUNCTION("""COMPUTED_VALUE"""),"Риба")</f>
        <v>Риба</v>
      </c>
      <c r="B1216" s="7" t="str">
        <f>IFERROR(__xludf.DUMMYFUNCTION("""COMPUTED_VALUE"""),"Варненска перла, маринована")</f>
        <v>Варненска перла, маринована</v>
      </c>
      <c r="C1216" s="7">
        <f>IFERROR(__xludf.DUMMYFUNCTION("""COMPUTED_VALUE"""),100.0)</f>
        <v>100</v>
      </c>
      <c r="D1216" s="7">
        <f>IFERROR(__xludf.DUMMYFUNCTION("""COMPUTED_VALUE"""),11.0)</f>
        <v>11</v>
      </c>
      <c r="E1216" s="16">
        <f>IFERROR(__xludf.DUMMYFUNCTION("""COMPUTED_VALUE"""),1.8)</f>
        <v>1.8</v>
      </c>
      <c r="F1216" s="16">
        <f>IFERROR(__xludf.DUMMYFUNCTION("""COMPUTED_VALUE"""),33.0)</f>
        <v>33</v>
      </c>
      <c r="G1216" s="16">
        <f>IFERROR(__xludf.DUMMYFUNCTION("""COMPUTED_VALUE"""),0.0)</f>
        <v>0</v>
      </c>
      <c r="H1216" s="23">
        <f>IFERROR(__xludf.DUMMYFUNCTION("""COMPUTED_VALUE"""),348.2)</f>
        <v>348.2</v>
      </c>
    </row>
    <row r="1217">
      <c r="A1217" s="16" t="str">
        <f>IFERROR(__xludf.DUMMYFUNCTION("""COMPUTED_VALUE"""),"Риба")</f>
        <v>Риба</v>
      </c>
      <c r="B1217" s="7" t="str">
        <f>IFERROR(__xludf.DUMMYFUNCTION("""COMPUTED_VALUE"""),"Средиземноморска салата Nixe")</f>
        <v>Средиземноморска салата Nixe</v>
      </c>
      <c r="C1217" s="7">
        <f>IFERROR(__xludf.DUMMYFUNCTION("""COMPUTED_VALUE"""),100.0)</f>
        <v>100</v>
      </c>
      <c r="D1217" s="7">
        <f>IFERROR(__xludf.DUMMYFUNCTION("""COMPUTED_VALUE"""),9.9)</f>
        <v>9.9</v>
      </c>
      <c r="E1217" s="16">
        <f>IFERROR(__xludf.DUMMYFUNCTION("""COMPUTED_VALUE"""),11.9)</f>
        <v>11.9</v>
      </c>
      <c r="F1217" s="16">
        <f>IFERROR(__xludf.DUMMYFUNCTION("""COMPUTED_VALUE"""),2.4)</f>
        <v>2.4</v>
      </c>
      <c r="G1217" s="16">
        <f>IFERROR(__xludf.DUMMYFUNCTION("""COMPUTED_VALUE"""),0.0)</f>
        <v>0</v>
      </c>
      <c r="H1217" s="23">
        <f>IFERROR(__xludf.DUMMYFUNCTION("""COMPUTED_VALUE"""),108.8)</f>
        <v>108.8</v>
      </c>
    </row>
    <row r="1218">
      <c r="A1218" s="16" t="str">
        <f>IFERROR(__xludf.DUMMYFUNCTION("""COMPUTED_VALUE"""),"Риба")</f>
        <v>Риба</v>
      </c>
      <c r="B1218" s="7" t="str">
        <f>IFERROR(__xludf.DUMMYFUNCTION("""COMPUTED_VALUE"""),"Филе бяла риба ASDA")</f>
        <v>Филе бяла риба ASDA</v>
      </c>
      <c r="C1218" s="7">
        <f>IFERROR(__xludf.DUMMYFUNCTION("""COMPUTED_VALUE"""),100.0)</f>
        <v>100</v>
      </c>
      <c r="D1218" s="7">
        <f>IFERROR(__xludf.DUMMYFUNCTION("""COMPUTED_VALUE"""),22.0)</f>
        <v>22</v>
      </c>
      <c r="E1218" s="16">
        <f>IFERROR(__xludf.DUMMYFUNCTION("""COMPUTED_VALUE"""),0.5)</f>
        <v>0.5</v>
      </c>
      <c r="F1218" s="16">
        <f>IFERROR(__xludf.DUMMYFUNCTION("""COMPUTED_VALUE"""),1.6)</f>
        <v>1.6</v>
      </c>
      <c r="G1218" s="16">
        <f>IFERROR(__xludf.DUMMYFUNCTION("""COMPUTED_VALUE"""),0.5)</f>
        <v>0.5</v>
      </c>
      <c r="H1218" s="23">
        <f>IFERROR(__xludf.DUMMYFUNCTION("""COMPUTED_VALUE"""),104.4)</f>
        <v>104.4</v>
      </c>
    </row>
    <row r="1219">
      <c r="A1219" s="16" t="str">
        <f>IFERROR(__xludf.DUMMYFUNCTION("""COMPUTED_VALUE"""),"Риба")</f>
        <v>Риба</v>
      </c>
      <c r="B1219" s="7" t="str">
        <f>IFERROR(__xludf.DUMMYFUNCTION("""COMPUTED_VALUE"""),"Шаран (суров)")</f>
        <v>Шаран (суров)</v>
      </c>
      <c r="C1219" s="7">
        <f>IFERROR(__xludf.DUMMYFUNCTION("""COMPUTED_VALUE"""),100.0)</f>
        <v>100</v>
      </c>
      <c r="D1219" s="7">
        <f>IFERROR(__xludf.DUMMYFUNCTION("""COMPUTED_VALUE"""),17.8)</f>
        <v>17.8</v>
      </c>
      <c r="E1219" s="16">
        <f>IFERROR(__xludf.DUMMYFUNCTION("""COMPUTED_VALUE"""),0.0)</f>
        <v>0</v>
      </c>
      <c r="F1219" s="16">
        <f>IFERROR(__xludf.DUMMYFUNCTION("""COMPUTED_VALUE"""),5.6)</f>
        <v>5.6</v>
      </c>
      <c r="G1219" s="16">
        <f>IFERROR(__xludf.DUMMYFUNCTION("""COMPUTED_VALUE"""),0.0)</f>
        <v>0</v>
      </c>
      <c r="H1219" s="23">
        <f>IFERROR(__xludf.DUMMYFUNCTION("""COMPUTED_VALUE"""),121.6)</f>
        <v>121.6</v>
      </c>
    </row>
    <row r="1220">
      <c r="A1220" s="16" t="str">
        <f>IFERROR(__xludf.DUMMYFUNCTION("""COMPUTED_VALUE"""),"Риба")</f>
        <v>Риба</v>
      </c>
      <c r="B1220" s="7" t="str">
        <f>IFERROR(__xludf.DUMMYFUNCTION("""COMPUTED_VALUE"""),"Шаран (пържен)")</f>
        <v>Шаран (пържен)</v>
      </c>
      <c r="C1220" s="7">
        <f>IFERROR(__xludf.DUMMYFUNCTION("""COMPUTED_VALUE"""),100.0)</f>
        <v>100</v>
      </c>
      <c r="D1220" s="7">
        <f>IFERROR(__xludf.DUMMYFUNCTION("""COMPUTED_VALUE"""),17.8)</f>
        <v>17.8</v>
      </c>
      <c r="E1220" s="16">
        <f>IFERROR(__xludf.DUMMYFUNCTION("""COMPUTED_VALUE"""),3.6)</f>
        <v>3.6</v>
      </c>
      <c r="F1220" s="16">
        <f>IFERROR(__xludf.DUMMYFUNCTION("""COMPUTED_VALUE"""),11.0)</f>
        <v>11</v>
      </c>
      <c r="G1220" s="16">
        <f>IFERROR(__xludf.DUMMYFUNCTION("""COMPUTED_VALUE"""),0.0)</f>
        <v>0</v>
      </c>
      <c r="H1220" s="23">
        <f>IFERROR(__xludf.DUMMYFUNCTION("""COMPUTED_VALUE"""),184.60000000000002)</f>
        <v>184.6</v>
      </c>
    </row>
    <row r="1221">
      <c r="A1221" s="16" t="str">
        <f>IFERROR(__xludf.DUMMYFUNCTION("""COMPUTED_VALUE"""),"Риба")</f>
        <v>Риба</v>
      </c>
      <c r="B1221" s="7" t="str">
        <f>IFERROR(__xludf.DUMMYFUNCTION("""COMPUTED_VALUE"""),"Миди в собствен сос Pescado")</f>
        <v>Миди в собствен сос Pescado</v>
      </c>
      <c r="C1221" s="7">
        <f>IFERROR(__xludf.DUMMYFUNCTION("""COMPUTED_VALUE"""),100.0)</f>
        <v>100</v>
      </c>
      <c r="D1221" s="7">
        <f>IFERROR(__xludf.DUMMYFUNCTION("""COMPUTED_VALUE"""),17.0)</f>
        <v>17</v>
      </c>
      <c r="E1221" s="16">
        <f>IFERROR(__xludf.DUMMYFUNCTION("""COMPUTED_VALUE"""),2.0)</f>
        <v>2</v>
      </c>
      <c r="F1221" s="16">
        <f>IFERROR(__xludf.DUMMYFUNCTION("""COMPUTED_VALUE"""),3.0)</f>
        <v>3</v>
      </c>
      <c r="G1221" s="16">
        <f>IFERROR(__xludf.DUMMYFUNCTION("""COMPUTED_VALUE"""),0.0)</f>
        <v>0</v>
      </c>
      <c r="H1221" s="23">
        <f>IFERROR(__xludf.DUMMYFUNCTION("""COMPUTED_VALUE"""),103.0)</f>
        <v>103</v>
      </c>
    </row>
    <row r="1222">
      <c r="A1222" s="16" t="str">
        <f>IFERROR(__xludf.DUMMYFUNCTION("""COMPUTED_VALUE"""),"Риба")</f>
        <v>Риба</v>
      </c>
      <c r="B1222" s="7" t="str">
        <f>IFERROR(__xludf.DUMMYFUNCTION("""COMPUTED_VALUE"""),"Микс от моркси дарове (сурови)")</f>
        <v>Микс от моркси дарове (сурови)</v>
      </c>
      <c r="C1222" s="7">
        <f>IFERROR(__xludf.DUMMYFUNCTION("""COMPUTED_VALUE"""),100.0)</f>
        <v>100</v>
      </c>
      <c r="D1222" s="7">
        <f>IFERROR(__xludf.DUMMYFUNCTION("""COMPUTED_VALUE"""),12.3)</f>
        <v>12.3</v>
      </c>
      <c r="E1222" s="16">
        <f>IFERROR(__xludf.DUMMYFUNCTION("""COMPUTED_VALUE"""),2.4)</f>
        <v>2.4</v>
      </c>
      <c r="F1222" s="16">
        <f>IFERROR(__xludf.DUMMYFUNCTION("""COMPUTED_VALUE"""),1.2)</f>
        <v>1.2</v>
      </c>
      <c r="G1222" s="16">
        <f>IFERROR(__xludf.DUMMYFUNCTION("""COMPUTED_VALUE"""),0.0)</f>
        <v>0</v>
      </c>
      <c r="H1222" s="23">
        <f>IFERROR(__xludf.DUMMYFUNCTION("""COMPUTED_VALUE"""),69.60000000000001)</f>
        <v>69.6</v>
      </c>
    </row>
    <row r="1223">
      <c r="A1223" s="16" t="str">
        <f>IFERROR(__xludf.DUMMYFUNCTION("""COMPUTED_VALUE"""),"Риба")</f>
        <v>Риба</v>
      </c>
      <c r="B1223" s="7" t="str">
        <f>IFERROR(__xludf.DUMMYFUNCTION("""COMPUTED_VALUE"""),"Скариди (варени)")</f>
        <v>Скариди (варени)</v>
      </c>
      <c r="C1223" s="7">
        <f>IFERROR(__xludf.DUMMYFUNCTION("""COMPUTED_VALUE"""),100.0)</f>
        <v>100</v>
      </c>
      <c r="D1223" s="7">
        <f>IFERROR(__xludf.DUMMYFUNCTION("""COMPUTED_VALUE"""),18.9)</f>
        <v>18.9</v>
      </c>
      <c r="E1223" s="16">
        <f>IFERROR(__xludf.DUMMYFUNCTION("""COMPUTED_VALUE"""),0.0)</f>
        <v>0</v>
      </c>
      <c r="F1223" s="16">
        <f>IFERROR(__xludf.DUMMYFUNCTION("""COMPUTED_VALUE"""),2.2)</f>
        <v>2.2</v>
      </c>
      <c r="G1223" s="16">
        <f>IFERROR(__xludf.DUMMYFUNCTION("""COMPUTED_VALUE"""),0.0)</f>
        <v>0</v>
      </c>
      <c r="H1223" s="23">
        <f>IFERROR(__xludf.DUMMYFUNCTION("""COMPUTED_VALUE"""),95.39999999999999)</f>
        <v>95.4</v>
      </c>
    </row>
    <row r="1224">
      <c r="A1224" s="16" t="str">
        <f>IFERROR(__xludf.DUMMYFUNCTION("""COMPUTED_VALUE"""),"Риба")</f>
        <v>Риба</v>
      </c>
      <c r="B1224" s="7" t="str">
        <f>IFERROR(__xludf.DUMMYFUNCTION("""COMPUTED_VALUE"""),"Филе от тихоокеанска сьомга, пушено (Lidl)")</f>
        <v>Филе от тихоокеанска сьомга, пушено (Lidl)</v>
      </c>
      <c r="C1224" s="7">
        <f>IFERROR(__xludf.DUMMYFUNCTION("""COMPUTED_VALUE"""),100.0)</f>
        <v>100</v>
      </c>
      <c r="D1224" s="7">
        <f>IFERROR(__xludf.DUMMYFUNCTION("""COMPUTED_VALUE"""),22.27)</f>
        <v>22.27</v>
      </c>
      <c r="E1224" s="16">
        <f>IFERROR(__xludf.DUMMYFUNCTION("""COMPUTED_VALUE"""),0.0)</f>
        <v>0</v>
      </c>
      <c r="F1224" s="16">
        <f>IFERROR(__xludf.DUMMYFUNCTION("""COMPUTED_VALUE"""),14.29)</f>
        <v>14.29</v>
      </c>
      <c r="G1224" s="16">
        <f>IFERROR(__xludf.DUMMYFUNCTION("""COMPUTED_VALUE"""),0.0)</f>
        <v>0</v>
      </c>
      <c r="H1224" s="23">
        <f>IFERROR(__xludf.DUMMYFUNCTION("""COMPUTED_VALUE"""),217.69)</f>
        <v>217.69</v>
      </c>
    </row>
    <row r="1225">
      <c r="A1225" s="16" t="str">
        <f>IFERROR(__xludf.DUMMYFUNCTION("""COMPUTED_VALUE"""),"Риба")</f>
        <v>Риба</v>
      </c>
      <c r="B1225" s="7" t="str">
        <f>IFERROR(__xludf.DUMMYFUNCTION("""COMPUTED_VALUE"""),"Шаран с доматен сос, плакия на фурна")</f>
        <v>Шаран с доматен сос, плакия на фурна</v>
      </c>
      <c r="C1225" s="7">
        <f>IFERROR(__xludf.DUMMYFUNCTION("""COMPUTED_VALUE"""),100.0)</f>
        <v>100</v>
      </c>
      <c r="D1225" s="7">
        <f>IFERROR(__xludf.DUMMYFUNCTION("""COMPUTED_VALUE"""),10.0)</f>
        <v>10</v>
      </c>
      <c r="E1225" s="16">
        <f>IFERROR(__xludf.DUMMYFUNCTION("""COMPUTED_VALUE"""),4.6)</f>
        <v>4.6</v>
      </c>
      <c r="F1225" s="16">
        <f>IFERROR(__xludf.DUMMYFUNCTION("""COMPUTED_VALUE"""),6.0)</f>
        <v>6</v>
      </c>
      <c r="G1225" s="16">
        <f>IFERROR(__xludf.DUMMYFUNCTION("""COMPUTED_VALUE"""),0.0)</f>
        <v>0</v>
      </c>
      <c r="H1225" s="23">
        <f>IFERROR(__xludf.DUMMYFUNCTION("""COMPUTED_VALUE"""),112.4)</f>
        <v>112.4</v>
      </c>
    </row>
    <row r="1226">
      <c r="A1226" s="16" t="str">
        <f>IFERROR(__xludf.DUMMYFUNCTION("""COMPUTED_VALUE"""),"Риба")</f>
        <v>Риба</v>
      </c>
      <c r="B1226" s="7" t="str">
        <f>IFERROR(__xludf.DUMMYFUNCTION("""COMPUTED_VALUE"""),"Тилапия (сготвено състояние/печена)")</f>
        <v>Тилапия (сготвено състояние/печена)</v>
      </c>
      <c r="C1226" s="7">
        <f>IFERROR(__xludf.DUMMYFUNCTION("""COMPUTED_VALUE"""),100.0)</f>
        <v>100</v>
      </c>
      <c r="D1226" s="7">
        <f>IFERROR(__xludf.DUMMYFUNCTION("""COMPUTED_VALUE"""),26.15)</f>
        <v>26.15</v>
      </c>
      <c r="E1226" s="16">
        <f>IFERROR(__xludf.DUMMYFUNCTION("""COMPUTED_VALUE"""),0.0)</f>
        <v>0</v>
      </c>
      <c r="F1226" s="16">
        <f>IFERROR(__xludf.DUMMYFUNCTION("""COMPUTED_VALUE"""),2.65)</f>
        <v>2.65</v>
      </c>
      <c r="G1226" s="16">
        <f>IFERROR(__xludf.DUMMYFUNCTION("""COMPUTED_VALUE"""),0.0)</f>
        <v>0</v>
      </c>
      <c r="H1226" s="23">
        <f>IFERROR(__xludf.DUMMYFUNCTION("""COMPUTED_VALUE"""),128.45)</f>
        <v>128.45</v>
      </c>
    </row>
    <row r="1227">
      <c r="A1227" s="16" t="str">
        <f>IFERROR(__xludf.DUMMYFUNCTION("""COMPUTED_VALUE"""),"Риба")</f>
        <v>Риба</v>
      </c>
      <c r="B1227" s="7" t="str">
        <f>IFERROR(__xludf.DUMMYFUNCTION("""COMPUTED_VALUE"""),"Херинга сурова (сурова)")</f>
        <v>Херинга сурова (сурова)</v>
      </c>
      <c r="C1227" s="7">
        <f>IFERROR(__xludf.DUMMYFUNCTION("""COMPUTED_VALUE"""),100.0)</f>
        <v>100</v>
      </c>
      <c r="D1227" s="7">
        <f>IFERROR(__xludf.DUMMYFUNCTION("""COMPUTED_VALUE"""),17.96)</f>
        <v>17.96</v>
      </c>
      <c r="E1227" s="16">
        <f>IFERROR(__xludf.DUMMYFUNCTION("""COMPUTED_VALUE"""),0.0)</f>
        <v>0</v>
      </c>
      <c r="F1227" s="16">
        <f>IFERROR(__xludf.DUMMYFUNCTION("""COMPUTED_VALUE"""),9.04)</f>
        <v>9.04</v>
      </c>
      <c r="G1227" s="16">
        <f>IFERROR(__xludf.DUMMYFUNCTION("""COMPUTED_VALUE"""),0.0)</f>
        <v>0</v>
      </c>
      <c r="H1227" s="23">
        <f>IFERROR(__xludf.DUMMYFUNCTION("""COMPUTED_VALUE"""),153.2)</f>
        <v>153.2</v>
      </c>
    </row>
    <row r="1228">
      <c r="A1228" s="16" t="str">
        <f>IFERROR(__xludf.DUMMYFUNCTION("""COMPUTED_VALUE"""),"Риба")</f>
        <v>Риба</v>
      </c>
      <c r="B1228" s="7" t="str">
        <f>IFERROR(__xludf.DUMMYFUNCTION("""COMPUTED_VALUE"""),"Сафрид (пържен)")</f>
        <v>Сафрид (пържен)</v>
      </c>
      <c r="C1228" s="7">
        <f>IFERROR(__xludf.DUMMYFUNCTION("""COMPUTED_VALUE"""),100.0)</f>
        <v>100</v>
      </c>
      <c r="D1228" s="7">
        <f>IFERROR(__xludf.DUMMYFUNCTION("""COMPUTED_VALUE"""),20.3)</f>
        <v>20.3</v>
      </c>
      <c r="E1228" s="16">
        <f>IFERROR(__xludf.DUMMYFUNCTION("""COMPUTED_VALUE"""),3.7)</f>
        <v>3.7</v>
      </c>
      <c r="F1228" s="16">
        <f>IFERROR(__xludf.DUMMYFUNCTION("""COMPUTED_VALUE"""),10.5)</f>
        <v>10.5</v>
      </c>
      <c r="G1228" s="16">
        <f>IFERROR(__xludf.DUMMYFUNCTION("""COMPUTED_VALUE"""),0.0)</f>
        <v>0</v>
      </c>
      <c r="H1228" s="23">
        <f>IFERROR(__xludf.DUMMYFUNCTION("""COMPUTED_VALUE"""),190.5)</f>
        <v>190.5</v>
      </c>
    </row>
    <row r="1229">
      <c r="A1229" s="16" t="str">
        <f>IFERROR(__xludf.DUMMYFUNCTION("""COMPUTED_VALUE"""),"Риба")</f>
        <v>Риба</v>
      </c>
      <c r="B1229" s="7" t="str">
        <f>IFERROR(__xludf.DUMMYFUNCTION("""COMPUTED_VALUE"""),"Чернокоп/Лефер (на скара)")</f>
        <v>Чернокоп/Лефер (на скара)</v>
      </c>
      <c r="C1229" s="7">
        <f>IFERROR(__xludf.DUMMYFUNCTION("""COMPUTED_VALUE"""),100.0)</f>
        <v>100</v>
      </c>
      <c r="D1229" s="7">
        <f>IFERROR(__xludf.DUMMYFUNCTION("""COMPUTED_VALUE"""),25.69)</f>
        <v>25.69</v>
      </c>
      <c r="E1229" s="16">
        <f>IFERROR(__xludf.DUMMYFUNCTION("""COMPUTED_VALUE"""),0.0)</f>
        <v>0</v>
      </c>
      <c r="F1229" s="16">
        <f>IFERROR(__xludf.DUMMYFUNCTION("""COMPUTED_VALUE"""),5.44)</f>
        <v>5.44</v>
      </c>
      <c r="G1229" s="16">
        <f>IFERROR(__xludf.DUMMYFUNCTION("""COMPUTED_VALUE"""),0.0)</f>
        <v>0</v>
      </c>
      <c r="H1229" s="23">
        <f>IFERROR(__xludf.DUMMYFUNCTION("""COMPUTED_VALUE"""),151.72)</f>
        <v>151.72</v>
      </c>
    </row>
    <row r="1230">
      <c r="A1230" s="16" t="str">
        <f>IFERROR(__xludf.DUMMYFUNCTION("""COMPUTED_VALUE"""),"Риба")</f>
        <v>Риба</v>
      </c>
      <c r="B1230" s="7" t="str">
        <f>IFERROR(__xludf.DUMMYFUNCTION("""COMPUTED_VALUE"""),"Ципура (на скара)")</f>
        <v>Ципура (на скара)</v>
      </c>
      <c r="C1230" s="7">
        <f>IFERROR(__xludf.DUMMYFUNCTION("""COMPUTED_VALUE"""),100.0)</f>
        <v>100</v>
      </c>
      <c r="D1230" s="7">
        <f>IFERROR(__xludf.DUMMYFUNCTION("""COMPUTED_VALUE"""),23.0)</f>
        <v>23</v>
      </c>
      <c r="E1230" s="16">
        <f>IFERROR(__xludf.DUMMYFUNCTION("""COMPUTED_VALUE"""),0.0)</f>
        <v>0</v>
      </c>
      <c r="F1230" s="16">
        <f>IFERROR(__xludf.DUMMYFUNCTION("""COMPUTED_VALUE"""),3.0)</f>
        <v>3</v>
      </c>
      <c r="G1230" s="16">
        <f>IFERROR(__xludf.DUMMYFUNCTION("""COMPUTED_VALUE"""),0.0)</f>
        <v>0</v>
      </c>
      <c r="H1230" s="23">
        <f>IFERROR(__xludf.DUMMYFUNCTION("""COMPUTED_VALUE"""),119.0)</f>
        <v>119</v>
      </c>
    </row>
    <row r="1231">
      <c r="A1231" s="16" t="str">
        <f>IFERROR(__xludf.DUMMYFUNCTION("""COMPUTED_VALUE"""),"Риба")</f>
        <v>Риба</v>
      </c>
      <c r="B1231" s="7" t="str">
        <f>IFERROR(__xludf.DUMMYFUNCTION("""COMPUTED_VALUE"""),"Сом (суров)")</f>
        <v>Сом (суров)</v>
      </c>
      <c r="C1231" s="7">
        <f>IFERROR(__xludf.DUMMYFUNCTION("""COMPUTED_VALUE"""),100.0)</f>
        <v>100</v>
      </c>
      <c r="D1231" s="7">
        <f>IFERROR(__xludf.DUMMYFUNCTION("""COMPUTED_VALUE"""),16.8)</f>
        <v>16.8</v>
      </c>
      <c r="E1231" s="16">
        <f>IFERROR(__xludf.DUMMYFUNCTION("""COMPUTED_VALUE"""),0.0)</f>
        <v>0</v>
      </c>
      <c r="F1231" s="16">
        <f>IFERROR(__xludf.DUMMYFUNCTION("""COMPUTED_VALUE"""),8.5)</f>
        <v>8.5</v>
      </c>
      <c r="G1231" s="16">
        <f>IFERROR(__xludf.DUMMYFUNCTION("""COMPUTED_VALUE"""),0.0)</f>
        <v>0</v>
      </c>
      <c r="H1231" s="23">
        <f>IFERROR(__xludf.DUMMYFUNCTION("""COMPUTED_VALUE"""),143.7)</f>
        <v>143.7</v>
      </c>
    </row>
    <row r="1232">
      <c r="A1232" s="16" t="str">
        <f>IFERROR(__xludf.DUMMYFUNCTION("""COMPUTED_VALUE"""),"Риба")</f>
        <v>Риба</v>
      </c>
      <c r="B1232" s="7" t="str">
        <f>IFERROR(__xludf.DUMMYFUNCTION("""COMPUTED_VALUE"""),"Сом (на скара)")</f>
        <v>Сом (на скара)</v>
      </c>
      <c r="C1232" s="7">
        <f>IFERROR(__xludf.DUMMYFUNCTION("""COMPUTED_VALUE"""),100.0)</f>
        <v>100</v>
      </c>
      <c r="D1232" s="7">
        <f>IFERROR(__xludf.DUMMYFUNCTION("""COMPUTED_VALUE"""),12.33)</f>
        <v>12.33</v>
      </c>
      <c r="E1232" s="16">
        <f>IFERROR(__xludf.DUMMYFUNCTION("""COMPUTED_VALUE"""),12.87)</f>
        <v>12.87</v>
      </c>
      <c r="F1232" s="16">
        <f>IFERROR(__xludf.DUMMYFUNCTION("""COMPUTED_VALUE"""),2.42)</f>
        <v>2.42</v>
      </c>
      <c r="G1232" s="16">
        <f>IFERROR(__xludf.DUMMYFUNCTION("""COMPUTED_VALUE"""),8.31)</f>
        <v>8.31</v>
      </c>
      <c r="H1232" s="23">
        <f>IFERROR(__xludf.DUMMYFUNCTION("""COMPUTED_VALUE"""),122.58)</f>
        <v>122.58</v>
      </c>
    </row>
    <row r="1233">
      <c r="A1233" s="16" t="str">
        <f>IFERROR(__xludf.DUMMYFUNCTION("""COMPUTED_VALUE"""),"Риба")</f>
        <v>Риба</v>
      </c>
      <c r="B1233" s="7" t="str">
        <f>IFERROR(__xludf.DUMMYFUNCTION("""COMPUTED_VALUE"""),"Бланширани скариди обелени - Ocean sea")</f>
        <v>Бланширани скариди обелени - Ocean sea</v>
      </c>
      <c r="C1233" s="7">
        <f>IFERROR(__xludf.DUMMYFUNCTION("""COMPUTED_VALUE"""),100.0)</f>
        <v>100</v>
      </c>
      <c r="D1233" s="7">
        <f>IFERROR(__xludf.DUMMYFUNCTION("""COMPUTED_VALUE"""),14.2)</f>
        <v>14.2</v>
      </c>
      <c r="E1233" s="16">
        <f>IFERROR(__xludf.DUMMYFUNCTION("""COMPUTED_VALUE"""),0.5)</f>
        <v>0.5</v>
      </c>
      <c r="F1233" s="16">
        <f>IFERROR(__xludf.DUMMYFUNCTION("""COMPUTED_VALUE"""),0.6)</f>
        <v>0.6</v>
      </c>
      <c r="G1233" s="16">
        <f>IFERROR(__xludf.DUMMYFUNCTION("""COMPUTED_VALUE"""),0.0)</f>
        <v>0</v>
      </c>
      <c r="H1233" s="23">
        <f>IFERROR(__xludf.DUMMYFUNCTION("""COMPUTED_VALUE"""),64.2)</f>
        <v>64.2</v>
      </c>
    </row>
    <row r="1234">
      <c r="A1234" s="16" t="str">
        <f>IFERROR(__xludf.DUMMYFUNCTION("""COMPUTED_VALUE"""),"Риба")</f>
        <v>Риба</v>
      </c>
      <c r="B1234" s="7" t="str">
        <f>IFERROR(__xludf.DUMMYFUNCTION("""COMPUTED_VALUE"""),"Толстолоб (суров)")</f>
        <v>Толстолоб (суров)</v>
      </c>
      <c r="C1234" s="7">
        <f>IFERROR(__xludf.DUMMYFUNCTION("""COMPUTED_VALUE"""),100.0)</f>
        <v>100</v>
      </c>
      <c r="D1234" s="7">
        <f>IFERROR(__xludf.DUMMYFUNCTION("""COMPUTED_VALUE"""),20.0)</f>
        <v>20</v>
      </c>
      <c r="E1234" s="16">
        <f>IFERROR(__xludf.DUMMYFUNCTION("""COMPUTED_VALUE"""),0.0)</f>
        <v>0</v>
      </c>
      <c r="F1234" s="16">
        <f>IFERROR(__xludf.DUMMYFUNCTION("""COMPUTED_VALUE"""),2.0)</f>
        <v>2</v>
      </c>
      <c r="G1234" s="16">
        <f>IFERROR(__xludf.DUMMYFUNCTION("""COMPUTED_VALUE"""),0.0)</f>
        <v>0</v>
      </c>
      <c r="H1234" s="23">
        <f>IFERROR(__xludf.DUMMYFUNCTION("""COMPUTED_VALUE"""),126.0)</f>
        <v>126</v>
      </c>
    </row>
    <row r="1235">
      <c r="A1235" s="16" t="str">
        <f>IFERROR(__xludf.DUMMYFUNCTION("""COMPUTED_VALUE"""),"Риба")</f>
        <v>Риба</v>
      </c>
      <c r="B1235" s="7" t="str">
        <f>IFERROR(__xludf.DUMMYFUNCTION("""COMPUTED_VALUE"""),"Калкан (суров)")</f>
        <v>Калкан (суров)</v>
      </c>
      <c r="C1235" s="7">
        <f>IFERROR(__xludf.DUMMYFUNCTION("""COMPUTED_VALUE"""),100.0)</f>
        <v>100</v>
      </c>
      <c r="D1235" s="7">
        <f>IFERROR(__xludf.DUMMYFUNCTION("""COMPUTED_VALUE"""),18.0)</f>
        <v>18</v>
      </c>
      <c r="E1235" s="16">
        <f>IFERROR(__xludf.DUMMYFUNCTION("""COMPUTED_VALUE"""),0.0)</f>
        <v>0</v>
      </c>
      <c r="F1235" s="16">
        <f>IFERROR(__xludf.DUMMYFUNCTION("""COMPUTED_VALUE"""),3.0)</f>
        <v>3</v>
      </c>
      <c r="G1235" s="16">
        <f>IFERROR(__xludf.DUMMYFUNCTION("""COMPUTED_VALUE"""),0.0)</f>
        <v>0</v>
      </c>
      <c r="H1235" s="23">
        <f>IFERROR(__xludf.DUMMYFUNCTION("""COMPUTED_VALUE"""),68.60000000000001)</f>
        <v>68.6</v>
      </c>
    </row>
    <row r="1236">
      <c r="A1236" s="16" t="str">
        <f>IFERROR(__xludf.DUMMYFUNCTION("""COMPUTED_VALUE"""),"Риба")</f>
        <v>Риба</v>
      </c>
      <c r="B1236" s="7" t="str">
        <f>IFERROR(__xludf.DUMMYFUNCTION("""COMPUTED_VALUE"""),"Скариди Prawns Lidl")</f>
        <v>Скариди Prawns Lidl</v>
      </c>
      <c r="C1236" s="7">
        <f>IFERROR(__xludf.DUMMYFUNCTION("""COMPUTED_VALUE"""),100.0)</f>
        <v>100</v>
      </c>
      <c r="D1236" s="7">
        <f>IFERROR(__xludf.DUMMYFUNCTION("""COMPUTED_VALUE"""),18.0)</f>
        <v>18</v>
      </c>
      <c r="E1236" s="16">
        <f>IFERROR(__xludf.DUMMYFUNCTION("""COMPUTED_VALUE"""),0.0)</f>
        <v>0</v>
      </c>
      <c r="F1236" s="16">
        <f>IFERROR(__xludf.DUMMYFUNCTION("""COMPUTED_VALUE"""),1.0)</f>
        <v>1</v>
      </c>
      <c r="G1236" s="16">
        <f>IFERROR(__xludf.DUMMYFUNCTION("""COMPUTED_VALUE"""),0.0)</f>
        <v>0</v>
      </c>
      <c r="H1236" s="23">
        <f>IFERROR(__xludf.DUMMYFUNCTION("""COMPUTED_VALUE"""),81.0)</f>
        <v>81</v>
      </c>
    </row>
    <row r="1237">
      <c r="A1237" s="16" t="str">
        <f>IFERROR(__xludf.DUMMYFUNCTION("""COMPUTED_VALUE"""),"Риба")</f>
        <v>Риба</v>
      </c>
      <c r="B1237" s="7" t="str">
        <f>IFERROR(__xludf.DUMMYFUNCTION("""COMPUTED_VALUE"""),"Бяла риба FINEST CATCH FARMFOODS")</f>
        <v>Бяла риба FINEST CATCH FARMFOODS</v>
      </c>
      <c r="C1237" s="7">
        <f>IFERROR(__xludf.DUMMYFUNCTION("""COMPUTED_VALUE"""),100.0)</f>
        <v>100</v>
      </c>
      <c r="D1237" s="7">
        <f>IFERROR(__xludf.DUMMYFUNCTION("""COMPUTED_VALUE"""),16.6)</f>
        <v>16.6</v>
      </c>
      <c r="E1237" s="16">
        <f>IFERROR(__xludf.DUMMYFUNCTION("""COMPUTED_VALUE"""),0.0)</f>
        <v>0</v>
      </c>
      <c r="F1237" s="16">
        <f>IFERROR(__xludf.DUMMYFUNCTION("""COMPUTED_VALUE"""),0.6)</f>
        <v>0.6</v>
      </c>
      <c r="G1237" s="16">
        <f>IFERROR(__xludf.DUMMYFUNCTION("""COMPUTED_VALUE"""),0.0)</f>
        <v>0</v>
      </c>
      <c r="H1237" s="23">
        <f>IFERROR(__xludf.DUMMYFUNCTION("""COMPUTED_VALUE"""),71.80000000000001)</f>
        <v>71.8</v>
      </c>
    </row>
    <row r="1238">
      <c r="A1238" s="16" t="str">
        <f>IFERROR(__xludf.DUMMYFUNCTION("""COMPUTED_VALUE"""),"Риба")</f>
        <v>Риба</v>
      </c>
      <c r="B1238" s="7" t="str">
        <f>IFERROR(__xludf.DUMMYFUNCTION("""COMPUTED_VALUE"""),"Пушено сьомга филе (Laschinger)")</f>
        <v>Пушено сьомга филе (Laschinger)</v>
      </c>
      <c r="C1238" s="7">
        <f>IFERROR(__xludf.DUMMYFUNCTION("""COMPUTED_VALUE"""),100.0)</f>
        <v>100</v>
      </c>
      <c r="D1238" s="7">
        <f>IFERROR(__xludf.DUMMYFUNCTION("""COMPUTED_VALUE"""),21.3)</f>
        <v>21.3</v>
      </c>
      <c r="E1238" s="16">
        <f>IFERROR(__xludf.DUMMYFUNCTION("""COMPUTED_VALUE"""),0.9)</f>
        <v>0.9</v>
      </c>
      <c r="F1238" s="16">
        <f>IFERROR(__xludf.DUMMYFUNCTION("""COMPUTED_VALUE"""),10.5)</f>
        <v>10.5</v>
      </c>
      <c r="G1238" s="16">
        <f>IFERROR(__xludf.DUMMYFUNCTION("""COMPUTED_VALUE"""),0.0)</f>
        <v>0</v>
      </c>
      <c r="H1238" s="23">
        <f>IFERROR(__xludf.DUMMYFUNCTION("""COMPUTED_VALUE"""),183.3)</f>
        <v>183.3</v>
      </c>
    </row>
    <row r="1239">
      <c r="A1239" s="16" t="str">
        <f>IFERROR(__xludf.DUMMYFUNCTION("""COMPUTED_VALUE"""),"Риба")</f>
        <v>Риба</v>
      </c>
      <c r="B1239" s="7" t="str">
        <f>IFERROR(__xludf.DUMMYFUNCTION("""COMPUTED_VALUE"""),"Топлопушено филе от скумрия /Lidl/")</f>
        <v>Топлопушено филе от скумрия /Lidl/</v>
      </c>
      <c r="C1239" s="7">
        <f>IFERROR(__xludf.DUMMYFUNCTION("""COMPUTED_VALUE"""),100.0)</f>
        <v>100</v>
      </c>
      <c r="D1239" s="7">
        <f>IFERROR(__xludf.DUMMYFUNCTION("""COMPUTED_VALUE"""),21.0)</f>
        <v>21</v>
      </c>
      <c r="E1239" s="16">
        <f>IFERROR(__xludf.DUMMYFUNCTION("""COMPUTED_VALUE"""),0.0)</f>
        <v>0</v>
      </c>
      <c r="F1239" s="16">
        <f>IFERROR(__xludf.DUMMYFUNCTION("""COMPUTED_VALUE"""),21.0)</f>
        <v>21</v>
      </c>
      <c r="G1239" s="16">
        <f>IFERROR(__xludf.DUMMYFUNCTION("""COMPUTED_VALUE"""),0.0)</f>
        <v>0</v>
      </c>
      <c r="H1239" s="23">
        <f>IFERROR(__xludf.DUMMYFUNCTION("""COMPUTED_VALUE"""),273.0)</f>
        <v>273</v>
      </c>
    </row>
    <row r="1240">
      <c r="A1240" s="16" t="str">
        <f>IFERROR(__xludf.DUMMYFUNCTION("""COMPUTED_VALUE"""),"Риба")</f>
        <v>Риба</v>
      </c>
      <c r="B1240" s="7" t="str">
        <f>IFERROR(__xludf.DUMMYFUNCTION("""COMPUTED_VALUE"""),"Сьомга Wild Chum (Lidl) замразена")</f>
        <v>Сьомга Wild Chum (Lidl) замразена</v>
      </c>
      <c r="C1240" s="7">
        <f>IFERROR(__xludf.DUMMYFUNCTION("""COMPUTED_VALUE"""),100.0)</f>
        <v>100</v>
      </c>
      <c r="D1240" s="7">
        <f>IFERROR(__xludf.DUMMYFUNCTION("""COMPUTED_VALUE"""),21.0)</f>
        <v>21</v>
      </c>
      <c r="E1240" s="16">
        <f>IFERROR(__xludf.DUMMYFUNCTION("""COMPUTED_VALUE"""),0.0)</f>
        <v>0</v>
      </c>
      <c r="F1240" s="16">
        <f>IFERROR(__xludf.DUMMYFUNCTION("""COMPUTED_VALUE"""),1.0)</f>
        <v>1</v>
      </c>
      <c r="G1240" s="16">
        <f>IFERROR(__xludf.DUMMYFUNCTION("""COMPUTED_VALUE"""),0.0)</f>
        <v>0</v>
      </c>
      <c r="H1240" s="23">
        <f>IFERROR(__xludf.DUMMYFUNCTION("""COMPUTED_VALUE"""),93.0)</f>
        <v>93</v>
      </c>
    </row>
    <row r="1241">
      <c r="A1241" s="16" t="str">
        <f>IFERROR(__xludf.DUMMYFUNCTION("""COMPUTED_VALUE"""),"Риба")</f>
        <v>Риба</v>
      </c>
      <c r="B1241" s="7" t="str">
        <f>IFERROR(__xludf.DUMMYFUNCTION("""COMPUTED_VALUE"""),"Филе от тихоокеанска сьомга, замръзерно (Lidl)")</f>
        <v>Филе от тихоокеанска сьомга, замръзерно (Lidl)</v>
      </c>
      <c r="C1241" s="7">
        <f>IFERROR(__xludf.DUMMYFUNCTION("""COMPUTED_VALUE"""),100.0)</f>
        <v>100</v>
      </c>
      <c r="D1241" s="7">
        <f>IFERROR(__xludf.DUMMYFUNCTION("""COMPUTED_VALUE"""),21.0)</f>
        <v>21</v>
      </c>
      <c r="E1241" s="16">
        <f>IFERROR(__xludf.DUMMYFUNCTION("""COMPUTED_VALUE"""),0.0)</f>
        <v>0</v>
      </c>
      <c r="F1241" s="16">
        <f>IFERROR(__xludf.DUMMYFUNCTION("""COMPUTED_VALUE"""),2.5)</f>
        <v>2.5</v>
      </c>
      <c r="G1241" s="16">
        <f>IFERROR(__xludf.DUMMYFUNCTION("""COMPUTED_VALUE"""),0.0)</f>
        <v>0</v>
      </c>
      <c r="H1241" s="23">
        <f>IFERROR(__xludf.DUMMYFUNCTION("""COMPUTED_VALUE"""),106.5)</f>
        <v>106.5</v>
      </c>
    </row>
    <row r="1242">
      <c r="A1242" s="16" t="str">
        <f>IFERROR(__xludf.DUMMYFUNCTION("""COMPUTED_VALUE"""),"Риба")</f>
        <v>Риба</v>
      </c>
      <c r="B1242" s="7" t="str">
        <f>IFERROR(__xludf.DUMMYFUNCTION("""COMPUTED_VALUE"""),"Херинга в доматен сос (консерва)")</f>
        <v>Херинга в доматен сос (консерва)</v>
      </c>
      <c r="C1242" s="7">
        <f>IFERROR(__xludf.DUMMYFUNCTION("""COMPUTED_VALUE"""),100.0)</f>
        <v>100</v>
      </c>
      <c r="D1242" s="7">
        <f>IFERROR(__xludf.DUMMYFUNCTION("""COMPUTED_VALUE"""),11.5)</f>
        <v>11.5</v>
      </c>
      <c r="E1242" s="16">
        <f>IFERROR(__xludf.DUMMYFUNCTION("""COMPUTED_VALUE"""),4.6)</f>
        <v>4.6</v>
      </c>
      <c r="F1242" s="16">
        <f>IFERROR(__xludf.DUMMYFUNCTION("""COMPUTED_VALUE"""),13.3)</f>
        <v>13.3</v>
      </c>
      <c r="G1242" s="16">
        <f>IFERROR(__xludf.DUMMYFUNCTION("""COMPUTED_VALUE"""),0.0)</f>
        <v>0</v>
      </c>
      <c r="H1242" s="23">
        <f>IFERROR(__xludf.DUMMYFUNCTION("""COMPUTED_VALUE"""),184.10000000000002)</f>
        <v>184.1</v>
      </c>
    </row>
    <row r="1243">
      <c r="A1243" s="16" t="str">
        <f>IFERROR(__xludf.DUMMYFUNCTION("""COMPUTED_VALUE"""),"Риба")</f>
        <v>Риба</v>
      </c>
      <c r="B1243" s="7" t="str">
        <f>IFERROR(__xludf.DUMMYFUNCTION("""COMPUTED_VALUE"""),"Пушена Риба Тон - Starfish")</f>
        <v>Пушена Риба Тон - Starfish</v>
      </c>
      <c r="C1243" s="7">
        <f>IFERROR(__xludf.DUMMYFUNCTION("""COMPUTED_VALUE"""),100.0)</f>
        <v>100</v>
      </c>
      <c r="D1243" s="7">
        <f>IFERROR(__xludf.DUMMYFUNCTION("""COMPUTED_VALUE"""),25.7)</f>
        <v>25.7</v>
      </c>
      <c r="E1243" s="16">
        <f>IFERROR(__xludf.DUMMYFUNCTION("""COMPUTED_VALUE"""),0.0)</f>
        <v>0</v>
      </c>
      <c r="F1243" s="16">
        <f>IFERROR(__xludf.DUMMYFUNCTION("""COMPUTED_VALUE"""),10.1)</f>
        <v>10.1</v>
      </c>
      <c r="G1243" s="16">
        <f>IFERROR(__xludf.DUMMYFUNCTION("""COMPUTED_VALUE"""),0.0)</f>
        <v>0</v>
      </c>
      <c r="H1243" s="23">
        <f>IFERROR(__xludf.DUMMYFUNCTION("""COMPUTED_VALUE"""),193.7)</f>
        <v>193.7</v>
      </c>
    </row>
    <row r="1244">
      <c r="A1244" s="16" t="str">
        <f>IFERROR(__xludf.DUMMYFUNCTION("""COMPUTED_VALUE"""),"Риба")</f>
        <v>Риба</v>
      </c>
      <c r="B1244" s="7" t="str">
        <f>IFERROR(__xludf.DUMMYFUNCTION("""COMPUTED_VALUE"""),"Сардини - Nixe (консерва)")</f>
        <v>Сардини - Nixe (консерва)</v>
      </c>
      <c r="C1244" s="7">
        <f>IFERROR(__xludf.DUMMYFUNCTION("""COMPUTED_VALUE"""),100.0)</f>
        <v>100</v>
      </c>
      <c r="D1244" s="7">
        <f>IFERROR(__xludf.DUMMYFUNCTION("""COMPUTED_VALUE"""),25.6)</f>
        <v>25.6</v>
      </c>
      <c r="E1244" s="16">
        <f>IFERROR(__xludf.DUMMYFUNCTION("""COMPUTED_VALUE"""),0.0)</f>
        <v>0</v>
      </c>
      <c r="F1244" s="16">
        <f>IFERROR(__xludf.DUMMYFUNCTION("""COMPUTED_VALUE"""),10.3)</f>
        <v>10.3</v>
      </c>
      <c r="G1244" s="16">
        <f>IFERROR(__xludf.DUMMYFUNCTION("""COMPUTED_VALUE"""),0.0)</f>
        <v>0</v>
      </c>
      <c r="H1244" s="23">
        <f>IFERROR(__xludf.DUMMYFUNCTION("""COMPUTED_VALUE"""),195.10000000000002)</f>
        <v>195.1</v>
      </c>
    </row>
    <row r="1245">
      <c r="A1245" s="16" t="str">
        <f>IFERROR(__xludf.DUMMYFUNCTION("""COMPUTED_VALUE"""),"Риба")</f>
        <v>Риба</v>
      </c>
      <c r="B1245" s="7" t="str">
        <f>IFERROR(__xludf.DUMMYFUNCTION("""COMPUTED_VALUE"""),"Пъстърва пушено филе - Морски Дар")</f>
        <v>Пъстърва пушено филе - Морски Дар</v>
      </c>
      <c r="C1245" s="7">
        <f>IFERROR(__xludf.DUMMYFUNCTION("""COMPUTED_VALUE"""),100.0)</f>
        <v>100</v>
      </c>
      <c r="D1245" s="7">
        <f>IFERROR(__xludf.DUMMYFUNCTION("""COMPUTED_VALUE"""),22.8)</f>
        <v>22.8</v>
      </c>
      <c r="E1245" s="16">
        <f>IFERROR(__xludf.DUMMYFUNCTION("""COMPUTED_VALUE"""),0.0)</f>
        <v>0</v>
      </c>
      <c r="F1245" s="16">
        <f>IFERROR(__xludf.DUMMYFUNCTION("""COMPUTED_VALUE"""),3.4)</f>
        <v>3.4</v>
      </c>
      <c r="G1245" s="16">
        <f>IFERROR(__xludf.DUMMYFUNCTION("""COMPUTED_VALUE"""),0.0)</f>
        <v>0</v>
      </c>
      <c r="H1245" s="23">
        <f>IFERROR(__xludf.DUMMYFUNCTION("""COMPUTED_VALUE"""),121.8)</f>
        <v>121.8</v>
      </c>
    </row>
    <row r="1246">
      <c r="A1246" s="16" t="str">
        <f>IFERROR(__xludf.DUMMYFUNCTION("""COMPUTED_VALUE"""),"Риба")</f>
        <v>Риба</v>
      </c>
      <c r="B1246" s="7" t="str">
        <f>IFERROR(__xludf.DUMMYFUNCTION("""COMPUTED_VALUE"""),"Калмари (панирани на фунра)")</f>
        <v>Калмари (панирани на фунра)</v>
      </c>
      <c r="C1246" s="7">
        <f>IFERROR(__xludf.DUMMYFUNCTION("""COMPUTED_VALUE"""),100.0)</f>
        <v>100</v>
      </c>
      <c r="D1246" s="7">
        <f>IFERROR(__xludf.DUMMYFUNCTION("""COMPUTED_VALUE"""),7.8)</f>
        <v>7.8</v>
      </c>
      <c r="E1246" s="16">
        <f>IFERROR(__xludf.DUMMYFUNCTION("""COMPUTED_VALUE"""),30.0)</f>
        <v>30</v>
      </c>
      <c r="F1246" s="16">
        <f>IFERROR(__xludf.DUMMYFUNCTION("""COMPUTED_VALUE"""),6.4)</f>
        <v>6.4</v>
      </c>
      <c r="G1246" s="16">
        <f>IFERROR(__xludf.DUMMYFUNCTION("""COMPUTED_VALUE"""),0.0)</f>
        <v>0</v>
      </c>
      <c r="H1246" s="23">
        <f>IFERROR(__xludf.DUMMYFUNCTION("""COMPUTED_VALUE"""),208.79999999999998)</f>
        <v>208.8</v>
      </c>
    </row>
    <row r="1247">
      <c r="A1247" s="16" t="str">
        <f>IFERROR(__xludf.DUMMYFUNCTION("""COMPUTED_VALUE"""),"Риба")</f>
        <v>Риба</v>
      </c>
      <c r="B1247" s="7" t="str">
        <f>IFERROR(__xludf.DUMMYFUNCTION("""COMPUTED_VALUE"""),"Рулца от Раци - Universal Foods")</f>
        <v>Рулца от Раци - Universal Foods</v>
      </c>
      <c r="C1247" s="7">
        <f>IFERROR(__xludf.DUMMYFUNCTION("""COMPUTED_VALUE"""),100.0)</f>
        <v>100</v>
      </c>
      <c r="D1247" s="7">
        <f>IFERROR(__xludf.DUMMYFUNCTION("""COMPUTED_VALUE"""),4.4)</f>
        <v>4.4</v>
      </c>
      <c r="E1247" s="16">
        <f>IFERROR(__xludf.DUMMYFUNCTION("""COMPUTED_VALUE"""),22.8)</f>
        <v>22.8</v>
      </c>
      <c r="F1247" s="16">
        <f>IFERROR(__xludf.DUMMYFUNCTION("""COMPUTED_VALUE"""),1.8)</f>
        <v>1.8</v>
      </c>
      <c r="G1247" s="16">
        <f>IFERROR(__xludf.DUMMYFUNCTION("""COMPUTED_VALUE"""),0.0)</f>
        <v>0</v>
      </c>
      <c r="H1247" s="23">
        <f>IFERROR(__xludf.DUMMYFUNCTION("""COMPUTED_VALUE"""),125.00000000000001)</f>
        <v>125</v>
      </c>
    </row>
    <row r="1248">
      <c r="A1248" s="16" t="str">
        <f>IFERROR(__xludf.DUMMYFUNCTION("""COMPUTED_VALUE"""),"Риба")</f>
        <v>Риба</v>
      </c>
      <c r="B1248" s="7" t="str">
        <f>IFERROR(__xludf.DUMMYFUNCTION("""COMPUTED_VALUE"""),"Чернокоп (суров)")</f>
        <v>Чернокоп (суров)</v>
      </c>
      <c r="C1248" s="7">
        <f>IFERROR(__xludf.DUMMYFUNCTION("""COMPUTED_VALUE"""),100.0)</f>
        <v>100</v>
      </c>
      <c r="D1248" s="7">
        <f>IFERROR(__xludf.DUMMYFUNCTION("""COMPUTED_VALUE"""),20.0)</f>
        <v>20</v>
      </c>
      <c r="E1248" s="16">
        <f>IFERROR(__xludf.DUMMYFUNCTION("""COMPUTED_VALUE"""),0.0)</f>
        <v>0</v>
      </c>
      <c r="F1248" s="16">
        <f>IFERROR(__xludf.DUMMYFUNCTION("""COMPUTED_VALUE"""),5.0)</f>
        <v>5</v>
      </c>
      <c r="G1248" s="16">
        <f>IFERROR(__xludf.DUMMYFUNCTION("""COMPUTED_VALUE"""),0.0)</f>
        <v>0</v>
      </c>
      <c r="H1248" s="23">
        <f>IFERROR(__xludf.DUMMYFUNCTION("""COMPUTED_VALUE"""),125.0)</f>
        <v>125</v>
      </c>
    </row>
    <row r="1249">
      <c r="A1249" s="16" t="str">
        <f>IFERROR(__xludf.DUMMYFUNCTION("""COMPUTED_VALUE"""),"Риба")</f>
        <v>Риба</v>
      </c>
      <c r="B1249" s="7" t="str">
        <f>IFERROR(__xludf.DUMMYFUNCTION("""COMPUTED_VALUE"""),"Змиорка (сурова)")</f>
        <v>Змиорка (сурова)</v>
      </c>
      <c r="C1249" s="7">
        <f>IFERROR(__xludf.DUMMYFUNCTION("""COMPUTED_VALUE"""),100.0)</f>
        <v>100</v>
      </c>
      <c r="D1249" s="7">
        <f>IFERROR(__xludf.DUMMYFUNCTION("""COMPUTED_VALUE"""),18.5)</f>
        <v>18.5</v>
      </c>
      <c r="E1249" s="16">
        <f>IFERROR(__xludf.DUMMYFUNCTION("""COMPUTED_VALUE"""),0.0)</f>
        <v>0</v>
      </c>
      <c r="F1249" s="16">
        <f>IFERROR(__xludf.DUMMYFUNCTION("""COMPUTED_VALUE"""),11.6)</f>
        <v>11.6</v>
      </c>
      <c r="G1249" s="16">
        <f>IFERROR(__xludf.DUMMYFUNCTION("""COMPUTED_VALUE"""),0.0)</f>
        <v>0</v>
      </c>
      <c r="H1249" s="23">
        <f>IFERROR(__xludf.DUMMYFUNCTION("""COMPUTED_VALUE"""),178.39999999999998)</f>
        <v>178.4</v>
      </c>
    </row>
    <row r="1250">
      <c r="A1250" s="16" t="str">
        <f>IFERROR(__xludf.DUMMYFUNCTION("""COMPUTED_VALUE"""),"Риба")</f>
        <v>Риба</v>
      </c>
      <c r="B1250" s="7" t="str">
        <f>IFERROR(__xludf.DUMMYFUNCTION("""COMPUTED_VALUE"""),"БИО Пушена сьомга LABEYRIE")</f>
        <v>БИО Пушена сьомга LABEYRIE</v>
      </c>
      <c r="C1250" s="7">
        <f>IFERROR(__xludf.DUMMYFUNCTION("""COMPUTED_VALUE"""),100.0)</f>
        <v>100</v>
      </c>
      <c r="D1250" s="7">
        <f>IFERROR(__xludf.DUMMYFUNCTION("""COMPUTED_VALUE"""),22.1)</f>
        <v>22.1</v>
      </c>
      <c r="E1250" s="16">
        <f>IFERROR(__xludf.DUMMYFUNCTION("""COMPUTED_VALUE"""),0.6)</f>
        <v>0.6</v>
      </c>
      <c r="F1250" s="16">
        <f>IFERROR(__xludf.DUMMYFUNCTION("""COMPUTED_VALUE"""),12.0)</f>
        <v>12</v>
      </c>
      <c r="G1250" s="16">
        <f>IFERROR(__xludf.DUMMYFUNCTION("""COMPUTED_VALUE"""),0.0)</f>
        <v>0</v>
      </c>
      <c r="H1250" s="16">
        <f>IFERROR(__xludf.DUMMYFUNCTION("""COMPUTED_VALUE"""),198.8)</f>
        <v>198.8</v>
      </c>
    </row>
    <row r="1251">
      <c r="A1251" s="16" t="str">
        <f>IFERROR(__xludf.DUMMYFUNCTION("""COMPUTED_VALUE"""),"Риба")</f>
        <v>Риба</v>
      </c>
      <c r="B1251" s="7" t="str">
        <f>IFERROR(__xludf.DUMMYFUNCTION("""COMPUTED_VALUE"""),"Риба меч (сурова)")</f>
        <v>Риба меч (сурова)</v>
      </c>
      <c r="C1251" s="7">
        <f>IFERROR(__xludf.DUMMYFUNCTION("""COMPUTED_VALUE"""),100.0)</f>
        <v>100</v>
      </c>
      <c r="D1251" s="7">
        <f>IFERROR(__xludf.DUMMYFUNCTION("""COMPUTED_VALUE"""),19.66)</f>
        <v>19.66</v>
      </c>
      <c r="E1251" s="16">
        <f>IFERROR(__xludf.DUMMYFUNCTION("""COMPUTED_VALUE"""),0.0)</f>
        <v>0</v>
      </c>
      <c r="F1251" s="16">
        <f>IFERROR(__xludf.DUMMYFUNCTION("""COMPUTED_VALUE"""),6.65)</f>
        <v>6.65</v>
      </c>
      <c r="G1251" s="16">
        <f>IFERROR(__xludf.DUMMYFUNCTION("""COMPUTED_VALUE"""),0.0)</f>
        <v>0</v>
      </c>
      <c r="H1251" s="16">
        <f>IFERROR(__xludf.DUMMYFUNCTION("""COMPUTED_VALUE"""),138.49)</f>
        <v>138.49</v>
      </c>
    </row>
    <row r="1252">
      <c r="A1252" s="16" t="str">
        <f>IFERROR(__xludf.DUMMYFUNCTION("""COMPUTED_VALUE"""),"Риба")</f>
        <v>Риба</v>
      </c>
      <c r="B1252" s="7" t="str">
        <f>IFERROR(__xludf.DUMMYFUNCTION("""COMPUTED_VALUE"""),"Треска филе (печена)")</f>
        <v>Треска филе (печена)</v>
      </c>
      <c r="C1252" s="12">
        <f>IFERROR(__xludf.DUMMYFUNCTION("""COMPUTED_VALUE"""),100.0)</f>
        <v>100</v>
      </c>
      <c r="D1252" s="7">
        <f>IFERROR(__xludf.DUMMYFUNCTION("""COMPUTED_VALUE"""),20.9)</f>
        <v>20.9</v>
      </c>
      <c r="E1252" s="16">
        <f>IFERROR(__xludf.DUMMYFUNCTION("""COMPUTED_VALUE"""),0.4)</f>
        <v>0.4</v>
      </c>
      <c r="F1252" s="16">
        <f>IFERROR(__xludf.DUMMYFUNCTION("""COMPUTED_VALUE"""),3.5)</f>
        <v>3.5</v>
      </c>
      <c r="G1252" s="16">
        <f>IFERROR(__xludf.DUMMYFUNCTION("""COMPUTED_VALUE"""),0.0)</f>
        <v>0</v>
      </c>
      <c r="H1252" s="16">
        <f>IFERROR(__xludf.DUMMYFUNCTION("""COMPUTED_VALUE"""),116.69999999999999)</f>
        <v>116.7</v>
      </c>
    </row>
    <row r="1253">
      <c r="A1253" s="16" t="str">
        <f>IFERROR(__xludf.DUMMYFUNCTION("""COMPUTED_VALUE"""),"Риба")</f>
        <v>Риба</v>
      </c>
      <c r="B1253" s="7" t="str">
        <f>IFERROR(__xludf.DUMMYFUNCTION("""COMPUTED_VALUE"""),"Рулца от сурими (охладени)")</f>
        <v>Рулца от сурими (охладени)</v>
      </c>
      <c r="C1253" s="12">
        <f>IFERROR(__xludf.DUMMYFUNCTION("""COMPUTED_VALUE"""),100.0)</f>
        <v>100</v>
      </c>
      <c r="D1253" s="7">
        <f>IFERROR(__xludf.DUMMYFUNCTION("""COMPUTED_VALUE"""),8.1)</f>
        <v>8.1</v>
      </c>
      <c r="E1253" s="16">
        <f>IFERROR(__xludf.DUMMYFUNCTION("""COMPUTED_VALUE"""),12.3)</f>
        <v>12.3</v>
      </c>
      <c r="F1253" s="16">
        <f>IFERROR(__xludf.DUMMYFUNCTION("""COMPUTED_VALUE"""),3.1)</f>
        <v>3.1</v>
      </c>
      <c r="G1253" s="16">
        <f>IFERROR(__xludf.DUMMYFUNCTION("""COMPUTED_VALUE"""),0.0)</f>
        <v>0</v>
      </c>
      <c r="H1253" s="16">
        <f>IFERROR(__xludf.DUMMYFUNCTION("""COMPUTED_VALUE"""),109.5)</f>
        <v>109.5</v>
      </c>
    </row>
    <row r="1254">
      <c r="A1254" s="16" t="str">
        <f>IFERROR(__xludf.DUMMYFUNCTION("""COMPUTED_VALUE"""),"Риба")</f>
        <v>Риба</v>
      </c>
      <c r="B1254" s="7" t="str">
        <f>IFERROR(__xludf.DUMMYFUNCTION("""COMPUTED_VALUE"""),"Октопод (сварен)")</f>
        <v>Октопод (сварен)</v>
      </c>
      <c r="C1254" s="12">
        <f>IFERROR(__xludf.DUMMYFUNCTION("""COMPUTED_VALUE"""),100.0)</f>
        <v>100</v>
      </c>
      <c r="D1254" s="7">
        <f>IFERROR(__xludf.DUMMYFUNCTION("""COMPUTED_VALUE"""),29.82)</f>
        <v>29.82</v>
      </c>
      <c r="E1254" s="16">
        <f>IFERROR(__xludf.DUMMYFUNCTION("""COMPUTED_VALUE"""),4.4)</f>
        <v>4.4</v>
      </c>
      <c r="F1254" s="16">
        <f>IFERROR(__xludf.DUMMYFUNCTION("""COMPUTED_VALUE"""),2.08)</f>
        <v>2.08</v>
      </c>
      <c r="G1254" s="16">
        <f>IFERROR(__xludf.DUMMYFUNCTION("""COMPUTED_VALUE"""),0.0)</f>
        <v>0</v>
      </c>
      <c r="H1254" s="16">
        <f>IFERROR(__xludf.DUMMYFUNCTION("""COMPUTED_VALUE"""),155.6)</f>
        <v>155.6</v>
      </c>
    </row>
    <row r="1255">
      <c r="A1255" s="16" t="str">
        <f>IFERROR(__xludf.DUMMYFUNCTION("""COMPUTED_VALUE"""),"Риба")</f>
        <v>Риба</v>
      </c>
      <c r="B1255" s="7" t="str">
        <f>IFERROR(__xludf.DUMMYFUNCTION("""COMPUTED_VALUE"""),"Капска меркуза (сурова)")</f>
        <v>Капска меркуза (сурова)</v>
      </c>
      <c r="C1255" s="12">
        <f>IFERROR(__xludf.DUMMYFUNCTION("""COMPUTED_VALUE"""),100.0)</f>
        <v>100</v>
      </c>
      <c r="D1255" s="7">
        <f>IFERROR(__xludf.DUMMYFUNCTION("""COMPUTED_VALUE"""),16.9)</f>
        <v>16.9</v>
      </c>
      <c r="E1255" s="16">
        <f>IFERROR(__xludf.DUMMYFUNCTION("""COMPUTED_VALUE"""),0.0)</f>
        <v>0</v>
      </c>
      <c r="F1255" s="16">
        <f>IFERROR(__xludf.DUMMYFUNCTION("""COMPUTED_VALUE"""),0.7)</f>
        <v>0.7</v>
      </c>
      <c r="G1255" s="16">
        <f>IFERROR(__xludf.DUMMYFUNCTION("""COMPUTED_VALUE"""),0.0)</f>
        <v>0</v>
      </c>
      <c r="H1255" s="16">
        <f>IFERROR(__xludf.DUMMYFUNCTION("""COMPUTED_VALUE"""),73.89999999999999)</f>
        <v>73.9</v>
      </c>
    </row>
    <row r="1256">
      <c r="A1256" s="16" t="str">
        <f>IFERROR(__xludf.DUMMYFUNCTION("""COMPUTED_VALUE"""),"Риба")</f>
        <v>Риба</v>
      </c>
      <c r="B1256" s="7" t="str">
        <f>IFERROR(__xludf.DUMMYFUNCTION("""COMPUTED_VALUE"""),"Филе от Минтай с панировка Lidl (сурово състояние)")</f>
        <v>Филе от Минтай с панировка Lidl (сурово състояние)</v>
      </c>
      <c r="C1256" s="12">
        <f>IFERROR(__xludf.DUMMYFUNCTION("""COMPUTED_VALUE"""),100.0)</f>
        <v>100</v>
      </c>
      <c r="D1256" s="7">
        <f>IFERROR(__xludf.DUMMYFUNCTION("""COMPUTED_VALUE"""),10.4)</f>
        <v>10.4</v>
      </c>
      <c r="E1256" s="16">
        <f>IFERROR(__xludf.DUMMYFUNCTION("""COMPUTED_VALUE"""),11.2)</f>
        <v>11.2</v>
      </c>
      <c r="F1256" s="16">
        <f>IFERROR(__xludf.DUMMYFUNCTION("""COMPUTED_VALUE"""),8.5)</f>
        <v>8.5</v>
      </c>
      <c r="G1256" s="16">
        <f>IFERROR(__xludf.DUMMYFUNCTION("""COMPUTED_VALUE"""),0.0)</f>
        <v>0</v>
      </c>
      <c r="H1256" s="16">
        <f>IFERROR(__xludf.DUMMYFUNCTION("""COMPUTED_VALUE"""),162.9)</f>
        <v>162.9</v>
      </c>
    </row>
    <row r="1257">
      <c r="A1257" s="16" t="str">
        <f>IFERROR(__xludf.DUMMYFUNCTION("""COMPUTED_VALUE"""),"Семена")</f>
        <v>Семена</v>
      </c>
      <c r="B1257" s="7" t="str">
        <f>IFERROR(__xludf.DUMMYFUNCTION("""COMPUTED_VALUE"""),"Киноа")</f>
        <v>Киноа</v>
      </c>
      <c r="C1257" s="7">
        <f>IFERROR(__xludf.DUMMYFUNCTION("""COMPUTED_VALUE"""),100.0)</f>
        <v>100</v>
      </c>
      <c r="D1257" s="7">
        <f>IFERROR(__xludf.DUMMYFUNCTION("""COMPUTED_VALUE"""),14.12)</f>
        <v>14.12</v>
      </c>
      <c r="E1257" s="16">
        <f>IFERROR(__xludf.DUMMYFUNCTION("""COMPUTED_VALUE"""),64.16)</f>
        <v>64.16</v>
      </c>
      <c r="F1257" s="16">
        <f>IFERROR(__xludf.DUMMYFUNCTION("""COMPUTED_VALUE"""),6.1)</f>
        <v>6.1</v>
      </c>
      <c r="G1257" s="16">
        <f>IFERROR(__xludf.DUMMYFUNCTION("""COMPUTED_VALUE"""),7.0)</f>
        <v>7</v>
      </c>
      <c r="H1257" s="23">
        <f>IFERROR(__xludf.DUMMYFUNCTION("""COMPUTED_VALUE"""),368.02)</f>
        <v>368.02</v>
      </c>
    </row>
    <row r="1258">
      <c r="A1258" s="16" t="str">
        <f>IFERROR(__xludf.DUMMYFUNCTION("""COMPUTED_VALUE"""),"Семена")</f>
        <v>Семена</v>
      </c>
      <c r="B1258" s="7" t="str">
        <f>IFERROR(__xludf.DUMMYFUNCTION("""COMPUTED_VALUE"""),"Чиа")</f>
        <v>Чиа</v>
      </c>
      <c r="C1258" s="7">
        <f>IFERROR(__xludf.DUMMYFUNCTION("""COMPUTED_VALUE"""),100.0)</f>
        <v>100</v>
      </c>
      <c r="D1258" s="7">
        <f>IFERROR(__xludf.DUMMYFUNCTION("""COMPUTED_VALUE"""),15.6)</f>
        <v>15.6</v>
      </c>
      <c r="E1258" s="16">
        <f>IFERROR(__xludf.DUMMYFUNCTION("""COMPUTED_VALUE"""),43.8)</f>
        <v>43.8</v>
      </c>
      <c r="F1258" s="16">
        <f>IFERROR(__xludf.DUMMYFUNCTION("""COMPUTED_VALUE"""),30.8)</f>
        <v>30.8</v>
      </c>
      <c r="G1258" s="16">
        <f>IFERROR(__xludf.DUMMYFUNCTION("""COMPUTED_VALUE"""),37.7)</f>
        <v>37.7</v>
      </c>
      <c r="H1258" s="23">
        <f>IFERROR(__xludf.DUMMYFUNCTION("""COMPUTED_VALUE"""),514.8)</f>
        <v>514.8</v>
      </c>
    </row>
    <row r="1259">
      <c r="A1259" s="16" t="str">
        <f>IFERROR(__xludf.DUMMYFUNCTION("""COMPUTED_VALUE"""),"Семена")</f>
        <v>Семена</v>
      </c>
      <c r="B1259" s="7" t="str">
        <f>IFERROR(__xludf.DUMMYFUNCTION("""COMPUTED_VALUE"""),"Лен")</f>
        <v>Лен</v>
      </c>
      <c r="C1259" s="7">
        <f>IFERROR(__xludf.DUMMYFUNCTION("""COMPUTED_VALUE"""),100.0)</f>
        <v>100</v>
      </c>
      <c r="D1259" s="7">
        <f>IFERROR(__xludf.DUMMYFUNCTION("""COMPUTED_VALUE"""),18.3)</f>
        <v>18.3</v>
      </c>
      <c r="E1259" s="16">
        <f>IFERROR(__xludf.DUMMYFUNCTION("""COMPUTED_VALUE"""),28.9)</f>
        <v>28.9</v>
      </c>
      <c r="F1259" s="16">
        <f>IFERROR(__xludf.DUMMYFUNCTION("""COMPUTED_VALUE"""),42.2)</f>
        <v>42.2</v>
      </c>
      <c r="G1259" s="16">
        <f>IFERROR(__xludf.DUMMYFUNCTION("""COMPUTED_VALUE"""),27.3)</f>
        <v>27.3</v>
      </c>
      <c r="H1259" s="23">
        <f>IFERROR(__xludf.DUMMYFUNCTION("""COMPUTED_VALUE"""),568.6)</f>
        <v>568.6</v>
      </c>
    </row>
    <row r="1260">
      <c r="A1260" s="16" t="str">
        <f>IFERROR(__xludf.DUMMYFUNCTION("""COMPUTED_VALUE"""),"Семена")</f>
        <v>Семена</v>
      </c>
      <c r="B1260" s="7" t="str">
        <f>IFERROR(__xludf.DUMMYFUNCTION("""COMPUTED_VALUE"""),"Слънчогледово семе (сурово)")</f>
        <v>Слънчогледово семе (сурово)</v>
      </c>
      <c r="C1260" s="7" t="str">
        <f>IFERROR(__xludf.DUMMYFUNCTION("""COMPUTED_VALUE"""),"100")</f>
        <v>100</v>
      </c>
      <c r="D1260" s="7">
        <f>IFERROR(__xludf.DUMMYFUNCTION("""COMPUTED_VALUE"""),20.0)</f>
        <v>20</v>
      </c>
      <c r="E1260" s="16">
        <f>IFERROR(__xludf.DUMMYFUNCTION("""COMPUTED_VALUE"""),20.0)</f>
        <v>20</v>
      </c>
      <c r="F1260" s="16">
        <f>IFERROR(__xludf.DUMMYFUNCTION("""COMPUTED_VALUE"""),51.0)</f>
        <v>51</v>
      </c>
      <c r="G1260" s="16">
        <f>IFERROR(__xludf.DUMMYFUNCTION("""COMPUTED_VALUE"""),8.5)</f>
        <v>8.5</v>
      </c>
      <c r="H1260" s="23">
        <f>IFERROR(__xludf.DUMMYFUNCTION("""COMPUTED_VALUE"""),619.0)</f>
        <v>619</v>
      </c>
    </row>
    <row r="1261">
      <c r="A1261" s="16" t="str">
        <f>IFERROR(__xludf.DUMMYFUNCTION("""COMPUTED_VALUE"""),"Семена")</f>
        <v>Семена</v>
      </c>
      <c r="B1261" s="7" t="str">
        <f>IFERROR(__xludf.DUMMYFUNCTION("""COMPUTED_VALUE"""),"Конопено семе")</f>
        <v>Конопено семе</v>
      </c>
      <c r="C1261" s="7">
        <f>IFERROR(__xludf.DUMMYFUNCTION("""COMPUTED_VALUE"""),100.0)</f>
        <v>100</v>
      </c>
      <c r="D1261" s="7">
        <f>IFERROR(__xludf.DUMMYFUNCTION("""COMPUTED_VALUE"""),31.0)</f>
        <v>31</v>
      </c>
      <c r="E1261" s="16">
        <f>IFERROR(__xludf.DUMMYFUNCTION("""COMPUTED_VALUE"""),4.6)</f>
        <v>4.6</v>
      </c>
      <c r="F1261" s="16">
        <f>IFERROR(__xludf.DUMMYFUNCTION("""COMPUTED_VALUE"""),52.0)</f>
        <v>52</v>
      </c>
      <c r="G1261" s="16">
        <f>IFERROR(__xludf.DUMMYFUNCTION("""COMPUTED_VALUE"""),6.0)</f>
        <v>6</v>
      </c>
      <c r="H1261" s="23">
        <f>IFERROR(__xludf.DUMMYFUNCTION("""COMPUTED_VALUE"""),610.4)</f>
        <v>610.4</v>
      </c>
    </row>
    <row r="1262">
      <c r="A1262" s="16" t="str">
        <f>IFERROR(__xludf.DUMMYFUNCTION("""COMPUTED_VALUE"""),"Семена")</f>
        <v>Семена</v>
      </c>
      <c r="B1262" s="7" t="str">
        <f>IFERROR(__xludf.DUMMYFUNCTION("""COMPUTED_VALUE"""),"Ленено семе")</f>
        <v>Ленено семе</v>
      </c>
      <c r="C1262" s="7">
        <f>IFERROR(__xludf.DUMMYFUNCTION("""COMPUTED_VALUE"""),100.0)</f>
        <v>100</v>
      </c>
      <c r="D1262" s="7">
        <f>IFERROR(__xludf.DUMMYFUNCTION("""COMPUTED_VALUE"""),18.3)</f>
        <v>18.3</v>
      </c>
      <c r="E1262" s="16">
        <f>IFERROR(__xludf.DUMMYFUNCTION("""COMPUTED_VALUE"""),28.9)</f>
        <v>28.9</v>
      </c>
      <c r="F1262" s="16">
        <f>IFERROR(__xludf.DUMMYFUNCTION("""COMPUTED_VALUE"""),42.2)</f>
        <v>42.2</v>
      </c>
      <c r="G1262" s="16">
        <f>IFERROR(__xludf.DUMMYFUNCTION("""COMPUTED_VALUE"""),27.3)</f>
        <v>27.3</v>
      </c>
      <c r="H1262" s="23">
        <f>IFERROR(__xludf.DUMMYFUNCTION("""COMPUTED_VALUE"""),568.6)</f>
        <v>568.6</v>
      </c>
    </row>
    <row r="1263">
      <c r="A1263" s="16" t="str">
        <f>IFERROR(__xludf.DUMMYFUNCTION("""COMPUTED_VALUE"""),"Семена")</f>
        <v>Семена</v>
      </c>
      <c r="B1263" s="7" t="str">
        <f>IFERROR(__xludf.DUMMYFUNCTION("""COMPUTED_VALUE"""),"Слънчогледово семе белено - сурово Farmer´s Snack")</f>
        <v>Слънчогледово семе белено - сурово Farmer´s Snack</v>
      </c>
      <c r="C1263" s="12">
        <f>IFERROR(__xludf.DUMMYFUNCTION("""COMPUTED_VALUE"""),100.0)</f>
        <v>100</v>
      </c>
      <c r="D1263" s="7">
        <f>IFERROR(__xludf.DUMMYFUNCTION("""COMPUTED_VALUE"""),21.0)</f>
        <v>21</v>
      </c>
      <c r="E1263" s="16">
        <f>IFERROR(__xludf.DUMMYFUNCTION("""COMPUTED_VALUE"""),20.0)</f>
        <v>20</v>
      </c>
      <c r="F1263" s="16">
        <f>IFERROR(__xludf.DUMMYFUNCTION("""COMPUTED_VALUE"""),52.0)</f>
        <v>52</v>
      </c>
      <c r="G1263" s="16">
        <f>IFERROR(__xludf.DUMMYFUNCTION("""COMPUTED_VALUE"""),0.0)</f>
        <v>0</v>
      </c>
      <c r="H1263" s="16">
        <f>IFERROR(__xludf.DUMMYFUNCTION("""COMPUTED_VALUE"""),632.0)</f>
        <v>632</v>
      </c>
    </row>
    <row r="1264">
      <c r="A1264" s="16" t="str">
        <f>IFERROR(__xludf.DUMMYFUNCTION("""COMPUTED_VALUE"""),"Семена")</f>
        <v>Семена</v>
      </c>
      <c r="B1264" s="7" t="str">
        <f>IFERROR(__xludf.DUMMYFUNCTION("""COMPUTED_VALUE"""),"Тиквено семе белено - сурово  Fermer´s Snack")</f>
        <v>Тиквено семе белено - сурово  Fermer´s Snack</v>
      </c>
      <c r="C1264" s="12">
        <f>IFERROR(__xludf.DUMMYFUNCTION("""COMPUTED_VALUE"""),100.0)</f>
        <v>100</v>
      </c>
      <c r="D1264" s="7">
        <f>IFERROR(__xludf.DUMMYFUNCTION("""COMPUTED_VALUE"""),36.0)</f>
        <v>36</v>
      </c>
      <c r="E1264" s="16">
        <f>IFERROR(__xludf.DUMMYFUNCTION("""COMPUTED_VALUE"""),3.2)</f>
        <v>3.2</v>
      </c>
      <c r="F1264" s="16">
        <f>IFERROR(__xludf.DUMMYFUNCTION("""COMPUTED_VALUE"""),42.0)</f>
        <v>42</v>
      </c>
      <c r="G1264" s="16">
        <f>IFERROR(__xludf.DUMMYFUNCTION("""COMPUTED_VALUE"""),0.0)</f>
        <v>0</v>
      </c>
      <c r="H1264" s="16">
        <f>IFERROR(__xludf.DUMMYFUNCTION("""COMPUTED_VALUE"""),534.8)</f>
        <v>534.8</v>
      </c>
    </row>
    <row r="1265">
      <c r="A1265" s="16" t="str">
        <f>IFERROR(__xludf.DUMMYFUNCTION("""COMPUTED_VALUE"""),"Сосове")</f>
        <v>Сосове</v>
      </c>
      <c r="B1265" s="7" t="str">
        <f>IFERROR(__xludf.DUMMYFUNCTION("""COMPUTED_VALUE"""),"Доматено пюре Philicon")</f>
        <v>Доматено пюре Philicon</v>
      </c>
      <c r="C1265" s="12">
        <f>IFERROR(__xludf.DUMMYFUNCTION("""COMPUTED_VALUE"""),100.0)</f>
        <v>100</v>
      </c>
      <c r="D1265" s="7">
        <f>IFERROR(__xludf.DUMMYFUNCTION("""COMPUTED_VALUE"""),1.5)</f>
        <v>1.5</v>
      </c>
      <c r="E1265" s="16">
        <f>IFERROR(__xludf.DUMMYFUNCTION("""COMPUTED_VALUE"""),3.9)</f>
        <v>3.9</v>
      </c>
      <c r="F1265" s="16">
        <f>IFERROR(__xludf.DUMMYFUNCTION("""COMPUTED_VALUE"""),0.1)</f>
        <v>0.1</v>
      </c>
      <c r="G1265" s="16">
        <f>IFERROR(__xludf.DUMMYFUNCTION("""COMPUTED_VALUE"""),0.0)</f>
        <v>0</v>
      </c>
      <c r="H1265" s="23">
        <f>IFERROR(__xludf.DUMMYFUNCTION("""COMPUTED_VALUE"""),22.5)</f>
        <v>22.5</v>
      </c>
    </row>
    <row r="1266">
      <c r="A1266" s="16" t="str">
        <f>IFERROR(__xludf.DUMMYFUNCTION("""COMPUTED_VALUE"""),"Сосове")</f>
        <v>Сосове</v>
      </c>
      <c r="B1266" s="7" t="str">
        <f>IFERROR(__xludf.DUMMYFUNCTION("""COMPUTED_VALUE"""),"Лютеница ""Хорцето""")</f>
        <v>Лютеница "Хорцето"</v>
      </c>
      <c r="C1266" s="12">
        <f>IFERROR(__xludf.DUMMYFUNCTION("""COMPUTED_VALUE"""),100.0)</f>
        <v>100</v>
      </c>
      <c r="D1266" s="7">
        <f>IFERROR(__xludf.DUMMYFUNCTION("""COMPUTED_VALUE"""),2.2)</f>
        <v>2.2</v>
      </c>
      <c r="E1266" s="16">
        <f>IFERROR(__xludf.DUMMYFUNCTION("""COMPUTED_VALUE"""),14.6)</f>
        <v>14.6</v>
      </c>
      <c r="F1266" s="16">
        <f>IFERROR(__xludf.DUMMYFUNCTION("""COMPUTED_VALUE"""),5.1)</f>
        <v>5.1</v>
      </c>
      <c r="G1266" s="16">
        <f>IFERROR(__xludf.DUMMYFUNCTION("""COMPUTED_VALUE"""),0.8)</f>
        <v>0.8</v>
      </c>
      <c r="H1266" s="23">
        <f>IFERROR(__xludf.DUMMYFUNCTION("""COMPUTED_VALUE"""),113.1)</f>
        <v>113.1</v>
      </c>
    </row>
    <row r="1267">
      <c r="A1267" s="16" t="str">
        <f>IFERROR(__xludf.DUMMYFUNCTION("""COMPUTED_VALUE"""),"Сосове")</f>
        <v>Сосове</v>
      </c>
      <c r="B1267" s="7" t="str">
        <f>IFERROR(__xludf.DUMMYFUNCTION("""COMPUTED_VALUE"""),"Лютеница ""Дерони"" - едросмляна")</f>
        <v>Лютеница "Дерони" - едросмляна</v>
      </c>
      <c r="C1267" s="12">
        <f>IFERROR(__xludf.DUMMYFUNCTION("""COMPUTED_VALUE"""),100.0)</f>
        <v>100</v>
      </c>
      <c r="D1267" s="7">
        <f>IFERROR(__xludf.DUMMYFUNCTION("""COMPUTED_VALUE"""),1.8)</f>
        <v>1.8</v>
      </c>
      <c r="E1267" s="16">
        <f>IFERROR(__xludf.DUMMYFUNCTION("""COMPUTED_VALUE"""),16.0)</f>
        <v>16</v>
      </c>
      <c r="F1267" s="16">
        <f>IFERROR(__xludf.DUMMYFUNCTION("""COMPUTED_VALUE"""),9.6)</f>
        <v>9.6</v>
      </c>
      <c r="G1267" s="16">
        <f>IFERROR(__xludf.DUMMYFUNCTION("""COMPUTED_VALUE"""),0.0)</f>
        <v>0</v>
      </c>
      <c r="H1267" s="16">
        <f>IFERROR(__xludf.DUMMYFUNCTION("""COMPUTED_VALUE"""),157.6)</f>
        <v>157.6</v>
      </c>
    </row>
    <row r="1268">
      <c r="A1268" s="16" t="str">
        <f>IFERROR(__xludf.DUMMYFUNCTION("""COMPUTED_VALUE"""),"Сосове")</f>
        <v>Сосове</v>
      </c>
      <c r="B1268" s="7" t="str">
        <f>IFERROR(__xludf.DUMMYFUNCTION("""COMPUTED_VALUE"""),"Олинезко - за деца")</f>
        <v>Олинезко - за деца</v>
      </c>
      <c r="C1268" s="12">
        <f>IFERROR(__xludf.DUMMYFUNCTION("""COMPUTED_VALUE"""),100.0)</f>
        <v>100</v>
      </c>
      <c r="D1268" s="7">
        <f>IFERROR(__xludf.DUMMYFUNCTION("""COMPUTED_VALUE"""),0.0)</f>
        <v>0</v>
      </c>
      <c r="E1268" s="16">
        <f>IFERROR(__xludf.DUMMYFUNCTION("""COMPUTED_VALUE"""),18.6)</f>
        <v>18.6</v>
      </c>
      <c r="F1268" s="16">
        <f>IFERROR(__xludf.DUMMYFUNCTION("""COMPUTED_VALUE"""),8.5)</f>
        <v>8.5</v>
      </c>
      <c r="G1268" s="16">
        <f>IFERROR(__xludf.DUMMYFUNCTION("""COMPUTED_VALUE"""),0.0)</f>
        <v>0</v>
      </c>
      <c r="H1268" s="23">
        <f>IFERROR(__xludf.DUMMYFUNCTION("""COMPUTED_VALUE"""),150.9)</f>
        <v>150.9</v>
      </c>
    </row>
    <row r="1269">
      <c r="A1269" s="16" t="str">
        <f>IFERROR(__xludf.DUMMYFUNCTION("""COMPUTED_VALUE"""),"Сосове")</f>
        <v>Сосове</v>
      </c>
      <c r="B1269" s="7" t="str">
        <f>IFERROR(__xludf.DUMMYFUNCTION("""COMPUTED_VALUE"""),"Доматено пюре с босилек Atlantic")</f>
        <v>Доматено пюре с босилек Atlantic</v>
      </c>
      <c r="C1269" s="7">
        <f>IFERROR(__xludf.DUMMYFUNCTION("""COMPUTED_VALUE"""),100.0)</f>
        <v>100</v>
      </c>
      <c r="D1269" s="7">
        <f>IFERROR(__xludf.DUMMYFUNCTION("""COMPUTED_VALUE"""),0.7)</f>
        <v>0.7</v>
      </c>
      <c r="E1269" s="16">
        <f>IFERROR(__xludf.DUMMYFUNCTION("""COMPUTED_VALUE"""),9.2)</f>
        <v>9.2</v>
      </c>
      <c r="F1269" s="16">
        <f>IFERROR(__xludf.DUMMYFUNCTION("""COMPUTED_VALUE"""),1.7)</f>
        <v>1.7</v>
      </c>
      <c r="G1269" s="16">
        <f>IFERROR(__xludf.DUMMYFUNCTION("""COMPUTED_VALUE"""),0.0)</f>
        <v>0</v>
      </c>
      <c r="H1269" s="23">
        <f>IFERROR(__xludf.DUMMYFUNCTION("""COMPUTED_VALUE"""),54.89999999999999)</f>
        <v>54.9</v>
      </c>
    </row>
    <row r="1270">
      <c r="A1270" s="16" t="str">
        <f>IFERROR(__xludf.DUMMYFUNCTION("""COMPUTED_VALUE"""),"Сосове")</f>
        <v>Сосове</v>
      </c>
      <c r="B1270" s="7" t="str">
        <f>IFERROR(__xludf.DUMMYFUNCTION("""COMPUTED_VALUE"""),"Доматено пюре Atlantic")</f>
        <v>Доматено пюре Atlantic</v>
      </c>
      <c r="C1270" s="7">
        <f>IFERROR(__xludf.DUMMYFUNCTION("""COMPUTED_VALUE"""),100.0)</f>
        <v>100</v>
      </c>
      <c r="D1270" s="7">
        <f>IFERROR(__xludf.DUMMYFUNCTION("""COMPUTED_VALUE"""),0.7)</f>
        <v>0.7</v>
      </c>
      <c r="E1270" s="16">
        <f>IFERROR(__xludf.DUMMYFUNCTION("""COMPUTED_VALUE"""),9.0)</f>
        <v>9</v>
      </c>
      <c r="F1270" s="16">
        <f>IFERROR(__xludf.DUMMYFUNCTION("""COMPUTED_VALUE"""),0.0)</f>
        <v>0</v>
      </c>
      <c r="G1270" s="16">
        <f>IFERROR(__xludf.DUMMYFUNCTION("""COMPUTED_VALUE"""),0.0)</f>
        <v>0</v>
      </c>
      <c r="H1270" s="23">
        <f>IFERROR(__xludf.DUMMYFUNCTION("""COMPUTED_VALUE"""),38.8)</f>
        <v>38.8</v>
      </c>
    </row>
    <row r="1271">
      <c r="A1271" s="16" t="str">
        <f>IFERROR(__xludf.DUMMYFUNCTION("""COMPUTED_VALUE"""),"Сосове")</f>
        <v>Сосове</v>
      </c>
      <c r="B1271" s="7" t="str">
        <f>IFERROR(__xludf.DUMMYFUNCTION("""COMPUTED_VALUE"""),"Доматено пюре Cirio")</f>
        <v>Доматено пюре Cirio</v>
      </c>
      <c r="C1271" s="7">
        <f>IFERROR(__xludf.DUMMYFUNCTION("""COMPUTED_VALUE"""),100.0)</f>
        <v>100</v>
      </c>
      <c r="D1271" s="7">
        <f>IFERROR(__xludf.DUMMYFUNCTION("""COMPUTED_VALUE"""),1.2)</f>
        <v>1.2</v>
      </c>
      <c r="E1271" s="16">
        <f>IFERROR(__xludf.DUMMYFUNCTION("""COMPUTED_VALUE"""),5.3)</f>
        <v>5.3</v>
      </c>
      <c r="F1271" s="16">
        <f>IFERROR(__xludf.DUMMYFUNCTION("""COMPUTED_VALUE"""),0.1)</f>
        <v>0.1</v>
      </c>
      <c r="G1271" s="16">
        <f>IFERROR(__xludf.DUMMYFUNCTION("""COMPUTED_VALUE"""),1.7)</f>
        <v>1.7</v>
      </c>
      <c r="H1271" s="23">
        <f>IFERROR(__xludf.DUMMYFUNCTION("""COMPUTED_VALUE"""),26.9)</f>
        <v>26.9</v>
      </c>
    </row>
    <row r="1272">
      <c r="A1272" s="16" t="str">
        <f>IFERROR(__xludf.DUMMYFUNCTION("""COMPUTED_VALUE"""),"Сосове")</f>
        <v>Сосове</v>
      </c>
      <c r="B1272" s="7" t="str">
        <f>IFERROR(__xludf.DUMMYFUNCTION("""COMPUTED_VALUE"""),"Майонеза Краси - Свежа")</f>
        <v>Майонеза Краси - Свежа</v>
      </c>
      <c r="C1272" s="7">
        <f>IFERROR(__xludf.DUMMYFUNCTION("""COMPUTED_VALUE"""),100.0)</f>
        <v>100</v>
      </c>
      <c r="D1272" s="7">
        <f>IFERROR(__xludf.DUMMYFUNCTION("""COMPUTED_VALUE"""),0.5)</f>
        <v>0.5</v>
      </c>
      <c r="E1272" s="16">
        <f>IFERROR(__xludf.DUMMYFUNCTION("""COMPUTED_VALUE"""),4.5)</f>
        <v>4.5</v>
      </c>
      <c r="F1272" s="16">
        <f>IFERROR(__xludf.DUMMYFUNCTION("""COMPUTED_VALUE"""),35.0)</f>
        <v>35</v>
      </c>
      <c r="G1272" s="16">
        <f>IFERROR(__xludf.DUMMYFUNCTION("""COMPUTED_VALUE"""),0.0)</f>
        <v>0</v>
      </c>
      <c r="H1272" s="23">
        <f>IFERROR(__xludf.DUMMYFUNCTION("""COMPUTED_VALUE"""),335.0)</f>
        <v>335</v>
      </c>
    </row>
    <row r="1273">
      <c r="A1273" s="16" t="str">
        <f>IFERROR(__xludf.DUMMYFUNCTION("""COMPUTED_VALUE"""),"Сосове")</f>
        <v>Сосове</v>
      </c>
      <c r="B1273" s="7" t="str">
        <f>IFERROR(__xludf.DUMMYFUNCTION("""COMPUTED_VALUE"""),"Био Лютеница Баба и Внуче ЕООД")</f>
        <v>Био Лютеница Баба и Внуче ЕООД</v>
      </c>
      <c r="C1273" s="7">
        <f>IFERROR(__xludf.DUMMYFUNCTION("""COMPUTED_VALUE"""),100.0)</f>
        <v>100</v>
      </c>
      <c r="D1273" s="7">
        <f>IFERROR(__xludf.DUMMYFUNCTION("""COMPUTED_VALUE"""),4.0)</f>
        <v>4</v>
      </c>
      <c r="E1273" s="16">
        <f>IFERROR(__xludf.DUMMYFUNCTION("""COMPUTED_VALUE"""),10.8)</f>
        <v>10.8</v>
      </c>
      <c r="F1273" s="16">
        <f>IFERROR(__xludf.DUMMYFUNCTION("""COMPUTED_VALUE"""),10.2)</f>
        <v>10.2</v>
      </c>
      <c r="G1273" s="16">
        <f>IFERROR(__xludf.DUMMYFUNCTION("""COMPUTED_VALUE"""),0.0)</f>
        <v>0</v>
      </c>
      <c r="H1273" s="23">
        <f>IFERROR(__xludf.DUMMYFUNCTION("""COMPUTED_VALUE"""),151.0)</f>
        <v>151</v>
      </c>
    </row>
    <row r="1274">
      <c r="A1274" s="16" t="str">
        <f>IFERROR(__xludf.DUMMYFUNCTION("""COMPUTED_VALUE"""),"Сосове")</f>
        <v>Сосове</v>
      </c>
      <c r="B1274" s="7" t="str">
        <f>IFERROR(__xludf.DUMMYFUNCTION("""COMPUTED_VALUE"""),"Домашна лютеница")</f>
        <v>Домашна лютеница</v>
      </c>
      <c r="C1274" s="7">
        <f>IFERROR(__xludf.DUMMYFUNCTION("""COMPUTED_VALUE"""),100.0)</f>
        <v>100</v>
      </c>
      <c r="D1274" s="7">
        <f>IFERROR(__xludf.DUMMYFUNCTION("""COMPUTED_VALUE"""),1.4)</f>
        <v>1.4</v>
      </c>
      <c r="E1274" s="16">
        <f>IFERROR(__xludf.DUMMYFUNCTION("""COMPUTED_VALUE"""),6.0)</f>
        <v>6</v>
      </c>
      <c r="F1274" s="16">
        <f>IFERROR(__xludf.DUMMYFUNCTION("""COMPUTED_VALUE"""),5.0)</f>
        <v>5</v>
      </c>
      <c r="G1274" s="16">
        <f>IFERROR(__xludf.DUMMYFUNCTION("""COMPUTED_VALUE"""),0.0)</f>
        <v>0</v>
      </c>
      <c r="H1274" s="23">
        <f>IFERROR(__xludf.DUMMYFUNCTION("""COMPUTED_VALUE"""),74.6)</f>
        <v>74.6</v>
      </c>
    </row>
    <row r="1275">
      <c r="A1275" s="16" t="str">
        <f>IFERROR(__xludf.DUMMYFUNCTION("""COMPUTED_VALUE"""),"Сосове")</f>
        <v>Сосове</v>
      </c>
      <c r="B1275" s="7" t="str">
        <f>IFERROR(__xludf.DUMMYFUNCTION("""COMPUTED_VALUE"""),"Доматено пюре (Passata)")</f>
        <v>Доматено пюре (Passata)</v>
      </c>
      <c r="C1275" s="7">
        <f>IFERROR(__xludf.DUMMYFUNCTION("""COMPUTED_VALUE"""),100.0)</f>
        <v>100</v>
      </c>
      <c r="D1275" s="7">
        <f>IFERROR(__xludf.DUMMYFUNCTION("""COMPUTED_VALUE"""),1.6)</f>
        <v>1.6</v>
      </c>
      <c r="E1275" s="16">
        <f>IFERROR(__xludf.DUMMYFUNCTION("""COMPUTED_VALUE"""),4.7)</f>
        <v>4.7</v>
      </c>
      <c r="F1275" s="16">
        <f>IFERROR(__xludf.DUMMYFUNCTION("""COMPUTED_VALUE"""),0.1)</f>
        <v>0.1</v>
      </c>
      <c r="G1275" s="16">
        <f>IFERROR(__xludf.DUMMYFUNCTION("""COMPUTED_VALUE"""),2.0)</f>
        <v>2</v>
      </c>
      <c r="H1275" s="23">
        <f>IFERROR(__xludf.DUMMYFUNCTION("""COMPUTED_VALUE"""),26.1)</f>
        <v>26.1</v>
      </c>
    </row>
    <row r="1276">
      <c r="A1276" s="16" t="str">
        <f>IFERROR(__xludf.DUMMYFUNCTION("""COMPUTED_VALUE"""),"Сосове")</f>
        <v>Сосове</v>
      </c>
      <c r="B1276" s="7" t="str">
        <f>IFERROR(__xludf.DUMMYFUNCTION("""COMPUTED_VALUE"""),"Соев сос ""Дерони""")</f>
        <v>Соев сос "Дерони"</v>
      </c>
      <c r="C1276" s="7">
        <f>IFERROR(__xludf.DUMMYFUNCTION("""COMPUTED_VALUE"""),100.0)</f>
        <v>100</v>
      </c>
      <c r="D1276" s="7">
        <f>IFERROR(__xludf.DUMMYFUNCTION("""COMPUTED_VALUE"""),5.0)</f>
        <v>5</v>
      </c>
      <c r="E1276" s="16">
        <f>IFERROR(__xludf.DUMMYFUNCTION("""COMPUTED_VALUE"""),18.0)</f>
        <v>18</v>
      </c>
      <c r="F1276" s="16">
        <f>IFERROR(__xludf.DUMMYFUNCTION("""COMPUTED_VALUE"""),0.0)</f>
        <v>0</v>
      </c>
      <c r="G1276" s="16">
        <f>IFERROR(__xludf.DUMMYFUNCTION("""COMPUTED_VALUE"""),0.0)</f>
        <v>0</v>
      </c>
      <c r="H1276" s="23">
        <f>IFERROR(__xludf.DUMMYFUNCTION("""COMPUTED_VALUE"""),92.0)</f>
        <v>92</v>
      </c>
    </row>
    <row r="1277">
      <c r="A1277" s="16" t="str">
        <f>IFERROR(__xludf.DUMMYFUNCTION("""COMPUTED_VALUE"""),"Сосове")</f>
        <v>Сосове</v>
      </c>
      <c r="B1277" s="7" t="str">
        <f>IFERROR(__xludf.DUMMYFUNCTION("""COMPUTED_VALUE"""),"Майонеза салатена (Kania)")</f>
        <v>Майонеза салатена (Kania)</v>
      </c>
      <c r="C1277" s="7">
        <f>IFERROR(__xludf.DUMMYFUNCTION("""COMPUTED_VALUE"""),100.0)</f>
        <v>100</v>
      </c>
      <c r="D1277" s="7">
        <f>IFERROR(__xludf.DUMMYFUNCTION("""COMPUTED_VALUE"""),0.7)</f>
        <v>0.7</v>
      </c>
      <c r="E1277" s="16">
        <f>IFERROR(__xludf.DUMMYFUNCTION("""COMPUTED_VALUE"""),7.5)</f>
        <v>7.5</v>
      </c>
      <c r="F1277" s="16">
        <f>IFERROR(__xludf.DUMMYFUNCTION("""COMPUTED_VALUE"""),50.2)</f>
        <v>50.2</v>
      </c>
      <c r="G1277" s="16">
        <f>IFERROR(__xludf.DUMMYFUNCTION("""COMPUTED_VALUE"""),0.0)</f>
        <v>0</v>
      </c>
      <c r="H1277" s="23">
        <f>IFERROR(__xludf.DUMMYFUNCTION("""COMPUTED_VALUE"""),484.6)</f>
        <v>484.6</v>
      </c>
    </row>
    <row r="1278">
      <c r="A1278" s="16" t="str">
        <f>IFERROR(__xludf.DUMMYFUNCTION("""COMPUTED_VALUE"""),"Сосове")</f>
        <v>Сосове</v>
      </c>
      <c r="B1278" s="7" t="str">
        <f>IFERROR(__xludf.DUMMYFUNCTION("""COMPUTED_VALUE"""),"Лютеница едромляна ""Родна стряха"" Lidl")</f>
        <v>Лютеница едромляна "Родна стряха" Lidl</v>
      </c>
      <c r="C1278" s="7">
        <f>IFERROR(__xludf.DUMMYFUNCTION("""COMPUTED_VALUE"""),100.0)</f>
        <v>100</v>
      </c>
      <c r="D1278" s="7">
        <f>IFERROR(__xludf.DUMMYFUNCTION("""COMPUTED_VALUE"""),1.8)</f>
        <v>1.8</v>
      </c>
      <c r="E1278" s="16">
        <f>IFERROR(__xludf.DUMMYFUNCTION("""COMPUTED_VALUE"""),13.9)</f>
        <v>13.9</v>
      </c>
      <c r="F1278" s="16">
        <f>IFERROR(__xludf.DUMMYFUNCTION("""COMPUTED_VALUE"""),14.2)</f>
        <v>14.2</v>
      </c>
      <c r="G1278" s="16">
        <f>IFERROR(__xludf.DUMMYFUNCTION("""COMPUTED_VALUE"""),0.0)</f>
        <v>0</v>
      </c>
      <c r="H1278" s="23">
        <f>IFERROR(__xludf.DUMMYFUNCTION("""COMPUTED_VALUE"""),190.6)</f>
        <v>190.6</v>
      </c>
    </row>
    <row r="1279">
      <c r="A1279" s="16" t="str">
        <f>IFERROR(__xludf.DUMMYFUNCTION("""COMPUTED_VALUE"""),"Сосове")</f>
        <v>Сосове</v>
      </c>
      <c r="B1279" s="7" t="str">
        <f>IFERROR(__xludf.DUMMYFUNCTION("""COMPUTED_VALUE"""),"БОЛОНЕЗЕ Combino")</f>
        <v>БОЛОНЕЗЕ Combino</v>
      </c>
      <c r="C1279" s="7">
        <f>IFERROR(__xludf.DUMMYFUNCTION("""COMPUTED_VALUE"""),100.0)</f>
        <v>100</v>
      </c>
      <c r="D1279" s="7">
        <f>IFERROR(__xludf.DUMMYFUNCTION("""COMPUTED_VALUE"""),3.9)</f>
        <v>3.9</v>
      </c>
      <c r="E1279" s="16">
        <f>IFERROR(__xludf.DUMMYFUNCTION("""COMPUTED_VALUE"""),6.8)</f>
        <v>6.8</v>
      </c>
      <c r="F1279" s="16">
        <f>IFERROR(__xludf.DUMMYFUNCTION("""COMPUTED_VALUE"""),4.3)</f>
        <v>4.3</v>
      </c>
      <c r="G1279" s="16">
        <f>IFERROR(__xludf.DUMMYFUNCTION("""COMPUTED_VALUE"""),0.0)</f>
        <v>0</v>
      </c>
      <c r="H1279" s="23">
        <f>IFERROR(__xludf.DUMMYFUNCTION("""COMPUTED_VALUE"""),81.5)</f>
        <v>81.5</v>
      </c>
    </row>
    <row r="1280">
      <c r="A1280" s="16" t="str">
        <f>IFERROR(__xludf.DUMMYFUNCTION("""COMPUTED_VALUE"""),"Сосове")</f>
        <v>Сосове</v>
      </c>
      <c r="B1280" s="7" t="str">
        <f>IFERROR(__xludf.DUMMYFUNCTION("""COMPUTED_VALUE"""),"Сос за спагети Болонезе Хайнц")</f>
        <v>Сос за спагети Болонезе Хайнц</v>
      </c>
      <c r="C1280" s="7">
        <f>IFERROR(__xludf.DUMMYFUNCTION("""COMPUTED_VALUE"""),100.0)</f>
        <v>100</v>
      </c>
      <c r="D1280" s="7">
        <f>IFERROR(__xludf.DUMMYFUNCTION("""COMPUTED_VALUE"""),1.7)</f>
        <v>1.7</v>
      </c>
      <c r="E1280" s="16">
        <f>IFERROR(__xludf.DUMMYFUNCTION("""COMPUTED_VALUE"""),9.2)</f>
        <v>9.2</v>
      </c>
      <c r="F1280" s="16">
        <f>IFERROR(__xludf.DUMMYFUNCTION("""COMPUTED_VALUE"""),0.6)</f>
        <v>0.6</v>
      </c>
      <c r="G1280" s="16">
        <f>IFERROR(__xludf.DUMMYFUNCTION("""COMPUTED_VALUE"""),0.0)</f>
        <v>0</v>
      </c>
      <c r="H1280" s="23">
        <f>IFERROR(__xludf.DUMMYFUNCTION("""COMPUTED_VALUE"""),48.99999999999999)</f>
        <v>49</v>
      </c>
    </row>
    <row r="1281">
      <c r="A1281" s="16" t="str">
        <f>IFERROR(__xludf.DUMMYFUNCTION("""COMPUTED_VALUE"""),"Сосове")</f>
        <v>Сосове</v>
      </c>
      <c r="B1281" s="7" t="str">
        <f>IFERROR(__xludf.DUMMYFUNCTION("""COMPUTED_VALUE"""),"Песто ""Baresa""")</f>
        <v>Песто "Baresa"</v>
      </c>
      <c r="C1281" s="7">
        <f>IFERROR(__xludf.DUMMYFUNCTION("""COMPUTED_VALUE"""),100.0)</f>
        <v>100</v>
      </c>
      <c r="D1281" s="7">
        <f>IFERROR(__xludf.DUMMYFUNCTION("""COMPUTED_VALUE"""),4.1)</f>
        <v>4.1</v>
      </c>
      <c r="E1281" s="16">
        <f>IFERROR(__xludf.DUMMYFUNCTION("""COMPUTED_VALUE"""),4.8)</f>
        <v>4.8</v>
      </c>
      <c r="F1281" s="16">
        <f>IFERROR(__xludf.DUMMYFUNCTION("""COMPUTED_VALUE"""),35.9)</f>
        <v>35.9</v>
      </c>
      <c r="G1281" s="16">
        <f>IFERROR(__xludf.DUMMYFUNCTION("""COMPUTED_VALUE"""),0.5)</f>
        <v>0.5</v>
      </c>
      <c r="H1281" s="23">
        <f>IFERROR(__xludf.DUMMYFUNCTION("""COMPUTED_VALUE"""),358.69999999999993)</f>
        <v>358.7</v>
      </c>
    </row>
    <row r="1282">
      <c r="A1282" s="16" t="str">
        <f>IFERROR(__xludf.DUMMYFUNCTION("""COMPUTED_VALUE"""),"Сосове")</f>
        <v>Сосове</v>
      </c>
      <c r="B1282" s="7" t="str">
        <f>IFERROR(__xludf.DUMMYFUNCTION("""COMPUTED_VALUE"""),"Песто Рукола Deluxe (Lidl)")</f>
        <v>Песто Рукола Deluxe (Lidl)</v>
      </c>
      <c r="C1282" s="7">
        <f>IFERROR(__xludf.DUMMYFUNCTION("""COMPUTED_VALUE"""),100.0)</f>
        <v>100</v>
      </c>
      <c r="D1282" s="7">
        <f>IFERROR(__xludf.DUMMYFUNCTION("""COMPUTED_VALUE"""),4.5)</f>
        <v>4.5</v>
      </c>
      <c r="E1282" s="16">
        <f>IFERROR(__xludf.DUMMYFUNCTION("""COMPUTED_VALUE"""),8.0)</f>
        <v>8</v>
      </c>
      <c r="F1282" s="16">
        <f>IFERROR(__xludf.DUMMYFUNCTION("""COMPUTED_VALUE"""),36.8)</f>
        <v>36.8</v>
      </c>
      <c r="G1282" s="16">
        <f>IFERROR(__xludf.DUMMYFUNCTION("""COMPUTED_VALUE"""),0.0)</f>
        <v>0</v>
      </c>
      <c r="H1282" s="23">
        <f>IFERROR(__xludf.DUMMYFUNCTION("""COMPUTED_VALUE"""),381.2)</f>
        <v>381.2</v>
      </c>
    </row>
    <row r="1283">
      <c r="A1283" s="16" t="str">
        <f>IFERROR(__xludf.DUMMYFUNCTION("""COMPUTED_VALUE"""),"Сосове")</f>
        <v>Сосове</v>
      </c>
      <c r="B1283" s="7" t="str">
        <f>IFERROR(__xludf.DUMMYFUNCTION("""COMPUTED_VALUE"""),"Лютеница ""Олинезко""")</f>
        <v>Лютеница "Олинезко"</v>
      </c>
      <c r="C1283" s="7">
        <f>IFERROR(__xludf.DUMMYFUNCTION("""COMPUTED_VALUE"""),100.0)</f>
        <v>100</v>
      </c>
      <c r="D1283" s="7">
        <f>IFERROR(__xludf.DUMMYFUNCTION("""COMPUTED_VALUE"""),1.4)</f>
        <v>1.4</v>
      </c>
      <c r="E1283" s="16">
        <f>IFERROR(__xludf.DUMMYFUNCTION("""COMPUTED_VALUE"""),18.6)</f>
        <v>18.6</v>
      </c>
      <c r="F1283" s="16">
        <f>IFERROR(__xludf.DUMMYFUNCTION("""COMPUTED_VALUE"""),8.5)</f>
        <v>8.5</v>
      </c>
      <c r="G1283" s="16">
        <f>IFERROR(__xludf.DUMMYFUNCTION("""COMPUTED_VALUE"""),0.0)</f>
        <v>0</v>
      </c>
      <c r="H1283" s="23">
        <f>IFERROR(__xludf.DUMMYFUNCTION("""COMPUTED_VALUE"""),156.5)</f>
        <v>156.5</v>
      </c>
    </row>
    <row r="1284">
      <c r="A1284" s="16" t="str">
        <f>IFERROR(__xludf.DUMMYFUNCTION("""COMPUTED_VALUE"""),"Сосове")</f>
        <v>Сосове</v>
      </c>
      <c r="B1284" s="7" t="str">
        <f>IFERROR(__xludf.DUMMYFUNCTION("""COMPUTED_VALUE"""),"Доматен сос БИО (кутия/консерва) - Лидл")</f>
        <v>Доматен сос БИО (кутия/консерва) - Лидл</v>
      </c>
      <c r="C1284" s="7">
        <f>IFERROR(__xludf.DUMMYFUNCTION("""COMPUTED_VALUE"""),100.0)</f>
        <v>100</v>
      </c>
      <c r="D1284" s="7">
        <f>IFERROR(__xludf.DUMMYFUNCTION("""COMPUTED_VALUE"""),1.6)</f>
        <v>1.6</v>
      </c>
      <c r="E1284" s="16">
        <f>IFERROR(__xludf.DUMMYFUNCTION("""COMPUTED_VALUE"""),5.6)</f>
        <v>5.6</v>
      </c>
      <c r="F1284" s="16">
        <f>IFERROR(__xludf.DUMMYFUNCTION("""COMPUTED_VALUE"""),0.3)</f>
        <v>0.3</v>
      </c>
      <c r="G1284" s="16">
        <f>IFERROR(__xludf.DUMMYFUNCTION("""COMPUTED_VALUE"""),0.0)</f>
        <v>0</v>
      </c>
      <c r="H1284" s="23">
        <f>IFERROR(__xludf.DUMMYFUNCTION("""COMPUTED_VALUE"""),31.499999999999996)</f>
        <v>31.5</v>
      </c>
    </row>
    <row r="1285">
      <c r="A1285" s="16" t="str">
        <f>IFERROR(__xludf.DUMMYFUNCTION("""COMPUTED_VALUE"""),"Сосове")</f>
        <v>Сосове</v>
      </c>
      <c r="B1285" s="7" t="str">
        <f>IFERROR(__xludf.DUMMYFUNCTION("""COMPUTED_VALUE"""),"Барила Олив - Barilla Olive")</f>
        <v>Барила Олив - Barilla Olive</v>
      </c>
      <c r="C1285" s="7">
        <f>IFERROR(__xludf.DUMMYFUNCTION("""COMPUTED_VALUE"""),100.0)</f>
        <v>100</v>
      </c>
      <c r="D1285" s="7">
        <f>IFERROR(__xludf.DUMMYFUNCTION("""COMPUTED_VALUE"""),1.5)</f>
        <v>1.5</v>
      </c>
      <c r="E1285" s="16">
        <f>IFERROR(__xludf.DUMMYFUNCTION("""COMPUTED_VALUE"""),5.3)</f>
        <v>5.3</v>
      </c>
      <c r="F1285" s="16">
        <f>IFERROR(__xludf.DUMMYFUNCTION("""COMPUTED_VALUE"""),4.5)</f>
        <v>4.5</v>
      </c>
      <c r="G1285" s="16">
        <f>IFERROR(__xludf.DUMMYFUNCTION("""COMPUTED_VALUE"""),2.0)</f>
        <v>2</v>
      </c>
      <c r="H1285" s="23">
        <f>IFERROR(__xludf.DUMMYFUNCTION("""COMPUTED_VALUE"""),67.7)</f>
        <v>67.7</v>
      </c>
    </row>
    <row r="1286">
      <c r="A1286" s="16" t="str">
        <f>IFERROR(__xludf.DUMMYFUNCTION("""COMPUTED_VALUE"""),"Сосове")</f>
        <v>Сосове</v>
      </c>
      <c r="B1286" s="7" t="str">
        <f>IFERROR(__xludf.DUMMYFUNCTION("""COMPUTED_VALUE"""),"Сос за Спагет с Босилек - Barilla Bosilico")</f>
        <v>Сос за Спагет с Босилек - Barilla Bosilico</v>
      </c>
      <c r="C1286" s="7">
        <f>IFERROR(__xludf.DUMMYFUNCTION("""COMPUTED_VALUE"""),100.0)</f>
        <v>100</v>
      </c>
      <c r="D1286" s="7">
        <f>IFERROR(__xludf.DUMMYFUNCTION("""COMPUTED_VALUE"""),1.6)</f>
        <v>1.6</v>
      </c>
      <c r="E1286" s="16">
        <f>IFERROR(__xludf.DUMMYFUNCTION("""COMPUTED_VALUE"""),7.6)</f>
        <v>7.6</v>
      </c>
      <c r="F1286" s="16">
        <f>IFERROR(__xludf.DUMMYFUNCTION("""COMPUTED_VALUE"""),2.6)</f>
        <v>2.6</v>
      </c>
      <c r="G1286" s="16">
        <f>IFERROR(__xludf.DUMMYFUNCTION("""COMPUTED_VALUE"""),1.9)</f>
        <v>1.9</v>
      </c>
      <c r="H1286" s="23">
        <f>IFERROR(__xludf.DUMMYFUNCTION("""COMPUTED_VALUE"""),60.2)</f>
        <v>60.2</v>
      </c>
    </row>
    <row r="1287">
      <c r="A1287" s="16" t="str">
        <f>IFERROR(__xludf.DUMMYFUNCTION("""COMPUTED_VALUE"""),"Сосове")</f>
        <v>Сосове</v>
      </c>
      <c r="B1287" s="7" t="str">
        <f>IFERROR(__xludf.DUMMYFUNCTION("""COMPUTED_VALUE"""),"Сос за спагети с Маслини - Barilla Olive")</f>
        <v>Сос за спагети с Маслини - Barilla Olive</v>
      </c>
      <c r="C1287" s="7">
        <f>IFERROR(__xludf.DUMMYFUNCTION("""COMPUTED_VALUE"""),100.0)</f>
        <v>100</v>
      </c>
      <c r="D1287" s="7">
        <f>IFERROR(__xludf.DUMMYFUNCTION("""COMPUTED_VALUE"""),1.5)</f>
        <v>1.5</v>
      </c>
      <c r="E1287" s="16">
        <f>IFERROR(__xludf.DUMMYFUNCTION("""COMPUTED_VALUE"""),5.3)</f>
        <v>5.3</v>
      </c>
      <c r="F1287" s="16">
        <f>IFERROR(__xludf.DUMMYFUNCTION("""COMPUTED_VALUE"""),4.5)</f>
        <v>4.5</v>
      </c>
      <c r="G1287" s="16">
        <f>IFERROR(__xludf.DUMMYFUNCTION("""COMPUTED_VALUE"""),2.0)</f>
        <v>2</v>
      </c>
      <c r="H1287" s="23">
        <f>IFERROR(__xludf.DUMMYFUNCTION("""COMPUTED_VALUE"""),67.7)</f>
        <v>67.7</v>
      </c>
    </row>
    <row r="1288">
      <c r="A1288" s="16" t="str">
        <f>IFERROR(__xludf.DUMMYFUNCTION("""COMPUTED_VALUE"""),"Сосове")</f>
        <v>Сосове</v>
      </c>
      <c r="B1288" s="7" t="str">
        <f>IFERROR(__xludf.DUMMYFUNCTION("""COMPUTED_VALUE"""),"Лютеница домашна - Фрешона Лидл")</f>
        <v>Лютеница домашна - Фрешона Лидл</v>
      </c>
      <c r="C1288" s="7">
        <f>IFERROR(__xludf.DUMMYFUNCTION("""COMPUTED_VALUE"""),100.0)</f>
        <v>100</v>
      </c>
      <c r="D1288" s="7">
        <f>IFERROR(__xludf.DUMMYFUNCTION("""COMPUTED_VALUE"""),2.0)</f>
        <v>2</v>
      </c>
      <c r="E1288" s="16">
        <f>IFERROR(__xludf.DUMMYFUNCTION("""COMPUTED_VALUE"""),14.0)</f>
        <v>14</v>
      </c>
      <c r="F1288" s="16">
        <f>IFERROR(__xludf.DUMMYFUNCTION("""COMPUTED_VALUE"""),9.0)</f>
        <v>9</v>
      </c>
      <c r="G1288" s="16">
        <f>IFERROR(__xludf.DUMMYFUNCTION("""COMPUTED_VALUE"""),1.0)</f>
        <v>1</v>
      </c>
      <c r="H1288" s="23">
        <f>IFERROR(__xludf.DUMMYFUNCTION("""COMPUTED_VALUE"""),145.0)</f>
        <v>145</v>
      </c>
    </row>
    <row r="1289">
      <c r="A1289" s="16" t="str">
        <f>IFERROR(__xludf.DUMMYFUNCTION("""COMPUTED_VALUE"""),"Сосове")</f>
        <v>Сосове</v>
      </c>
      <c r="B1289" s="7" t="str">
        <f>IFERROR(__xludf.DUMMYFUNCTION("""COMPUTED_VALUE"""),"Домашна лютеница Едросмляна - Олинеза")</f>
        <v>Домашна лютеница Едросмляна - Олинеза</v>
      </c>
      <c r="C1289" s="7">
        <f>IFERROR(__xludf.DUMMYFUNCTION("""COMPUTED_VALUE"""),100.0)</f>
        <v>100</v>
      </c>
      <c r="D1289" s="7">
        <f>IFERROR(__xludf.DUMMYFUNCTION("""COMPUTED_VALUE"""),1.9)</f>
        <v>1.9</v>
      </c>
      <c r="E1289" s="16">
        <f>IFERROR(__xludf.DUMMYFUNCTION("""COMPUTED_VALUE"""),14.0)</f>
        <v>14</v>
      </c>
      <c r="F1289" s="16">
        <f>IFERROR(__xludf.DUMMYFUNCTION("""COMPUTED_VALUE"""),8.5)</f>
        <v>8.5</v>
      </c>
      <c r="G1289" s="16">
        <f>IFERROR(__xludf.DUMMYFUNCTION("""COMPUTED_VALUE"""),0.0)</f>
        <v>0</v>
      </c>
      <c r="H1289" s="23">
        <f>IFERROR(__xludf.DUMMYFUNCTION("""COMPUTED_VALUE"""),140.1)</f>
        <v>140.1</v>
      </c>
    </row>
    <row r="1290">
      <c r="A1290" s="16" t="str">
        <f>IFERROR(__xludf.DUMMYFUNCTION("""COMPUTED_VALUE"""),"Сосове")</f>
        <v>Сосове</v>
      </c>
      <c r="B1290" s="7" t="str">
        <f>IFERROR(__xludf.DUMMYFUNCTION("""COMPUTED_VALUE"""),"Лютеница Брей с кимиион - Кауфланд")</f>
        <v>Лютеница Брей с кимиион - Кауфланд</v>
      </c>
      <c r="C1290" s="7">
        <f>IFERROR(__xludf.DUMMYFUNCTION("""COMPUTED_VALUE"""),100.0)</f>
        <v>100</v>
      </c>
      <c r="D1290" s="7">
        <f>IFERROR(__xludf.DUMMYFUNCTION("""COMPUTED_VALUE"""),1.9)</f>
        <v>1.9</v>
      </c>
      <c r="E1290" s="16">
        <f>IFERROR(__xludf.DUMMYFUNCTION("""COMPUTED_VALUE"""),16.6)</f>
        <v>16.6</v>
      </c>
      <c r="F1290" s="16">
        <f>IFERROR(__xludf.DUMMYFUNCTION("""COMPUTED_VALUE"""),6.4)</f>
        <v>6.4</v>
      </c>
      <c r="G1290" s="16">
        <f>IFERROR(__xludf.DUMMYFUNCTION("""COMPUTED_VALUE"""),0.0)</f>
        <v>0</v>
      </c>
      <c r="H1290" s="23">
        <f>IFERROR(__xludf.DUMMYFUNCTION("""COMPUTED_VALUE"""),131.6)</f>
        <v>131.6</v>
      </c>
    </row>
    <row r="1291">
      <c r="A1291" s="16" t="str">
        <f>IFERROR(__xludf.DUMMYFUNCTION("""COMPUTED_VALUE"""),"Сосове")</f>
        <v>Сосове</v>
      </c>
      <c r="B1291" s="7" t="str">
        <f>IFERROR(__xludf.DUMMYFUNCTION("""COMPUTED_VALUE"""),"Песто дженовезе - Divella")</f>
        <v>Песто дженовезе - Divella</v>
      </c>
      <c r="C1291" s="7">
        <f>IFERROR(__xludf.DUMMYFUNCTION("""COMPUTED_VALUE"""),100.0)</f>
        <v>100</v>
      </c>
      <c r="D1291" s="7">
        <f>IFERROR(__xludf.DUMMYFUNCTION("""COMPUTED_VALUE"""),4.4)</f>
        <v>4.4</v>
      </c>
      <c r="E1291" s="16">
        <f>IFERROR(__xludf.DUMMYFUNCTION("""COMPUTED_VALUE"""),2.8)</f>
        <v>2.8</v>
      </c>
      <c r="F1291" s="16">
        <f>IFERROR(__xludf.DUMMYFUNCTION("""COMPUTED_VALUE"""),46.2)</f>
        <v>46.2</v>
      </c>
      <c r="G1291" s="16">
        <f>IFERROR(__xludf.DUMMYFUNCTION("""COMPUTED_VALUE"""),0.0)</f>
        <v>0</v>
      </c>
      <c r="H1291" s="23">
        <f>IFERROR(__xludf.DUMMYFUNCTION("""COMPUTED_VALUE"""),444.6)</f>
        <v>444.6</v>
      </c>
    </row>
    <row r="1292">
      <c r="A1292" s="16" t="str">
        <f>IFERROR(__xludf.DUMMYFUNCTION("""COMPUTED_VALUE"""),"Сосове")</f>
        <v>Сосове</v>
      </c>
      <c r="B1292" s="7" t="str">
        <f>IFERROR(__xludf.DUMMYFUNCTION("""COMPUTED_VALUE"""),"Лютеница едросмляна - Фрешона")</f>
        <v>Лютеница едросмляна - Фрешона</v>
      </c>
      <c r="C1292" s="7">
        <f>IFERROR(__xludf.DUMMYFUNCTION("""COMPUTED_VALUE"""),100.0)</f>
        <v>100</v>
      </c>
      <c r="D1292" s="7">
        <f>IFERROR(__xludf.DUMMYFUNCTION("""COMPUTED_VALUE"""),2.1)</f>
        <v>2.1</v>
      </c>
      <c r="E1292" s="16">
        <f>IFERROR(__xludf.DUMMYFUNCTION("""COMPUTED_VALUE"""),15.7)</f>
        <v>15.7</v>
      </c>
      <c r="F1292" s="16">
        <f>IFERROR(__xludf.DUMMYFUNCTION("""COMPUTED_VALUE"""),7.0)</f>
        <v>7</v>
      </c>
      <c r="G1292" s="16">
        <f>IFERROR(__xludf.DUMMYFUNCTION("""COMPUTED_VALUE"""),1.1)</f>
        <v>1.1</v>
      </c>
      <c r="H1292" s="23">
        <f>IFERROR(__xludf.DUMMYFUNCTION("""COMPUTED_VALUE"""),134.2)</f>
        <v>134.2</v>
      </c>
    </row>
    <row r="1293">
      <c r="A1293" s="16" t="str">
        <f>IFERROR(__xludf.DUMMYFUNCTION("""COMPUTED_VALUE"""),"Сосове")</f>
        <v>Сосове</v>
      </c>
      <c r="B1293" s="7" t="str">
        <f>IFERROR(__xludf.DUMMYFUNCTION("""COMPUTED_VALUE"""),"Майонеза Hellman's- Light")</f>
        <v>Майонеза Hellman's- Light</v>
      </c>
      <c r="C1293" s="7">
        <f>IFERROR(__xludf.DUMMYFUNCTION("""COMPUTED_VALUE"""),100.0)</f>
        <v>100</v>
      </c>
      <c r="D1293" s="7">
        <f>IFERROR(__xludf.DUMMYFUNCTION("""COMPUTED_VALUE"""),0.5)</f>
        <v>0.5</v>
      </c>
      <c r="E1293" s="16">
        <f>IFERROR(__xludf.DUMMYFUNCTION("""COMPUTED_VALUE"""),9.1)</f>
        <v>9.1</v>
      </c>
      <c r="F1293" s="16">
        <f>IFERROR(__xludf.DUMMYFUNCTION("""COMPUTED_VALUE"""),27.0)</f>
        <v>27</v>
      </c>
      <c r="G1293" s="16">
        <f>IFERROR(__xludf.DUMMYFUNCTION("""COMPUTED_VALUE"""),0.0)</f>
        <v>0</v>
      </c>
      <c r="H1293" s="16">
        <f>IFERROR(__xludf.DUMMYFUNCTION("""COMPUTED_VALUE"""),281.4)</f>
        <v>281.4</v>
      </c>
    </row>
    <row r="1294">
      <c r="A1294" s="16" t="str">
        <f>IFERROR(__xludf.DUMMYFUNCTION("""COMPUTED_VALUE"""),"Сосове")</f>
        <v>Сосове</v>
      </c>
      <c r="B1294" s="7" t="str">
        <f>IFERROR(__xludf.DUMMYFUNCTION("""COMPUTED_VALUE"""),"Горчица - дижонска, Kania")</f>
        <v>Горчица - дижонска, Kania</v>
      </c>
      <c r="C1294" s="12">
        <f>IFERROR(__xludf.DUMMYFUNCTION("""COMPUTED_VALUE"""),100.0)</f>
        <v>100</v>
      </c>
      <c r="D1294" s="7">
        <f>IFERROR(__xludf.DUMMYFUNCTION("""COMPUTED_VALUE"""),7.2)</f>
        <v>7.2</v>
      </c>
      <c r="E1294" s="16">
        <f>IFERROR(__xludf.DUMMYFUNCTION("""COMPUTED_VALUE"""),3.2)</f>
        <v>3.2</v>
      </c>
      <c r="F1294" s="16">
        <f>IFERROR(__xludf.DUMMYFUNCTION("""COMPUTED_VALUE"""),12.0)</f>
        <v>12</v>
      </c>
      <c r="G1294" s="16">
        <f>IFERROR(__xludf.DUMMYFUNCTION("""COMPUTED_VALUE"""),0.0)</f>
        <v>0</v>
      </c>
      <c r="H1294" s="16">
        <f>IFERROR(__xludf.DUMMYFUNCTION("""COMPUTED_VALUE"""),149.6)</f>
        <v>149.6</v>
      </c>
    </row>
    <row r="1295">
      <c r="A1295" s="16" t="str">
        <f>IFERROR(__xludf.DUMMYFUNCTION("""COMPUTED_VALUE"""),"Сосове")</f>
        <v>Сосове</v>
      </c>
      <c r="B1295" s="7" t="str">
        <f>IFERROR(__xludf.DUMMYFUNCTION("""COMPUTED_VALUE"""),"Лютеница едросмляна My family (без добавени захар, нишесте и консерванти)")</f>
        <v>Лютеница едросмляна My family (без добавени захар, нишесте и консерванти)</v>
      </c>
      <c r="C1295" s="12">
        <f>IFERROR(__xludf.DUMMYFUNCTION("""COMPUTED_VALUE"""),100.0)</f>
        <v>100</v>
      </c>
      <c r="D1295" s="7">
        <f>IFERROR(__xludf.DUMMYFUNCTION("""COMPUTED_VALUE"""),1.83)</f>
        <v>1.83</v>
      </c>
      <c r="E1295" s="16">
        <f>IFERROR(__xludf.DUMMYFUNCTION("""COMPUTED_VALUE"""),6.89)</f>
        <v>6.89</v>
      </c>
      <c r="F1295" s="16">
        <f>IFERROR(__xludf.DUMMYFUNCTION("""COMPUTED_VALUE"""),6.47)</f>
        <v>6.47</v>
      </c>
      <c r="G1295" s="16">
        <f>IFERROR(__xludf.DUMMYFUNCTION("""COMPUTED_VALUE"""),0.0)</f>
        <v>0</v>
      </c>
      <c r="H1295" s="16">
        <f>IFERROR(__xludf.DUMMYFUNCTION("""COMPUTED_VALUE"""),93.10999999999999)</f>
        <v>93.11</v>
      </c>
    </row>
    <row r="1296">
      <c r="A1296" s="16" t="str">
        <f>IFERROR(__xludf.DUMMYFUNCTION("""COMPUTED_VALUE"""),"Сосове")</f>
        <v>Сосове</v>
      </c>
      <c r="B1296" s="7" t="str">
        <f>IFERROR(__xludf.DUMMYFUNCTION("""COMPUTED_VALUE"""),"Лютеница ""Велика""")</f>
        <v>Лютеница "Велика"</v>
      </c>
      <c r="C1296" s="12">
        <f>IFERROR(__xludf.DUMMYFUNCTION("""COMPUTED_VALUE"""),100.0)</f>
        <v>100</v>
      </c>
      <c r="D1296" s="7">
        <f>IFERROR(__xludf.DUMMYFUNCTION("""COMPUTED_VALUE"""),2.2)</f>
        <v>2.2</v>
      </c>
      <c r="E1296" s="16">
        <f>IFERROR(__xludf.DUMMYFUNCTION("""COMPUTED_VALUE"""),18.0)</f>
        <v>18</v>
      </c>
      <c r="F1296" s="16">
        <f>IFERROR(__xludf.DUMMYFUNCTION("""COMPUTED_VALUE"""),13.0)</f>
        <v>13</v>
      </c>
      <c r="G1296" s="16">
        <f>IFERROR(__xludf.DUMMYFUNCTION("""COMPUTED_VALUE"""),0.0)</f>
        <v>0</v>
      </c>
      <c r="H1296" s="16">
        <f>IFERROR(__xludf.DUMMYFUNCTION("""COMPUTED_VALUE"""),197.8)</f>
        <v>197.8</v>
      </c>
    </row>
    <row r="1297">
      <c r="A1297" s="16" t="str">
        <f>IFERROR(__xludf.DUMMYFUNCTION("""COMPUTED_VALUE"""),"Сосове")</f>
        <v>Сосове</v>
      </c>
      <c r="B1297" s="7" t="str">
        <f>IFERROR(__xludf.DUMMYFUNCTION("""COMPUTED_VALUE"""),"Лютеница Едро Смляна Булгарплод")</f>
        <v>Лютеница Едро Смляна Булгарплод</v>
      </c>
      <c r="C1297" s="12">
        <f>IFERROR(__xludf.DUMMYFUNCTION("""COMPUTED_VALUE"""),100.0)</f>
        <v>100</v>
      </c>
      <c r="D1297" s="7">
        <f>IFERROR(__xludf.DUMMYFUNCTION("""COMPUTED_VALUE"""),1.4)</f>
        <v>1.4</v>
      </c>
      <c r="E1297" s="16">
        <f>IFERROR(__xludf.DUMMYFUNCTION("""COMPUTED_VALUE"""),13.06)</f>
        <v>13.06</v>
      </c>
      <c r="F1297" s="16">
        <f>IFERROR(__xludf.DUMMYFUNCTION("""COMPUTED_VALUE"""),5.03)</f>
        <v>5.03</v>
      </c>
      <c r="G1297" s="16">
        <f>IFERROR(__xludf.DUMMYFUNCTION("""COMPUTED_VALUE"""),0.0)</f>
        <v>0</v>
      </c>
      <c r="H1297" s="16">
        <f>IFERROR(__xludf.DUMMYFUNCTION("""COMPUTED_VALUE"""),103.11000000000001)</f>
        <v>103.11</v>
      </c>
    </row>
    <row r="1298">
      <c r="A1298" s="16" t="str">
        <f>IFERROR(__xludf.DUMMYFUNCTION("""COMPUTED_VALUE"""),"Сосове")</f>
        <v>Сосове</v>
      </c>
      <c r="B1298" s="7" t="str">
        <f>IFERROR(__xludf.DUMMYFUNCTION("""COMPUTED_VALUE"""),"Хумус вернада - натурален")</f>
        <v>Хумус вернада - натурален</v>
      </c>
      <c r="C1298" s="12">
        <f>IFERROR(__xludf.DUMMYFUNCTION("""COMPUTED_VALUE"""),100.0)</f>
        <v>100</v>
      </c>
      <c r="D1298" s="7">
        <f>IFERROR(__xludf.DUMMYFUNCTION("""COMPUTED_VALUE"""),7.85)</f>
        <v>7.85</v>
      </c>
      <c r="E1298" s="16">
        <f>IFERROR(__xludf.DUMMYFUNCTION("""COMPUTED_VALUE"""),5.41)</f>
        <v>5.41</v>
      </c>
      <c r="F1298" s="16">
        <f>IFERROR(__xludf.DUMMYFUNCTION("""COMPUTED_VALUE"""),21.03)</f>
        <v>21.03</v>
      </c>
      <c r="G1298" s="16">
        <f>IFERROR(__xludf.DUMMYFUNCTION("""COMPUTED_VALUE"""),17.71)</f>
        <v>17.71</v>
      </c>
      <c r="H1298" s="16">
        <f>IFERROR(__xludf.DUMMYFUNCTION("""COMPUTED_VALUE"""),242.31)</f>
        <v>242.31</v>
      </c>
    </row>
    <row r="1299">
      <c r="A1299" s="16" t="str">
        <f>IFERROR(__xludf.DUMMYFUNCTION("""COMPUTED_VALUE"""),"Сосове")</f>
        <v>Сосове</v>
      </c>
      <c r="B1299" s="7" t="str">
        <f>IFERROR(__xludf.DUMMYFUNCTION("""COMPUTED_VALUE"""),"Хумус мезете - класик")</f>
        <v>Хумус мезете - класик</v>
      </c>
      <c r="C1299" s="7">
        <f>IFERROR(__xludf.DUMMYFUNCTION("""COMPUTED_VALUE"""),100.0)</f>
        <v>100</v>
      </c>
      <c r="D1299" s="7">
        <f>IFERROR(__xludf.DUMMYFUNCTION("""COMPUTED_VALUE"""),6.0)</f>
        <v>6</v>
      </c>
      <c r="E1299" s="16">
        <f>IFERROR(__xludf.DUMMYFUNCTION("""COMPUTED_VALUE"""),10.0)</f>
        <v>10</v>
      </c>
      <c r="F1299" s="16">
        <f>IFERROR(__xludf.DUMMYFUNCTION("""COMPUTED_VALUE"""),16.0)</f>
        <v>16</v>
      </c>
      <c r="G1299" s="16">
        <f>IFERROR(__xludf.DUMMYFUNCTION("""COMPUTED_VALUE"""),4.0)</f>
        <v>4</v>
      </c>
      <c r="H1299" s="16">
        <f>IFERROR(__xludf.DUMMYFUNCTION("""COMPUTED_VALUE"""),208.0)</f>
        <v>208</v>
      </c>
    </row>
    <row r="1300">
      <c r="A1300" s="16" t="str">
        <f>IFERROR(__xludf.DUMMYFUNCTION("""COMPUTED_VALUE"""),"Сосове")</f>
        <v>Сосове</v>
      </c>
      <c r="B1300" s="7" t="str">
        <f>IFERROR(__xludf.DUMMYFUNCTION("""COMPUTED_VALUE"""),"Хумус с чили")</f>
        <v>Хумус с чили</v>
      </c>
      <c r="C1300" s="12">
        <f>IFERROR(__xludf.DUMMYFUNCTION("""COMPUTED_VALUE"""),100.0)</f>
        <v>100</v>
      </c>
      <c r="D1300" s="7">
        <f>IFERROR(__xludf.DUMMYFUNCTION("""COMPUTED_VALUE"""),5.6)</f>
        <v>5.6</v>
      </c>
      <c r="E1300" s="16">
        <f>IFERROR(__xludf.DUMMYFUNCTION("""COMPUTED_VALUE"""),13.8)</f>
        <v>13.8</v>
      </c>
      <c r="F1300" s="16">
        <f>IFERROR(__xludf.DUMMYFUNCTION("""COMPUTED_VALUE"""),16.0)</f>
        <v>16</v>
      </c>
      <c r="G1300" s="16">
        <f>IFERROR(__xludf.DUMMYFUNCTION("""COMPUTED_VALUE"""),0.0)</f>
        <v>0</v>
      </c>
      <c r="H1300" s="16">
        <f>IFERROR(__xludf.DUMMYFUNCTION("""COMPUTED_VALUE"""),221.6)</f>
        <v>221.6</v>
      </c>
    </row>
    <row r="1301">
      <c r="A1301" s="16" t="str">
        <f>IFERROR(__xludf.DUMMYFUNCTION("""COMPUTED_VALUE"""),"Сосове")</f>
        <v>Сосове</v>
      </c>
      <c r="B1301" s="7" t="str">
        <f>IFERROR(__xludf.DUMMYFUNCTION("""COMPUTED_VALUE"""),"Кетчуп- класически")</f>
        <v>Кетчуп- класически</v>
      </c>
      <c r="C1301" s="7">
        <f>IFERROR(__xludf.DUMMYFUNCTION("""COMPUTED_VALUE"""),100.0)</f>
        <v>100</v>
      </c>
      <c r="D1301" s="7">
        <f>IFERROR(__xludf.DUMMYFUNCTION("""COMPUTED_VALUE"""),1.0)</f>
        <v>1</v>
      </c>
      <c r="E1301" s="16">
        <f>IFERROR(__xludf.DUMMYFUNCTION("""COMPUTED_VALUE"""),12.0)</f>
        <v>12</v>
      </c>
      <c r="F1301" s="16">
        <f>IFERROR(__xludf.DUMMYFUNCTION("""COMPUTED_VALUE"""),0.0)</f>
        <v>0</v>
      </c>
      <c r="G1301" s="16">
        <f>IFERROR(__xludf.DUMMYFUNCTION("""COMPUTED_VALUE"""),0.0)</f>
        <v>0</v>
      </c>
      <c r="H1301" s="23">
        <f>IFERROR(__xludf.DUMMYFUNCTION("""COMPUTED_VALUE"""),52.0)</f>
        <v>52</v>
      </c>
    </row>
    <row r="1302">
      <c r="A1302" s="16" t="str">
        <f>IFERROR(__xludf.DUMMYFUNCTION("""COMPUTED_VALUE"""),"Сосове")</f>
        <v>Сосове</v>
      </c>
      <c r="B1302" s="7" t="str">
        <f>IFERROR(__xludf.DUMMYFUNCTION("""COMPUTED_VALUE"""),"Майонеза лайт- класическа")</f>
        <v>Майонеза лайт- класическа</v>
      </c>
      <c r="C1302" s="7">
        <f>IFERROR(__xludf.DUMMYFUNCTION("""COMPUTED_VALUE"""),100.0)</f>
        <v>100</v>
      </c>
      <c r="D1302" s="7">
        <f>IFERROR(__xludf.DUMMYFUNCTION("""COMPUTED_VALUE"""),0.0)</f>
        <v>0</v>
      </c>
      <c r="E1302" s="16">
        <f>IFERROR(__xludf.DUMMYFUNCTION("""COMPUTED_VALUE"""),9.0)</f>
        <v>9</v>
      </c>
      <c r="F1302" s="16">
        <f>IFERROR(__xludf.DUMMYFUNCTION("""COMPUTED_VALUE"""),27.0)</f>
        <v>27</v>
      </c>
      <c r="G1302" s="16">
        <f>IFERROR(__xludf.DUMMYFUNCTION("""COMPUTED_VALUE"""),0.0)</f>
        <v>0</v>
      </c>
      <c r="H1302" s="23">
        <f>IFERROR(__xludf.DUMMYFUNCTION("""COMPUTED_VALUE"""),279.0)</f>
        <v>279</v>
      </c>
    </row>
    <row r="1303">
      <c r="A1303" s="16" t="str">
        <f>IFERROR(__xludf.DUMMYFUNCTION("""COMPUTED_VALUE"""),"Сосове")</f>
        <v>Сосове</v>
      </c>
      <c r="B1303" s="7" t="str">
        <f>IFERROR(__xludf.DUMMYFUNCTION("""COMPUTED_VALUE"""),"Песто- класическо")</f>
        <v>Песто- класическо</v>
      </c>
      <c r="C1303" s="7">
        <f>IFERROR(__xludf.DUMMYFUNCTION("""COMPUTED_VALUE"""),100.0)</f>
        <v>100</v>
      </c>
      <c r="D1303" s="7">
        <f>IFERROR(__xludf.DUMMYFUNCTION("""COMPUTED_VALUE"""),0.0)</f>
        <v>0</v>
      </c>
      <c r="E1303" s="16">
        <f>IFERROR(__xludf.DUMMYFUNCTION("""COMPUTED_VALUE"""),4.0)</f>
        <v>4</v>
      </c>
      <c r="F1303" s="16">
        <f>IFERROR(__xludf.DUMMYFUNCTION("""COMPUTED_VALUE"""),46.0)</f>
        <v>46</v>
      </c>
      <c r="G1303" s="16">
        <f>IFERROR(__xludf.DUMMYFUNCTION("""COMPUTED_VALUE"""),0.0)</f>
        <v>0</v>
      </c>
      <c r="H1303" s="23">
        <f>IFERROR(__xludf.DUMMYFUNCTION("""COMPUTED_VALUE"""),430.0)</f>
        <v>430</v>
      </c>
    </row>
    <row r="1304">
      <c r="A1304" s="16" t="str">
        <f>IFERROR(__xludf.DUMMYFUNCTION("""COMPUTED_VALUE"""),"Сосове")</f>
        <v>Сосове</v>
      </c>
      <c r="B1304" s="7" t="str">
        <f>IFERROR(__xludf.DUMMYFUNCTION("""COMPUTED_VALUE"""),"Горчица- класическа")</f>
        <v>Горчица- класическа</v>
      </c>
      <c r="C1304" s="7">
        <f>IFERROR(__xludf.DUMMYFUNCTION("""COMPUTED_VALUE"""),100.0)</f>
        <v>100</v>
      </c>
      <c r="D1304" s="7">
        <f>IFERROR(__xludf.DUMMYFUNCTION("""COMPUTED_VALUE"""),4.0)</f>
        <v>4</v>
      </c>
      <c r="E1304" s="16">
        <f>IFERROR(__xludf.DUMMYFUNCTION("""COMPUTED_VALUE"""),4.0)</f>
        <v>4</v>
      </c>
      <c r="F1304" s="16">
        <f>IFERROR(__xludf.DUMMYFUNCTION("""COMPUTED_VALUE"""),5.0)</f>
        <v>5</v>
      </c>
      <c r="G1304" s="16">
        <f>IFERROR(__xludf.DUMMYFUNCTION("""COMPUTED_VALUE"""),0.0)</f>
        <v>0</v>
      </c>
      <c r="H1304" s="23">
        <f>IFERROR(__xludf.DUMMYFUNCTION("""COMPUTED_VALUE"""),77.0)</f>
        <v>77</v>
      </c>
    </row>
    <row r="1305">
      <c r="A1305" s="16" t="str">
        <f>IFERROR(__xludf.DUMMYFUNCTION("""COMPUTED_VALUE"""),"Сосове")</f>
        <v>Сосове</v>
      </c>
      <c r="B1305" s="7" t="str">
        <f>IFERROR(__xludf.DUMMYFUNCTION("""COMPUTED_VALUE"""),"Доматен сос")</f>
        <v>Доматен сос</v>
      </c>
      <c r="C1305" s="7">
        <f>IFERROR(__xludf.DUMMYFUNCTION("""COMPUTED_VALUE"""),100.0)</f>
        <v>100</v>
      </c>
      <c r="D1305" s="7">
        <f>IFERROR(__xludf.DUMMYFUNCTION("""COMPUTED_VALUE"""),1.3)</f>
        <v>1.3</v>
      </c>
      <c r="E1305" s="16">
        <f>IFERROR(__xludf.DUMMYFUNCTION("""COMPUTED_VALUE"""),8.7)</f>
        <v>8.7</v>
      </c>
      <c r="F1305" s="16">
        <f>IFERROR(__xludf.DUMMYFUNCTION("""COMPUTED_VALUE"""),0.2)</f>
        <v>0.2</v>
      </c>
      <c r="G1305" s="16">
        <f>IFERROR(__xludf.DUMMYFUNCTION("""COMPUTED_VALUE"""),1.5)</f>
        <v>1.5</v>
      </c>
      <c r="H1305" s="23">
        <f>IFERROR(__xludf.DUMMYFUNCTION("""COMPUTED_VALUE"""),41.8)</f>
        <v>41.8</v>
      </c>
    </row>
    <row r="1306">
      <c r="A1306" s="16" t="str">
        <f>IFERROR(__xludf.DUMMYFUNCTION("""COMPUTED_VALUE"""),"Сосове")</f>
        <v>Сосове</v>
      </c>
      <c r="B1306" s="7" t="str">
        <f>IFERROR(__xludf.DUMMYFUNCTION("""COMPUTED_VALUE"""),"Зеленчуков сос за спагети")</f>
        <v>Зеленчуков сос за спагети</v>
      </c>
      <c r="C1306" s="7">
        <f>IFERROR(__xludf.DUMMYFUNCTION("""COMPUTED_VALUE"""),100.0)</f>
        <v>100</v>
      </c>
      <c r="D1306" s="7">
        <f>IFERROR(__xludf.DUMMYFUNCTION("""COMPUTED_VALUE"""),0.7)</f>
        <v>0.7</v>
      </c>
      <c r="E1306" s="16">
        <f>IFERROR(__xludf.DUMMYFUNCTION("""COMPUTED_VALUE"""),9.0)</f>
        <v>9</v>
      </c>
      <c r="F1306" s="16">
        <f>IFERROR(__xludf.DUMMYFUNCTION("""COMPUTED_VALUE"""),1.7)</f>
        <v>1.7</v>
      </c>
      <c r="G1306" s="16">
        <f>IFERROR(__xludf.DUMMYFUNCTION("""COMPUTED_VALUE"""),0.0)</f>
        <v>0</v>
      </c>
      <c r="H1306" s="23">
        <f>IFERROR(__xludf.DUMMYFUNCTION("""COMPUTED_VALUE"""),54.099999999999994)</f>
        <v>54.1</v>
      </c>
    </row>
    <row r="1307">
      <c r="A1307" s="16" t="str">
        <f>IFERROR(__xludf.DUMMYFUNCTION("""COMPUTED_VALUE"""),"Сосове")</f>
        <v>Сосове</v>
      </c>
      <c r="B1307" s="7" t="str">
        <f>IFERROR(__xludf.DUMMYFUNCTION("""COMPUTED_VALUE"""),"Чеснов сос - класически")</f>
        <v>Чеснов сос - класически</v>
      </c>
      <c r="C1307" s="7">
        <f>IFERROR(__xludf.DUMMYFUNCTION("""COMPUTED_VALUE"""),100.0)</f>
        <v>100</v>
      </c>
      <c r="D1307" s="7">
        <f>IFERROR(__xludf.DUMMYFUNCTION("""COMPUTED_VALUE"""),1.0)</f>
        <v>1</v>
      </c>
      <c r="E1307" s="16">
        <f>IFERROR(__xludf.DUMMYFUNCTION("""COMPUTED_VALUE"""),4.0)</f>
        <v>4</v>
      </c>
      <c r="F1307" s="16">
        <f>IFERROR(__xludf.DUMMYFUNCTION("""COMPUTED_VALUE"""),16.0)</f>
        <v>16</v>
      </c>
      <c r="G1307" s="16">
        <f>IFERROR(__xludf.DUMMYFUNCTION("""COMPUTED_VALUE"""),0.0)</f>
        <v>0</v>
      </c>
      <c r="H1307" s="23">
        <f>IFERROR(__xludf.DUMMYFUNCTION("""COMPUTED_VALUE"""),164.0)</f>
        <v>164</v>
      </c>
    </row>
    <row r="1308">
      <c r="A1308" s="16" t="str">
        <f>IFERROR(__xludf.DUMMYFUNCTION("""COMPUTED_VALUE"""),"Супи")</f>
        <v>Супи</v>
      </c>
      <c r="B1308" s="7" t="str">
        <f>IFERROR(__xludf.DUMMYFUNCTION("""COMPUTED_VALUE"""),"Пилешка супа")</f>
        <v>Пилешка супа</v>
      </c>
      <c r="C1308" s="7">
        <f>IFERROR(__xludf.DUMMYFUNCTION("""COMPUTED_VALUE"""),100.0)</f>
        <v>100</v>
      </c>
      <c r="D1308" s="7">
        <f>IFERROR(__xludf.DUMMYFUNCTION("""COMPUTED_VALUE"""),2.5)</f>
        <v>2.5</v>
      </c>
      <c r="E1308" s="16">
        <f>IFERROR(__xludf.DUMMYFUNCTION("""COMPUTED_VALUE"""),3.5)</f>
        <v>3.5</v>
      </c>
      <c r="F1308" s="16">
        <f>IFERROR(__xludf.DUMMYFUNCTION("""COMPUTED_VALUE"""),1.2)</f>
        <v>1.2</v>
      </c>
      <c r="G1308" s="16">
        <f>IFERROR(__xludf.DUMMYFUNCTION("""COMPUTED_VALUE"""),0.0)</f>
        <v>0</v>
      </c>
      <c r="H1308" s="23">
        <f>IFERROR(__xludf.DUMMYFUNCTION("""COMPUTED_VALUE"""),34.8)</f>
        <v>34.8</v>
      </c>
    </row>
    <row r="1309">
      <c r="A1309" s="16" t="str">
        <f>IFERROR(__xludf.DUMMYFUNCTION("""COMPUTED_VALUE"""),"Супи")</f>
        <v>Супи</v>
      </c>
      <c r="B1309" s="7" t="str">
        <f>IFERROR(__xludf.DUMMYFUNCTION("""COMPUTED_VALUE"""),"Таратор2%, без орехи")</f>
        <v>Таратор2%, без орехи</v>
      </c>
      <c r="C1309" s="7">
        <f>IFERROR(__xludf.DUMMYFUNCTION("""COMPUTED_VALUE"""),100.0)</f>
        <v>100</v>
      </c>
      <c r="D1309" s="7">
        <f>IFERROR(__xludf.DUMMYFUNCTION("""COMPUTED_VALUE"""),6.0)</f>
        <v>6</v>
      </c>
      <c r="E1309" s="16">
        <f>IFERROR(__xludf.DUMMYFUNCTION("""COMPUTED_VALUE"""),8.0)</f>
        <v>8</v>
      </c>
      <c r="F1309" s="16">
        <f>IFERROR(__xludf.DUMMYFUNCTION("""COMPUTED_VALUE"""),9.0)</f>
        <v>9</v>
      </c>
      <c r="G1309" s="16">
        <f>IFERROR(__xludf.DUMMYFUNCTION("""COMPUTED_VALUE"""),0.7)</f>
        <v>0.7</v>
      </c>
      <c r="H1309" s="23">
        <f>IFERROR(__xludf.DUMMYFUNCTION("""COMPUTED_VALUE"""),137.0)</f>
        <v>137</v>
      </c>
    </row>
    <row r="1310">
      <c r="A1310" s="16" t="str">
        <f>IFERROR(__xludf.DUMMYFUNCTION("""COMPUTED_VALUE"""),"Супи")</f>
        <v>Супи</v>
      </c>
      <c r="B1310" s="7" t="str">
        <f>IFERROR(__xludf.DUMMYFUNCTION("""COMPUTED_VALUE"""),"Картофена")</f>
        <v>Картофена</v>
      </c>
      <c r="C1310" s="7">
        <f>IFERROR(__xludf.DUMMYFUNCTION("""COMPUTED_VALUE"""),100.0)</f>
        <v>100</v>
      </c>
      <c r="D1310" s="7">
        <f>IFERROR(__xludf.DUMMYFUNCTION("""COMPUTED_VALUE"""),1.4)</f>
        <v>1.4</v>
      </c>
      <c r="E1310" s="16">
        <f>IFERROR(__xludf.DUMMYFUNCTION("""COMPUTED_VALUE"""),6.6)</f>
        <v>6.6</v>
      </c>
      <c r="F1310" s="16">
        <f>IFERROR(__xludf.DUMMYFUNCTION("""COMPUTED_VALUE"""),1.1)</f>
        <v>1.1</v>
      </c>
      <c r="G1310" s="16">
        <f>IFERROR(__xludf.DUMMYFUNCTION("""COMPUTED_VALUE"""),0.0)</f>
        <v>0</v>
      </c>
      <c r="H1310" s="23">
        <f>IFERROR(__xludf.DUMMYFUNCTION("""COMPUTED_VALUE"""),41.9)</f>
        <v>41.9</v>
      </c>
    </row>
    <row r="1311">
      <c r="A1311" s="16" t="str">
        <f>IFERROR(__xludf.DUMMYFUNCTION("""COMPUTED_VALUE"""),"Сушени плодове")</f>
        <v>Сушени плодове</v>
      </c>
      <c r="B1311" s="7" t="str">
        <f>IFERROR(__xludf.DUMMYFUNCTION("""COMPUTED_VALUE"""),"Кайсии (сушени)")</f>
        <v>Кайсии (сушени)</v>
      </c>
      <c r="C1311" s="7" t="str">
        <f>IFERROR(__xludf.DUMMYFUNCTION("""COMPUTED_VALUE"""),"100")</f>
        <v>100</v>
      </c>
      <c r="D1311" s="7">
        <f>IFERROR(__xludf.DUMMYFUNCTION("""COMPUTED_VALUE"""),2.0)</f>
        <v>2</v>
      </c>
      <c r="E1311" s="16">
        <f>IFERROR(__xludf.DUMMYFUNCTION("""COMPUTED_VALUE"""),80.0)</f>
        <v>80</v>
      </c>
      <c r="F1311" s="16">
        <f>IFERROR(__xludf.DUMMYFUNCTION("""COMPUTED_VALUE"""),0.0)</f>
        <v>0</v>
      </c>
      <c r="G1311" s="16">
        <f>IFERROR(__xludf.DUMMYFUNCTION("""COMPUTED_VALUE"""),3.0)</f>
        <v>3</v>
      </c>
      <c r="H1311" s="23">
        <f>IFERROR(__xludf.DUMMYFUNCTION("""COMPUTED_VALUE"""),328.0)</f>
        <v>328</v>
      </c>
    </row>
    <row r="1312">
      <c r="A1312" s="16" t="str">
        <f>IFERROR(__xludf.DUMMYFUNCTION("""COMPUTED_VALUE"""),"Сушени плодове")</f>
        <v>Сушени плодове</v>
      </c>
      <c r="B1312" s="7" t="str">
        <f>IFERROR(__xludf.DUMMYFUNCTION("""COMPUTED_VALUE"""),"Сини сливи (сушени)")</f>
        <v>Сини сливи (сушени)</v>
      </c>
      <c r="C1312" s="7" t="str">
        <f>IFERROR(__xludf.DUMMYFUNCTION("""COMPUTED_VALUE"""),"100")</f>
        <v>100</v>
      </c>
      <c r="D1312" s="7">
        <f>IFERROR(__xludf.DUMMYFUNCTION("""COMPUTED_VALUE"""),2.0)</f>
        <v>2</v>
      </c>
      <c r="E1312" s="16">
        <f>IFERROR(__xludf.DUMMYFUNCTION("""COMPUTED_VALUE"""),64.0)</f>
        <v>64</v>
      </c>
      <c r="F1312" s="16">
        <f>IFERROR(__xludf.DUMMYFUNCTION("""COMPUTED_VALUE"""),0.0)</f>
        <v>0</v>
      </c>
      <c r="G1312" s="16">
        <f>IFERROR(__xludf.DUMMYFUNCTION("""COMPUTED_VALUE"""),7.0)</f>
        <v>7</v>
      </c>
      <c r="H1312" s="23">
        <f>IFERROR(__xludf.DUMMYFUNCTION("""COMPUTED_VALUE"""),264.0)</f>
        <v>264</v>
      </c>
    </row>
    <row r="1313">
      <c r="A1313" s="16" t="str">
        <f>IFERROR(__xludf.DUMMYFUNCTION("""COMPUTED_VALUE"""),"Сушени плодове")</f>
        <v>Сушени плодове</v>
      </c>
      <c r="B1313" s="7" t="str">
        <f>IFERROR(__xludf.DUMMYFUNCTION("""COMPUTED_VALUE"""),"Фурми")</f>
        <v>Фурми</v>
      </c>
      <c r="C1313" s="7" t="str">
        <f>IFERROR(__xludf.DUMMYFUNCTION("""COMPUTED_VALUE"""),"100")</f>
        <v>100</v>
      </c>
      <c r="D1313" s="7">
        <f>IFERROR(__xludf.DUMMYFUNCTION("""COMPUTED_VALUE"""),1.8)</f>
        <v>1.8</v>
      </c>
      <c r="E1313" s="16">
        <f>IFERROR(__xludf.DUMMYFUNCTION("""COMPUTED_VALUE"""),75.0)</f>
        <v>75</v>
      </c>
      <c r="F1313" s="16">
        <f>IFERROR(__xludf.DUMMYFUNCTION("""COMPUTED_VALUE"""),0.2)</f>
        <v>0.2</v>
      </c>
      <c r="G1313" s="16">
        <f>IFERROR(__xludf.DUMMYFUNCTION("""COMPUTED_VALUE"""),6.7)</f>
        <v>6.7</v>
      </c>
      <c r="H1313" s="23">
        <f>IFERROR(__xludf.DUMMYFUNCTION("""COMPUTED_VALUE"""),309.0)</f>
        <v>309</v>
      </c>
    </row>
    <row r="1314">
      <c r="A1314" s="16" t="str">
        <f>IFERROR(__xludf.DUMMYFUNCTION("""COMPUTED_VALUE"""),"Сушени плодове")</f>
        <v>Сушени плодове</v>
      </c>
      <c r="B1314" s="7" t="str">
        <f>IFERROR(__xludf.DUMMYFUNCTION("""COMPUTED_VALUE"""),"Стафиди")</f>
        <v>Стафиди</v>
      </c>
      <c r="C1314" s="7" t="str">
        <f>IFERROR(__xludf.DUMMYFUNCTION("""COMPUTED_VALUE"""),"100")</f>
        <v>100</v>
      </c>
      <c r="D1314" s="7">
        <f>IFERROR(__xludf.DUMMYFUNCTION("""COMPUTED_VALUE"""),2.0)</f>
        <v>2</v>
      </c>
      <c r="E1314" s="16">
        <f>IFERROR(__xludf.DUMMYFUNCTION("""COMPUTED_VALUE"""),79.0)</f>
        <v>79</v>
      </c>
      <c r="F1314" s="16">
        <f>IFERROR(__xludf.DUMMYFUNCTION("""COMPUTED_VALUE"""),0.0)</f>
        <v>0</v>
      </c>
      <c r="G1314" s="16">
        <f>IFERROR(__xludf.DUMMYFUNCTION("""COMPUTED_VALUE"""),4.0)</f>
        <v>4</v>
      </c>
      <c r="H1314" s="23">
        <f>IFERROR(__xludf.DUMMYFUNCTION("""COMPUTED_VALUE"""),324.0)</f>
        <v>324</v>
      </c>
    </row>
    <row r="1315">
      <c r="A1315" s="16" t="str">
        <f>IFERROR(__xludf.DUMMYFUNCTION("""COMPUTED_VALUE"""),"Сушени плодове")</f>
        <v>Сушени плодове</v>
      </c>
      <c r="B1315" s="7" t="str">
        <f>IFERROR(__xludf.DUMMYFUNCTION("""COMPUTED_VALUE"""),"Червена боровинка")</f>
        <v>Червена боровинка</v>
      </c>
      <c r="C1315" s="7">
        <f>IFERROR(__xludf.DUMMYFUNCTION("""COMPUTED_VALUE"""),100.0)</f>
        <v>100</v>
      </c>
      <c r="D1315" s="7">
        <f>IFERROR(__xludf.DUMMYFUNCTION("""COMPUTED_VALUE"""),0.7)</f>
        <v>0.7</v>
      </c>
      <c r="E1315" s="16">
        <f>IFERROR(__xludf.DUMMYFUNCTION("""COMPUTED_VALUE"""),82.4)</f>
        <v>82.4</v>
      </c>
      <c r="F1315" s="16">
        <f>IFERROR(__xludf.DUMMYFUNCTION("""COMPUTED_VALUE"""),1.4)</f>
        <v>1.4</v>
      </c>
      <c r="G1315" s="16">
        <f>IFERROR(__xludf.DUMMYFUNCTION("""COMPUTED_VALUE"""),5.7)</f>
        <v>5.7</v>
      </c>
      <c r="H1315" s="23">
        <f>IFERROR(__xludf.DUMMYFUNCTION("""COMPUTED_VALUE"""),345.00000000000006)</f>
        <v>345</v>
      </c>
    </row>
    <row r="1316">
      <c r="A1316" s="16" t="str">
        <f>IFERROR(__xludf.DUMMYFUNCTION("""COMPUTED_VALUE"""),"Сушени плодове")</f>
        <v>Сушени плодове</v>
      </c>
      <c r="B1316" s="7" t="str">
        <f>IFERROR(__xludf.DUMMYFUNCTION("""COMPUTED_VALUE"""),"Смокини")</f>
        <v>Смокини</v>
      </c>
      <c r="C1316" s="7">
        <f>IFERROR(__xludf.DUMMYFUNCTION("""COMPUTED_VALUE"""),100.0)</f>
        <v>100</v>
      </c>
      <c r="D1316" s="7">
        <f>IFERROR(__xludf.DUMMYFUNCTION("""COMPUTED_VALUE"""),3.3)</f>
        <v>3.3</v>
      </c>
      <c r="E1316" s="16">
        <f>IFERROR(__xludf.DUMMYFUNCTION("""COMPUTED_VALUE"""),64.0)</f>
        <v>64</v>
      </c>
      <c r="F1316" s="16">
        <f>IFERROR(__xludf.DUMMYFUNCTION("""COMPUTED_VALUE"""),1.0)</f>
        <v>1</v>
      </c>
      <c r="G1316" s="16">
        <f>IFERROR(__xludf.DUMMYFUNCTION("""COMPUTED_VALUE"""),10.0)</f>
        <v>10</v>
      </c>
      <c r="H1316" s="23">
        <f>IFERROR(__xludf.DUMMYFUNCTION("""COMPUTED_VALUE"""),278.2)</f>
        <v>278.2</v>
      </c>
    </row>
    <row r="1317">
      <c r="A1317" s="16" t="str">
        <f>IFERROR(__xludf.DUMMYFUNCTION("""COMPUTED_VALUE"""),"Сушени плодове")</f>
        <v>Сушени плодове</v>
      </c>
      <c r="B1317" s="7" t="str">
        <f>IFERROR(__xludf.DUMMYFUNCTION("""COMPUTED_VALUE"""),"Сушени смокини")</f>
        <v>Сушени смокини</v>
      </c>
      <c r="C1317" s="7">
        <f>IFERROR(__xludf.DUMMYFUNCTION("""COMPUTED_VALUE"""),100.0)</f>
        <v>100</v>
      </c>
      <c r="D1317" s="7">
        <f>IFERROR(__xludf.DUMMYFUNCTION("""COMPUTED_VALUE"""),3.3)</f>
        <v>3.3</v>
      </c>
      <c r="E1317" s="16">
        <f>IFERROR(__xludf.DUMMYFUNCTION("""COMPUTED_VALUE"""),64.0)</f>
        <v>64</v>
      </c>
      <c r="F1317" s="16">
        <f>IFERROR(__xludf.DUMMYFUNCTION("""COMPUTED_VALUE"""),1.0)</f>
        <v>1</v>
      </c>
      <c r="G1317" s="16">
        <f>IFERROR(__xludf.DUMMYFUNCTION("""COMPUTED_VALUE"""),9.8)</f>
        <v>9.8</v>
      </c>
      <c r="H1317" s="23">
        <f>IFERROR(__xludf.DUMMYFUNCTION("""COMPUTED_VALUE"""),278.2)</f>
        <v>278.2</v>
      </c>
    </row>
    <row r="1318">
      <c r="A1318" s="16" t="str">
        <f>IFERROR(__xludf.DUMMYFUNCTION("""COMPUTED_VALUE"""),"Сушени плодове")</f>
        <v>Сушени плодове</v>
      </c>
      <c r="B1318" s="7" t="str">
        <f>IFERROR(__xludf.DUMMYFUNCTION("""COMPUTED_VALUE"""),"Сушени плодове и ядки - ЕКЗОТИК Alesto/LIDL")</f>
        <v>Сушени плодове и ядки - ЕКЗОТИК Alesto/LIDL</v>
      </c>
      <c r="C1318" s="7">
        <f>IFERROR(__xludf.DUMMYFUNCTION("""COMPUTED_VALUE"""),100.0)</f>
        <v>100</v>
      </c>
      <c r="D1318" s="7">
        <f>IFERROR(__xludf.DUMMYFUNCTION("""COMPUTED_VALUE"""),5.5)</f>
        <v>5.5</v>
      </c>
      <c r="E1318" s="16">
        <f>IFERROR(__xludf.DUMMYFUNCTION("""COMPUTED_VALUE"""),54.7)</f>
        <v>54.7</v>
      </c>
      <c r="F1318" s="16">
        <f>IFERROR(__xludf.DUMMYFUNCTION("""COMPUTED_VALUE"""),22.9)</f>
        <v>22.9</v>
      </c>
      <c r="G1318" s="16">
        <f>IFERROR(__xludf.DUMMYFUNCTION("""COMPUTED_VALUE"""),5.6)</f>
        <v>5.6</v>
      </c>
      <c r="H1318" s="23">
        <f>IFERROR(__xludf.DUMMYFUNCTION("""COMPUTED_VALUE"""),446.9)</f>
        <v>446.9</v>
      </c>
    </row>
    <row r="1319">
      <c r="A1319" s="16" t="str">
        <f>IFERROR(__xludf.DUMMYFUNCTION("""COMPUTED_VALUE"""),"Сушени плодове")</f>
        <v>Сушени плодове</v>
      </c>
      <c r="B1319" s="7" t="str">
        <f>IFERROR(__xludf.DUMMYFUNCTION("""COMPUTED_VALUE"""),"Годжи бери")</f>
        <v>Годжи бери</v>
      </c>
      <c r="C1319" s="12">
        <f>IFERROR(__xludf.DUMMYFUNCTION("""COMPUTED_VALUE"""),100.0)</f>
        <v>100</v>
      </c>
      <c r="D1319" s="7">
        <f>IFERROR(__xludf.DUMMYFUNCTION("""COMPUTED_VALUE"""),12.0)</f>
        <v>12</v>
      </c>
      <c r="E1319" s="16">
        <f>IFERROR(__xludf.DUMMYFUNCTION("""COMPUTED_VALUE"""),60.0)</f>
        <v>60</v>
      </c>
      <c r="F1319" s="16">
        <f>IFERROR(__xludf.DUMMYFUNCTION("""COMPUTED_VALUE"""),2.7)</f>
        <v>2.7</v>
      </c>
      <c r="G1319" s="16">
        <f>IFERROR(__xludf.DUMMYFUNCTION("""COMPUTED_VALUE"""),0.0)</f>
        <v>0</v>
      </c>
      <c r="H1319" s="16">
        <f>IFERROR(__xludf.DUMMYFUNCTION("""COMPUTED_VALUE"""),312.3)</f>
        <v>312.3</v>
      </c>
    </row>
    <row r="1320">
      <c r="A1320" s="16" t="str">
        <f>IFERROR(__xludf.DUMMYFUNCTION("""COMPUTED_VALUE"""),"Тестени изделия")</f>
        <v>Тестени изделия</v>
      </c>
      <c r="B1320" s="7" t="str">
        <f>IFERROR(__xludf.DUMMYFUNCTION("""COMPUTED_VALUE"""),"Багета на пещ с лук - Кауфланд")</f>
        <v>Багета на пещ с лук - Кауфланд</v>
      </c>
      <c r="C1320" s="12">
        <f>IFERROR(__xludf.DUMMYFUNCTION("""COMPUTED_VALUE"""),100.0)</f>
        <v>100</v>
      </c>
      <c r="D1320" s="7">
        <f>IFERROR(__xludf.DUMMYFUNCTION("""COMPUTED_VALUE"""),10.0)</f>
        <v>10</v>
      </c>
      <c r="E1320" s="16">
        <f>IFERROR(__xludf.DUMMYFUNCTION("""COMPUTED_VALUE"""),55.0)</f>
        <v>55</v>
      </c>
      <c r="F1320" s="16">
        <f>IFERROR(__xludf.DUMMYFUNCTION("""COMPUTED_VALUE"""),6.0)</f>
        <v>6</v>
      </c>
      <c r="G1320" s="16">
        <f>IFERROR(__xludf.DUMMYFUNCTION("""COMPUTED_VALUE"""),4.0)</f>
        <v>4</v>
      </c>
      <c r="H1320" s="23">
        <f>IFERROR(__xludf.DUMMYFUNCTION("""COMPUTED_VALUE"""),314.0)</f>
        <v>314</v>
      </c>
    </row>
    <row r="1321">
      <c r="A1321" s="16" t="str">
        <f>IFERROR(__xludf.DUMMYFUNCTION("""COMPUTED_VALUE"""),"Тестени изделия")</f>
        <v>Тестени изделия</v>
      </c>
      <c r="B1321" s="7" t="str">
        <f>IFERROR(__xludf.DUMMYFUNCTION("""COMPUTED_VALUE"""),"Живена - Високопротеинов хляб с жива закваска")</f>
        <v>Живена - Високопротеинов хляб с жива закваска</v>
      </c>
      <c r="C1321" s="12">
        <f>IFERROR(__xludf.DUMMYFUNCTION("""COMPUTED_VALUE"""),100.0)</f>
        <v>100</v>
      </c>
      <c r="D1321" s="7">
        <f>IFERROR(__xludf.DUMMYFUNCTION("""COMPUTED_VALUE"""),15.4)</f>
        <v>15.4</v>
      </c>
      <c r="E1321" s="16">
        <f>IFERROR(__xludf.DUMMYFUNCTION("""COMPUTED_VALUE"""),40.0)</f>
        <v>40</v>
      </c>
      <c r="F1321" s="16">
        <f>IFERROR(__xludf.DUMMYFUNCTION("""COMPUTED_VALUE"""),6.2)</f>
        <v>6.2</v>
      </c>
      <c r="G1321" s="16">
        <f>IFERROR(__xludf.DUMMYFUNCTION("""COMPUTED_VALUE"""),11.0)</f>
        <v>11</v>
      </c>
      <c r="H1321" s="23">
        <f>IFERROR(__xludf.DUMMYFUNCTION("""COMPUTED_VALUE"""),277.4)</f>
        <v>277.4</v>
      </c>
    </row>
    <row r="1322">
      <c r="A1322" s="16" t="str">
        <f>IFERROR(__xludf.DUMMYFUNCTION("""COMPUTED_VALUE"""),"Тестени изделия")</f>
        <v>Тестени изделия</v>
      </c>
      <c r="B1322" s="7" t="str">
        <f>IFERROR(__xludf.DUMMYFUNCTION("""COMPUTED_VALUE"""),"Хляб Вита - всички видове")</f>
        <v>Хляб Вита - всички видове</v>
      </c>
      <c r="C1322" s="7">
        <f>IFERROR(__xludf.DUMMYFUNCTION("""COMPUTED_VALUE"""),100.0)</f>
        <v>100</v>
      </c>
      <c r="D1322" s="7">
        <f>IFERROR(__xludf.DUMMYFUNCTION("""COMPUTED_VALUE"""),8.0)</f>
        <v>8</v>
      </c>
      <c r="E1322" s="16">
        <f>IFERROR(__xludf.DUMMYFUNCTION("""COMPUTED_VALUE"""),29.0)</f>
        <v>29</v>
      </c>
      <c r="F1322" s="16">
        <f>IFERROR(__xludf.DUMMYFUNCTION("""COMPUTED_VALUE"""),4.0)</f>
        <v>4</v>
      </c>
      <c r="G1322" s="16">
        <f>IFERROR(__xludf.DUMMYFUNCTION("""COMPUTED_VALUE"""),21.0)</f>
        <v>21</v>
      </c>
      <c r="H1322" s="23">
        <f>IFERROR(__xludf.DUMMYFUNCTION("""COMPUTED_VALUE"""),184.0)</f>
        <v>184</v>
      </c>
    </row>
    <row r="1323">
      <c r="A1323" s="16" t="str">
        <f>IFERROR(__xludf.DUMMYFUNCTION("""COMPUTED_VALUE"""),"Тестени изделия")</f>
        <v>Тестени изделия</v>
      </c>
      <c r="B1323" s="7" t="str">
        <f>IFERROR(__xludf.DUMMYFUNCTION("""COMPUTED_VALUE"""),"Макарони (сурово състояние)")</f>
        <v>Макарони (сурово състояние)</v>
      </c>
      <c r="C1323" s="7">
        <f>IFERROR(__xludf.DUMMYFUNCTION("""COMPUTED_VALUE"""),100.0)</f>
        <v>100</v>
      </c>
      <c r="D1323" s="7">
        <f>IFERROR(__xludf.DUMMYFUNCTION("""COMPUTED_VALUE"""),10.0)</f>
        <v>10</v>
      </c>
      <c r="E1323" s="16">
        <f>IFERROR(__xludf.DUMMYFUNCTION("""COMPUTED_VALUE"""),75.0)</f>
        <v>75</v>
      </c>
      <c r="F1323" s="16">
        <f>IFERROR(__xludf.DUMMYFUNCTION("""COMPUTED_VALUE"""),1.0)</f>
        <v>1</v>
      </c>
      <c r="G1323" s="16">
        <f>IFERROR(__xludf.DUMMYFUNCTION("""COMPUTED_VALUE"""),2.0)</f>
        <v>2</v>
      </c>
      <c r="H1323" s="23">
        <f>IFERROR(__xludf.DUMMYFUNCTION("""COMPUTED_VALUE"""),349.0)</f>
        <v>349</v>
      </c>
    </row>
    <row r="1324">
      <c r="A1324" s="16" t="str">
        <f>IFERROR(__xludf.DUMMYFUNCTION("""COMPUTED_VALUE"""),"Тестени изделия")</f>
        <v>Тестени изделия</v>
      </c>
      <c r="B1324" s="7" t="str">
        <f>IFERROR(__xludf.DUMMYFUNCTION("""COMPUTED_VALUE"""),"Спагети (сурово състояние)")</f>
        <v>Спагети (сурово състояние)</v>
      </c>
      <c r="C1324" s="7">
        <f>IFERROR(__xludf.DUMMYFUNCTION("""COMPUTED_VALUE"""),100.0)</f>
        <v>100</v>
      </c>
      <c r="D1324" s="7">
        <f>IFERROR(__xludf.DUMMYFUNCTION("""COMPUTED_VALUE"""),10.0)</f>
        <v>10</v>
      </c>
      <c r="E1324" s="16">
        <f>IFERROR(__xludf.DUMMYFUNCTION("""COMPUTED_VALUE"""),75.0)</f>
        <v>75</v>
      </c>
      <c r="F1324" s="16">
        <f>IFERROR(__xludf.DUMMYFUNCTION("""COMPUTED_VALUE"""),1.0)</f>
        <v>1</v>
      </c>
      <c r="G1324" s="16">
        <f>IFERROR(__xludf.DUMMYFUNCTION("""COMPUTED_VALUE"""),2.0)</f>
        <v>2</v>
      </c>
      <c r="H1324" s="23">
        <f>IFERROR(__xludf.DUMMYFUNCTION("""COMPUTED_VALUE"""),349.0)</f>
        <v>349</v>
      </c>
    </row>
    <row r="1325">
      <c r="A1325" s="16" t="str">
        <f>IFERROR(__xludf.DUMMYFUNCTION("""COMPUTED_VALUE"""),"Тестени изделия")</f>
        <v>Тестени изделия</v>
      </c>
      <c r="B1325" s="7" t="str">
        <f>IFERROR(__xludf.DUMMYFUNCTION("""COMPUTED_VALUE"""),"Кус кус (сурово състояние)")</f>
        <v>Кус кус (сурово състояние)</v>
      </c>
      <c r="C1325" s="7">
        <f>IFERROR(__xludf.DUMMYFUNCTION("""COMPUTED_VALUE"""),100.0)</f>
        <v>100</v>
      </c>
      <c r="D1325" s="7">
        <f>IFERROR(__xludf.DUMMYFUNCTION("""COMPUTED_VALUE"""),12.8)</f>
        <v>12.8</v>
      </c>
      <c r="E1325" s="16">
        <f>IFERROR(__xludf.DUMMYFUNCTION("""COMPUTED_VALUE"""),77.4)</f>
        <v>77.4</v>
      </c>
      <c r="F1325" s="16">
        <f>IFERROR(__xludf.DUMMYFUNCTION("""COMPUTED_VALUE"""),0.6)</f>
        <v>0.6</v>
      </c>
      <c r="G1325" s="16" t="str">
        <f>IFERROR(__xludf.DUMMYFUNCTION("""COMPUTED_VALUE"""),"5")</f>
        <v>5</v>
      </c>
      <c r="H1325" s="23">
        <f>IFERROR(__xludf.DUMMYFUNCTION("""COMPUTED_VALUE"""),366.2)</f>
        <v>366.2</v>
      </c>
    </row>
    <row r="1326">
      <c r="A1326" s="16" t="str">
        <f>IFERROR(__xludf.DUMMYFUNCTION("""COMPUTED_VALUE"""),"Тестени изделия")</f>
        <v>Тестени изделия</v>
      </c>
      <c r="B1326" s="7" t="str">
        <f>IFERROR(__xludf.DUMMYFUNCTION("""COMPUTED_VALUE"""),"Лаваш")</f>
        <v>Лаваш</v>
      </c>
      <c r="C1326" s="7">
        <f>IFERROR(__xludf.DUMMYFUNCTION("""COMPUTED_VALUE"""),100.0)</f>
        <v>100</v>
      </c>
      <c r="D1326" s="7">
        <f>IFERROR(__xludf.DUMMYFUNCTION("""COMPUTED_VALUE"""),7.5)</f>
        <v>7.5</v>
      </c>
      <c r="E1326" s="16">
        <f>IFERROR(__xludf.DUMMYFUNCTION("""COMPUTED_VALUE"""),53.4)</f>
        <v>53.4</v>
      </c>
      <c r="F1326" s="16">
        <f>IFERROR(__xludf.DUMMYFUNCTION("""COMPUTED_VALUE"""),0.0)</f>
        <v>0</v>
      </c>
      <c r="G1326" s="16">
        <f>IFERROR(__xludf.DUMMYFUNCTION("""COMPUTED_VALUE"""),1.0)</f>
        <v>1</v>
      </c>
      <c r="H1326" s="23">
        <f>IFERROR(__xludf.DUMMYFUNCTION("""COMPUTED_VALUE"""),243.6)</f>
        <v>243.6</v>
      </c>
    </row>
    <row r="1327">
      <c r="A1327" s="16" t="str">
        <f>IFERROR(__xludf.DUMMYFUNCTION("""COMPUTED_VALUE"""),"Тестени изделия")</f>
        <v>Тестени изделия</v>
      </c>
      <c r="B1327" s="7" t="str">
        <f>IFERROR(__xludf.DUMMYFUNCTION("""COMPUTED_VALUE"""),"Протеинов хляб")</f>
        <v>Протеинов хляб</v>
      </c>
      <c r="C1327" s="7">
        <f>IFERROR(__xludf.DUMMYFUNCTION("""COMPUTED_VALUE"""),100.0)</f>
        <v>100</v>
      </c>
      <c r="D1327" s="7">
        <f>IFERROR(__xludf.DUMMYFUNCTION("""COMPUTED_VALUE"""),22.0)</f>
        <v>22</v>
      </c>
      <c r="E1327" s="16">
        <f>IFERROR(__xludf.DUMMYFUNCTION("""COMPUTED_VALUE"""),11.5)</f>
        <v>11.5</v>
      </c>
      <c r="F1327" s="16">
        <f>IFERROR(__xludf.DUMMYFUNCTION("""COMPUTED_VALUE"""),8.0)</f>
        <v>8</v>
      </c>
      <c r="G1327" s="16">
        <f>IFERROR(__xludf.DUMMYFUNCTION("""COMPUTED_VALUE"""),21.0)</f>
        <v>21</v>
      </c>
      <c r="H1327" s="23">
        <f>IFERROR(__xludf.DUMMYFUNCTION("""COMPUTED_VALUE"""),206.0)</f>
        <v>206</v>
      </c>
    </row>
    <row r="1328">
      <c r="A1328" s="16" t="str">
        <f>IFERROR(__xludf.DUMMYFUNCTION("""COMPUTED_VALUE"""),"Тестени изделия")</f>
        <v>Тестени изделия</v>
      </c>
      <c r="B1328" s="7" t="str">
        <f>IFERROR(__xludf.DUMMYFUNCTION("""COMPUTED_VALUE"""),"Точени кори ''Фамилия''")</f>
        <v>Точени кори ''Фамилия''</v>
      </c>
      <c r="C1328" s="7" t="str">
        <f>IFERROR(__xludf.DUMMYFUNCTION("""COMPUTED_VALUE"""),"100")</f>
        <v>100</v>
      </c>
      <c r="D1328" s="7">
        <f>IFERROR(__xludf.DUMMYFUNCTION("""COMPUTED_VALUE"""),8.0)</f>
        <v>8</v>
      </c>
      <c r="E1328" s="16">
        <f>IFERROR(__xludf.DUMMYFUNCTION("""COMPUTED_VALUE"""),60.0)</f>
        <v>60</v>
      </c>
      <c r="F1328" s="16">
        <f>IFERROR(__xludf.DUMMYFUNCTION("""COMPUTED_VALUE"""),5.0)</f>
        <v>5</v>
      </c>
      <c r="G1328" s="16">
        <f>IFERROR(__xludf.DUMMYFUNCTION("""COMPUTED_VALUE"""),0.0)</f>
        <v>0</v>
      </c>
      <c r="H1328" s="23">
        <f>IFERROR(__xludf.DUMMYFUNCTION("""COMPUTED_VALUE"""),317.0)</f>
        <v>317</v>
      </c>
    </row>
    <row r="1329">
      <c r="A1329" s="16" t="str">
        <f>IFERROR(__xludf.DUMMYFUNCTION("""COMPUTED_VALUE"""),"Тестени изделия")</f>
        <v>Тестени изделия</v>
      </c>
      <c r="B1329" s="7" t="str">
        <f>IFERROR(__xludf.DUMMYFUNCTION("""COMPUTED_VALUE"""),"Пълнозърнеста паста")</f>
        <v>Пълнозърнеста паста</v>
      </c>
      <c r="C1329" s="7">
        <f>IFERROR(__xludf.DUMMYFUNCTION("""COMPUTED_VALUE"""),100.0)</f>
        <v>100</v>
      </c>
      <c r="D1329" s="7">
        <f>IFERROR(__xludf.DUMMYFUNCTION("""COMPUTED_VALUE"""),14.6)</f>
        <v>14.6</v>
      </c>
      <c r="E1329" s="16">
        <f>IFERROR(__xludf.DUMMYFUNCTION("""COMPUTED_VALUE"""),75.0)</f>
        <v>75</v>
      </c>
      <c r="F1329" s="16">
        <f>IFERROR(__xludf.DUMMYFUNCTION("""COMPUTED_VALUE"""),1.4)</f>
        <v>1.4</v>
      </c>
      <c r="G1329" s="16">
        <f>IFERROR(__xludf.DUMMYFUNCTION("""COMPUTED_VALUE"""),0.0)</f>
        <v>0</v>
      </c>
      <c r="H1329" s="23">
        <f>IFERROR(__xludf.DUMMYFUNCTION("""COMPUTED_VALUE"""),371.0)</f>
        <v>371</v>
      </c>
    </row>
    <row r="1330">
      <c r="A1330" s="16" t="str">
        <f>IFERROR(__xludf.DUMMYFUNCTION("""COMPUTED_VALUE"""),"Тестени изделия")</f>
        <v>Тестени изделия</v>
      </c>
      <c r="B1330" s="7" t="str">
        <f>IFERROR(__xludf.DUMMYFUNCTION("""COMPUTED_VALUE"""),"Точени кори BELLA")</f>
        <v>Точени кори BELLA</v>
      </c>
      <c r="C1330" s="7">
        <f>IFERROR(__xludf.DUMMYFUNCTION("""COMPUTED_VALUE"""),100.0)</f>
        <v>100</v>
      </c>
      <c r="D1330" s="7">
        <f>IFERROR(__xludf.DUMMYFUNCTION("""COMPUTED_VALUE"""),9.1)</f>
        <v>9.1</v>
      </c>
      <c r="E1330" s="16">
        <f>IFERROR(__xludf.DUMMYFUNCTION("""COMPUTED_VALUE"""),63.4)</f>
        <v>63.4</v>
      </c>
      <c r="F1330" s="16">
        <f>IFERROR(__xludf.DUMMYFUNCTION("""COMPUTED_VALUE"""),0.2)</f>
        <v>0.2</v>
      </c>
      <c r="G1330" s="16">
        <f>IFERROR(__xludf.DUMMYFUNCTION("""COMPUTED_VALUE"""),0.0)</f>
        <v>0</v>
      </c>
      <c r="H1330" s="23">
        <f>IFERROR(__xludf.DUMMYFUNCTION("""COMPUTED_VALUE"""),291.8)</f>
        <v>291.8</v>
      </c>
    </row>
    <row r="1331">
      <c r="A1331" s="16" t="str">
        <f>IFERROR(__xludf.DUMMYFUNCTION("""COMPUTED_VALUE"""),"Тестени изделия")</f>
        <v>Тестени изделия</v>
      </c>
      <c r="B1331" s="7" t="str">
        <f>IFERROR(__xludf.DUMMYFUNCTION("""COMPUTED_VALUE"""),"Царевична тортила")</f>
        <v>Царевична тортила</v>
      </c>
      <c r="C1331" s="7">
        <f>IFERROR(__xludf.DUMMYFUNCTION("""COMPUTED_VALUE"""),100.0)</f>
        <v>100</v>
      </c>
      <c r="D1331" s="7">
        <f>IFERROR(__xludf.DUMMYFUNCTION("""COMPUTED_VALUE"""),5.7)</f>
        <v>5.7</v>
      </c>
      <c r="E1331" s="16">
        <f>IFERROR(__xludf.DUMMYFUNCTION("""COMPUTED_VALUE"""),44.0)</f>
        <v>44</v>
      </c>
      <c r="F1331" s="16">
        <f>IFERROR(__xludf.DUMMYFUNCTION("""COMPUTED_VALUE"""),3.0)</f>
        <v>3</v>
      </c>
      <c r="G1331" s="16">
        <f>IFERROR(__xludf.DUMMYFUNCTION("""COMPUTED_VALUE"""),6.0)</f>
        <v>6</v>
      </c>
      <c r="H1331" s="23">
        <f>IFERROR(__xludf.DUMMYFUNCTION("""COMPUTED_VALUE"""),225.8)</f>
        <v>225.8</v>
      </c>
    </row>
    <row r="1332">
      <c r="A1332" s="16" t="str">
        <f>IFERROR(__xludf.DUMMYFUNCTION("""COMPUTED_VALUE"""),"Тестени изделия")</f>
        <v>Тестени изделия</v>
      </c>
      <c r="B1332" s="7" t="str">
        <f>IFERROR(__xludf.DUMMYFUNCTION("""COMPUTED_VALUE"""),"Оризови кори")</f>
        <v>Оризови кори</v>
      </c>
      <c r="C1332" s="7">
        <f>IFERROR(__xludf.DUMMYFUNCTION("""COMPUTED_VALUE"""),100.0)</f>
        <v>100</v>
      </c>
      <c r="D1332" s="7">
        <f>IFERROR(__xludf.DUMMYFUNCTION("""COMPUTED_VALUE"""),3.0)</f>
        <v>3</v>
      </c>
      <c r="E1332" s="16">
        <f>IFERROR(__xludf.DUMMYFUNCTION("""COMPUTED_VALUE"""),81.0)</f>
        <v>81</v>
      </c>
      <c r="F1332" s="16">
        <f>IFERROR(__xludf.DUMMYFUNCTION("""COMPUTED_VALUE"""),0.0)</f>
        <v>0</v>
      </c>
      <c r="G1332" s="16">
        <f>IFERROR(__xludf.DUMMYFUNCTION("""COMPUTED_VALUE"""),1.0)</f>
        <v>1</v>
      </c>
      <c r="H1332" s="23">
        <f>IFERROR(__xludf.DUMMYFUNCTION("""COMPUTED_VALUE"""),336.0)</f>
        <v>336</v>
      </c>
    </row>
    <row r="1333">
      <c r="A1333" s="16" t="str">
        <f>IFERROR(__xludf.DUMMYFUNCTION("""COMPUTED_VALUE"""),"Тестени изделия")</f>
        <v>Тестени изделия</v>
      </c>
      <c r="B1333" s="7" t="str">
        <f>IFERROR(__xludf.DUMMYFUNCTION("""COMPUTED_VALUE"""),"Хрупкави хлебчета от ориз и царевица")</f>
        <v>Хрупкави хлебчета от ориз и царевица</v>
      </c>
      <c r="C1333" s="7">
        <f>IFERROR(__xludf.DUMMYFUNCTION("""COMPUTED_VALUE"""),100.0)</f>
        <v>100</v>
      </c>
      <c r="D1333" s="7">
        <f>IFERROR(__xludf.DUMMYFUNCTION("""COMPUTED_VALUE"""),8.6)</f>
        <v>8.6</v>
      </c>
      <c r="E1333" s="16">
        <f>IFERROR(__xludf.DUMMYFUNCTION("""COMPUTED_VALUE"""),77.5)</f>
        <v>77.5</v>
      </c>
      <c r="F1333" s="16">
        <f>IFERROR(__xludf.DUMMYFUNCTION("""COMPUTED_VALUE"""),1.4)</f>
        <v>1.4</v>
      </c>
      <c r="G1333" s="16">
        <f>IFERROR(__xludf.DUMMYFUNCTION("""COMPUTED_VALUE"""),2.0)</f>
        <v>2</v>
      </c>
      <c r="H1333" s="23">
        <f>IFERROR(__xludf.DUMMYFUNCTION("""COMPUTED_VALUE"""),357.0)</f>
        <v>357</v>
      </c>
    </row>
    <row r="1334">
      <c r="A1334" s="16" t="str">
        <f>IFERROR(__xludf.DUMMYFUNCTION("""COMPUTED_VALUE"""),"Тестени изделия")</f>
        <v>Тестени изделия</v>
      </c>
      <c r="B1334" s="7" t="str">
        <f>IFERROR(__xludf.DUMMYFUNCTION("""COMPUTED_VALUE"""),"Брашно от овес")</f>
        <v>Брашно от овес</v>
      </c>
      <c r="C1334" s="7">
        <f>IFERROR(__xludf.DUMMYFUNCTION("""COMPUTED_VALUE"""),100.0)</f>
        <v>100</v>
      </c>
      <c r="D1334" s="7">
        <f>IFERROR(__xludf.DUMMYFUNCTION("""COMPUTED_VALUE"""),14.7)</f>
        <v>14.7</v>
      </c>
      <c r="E1334" s="16">
        <f>IFERROR(__xludf.DUMMYFUNCTION("""COMPUTED_VALUE"""),70.0)</f>
        <v>70</v>
      </c>
      <c r="F1334" s="16">
        <f>IFERROR(__xludf.DUMMYFUNCTION("""COMPUTED_VALUE"""),9.0)</f>
        <v>9</v>
      </c>
      <c r="G1334" s="16">
        <f>IFERROR(__xludf.DUMMYFUNCTION("""COMPUTED_VALUE"""),8.0)</f>
        <v>8</v>
      </c>
      <c r="H1334" s="23">
        <f>IFERROR(__xludf.DUMMYFUNCTION("""COMPUTED_VALUE"""),419.8)</f>
        <v>419.8</v>
      </c>
    </row>
    <row r="1335">
      <c r="A1335" s="16" t="str">
        <f>IFERROR(__xludf.DUMMYFUNCTION("""COMPUTED_VALUE"""),"Тестени изделия")</f>
        <v>Тестени изделия</v>
      </c>
      <c r="B1335" s="7" t="str">
        <f>IFERROR(__xludf.DUMMYFUNCTION("""COMPUTED_VALUE"""),"Макарони (сварени)")</f>
        <v>Макарони (сварени)</v>
      </c>
      <c r="C1335" s="7">
        <f>IFERROR(__xludf.DUMMYFUNCTION("""COMPUTED_VALUE"""),100.0)</f>
        <v>100</v>
      </c>
      <c r="D1335" s="7">
        <f>IFERROR(__xludf.DUMMYFUNCTION("""COMPUTED_VALUE"""),6.0)</f>
        <v>6</v>
      </c>
      <c r="E1335" s="16">
        <f>IFERROR(__xludf.DUMMYFUNCTION("""COMPUTED_VALUE"""),31.0)</f>
        <v>31</v>
      </c>
      <c r="F1335" s="16">
        <f>IFERROR(__xludf.DUMMYFUNCTION("""COMPUTED_VALUE"""),1.0)</f>
        <v>1</v>
      </c>
      <c r="G1335" s="16">
        <f>IFERROR(__xludf.DUMMYFUNCTION("""COMPUTED_VALUE"""),0.0)</f>
        <v>0</v>
      </c>
      <c r="H1335" s="23">
        <f>IFERROR(__xludf.DUMMYFUNCTION("""COMPUTED_VALUE"""),157.0)</f>
        <v>157</v>
      </c>
    </row>
    <row r="1336">
      <c r="A1336" s="16" t="str">
        <f>IFERROR(__xludf.DUMMYFUNCTION("""COMPUTED_VALUE"""),"Тестени изделия")</f>
        <v>Тестени изделия</v>
      </c>
      <c r="B1336" s="7" t="str">
        <f>IFERROR(__xludf.DUMMYFUNCTION("""COMPUTED_VALUE"""),"Арабска питка 40г")</f>
        <v>Арабска питка 40г</v>
      </c>
      <c r="C1336" s="7">
        <f>IFERROR(__xludf.DUMMYFUNCTION("""COMPUTED_VALUE"""),100.0)</f>
        <v>100</v>
      </c>
      <c r="D1336" s="7">
        <f>IFERROR(__xludf.DUMMYFUNCTION("""COMPUTED_VALUE"""),7.5)</f>
        <v>7.5</v>
      </c>
      <c r="E1336" s="16">
        <f>IFERROR(__xludf.DUMMYFUNCTION("""COMPUTED_VALUE"""),53.4)</f>
        <v>53.4</v>
      </c>
      <c r="F1336" s="16">
        <f>IFERROR(__xludf.DUMMYFUNCTION("""COMPUTED_VALUE"""),0.9)</f>
        <v>0.9</v>
      </c>
      <c r="G1336" s="16">
        <f>IFERROR(__xludf.DUMMYFUNCTION("""COMPUTED_VALUE"""),0.0)</f>
        <v>0</v>
      </c>
      <c r="H1336" s="23">
        <f>IFERROR(__xludf.DUMMYFUNCTION("""COMPUTED_VALUE"""),251.7)</f>
        <v>251.7</v>
      </c>
    </row>
    <row r="1337">
      <c r="A1337" s="16" t="str">
        <f>IFERROR(__xludf.DUMMYFUNCTION("""COMPUTED_VALUE"""),"Тестени изделия")</f>
        <v>Тестени изделия</v>
      </c>
      <c r="B1337" s="7" t="str">
        <f>IFERROR(__xludf.DUMMYFUNCTION("""COMPUTED_VALUE"""),"Арабска питка 62г")</f>
        <v>Арабска питка 62г</v>
      </c>
      <c r="C1337" s="7">
        <f>IFERROR(__xludf.DUMMYFUNCTION("""COMPUTED_VALUE"""),100.0)</f>
        <v>100</v>
      </c>
      <c r="D1337" s="7">
        <f>IFERROR(__xludf.DUMMYFUNCTION("""COMPUTED_VALUE"""),9.3)</f>
        <v>9.3</v>
      </c>
      <c r="E1337" s="16">
        <f>IFERROR(__xludf.DUMMYFUNCTION("""COMPUTED_VALUE"""),52.4)</f>
        <v>52.4</v>
      </c>
      <c r="F1337" s="16">
        <f>IFERROR(__xludf.DUMMYFUNCTION("""COMPUTED_VALUE"""),7.0)</f>
        <v>7</v>
      </c>
      <c r="G1337" s="16">
        <f>IFERROR(__xludf.DUMMYFUNCTION("""COMPUTED_VALUE"""),0.0)</f>
        <v>0</v>
      </c>
      <c r="H1337" s="23">
        <f>IFERROR(__xludf.DUMMYFUNCTION("""COMPUTED_VALUE"""),309.8)</f>
        <v>309.8</v>
      </c>
    </row>
    <row r="1338">
      <c r="A1338" s="16" t="str">
        <f>IFERROR(__xludf.DUMMYFUNCTION("""COMPUTED_VALUE"""),"Тестени изделия")</f>
        <v>Тестени изделия</v>
      </c>
      <c r="B1338" s="7" t="str">
        <f>IFERROR(__xludf.DUMMYFUNCTION("""COMPUTED_VALUE"""),"Бургер питки")</f>
        <v>Бургер питки</v>
      </c>
      <c r="C1338" s="7">
        <f>IFERROR(__xludf.DUMMYFUNCTION("""COMPUTED_VALUE"""),100.0)</f>
        <v>100</v>
      </c>
      <c r="D1338" s="7">
        <f>IFERROR(__xludf.DUMMYFUNCTION("""COMPUTED_VALUE"""),8.8)</f>
        <v>8.8</v>
      </c>
      <c r="E1338" s="16">
        <f>IFERROR(__xludf.DUMMYFUNCTION("""COMPUTED_VALUE"""),49.9)</f>
        <v>49.9</v>
      </c>
      <c r="F1338" s="16">
        <f>IFERROR(__xludf.DUMMYFUNCTION("""COMPUTED_VALUE"""),3.0)</f>
        <v>3</v>
      </c>
      <c r="G1338" s="16">
        <f>IFERROR(__xludf.DUMMYFUNCTION("""COMPUTED_VALUE"""),0.0)</f>
        <v>0</v>
      </c>
      <c r="H1338" s="23">
        <f>IFERROR(__xludf.DUMMYFUNCTION("""COMPUTED_VALUE"""),261.8)</f>
        <v>261.8</v>
      </c>
    </row>
    <row r="1339">
      <c r="A1339" s="16" t="str">
        <f>IFERROR(__xludf.DUMMYFUNCTION("""COMPUTED_VALUE"""),"Тестени изделия")</f>
        <v>Тестени изделия</v>
      </c>
      <c r="B1339" s="7" t="str">
        <f>IFERROR(__xludf.DUMMYFUNCTION("""COMPUTED_VALUE"""),"Домашна юфка")</f>
        <v>Домашна юфка</v>
      </c>
      <c r="C1339" s="7">
        <f>IFERROR(__xludf.DUMMYFUNCTION("""COMPUTED_VALUE"""),100.0)</f>
        <v>100</v>
      </c>
      <c r="D1339" s="7">
        <f>IFERROR(__xludf.DUMMYFUNCTION("""COMPUTED_VALUE"""),14.2)</f>
        <v>14.2</v>
      </c>
      <c r="E1339" s="16">
        <f>IFERROR(__xludf.DUMMYFUNCTION("""COMPUTED_VALUE"""),71.3)</f>
        <v>71.3</v>
      </c>
      <c r="F1339" s="16">
        <f>IFERROR(__xludf.DUMMYFUNCTION("""COMPUTED_VALUE"""),4.4)</f>
        <v>4.4</v>
      </c>
      <c r="G1339" s="16">
        <f>IFERROR(__xludf.DUMMYFUNCTION("""COMPUTED_VALUE"""),0.0)</f>
        <v>0</v>
      </c>
      <c r="H1339" s="23">
        <f>IFERROR(__xludf.DUMMYFUNCTION("""COMPUTED_VALUE"""),381.6)</f>
        <v>381.6</v>
      </c>
    </row>
    <row r="1340">
      <c r="A1340" s="16" t="str">
        <f>IFERROR(__xludf.DUMMYFUNCTION("""COMPUTED_VALUE"""),"Тестени изделия")</f>
        <v>Тестени изделия</v>
      </c>
      <c r="B1340" s="7" t="str">
        <f>IFERROR(__xludf.DUMMYFUNCTION("""COMPUTED_VALUE"""),"Пресован Пълнозърнест хляб - Jean Pierre")</f>
        <v>Пресован Пълнозърнест хляб - Jean Pierre</v>
      </c>
      <c r="C1340" s="7">
        <f>IFERROR(__xludf.DUMMYFUNCTION("""COMPUTED_VALUE"""),100.0)</f>
        <v>100</v>
      </c>
      <c r="D1340" s="7">
        <f>IFERROR(__xludf.DUMMYFUNCTION("""COMPUTED_VALUE"""),11.0)</f>
        <v>11</v>
      </c>
      <c r="E1340" s="16">
        <f>IFERROR(__xludf.DUMMYFUNCTION("""COMPUTED_VALUE"""),58.0)</f>
        <v>58</v>
      </c>
      <c r="F1340" s="16">
        <f>IFERROR(__xludf.DUMMYFUNCTION("""COMPUTED_VALUE"""),6.0)</f>
        <v>6</v>
      </c>
      <c r="G1340" s="16">
        <f>IFERROR(__xludf.DUMMYFUNCTION("""COMPUTED_VALUE"""),16.0)</f>
        <v>16</v>
      </c>
      <c r="H1340" s="23">
        <f>IFERROR(__xludf.DUMMYFUNCTION("""COMPUTED_VALUE"""),330.0)</f>
        <v>330</v>
      </c>
    </row>
    <row r="1341">
      <c r="A1341" s="16" t="str">
        <f>IFERROR(__xludf.DUMMYFUNCTION("""COMPUTED_VALUE"""),"Тестени изделия")</f>
        <v>Тестени изделия</v>
      </c>
      <c r="B1341" s="7" t="str">
        <f>IFERROR(__xludf.DUMMYFUNCTION("""COMPUTED_VALUE"""),"Хляб ""Живена"" - тиква и слънчоглед")</f>
        <v>Хляб "Живена" - тиква и слънчоглед</v>
      </c>
      <c r="C1341" s="7">
        <f>IFERROR(__xludf.DUMMYFUNCTION("""COMPUTED_VALUE"""),100.0)</f>
        <v>100</v>
      </c>
      <c r="D1341" s="7">
        <f>IFERROR(__xludf.DUMMYFUNCTION("""COMPUTED_VALUE"""),14.4)</f>
        <v>14.4</v>
      </c>
      <c r="E1341" s="16">
        <f>IFERROR(__xludf.DUMMYFUNCTION("""COMPUTED_VALUE"""),38.0)</f>
        <v>38</v>
      </c>
      <c r="F1341" s="16">
        <f>IFERROR(__xludf.DUMMYFUNCTION("""COMPUTED_VALUE"""),10.0)</f>
        <v>10</v>
      </c>
      <c r="G1341" s="16">
        <f>IFERROR(__xludf.DUMMYFUNCTION("""COMPUTED_VALUE"""),6.0)</f>
        <v>6</v>
      </c>
      <c r="H1341" s="23">
        <f>IFERROR(__xludf.DUMMYFUNCTION("""COMPUTED_VALUE"""),299.6)</f>
        <v>299.6</v>
      </c>
    </row>
    <row r="1342">
      <c r="A1342" s="16" t="str">
        <f>IFERROR(__xludf.DUMMYFUNCTION("""COMPUTED_VALUE"""),"Тестени изделия")</f>
        <v>Тестени изделия</v>
      </c>
      <c r="B1342" s="7" t="str">
        <f>IFERROR(__xludf.DUMMYFUNCTION("""COMPUTED_VALUE"""),"Паста Divella")</f>
        <v>Паста Divella</v>
      </c>
      <c r="C1342" s="7">
        <f>IFERROR(__xludf.DUMMYFUNCTION("""COMPUTED_VALUE"""),100.0)</f>
        <v>100</v>
      </c>
      <c r="D1342" s="7">
        <f>IFERROR(__xludf.DUMMYFUNCTION("""COMPUTED_VALUE"""),13.0)</f>
        <v>13</v>
      </c>
      <c r="E1342" s="16">
        <f>IFERROR(__xludf.DUMMYFUNCTION("""COMPUTED_VALUE"""),72.0)</f>
        <v>72</v>
      </c>
      <c r="F1342" s="16">
        <f>IFERROR(__xludf.DUMMYFUNCTION("""COMPUTED_VALUE"""),1.7)</f>
        <v>1.7</v>
      </c>
      <c r="G1342" s="16">
        <f>IFERROR(__xludf.DUMMYFUNCTION("""COMPUTED_VALUE"""),3.0)</f>
        <v>3</v>
      </c>
      <c r="H1342" s="23">
        <f>IFERROR(__xludf.DUMMYFUNCTION("""COMPUTED_VALUE"""),355.3)</f>
        <v>355.3</v>
      </c>
    </row>
    <row r="1343">
      <c r="A1343" s="16" t="str">
        <f>IFERROR(__xludf.DUMMYFUNCTION("""COMPUTED_VALUE"""),"Тестени изделия")</f>
        <v>Тестени изделия</v>
      </c>
      <c r="B1343" s="7" t="str">
        <f>IFERROR(__xludf.DUMMYFUNCTION("""COMPUTED_VALUE"""),"Макарони (пълнозърнести - варени)")</f>
        <v>Макарони (пълнозърнести - варени)</v>
      </c>
      <c r="C1343" s="7">
        <f>IFERROR(__xludf.DUMMYFUNCTION("""COMPUTED_VALUE"""),100.0)</f>
        <v>100</v>
      </c>
      <c r="D1343" s="7">
        <f>IFERROR(__xludf.DUMMYFUNCTION("""COMPUTED_VALUE"""),5.3)</f>
        <v>5.3</v>
      </c>
      <c r="E1343" s="16">
        <f>IFERROR(__xludf.DUMMYFUNCTION("""COMPUTED_VALUE"""),26.5)</f>
        <v>26.5</v>
      </c>
      <c r="F1343" s="16">
        <f>IFERROR(__xludf.DUMMYFUNCTION("""COMPUTED_VALUE"""),0.5)</f>
        <v>0.5</v>
      </c>
      <c r="G1343" s="16">
        <f>IFERROR(__xludf.DUMMYFUNCTION("""COMPUTED_VALUE"""),2.8)</f>
        <v>2.8</v>
      </c>
      <c r="H1343" s="23">
        <f>IFERROR(__xludf.DUMMYFUNCTION("""COMPUTED_VALUE"""),131.7)</f>
        <v>131.7</v>
      </c>
    </row>
    <row r="1344">
      <c r="A1344" s="16" t="str">
        <f>IFERROR(__xludf.DUMMYFUNCTION("""COMPUTED_VALUE"""),"Тестени изделия")</f>
        <v>Тестени изделия</v>
      </c>
      <c r="B1344" s="7" t="str">
        <f>IFERROR(__xludf.DUMMYFUNCTION("""COMPUTED_VALUE"""),"Хляб “Грахам”")</f>
        <v>Хляб “Грахам”</v>
      </c>
      <c r="C1344" s="7">
        <f>IFERROR(__xludf.DUMMYFUNCTION("""COMPUTED_VALUE"""),100.0)</f>
        <v>100</v>
      </c>
      <c r="D1344" s="7">
        <f>IFERROR(__xludf.DUMMYFUNCTION("""COMPUTED_VALUE"""),6.3)</f>
        <v>6.3</v>
      </c>
      <c r="E1344" s="16">
        <f>IFERROR(__xludf.DUMMYFUNCTION("""COMPUTED_VALUE"""),48.0)</f>
        <v>48</v>
      </c>
      <c r="F1344" s="16">
        <f>IFERROR(__xludf.DUMMYFUNCTION("""COMPUTED_VALUE"""),1.0)</f>
        <v>1</v>
      </c>
      <c r="G1344" s="16">
        <f>IFERROR(__xludf.DUMMYFUNCTION("""COMPUTED_VALUE"""),6.6)</f>
        <v>6.6</v>
      </c>
      <c r="H1344" s="23">
        <f>IFERROR(__xludf.DUMMYFUNCTION("""COMPUTED_VALUE"""),226.2)</f>
        <v>226.2</v>
      </c>
    </row>
    <row r="1345">
      <c r="A1345" s="16" t="str">
        <f>IFERROR(__xludf.DUMMYFUNCTION("""COMPUTED_VALUE"""),"Тестени изделия")</f>
        <v>Тестени изделия</v>
      </c>
      <c r="B1345" s="7" t="str">
        <f>IFERROR(__xludf.DUMMYFUNCTION("""COMPUTED_VALUE"""),"Гевреци")</f>
        <v>Гевреци</v>
      </c>
      <c r="C1345" s="7">
        <f>IFERROR(__xludf.DUMMYFUNCTION("""COMPUTED_VALUE"""),100.0)</f>
        <v>100</v>
      </c>
      <c r="D1345" s="7">
        <f>IFERROR(__xludf.DUMMYFUNCTION("""COMPUTED_VALUE"""),9.4)</f>
        <v>9.4</v>
      </c>
      <c r="E1345" s="16">
        <f>IFERROR(__xludf.DUMMYFUNCTION("""COMPUTED_VALUE"""),48.5)</f>
        <v>48.5</v>
      </c>
      <c r="F1345" s="16">
        <f>IFERROR(__xludf.DUMMYFUNCTION("""COMPUTED_VALUE"""),0.6)</f>
        <v>0.6</v>
      </c>
      <c r="G1345" s="16">
        <f>IFERROR(__xludf.DUMMYFUNCTION("""COMPUTED_VALUE"""),2.0)</f>
        <v>2</v>
      </c>
      <c r="H1345" s="23">
        <f>IFERROR(__xludf.DUMMYFUNCTION("""COMPUTED_VALUE"""),237.0)</f>
        <v>237</v>
      </c>
    </row>
    <row r="1346">
      <c r="A1346" s="16" t="str">
        <f>IFERROR(__xludf.DUMMYFUNCTION("""COMPUTED_VALUE"""),"Тестени изделия")</f>
        <v>Тестени изделия</v>
      </c>
      <c r="B1346" s="7" t="str">
        <f>IFERROR(__xludf.DUMMYFUNCTION("""COMPUTED_VALUE"""),"Пълнозърнест хляб Симид")</f>
        <v>Пълнозърнест хляб Симид</v>
      </c>
      <c r="C1346" s="7">
        <f>IFERROR(__xludf.DUMMYFUNCTION("""COMPUTED_VALUE"""),100.0)</f>
        <v>100</v>
      </c>
      <c r="D1346" s="7">
        <f>IFERROR(__xludf.DUMMYFUNCTION("""COMPUTED_VALUE"""),8.5)</f>
        <v>8.5</v>
      </c>
      <c r="E1346" s="16">
        <f>IFERROR(__xludf.DUMMYFUNCTION("""COMPUTED_VALUE"""),50.0)</f>
        <v>50</v>
      </c>
      <c r="F1346" s="16">
        <f>IFERROR(__xludf.DUMMYFUNCTION("""COMPUTED_VALUE"""),1.0)</f>
        <v>1</v>
      </c>
      <c r="G1346" s="16">
        <f>IFERROR(__xludf.DUMMYFUNCTION("""COMPUTED_VALUE"""),0.0)</f>
        <v>0</v>
      </c>
      <c r="H1346" s="23">
        <f>IFERROR(__xludf.DUMMYFUNCTION("""COMPUTED_VALUE"""),243.0)</f>
        <v>243</v>
      </c>
    </row>
    <row r="1347">
      <c r="A1347" s="16" t="str">
        <f>IFERROR(__xludf.DUMMYFUNCTION("""COMPUTED_VALUE"""),"Тестени изделия")</f>
        <v>Тестени изделия</v>
      </c>
      <c r="B1347" s="7" t="str">
        <f>IFERROR(__xludf.DUMMYFUNCTION("""COMPUTED_VALUE"""),"Оризови спагети (сурови)")</f>
        <v>Оризови спагети (сурови)</v>
      </c>
      <c r="C1347" s="7">
        <f>IFERROR(__xludf.DUMMYFUNCTION("""COMPUTED_VALUE"""),100.0)</f>
        <v>100</v>
      </c>
      <c r="D1347" s="7">
        <f>IFERROR(__xludf.DUMMYFUNCTION("""COMPUTED_VALUE"""),7.0)</f>
        <v>7</v>
      </c>
      <c r="E1347" s="16">
        <f>IFERROR(__xludf.DUMMYFUNCTION("""COMPUTED_VALUE"""),85.0)</f>
        <v>85</v>
      </c>
      <c r="F1347" s="16">
        <f>IFERROR(__xludf.DUMMYFUNCTION("""COMPUTED_VALUE"""),0.0)</f>
        <v>0</v>
      </c>
      <c r="G1347" s="16">
        <f>IFERROR(__xludf.DUMMYFUNCTION("""COMPUTED_VALUE"""),0.0)</f>
        <v>0</v>
      </c>
      <c r="H1347" s="23">
        <f>IFERROR(__xludf.DUMMYFUNCTION("""COMPUTED_VALUE"""),368.0)</f>
        <v>368</v>
      </c>
    </row>
    <row r="1348">
      <c r="A1348" s="16" t="str">
        <f>IFERROR(__xludf.DUMMYFUNCTION("""COMPUTED_VALUE"""),"Тестени изделия")</f>
        <v>Тестени изделия</v>
      </c>
      <c r="B1348" s="7" t="str">
        <f>IFERROR(__xludf.DUMMYFUNCTION("""COMPUTED_VALUE"""),"Нудли Maggi")</f>
        <v>Нудли Maggi</v>
      </c>
      <c r="C1348" s="7">
        <f>IFERROR(__xludf.DUMMYFUNCTION("""COMPUTED_VALUE"""),100.0)</f>
        <v>100</v>
      </c>
      <c r="D1348" s="7">
        <f>IFERROR(__xludf.DUMMYFUNCTION("""COMPUTED_VALUE"""),9.7)</f>
        <v>9.7</v>
      </c>
      <c r="E1348" s="16">
        <f>IFERROR(__xludf.DUMMYFUNCTION("""COMPUTED_VALUE"""),61.0)</f>
        <v>61</v>
      </c>
      <c r="F1348" s="16">
        <f>IFERROR(__xludf.DUMMYFUNCTION("""COMPUTED_VALUE"""),18.0)</f>
        <v>18</v>
      </c>
      <c r="G1348" s="16">
        <f>IFERROR(__xludf.DUMMYFUNCTION("""COMPUTED_VALUE"""),2.5)</f>
        <v>2.5</v>
      </c>
      <c r="H1348" s="23">
        <f>IFERROR(__xludf.DUMMYFUNCTION("""COMPUTED_VALUE"""),444.8)</f>
        <v>444.8</v>
      </c>
    </row>
    <row r="1349">
      <c r="A1349" s="16" t="str">
        <f>IFERROR(__xludf.DUMMYFUNCTION("""COMPUTED_VALUE"""),"Тестени изделия")</f>
        <v>Тестени изделия</v>
      </c>
      <c r="B1349" s="7" t="str">
        <f>IFERROR(__xludf.DUMMYFUNCTION("""COMPUTED_VALUE"""),"Паста Barilla Bucatini 9")</f>
        <v>Паста Barilla Bucatini 9</v>
      </c>
      <c r="C1349" s="7">
        <f>IFERROR(__xludf.DUMMYFUNCTION("""COMPUTED_VALUE"""),100.0)</f>
        <v>100</v>
      </c>
      <c r="D1349" s="7">
        <f>IFERROR(__xludf.DUMMYFUNCTION("""COMPUTED_VALUE"""),12.8)</f>
        <v>12.8</v>
      </c>
      <c r="E1349" s="16">
        <f>IFERROR(__xludf.DUMMYFUNCTION("""COMPUTED_VALUE"""),70.9)</f>
        <v>70.9</v>
      </c>
      <c r="F1349" s="16">
        <f>IFERROR(__xludf.DUMMYFUNCTION("""COMPUTED_VALUE"""),2.0)</f>
        <v>2</v>
      </c>
      <c r="G1349" s="16">
        <f>IFERROR(__xludf.DUMMYFUNCTION("""COMPUTED_VALUE"""),3.0)</f>
        <v>3</v>
      </c>
      <c r="H1349" s="23">
        <f>IFERROR(__xludf.DUMMYFUNCTION("""COMPUTED_VALUE"""),352.8)</f>
        <v>352.8</v>
      </c>
    </row>
    <row r="1350">
      <c r="A1350" s="16" t="str">
        <f>IFERROR(__xludf.DUMMYFUNCTION("""COMPUTED_VALUE"""),"Тестени изделия")</f>
        <v>Тестени изделия</v>
      </c>
      <c r="B1350" s="7" t="str">
        <f>IFERROR(__xludf.DUMMYFUNCTION("""COMPUTED_VALUE"""),"Спагети Pmc")</f>
        <v>Спагети Pmc</v>
      </c>
      <c r="C1350" s="7">
        <f>IFERROR(__xludf.DUMMYFUNCTION("""COMPUTED_VALUE"""),100.0)</f>
        <v>100</v>
      </c>
      <c r="D1350" s="7">
        <f>IFERROR(__xludf.DUMMYFUNCTION("""COMPUTED_VALUE"""),12.5)</f>
        <v>12.5</v>
      </c>
      <c r="E1350" s="16">
        <f>IFERROR(__xludf.DUMMYFUNCTION("""COMPUTED_VALUE"""),75.0)</f>
        <v>75</v>
      </c>
      <c r="F1350" s="16">
        <f>IFERROR(__xludf.DUMMYFUNCTION("""COMPUTED_VALUE"""),1.5)</f>
        <v>1.5</v>
      </c>
      <c r="G1350" s="16">
        <f>IFERROR(__xludf.DUMMYFUNCTION("""COMPUTED_VALUE"""),2.9)</f>
        <v>2.9</v>
      </c>
      <c r="H1350" s="23">
        <f>IFERROR(__xludf.DUMMYFUNCTION("""COMPUTED_VALUE"""),363.5)</f>
        <v>363.5</v>
      </c>
    </row>
    <row r="1351">
      <c r="A1351" s="16" t="str">
        <f>IFERROR(__xludf.DUMMYFUNCTION("""COMPUTED_VALUE"""),"Тестени изделия")</f>
        <v>Тестени изделия</v>
      </c>
      <c r="B1351" s="7" t="str">
        <f>IFERROR(__xludf.DUMMYFUNCTION("""COMPUTED_VALUE"""),"Хляб “Бонус”-Омега3")</f>
        <v>Хляб “Бонус”-Омега3</v>
      </c>
      <c r="C1351" s="7">
        <f>IFERROR(__xludf.DUMMYFUNCTION("""COMPUTED_VALUE"""),100.0)</f>
        <v>100</v>
      </c>
      <c r="D1351" s="7">
        <f>IFERROR(__xludf.DUMMYFUNCTION("""COMPUTED_VALUE"""),9.0)</f>
        <v>9</v>
      </c>
      <c r="E1351" s="16">
        <f>IFERROR(__xludf.DUMMYFUNCTION("""COMPUTED_VALUE"""),35.0)</f>
        <v>35</v>
      </c>
      <c r="F1351" s="16">
        <f>IFERROR(__xludf.DUMMYFUNCTION("""COMPUTED_VALUE"""),2.9)</f>
        <v>2.9</v>
      </c>
      <c r="G1351" s="16">
        <f>IFERROR(__xludf.DUMMYFUNCTION("""COMPUTED_VALUE"""),8.5)</f>
        <v>8.5</v>
      </c>
      <c r="H1351" s="23">
        <f>IFERROR(__xludf.DUMMYFUNCTION("""COMPUTED_VALUE"""),202.1)</f>
        <v>202.1</v>
      </c>
    </row>
    <row r="1352">
      <c r="A1352" s="16" t="str">
        <f>IFERROR(__xludf.DUMMYFUNCTION("""COMPUTED_VALUE"""),"Тестени изделия")</f>
        <v>Тестени изделия</v>
      </c>
      <c r="B1352" s="7" t="str">
        <f>IFERROR(__xludf.DUMMYFUNCTION("""COMPUTED_VALUE"""),"Арабска питка")</f>
        <v>Арабска питка</v>
      </c>
      <c r="C1352" s="7">
        <f>IFERROR(__xludf.DUMMYFUNCTION("""COMPUTED_VALUE"""),100.0)</f>
        <v>100</v>
      </c>
      <c r="D1352" s="7">
        <f>IFERROR(__xludf.DUMMYFUNCTION("""COMPUTED_VALUE"""),8.8)</f>
        <v>8.8</v>
      </c>
      <c r="E1352" s="16">
        <f>IFERROR(__xludf.DUMMYFUNCTION("""COMPUTED_VALUE"""),54.5)</f>
        <v>54.5</v>
      </c>
      <c r="F1352" s="16">
        <f>IFERROR(__xludf.DUMMYFUNCTION("""COMPUTED_VALUE"""),3.0)</f>
        <v>3</v>
      </c>
      <c r="G1352" s="16">
        <f>IFERROR(__xludf.DUMMYFUNCTION("""COMPUTED_VALUE"""),3.1)</f>
        <v>3.1</v>
      </c>
      <c r="H1352" s="23">
        <f>IFERROR(__xludf.DUMMYFUNCTION("""COMPUTED_VALUE"""),280.2)</f>
        <v>280.2</v>
      </c>
    </row>
    <row r="1353">
      <c r="A1353" s="16" t="str">
        <f>IFERROR(__xludf.DUMMYFUNCTION("""COMPUTED_VALUE"""),"Тестени изделия")</f>
        <v>Тестени изделия</v>
      </c>
      <c r="B1353" s="7" t="str">
        <f>IFERROR(__xludf.DUMMYFUNCTION("""COMPUTED_VALUE"""),"Паста от пълнозърнест грис (сурова)")</f>
        <v>Паста от пълнозърнест грис (сурова)</v>
      </c>
      <c r="C1353" s="7">
        <f>IFERROR(__xludf.DUMMYFUNCTION("""COMPUTED_VALUE"""),100.0)</f>
        <v>100</v>
      </c>
      <c r="D1353" s="7">
        <f>IFERROR(__xludf.DUMMYFUNCTION("""COMPUTED_VALUE"""),15.0)</f>
        <v>15</v>
      </c>
      <c r="E1353" s="16">
        <f>IFERROR(__xludf.DUMMYFUNCTION("""COMPUTED_VALUE"""),65.0)</f>
        <v>65</v>
      </c>
      <c r="F1353" s="16">
        <f>IFERROR(__xludf.DUMMYFUNCTION("""COMPUTED_VALUE"""),2.0)</f>
        <v>2</v>
      </c>
      <c r="G1353" s="16">
        <f>IFERROR(__xludf.DUMMYFUNCTION("""COMPUTED_VALUE"""),8.0)</f>
        <v>8</v>
      </c>
      <c r="H1353" s="23">
        <f>IFERROR(__xludf.DUMMYFUNCTION("""COMPUTED_VALUE"""),338.0)</f>
        <v>338</v>
      </c>
    </row>
    <row r="1354">
      <c r="A1354" s="16" t="str">
        <f>IFERROR(__xludf.DUMMYFUNCTION("""COMPUTED_VALUE"""),"Тестени изделия")</f>
        <v>Тестени изделия</v>
      </c>
      <c r="B1354" s="7" t="str">
        <f>IFERROR(__xludf.DUMMYFUNCTION("""COMPUTED_VALUE"""),"Ръжен хляб")</f>
        <v>Ръжен хляб</v>
      </c>
      <c r="C1354" s="7">
        <f>IFERROR(__xludf.DUMMYFUNCTION("""COMPUTED_VALUE"""),100.0)</f>
        <v>100</v>
      </c>
      <c r="D1354" s="7">
        <f>IFERROR(__xludf.DUMMYFUNCTION("""COMPUTED_VALUE"""),8.7)</f>
        <v>8.7</v>
      </c>
      <c r="E1354" s="16">
        <f>IFERROR(__xludf.DUMMYFUNCTION("""COMPUTED_VALUE"""),47.5)</f>
        <v>47.5</v>
      </c>
      <c r="F1354" s="16">
        <f>IFERROR(__xludf.DUMMYFUNCTION("""COMPUTED_VALUE"""),3.1)</f>
        <v>3.1</v>
      </c>
      <c r="G1354" s="16">
        <f>IFERROR(__xludf.DUMMYFUNCTION("""COMPUTED_VALUE"""),0.0)</f>
        <v>0</v>
      </c>
      <c r="H1354" s="23">
        <f>IFERROR(__xludf.DUMMYFUNCTION("""COMPUTED_VALUE"""),252.70000000000002)</f>
        <v>252.7</v>
      </c>
    </row>
    <row r="1355">
      <c r="A1355" s="16" t="str">
        <f>IFERROR(__xludf.DUMMYFUNCTION("""COMPUTED_VALUE"""),"Тестени изделия")</f>
        <v>Тестени изделия</v>
      </c>
      <c r="B1355" s="7" t="str">
        <f>IFERROR(__xludf.DUMMYFUNCTION("""COMPUTED_VALUE"""),"Нисковъглехидратен протеинов хляб ""Вита""")</f>
        <v>Нисковъглехидратен протеинов хляб "Вита"</v>
      </c>
      <c r="C1355" s="7">
        <f>IFERROR(__xludf.DUMMYFUNCTION("""COMPUTED_VALUE"""),100.0)</f>
        <v>100</v>
      </c>
      <c r="D1355" s="7">
        <f>IFERROR(__xludf.DUMMYFUNCTION("""COMPUTED_VALUE"""),20.0)</f>
        <v>20</v>
      </c>
      <c r="E1355" s="16">
        <f>IFERROR(__xludf.DUMMYFUNCTION("""COMPUTED_VALUE"""),22.0)</f>
        <v>22</v>
      </c>
      <c r="F1355" s="16">
        <f>IFERROR(__xludf.DUMMYFUNCTION("""COMPUTED_VALUE"""),3.8)</f>
        <v>3.8</v>
      </c>
      <c r="G1355" s="16">
        <f>IFERROR(__xludf.DUMMYFUNCTION("""COMPUTED_VALUE"""),18.0)</f>
        <v>18</v>
      </c>
      <c r="H1355" s="23">
        <f>IFERROR(__xludf.DUMMYFUNCTION("""COMPUTED_VALUE"""),202.2)</f>
        <v>202.2</v>
      </c>
    </row>
    <row r="1356">
      <c r="A1356" s="16" t="str">
        <f>IFERROR(__xludf.DUMMYFUNCTION("""COMPUTED_VALUE"""),"Тестени изделия")</f>
        <v>Тестени изделия</v>
      </c>
      <c r="B1356" s="7" t="str">
        <f>IFERROR(__xludf.DUMMYFUNCTION("""COMPUTED_VALUE"""),"Хляб “Живена” - орехи")</f>
        <v>Хляб “Живена” - орехи</v>
      </c>
      <c r="C1356" s="7">
        <f>IFERROR(__xludf.DUMMYFUNCTION("""COMPUTED_VALUE"""),100.0)</f>
        <v>100</v>
      </c>
      <c r="D1356" s="7">
        <f>IFERROR(__xludf.DUMMYFUNCTION("""COMPUTED_VALUE"""),10.7)</f>
        <v>10.7</v>
      </c>
      <c r="E1356" s="16">
        <f>IFERROR(__xludf.DUMMYFUNCTION("""COMPUTED_VALUE"""),42.0)</f>
        <v>42</v>
      </c>
      <c r="F1356" s="16">
        <f>IFERROR(__xludf.DUMMYFUNCTION("""COMPUTED_VALUE"""),6.2)</f>
        <v>6.2</v>
      </c>
      <c r="G1356" s="16">
        <f>IFERROR(__xludf.DUMMYFUNCTION("""COMPUTED_VALUE"""),6.0)</f>
        <v>6</v>
      </c>
      <c r="H1356" s="23">
        <f>IFERROR(__xludf.DUMMYFUNCTION("""COMPUTED_VALUE"""),266.6)</f>
        <v>266.6</v>
      </c>
    </row>
    <row r="1357">
      <c r="A1357" s="16" t="str">
        <f>IFERROR(__xludf.DUMMYFUNCTION("""COMPUTED_VALUE"""),"Тестени изделия")</f>
        <v>Тестени изделия</v>
      </c>
      <c r="B1357" s="7" t="str">
        <f>IFERROR(__xludf.DUMMYFUNCTION("""COMPUTED_VALUE"""),"Канелони Italiamo")</f>
        <v>Канелони Italiamo</v>
      </c>
      <c r="C1357" s="7">
        <f>IFERROR(__xludf.DUMMYFUNCTION("""COMPUTED_VALUE"""),100.0)</f>
        <v>100</v>
      </c>
      <c r="D1357" s="7">
        <f>IFERROR(__xludf.DUMMYFUNCTION("""COMPUTED_VALUE"""),12.5)</f>
        <v>12.5</v>
      </c>
      <c r="E1357" s="16">
        <f>IFERROR(__xludf.DUMMYFUNCTION("""COMPUTED_VALUE"""),70.5)</f>
        <v>70.5</v>
      </c>
      <c r="F1357" s="16">
        <f>IFERROR(__xludf.DUMMYFUNCTION("""COMPUTED_VALUE"""),1.2)</f>
        <v>1.2</v>
      </c>
      <c r="G1357" s="16">
        <f>IFERROR(__xludf.DUMMYFUNCTION("""COMPUTED_VALUE"""),0.0)</f>
        <v>0</v>
      </c>
      <c r="H1357" s="23">
        <f>IFERROR(__xludf.DUMMYFUNCTION("""COMPUTED_VALUE"""),342.8)</f>
        <v>342.8</v>
      </c>
    </row>
    <row r="1358">
      <c r="A1358" s="16" t="str">
        <f>IFERROR(__xludf.DUMMYFUNCTION("""COMPUTED_VALUE"""),"Тестени изделия")</f>
        <v>Тестени изделия</v>
      </c>
      <c r="B1358" s="7" t="str">
        <f>IFERROR(__xludf.DUMMYFUNCTION("""COMPUTED_VALUE"""),"Хляб “Зрънко”")</f>
        <v>Хляб “Зрънко”</v>
      </c>
      <c r="C1358" s="7">
        <f>IFERROR(__xludf.DUMMYFUNCTION("""COMPUTED_VALUE"""),100.0)</f>
        <v>100</v>
      </c>
      <c r="D1358" s="7">
        <f>IFERROR(__xludf.DUMMYFUNCTION("""COMPUTED_VALUE"""),9.72)</f>
        <v>9.72</v>
      </c>
      <c r="E1358" s="16">
        <f>IFERROR(__xludf.DUMMYFUNCTION("""COMPUTED_VALUE"""),50.64)</f>
        <v>50.64</v>
      </c>
      <c r="F1358" s="16">
        <f>IFERROR(__xludf.DUMMYFUNCTION("""COMPUTED_VALUE"""),4.34)</f>
        <v>4.34</v>
      </c>
      <c r="G1358" s="16">
        <f>IFERROR(__xludf.DUMMYFUNCTION("""COMPUTED_VALUE"""),0.0)</f>
        <v>0</v>
      </c>
      <c r="H1358" s="23">
        <f>IFERROR(__xludf.DUMMYFUNCTION("""COMPUTED_VALUE"""),280.5)</f>
        <v>280.5</v>
      </c>
    </row>
    <row r="1359">
      <c r="A1359" s="16" t="str">
        <f>IFERROR(__xludf.DUMMYFUNCTION("""COMPUTED_VALUE"""),"Тестени изделия")</f>
        <v>Тестени изделия</v>
      </c>
      <c r="B1359" s="7" t="str">
        <f>IFERROR(__xludf.DUMMYFUNCTION("""COMPUTED_VALUE"""),"Ръжен хляб-“Симид”")</f>
        <v>Ръжен хляб-“Симид”</v>
      </c>
      <c r="C1359" s="7">
        <f>IFERROR(__xludf.DUMMYFUNCTION("""COMPUTED_VALUE"""),100.0)</f>
        <v>100</v>
      </c>
      <c r="D1359" s="7">
        <f>IFERROR(__xludf.DUMMYFUNCTION("""COMPUTED_VALUE"""),7.0)</f>
        <v>7</v>
      </c>
      <c r="E1359" s="16">
        <f>IFERROR(__xludf.DUMMYFUNCTION("""COMPUTED_VALUE"""),52.0)</f>
        <v>52</v>
      </c>
      <c r="F1359" s="16">
        <f>IFERROR(__xludf.DUMMYFUNCTION("""COMPUTED_VALUE"""),1.5)</f>
        <v>1.5</v>
      </c>
      <c r="G1359" s="16">
        <f>IFERROR(__xludf.DUMMYFUNCTION("""COMPUTED_VALUE"""),0.0)</f>
        <v>0</v>
      </c>
      <c r="H1359" s="23">
        <f>IFERROR(__xludf.DUMMYFUNCTION("""COMPUTED_VALUE"""),249.5)</f>
        <v>249.5</v>
      </c>
    </row>
    <row r="1360">
      <c r="A1360" s="16" t="str">
        <f>IFERROR(__xludf.DUMMYFUNCTION("""COMPUTED_VALUE"""),"Тестени изделия")</f>
        <v>Тестени изделия</v>
      </c>
      <c r="B1360" s="7" t="str">
        <f>IFERROR(__xludf.DUMMYFUNCTION("""COMPUTED_VALUE"""),"Хляб “Вита-Фитнес”")</f>
        <v>Хляб “Вита-Фитнес”</v>
      </c>
      <c r="C1360" s="7">
        <f>IFERROR(__xludf.DUMMYFUNCTION("""COMPUTED_VALUE"""),100.0)</f>
        <v>100</v>
      </c>
      <c r="D1360" s="7">
        <f>IFERROR(__xludf.DUMMYFUNCTION("""COMPUTED_VALUE"""),16.0)</f>
        <v>16</v>
      </c>
      <c r="E1360" s="16">
        <f>IFERROR(__xludf.DUMMYFUNCTION("""COMPUTED_VALUE"""),37.0)</f>
        <v>37</v>
      </c>
      <c r="F1360" s="16">
        <f>IFERROR(__xludf.DUMMYFUNCTION("""COMPUTED_VALUE"""),1.3)</f>
        <v>1.3</v>
      </c>
      <c r="G1360" s="16">
        <f>IFERROR(__xludf.DUMMYFUNCTION("""COMPUTED_VALUE"""),16.0)</f>
        <v>16</v>
      </c>
      <c r="H1360" s="23">
        <f>IFERROR(__xludf.DUMMYFUNCTION("""COMPUTED_VALUE"""),223.7)</f>
        <v>223.7</v>
      </c>
    </row>
    <row r="1361">
      <c r="A1361" s="16" t="str">
        <f>IFERROR(__xludf.DUMMYFUNCTION("""COMPUTED_VALUE"""),"Тестени изделия")</f>
        <v>Тестени изделия</v>
      </c>
      <c r="B1361" s="7" t="str">
        <f>IFERROR(__xludf.DUMMYFUNCTION("""COMPUTED_VALUE"""),"Бриош (шоколадов)")</f>
        <v>Бриош (шоколадов)</v>
      </c>
      <c r="C1361" s="7">
        <f>IFERROR(__xludf.DUMMYFUNCTION("""COMPUTED_VALUE"""),100.0)</f>
        <v>100</v>
      </c>
      <c r="D1361" s="7">
        <f>IFERROR(__xludf.DUMMYFUNCTION("""COMPUTED_VALUE"""),6.8)</f>
        <v>6.8</v>
      </c>
      <c r="E1361" s="16">
        <f>IFERROR(__xludf.DUMMYFUNCTION("""COMPUTED_VALUE"""),49.0)</f>
        <v>49</v>
      </c>
      <c r="F1361" s="16">
        <f>IFERROR(__xludf.DUMMYFUNCTION("""COMPUTED_VALUE"""),8.9)</f>
        <v>8.9</v>
      </c>
      <c r="G1361" s="16">
        <f>IFERROR(__xludf.DUMMYFUNCTION("""COMPUTED_VALUE"""),1.9)</f>
        <v>1.9</v>
      </c>
      <c r="H1361" s="23">
        <f>IFERROR(__xludf.DUMMYFUNCTION("""COMPUTED_VALUE"""),303.3)</f>
        <v>303.3</v>
      </c>
    </row>
    <row r="1362">
      <c r="A1362" s="16" t="str">
        <f>IFERROR(__xludf.DUMMYFUNCTION("""COMPUTED_VALUE"""),"Тестени изделия")</f>
        <v>Тестени изделия</v>
      </c>
      <c r="B1362" s="7" t="str">
        <f>IFERROR(__xludf.DUMMYFUNCTION("""COMPUTED_VALUE"""),"Хляб от ""Лимец""")</f>
        <v>Хляб от "Лимец"</v>
      </c>
      <c r="C1362" s="7">
        <f>IFERROR(__xludf.DUMMYFUNCTION("""COMPUTED_VALUE"""),100.0)</f>
        <v>100</v>
      </c>
      <c r="D1362" s="7">
        <f>IFERROR(__xludf.DUMMYFUNCTION("""COMPUTED_VALUE"""),8.7)</f>
        <v>8.7</v>
      </c>
      <c r="E1362" s="16">
        <f>IFERROR(__xludf.DUMMYFUNCTION("""COMPUTED_VALUE"""),40.0)</f>
        <v>40</v>
      </c>
      <c r="F1362" s="16">
        <f>IFERROR(__xludf.DUMMYFUNCTION("""COMPUTED_VALUE"""),2.0)</f>
        <v>2</v>
      </c>
      <c r="G1362" s="16">
        <f>IFERROR(__xludf.DUMMYFUNCTION("""COMPUTED_VALUE"""),0.0)</f>
        <v>0</v>
      </c>
      <c r="H1362" s="23">
        <f>IFERROR(__xludf.DUMMYFUNCTION("""COMPUTED_VALUE"""),212.8)</f>
        <v>212.8</v>
      </c>
    </row>
    <row r="1363">
      <c r="A1363" s="16" t="str">
        <f>IFERROR(__xludf.DUMMYFUNCTION("""COMPUTED_VALUE"""),"Тестени изделия")</f>
        <v>Тестени изделия</v>
      </c>
      <c r="B1363" s="7" t="str">
        <f>IFERROR(__xludf.DUMMYFUNCTION("""COMPUTED_VALUE"""),"Бял хляб (стандартен)")</f>
        <v>Бял хляб (стандартен)</v>
      </c>
      <c r="C1363" s="7">
        <f>IFERROR(__xludf.DUMMYFUNCTION("""COMPUTED_VALUE"""),100.0)</f>
        <v>100</v>
      </c>
      <c r="D1363" s="7">
        <f>IFERROR(__xludf.DUMMYFUNCTION("""COMPUTED_VALUE"""),8.7)</f>
        <v>8.7</v>
      </c>
      <c r="E1363" s="16">
        <f>IFERROR(__xludf.DUMMYFUNCTION("""COMPUTED_VALUE"""),50.0)</f>
        <v>50</v>
      </c>
      <c r="F1363" s="16">
        <f>IFERROR(__xludf.DUMMYFUNCTION("""COMPUTED_VALUE"""),3.6)</f>
        <v>3.6</v>
      </c>
      <c r="G1363" s="16">
        <f>IFERROR(__xludf.DUMMYFUNCTION("""COMPUTED_VALUE"""),2.3)</f>
        <v>2.3</v>
      </c>
      <c r="H1363" s="23">
        <f>IFERROR(__xludf.DUMMYFUNCTION("""COMPUTED_VALUE"""),267.2)</f>
        <v>267.2</v>
      </c>
    </row>
    <row r="1364">
      <c r="A1364" s="16" t="str">
        <f>IFERROR(__xludf.DUMMYFUNCTION("""COMPUTED_VALUE"""),"Тестени изделия")</f>
        <v>Тестени изделия</v>
      </c>
      <c r="B1364" s="7" t="str">
        <f>IFERROR(__xludf.DUMMYFUNCTION("""COMPUTED_VALUE"""),"Тракийски хляб - пълнозърнест")</f>
        <v>Тракийски хляб - пълнозърнест</v>
      </c>
      <c r="C1364" s="7">
        <f>IFERROR(__xludf.DUMMYFUNCTION("""COMPUTED_VALUE"""),100.0)</f>
        <v>100</v>
      </c>
      <c r="D1364" s="7">
        <f>IFERROR(__xludf.DUMMYFUNCTION("""COMPUTED_VALUE"""),7.0)</f>
        <v>7</v>
      </c>
      <c r="E1364" s="16">
        <f>IFERROR(__xludf.DUMMYFUNCTION("""COMPUTED_VALUE"""),51.2)</f>
        <v>51.2</v>
      </c>
      <c r="F1364" s="16">
        <f>IFERROR(__xludf.DUMMYFUNCTION("""COMPUTED_VALUE"""),5.9)</f>
        <v>5.9</v>
      </c>
      <c r="G1364" s="16">
        <f>IFERROR(__xludf.DUMMYFUNCTION("""COMPUTED_VALUE"""),3.8)</f>
        <v>3.8</v>
      </c>
      <c r="H1364" s="23">
        <f>IFERROR(__xludf.DUMMYFUNCTION("""COMPUTED_VALUE"""),285.90000000000003)</f>
        <v>285.9</v>
      </c>
    </row>
    <row r="1365">
      <c r="A1365" s="16" t="str">
        <f>IFERROR(__xludf.DUMMYFUNCTION("""COMPUTED_VALUE"""),"Тестени изделия")</f>
        <v>Тестени изделия</v>
      </c>
      <c r="B1365" s="7" t="str">
        <f>IFERROR(__xludf.DUMMYFUNCTION("""COMPUTED_VALUE"""),"Грахатено хлебче")</f>
        <v>Грахатено хлебче</v>
      </c>
      <c r="C1365" s="7">
        <f>IFERROR(__xludf.DUMMYFUNCTION("""COMPUTED_VALUE"""),100.0)</f>
        <v>100</v>
      </c>
      <c r="D1365" s="7">
        <f>IFERROR(__xludf.DUMMYFUNCTION("""COMPUTED_VALUE"""),8.39)</f>
        <v>8.39</v>
      </c>
      <c r="E1365" s="16">
        <f>IFERROR(__xludf.DUMMYFUNCTION("""COMPUTED_VALUE"""),50.72)</f>
        <v>50.72</v>
      </c>
      <c r="F1365" s="16">
        <f>IFERROR(__xludf.DUMMYFUNCTION("""COMPUTED_VALUE"""),1.38)</f>
        <v>1.38</v>
      </c>
      <c r="G1365" s="16">
        <f>IFERROR(__xludf.DUMMYFUNCTION("""COMPUTED_VALUE"""),4.17)</f>
        <v>4.17</v>
      </c>
      <c r="H1365" s="23">
        <f>IFERROR(__xludf.DUMMYFUNCTION("""COMPUTED_VALUE"""),248.85999999999999)</f>
        <v>248.86</v>
      </c>
    </row>
    <row r="1366">
      <c r="A1366" s="16" t="str">
        <f>IFERROR(__xludf.DUMMYFUNCTION("""COMPUTED_VALUE"""),"Тестени изделия")</f>
        <v>Тестени изделия</v>
      </c>
      <c r="B1366" s="7" t="str">
        <f>IFERROR(__xludf.DUMMYFUNCTION("""COMPUTED_VALUE"""),"Нудели говеждо на МАГИ")</f>
        <v>Нудели говеждо на МАГИ</v>
      </c>
      <c r="C1366" s="7">
        <f>IFERROR(__xludf.DUMMYFUNCTION("""COMPUTED_VALUE"""),100.0)</f>
        <v>100</v>
      </c>
      <c r="D1366" s="7">
        <f>IFERROR(__xludf.DUMMYFUNCTION("""COMPUTED_VALUE"""),9.7)</f>
        <v>9.7</v>
      </c>
      <c r="E1366" s="16">
        <f>IFERROR(__xludf.DUMMYFUNCTION("""COMPUTED_VALUE"""),61.0)</f>
        <v>61</v>
      </c>
      <c r="F1366" s="16">
        <f>IFERROR(__xludf.DUMMYFUNCTION("""COMPUTED_VALUE"""),18.0)</f>
        <v>18</v>
      </c>
      <c r="G1366" s="16">
        <f>IFERROR(__xludf.DUMMYFUNCTION("""COMPUTED_VALUE"""),2.5)</f>
        <v>2.5</v>
      </c>
      <c r="H1366" s="23">
        <f>IFERROR(__xludf.DUMMYFUNCTION("""COMPUTED_VALUE"""),444.8)</f>
        <v>444.8</v>
      </c>
    </row>
    <row r="1367">
      <c r="A1367" s="16" t="str">
        <f>IFERROR(__xludf.DUMMYFUNCTION("""COMPUTED_VALUE"""),"Тестени изделия")</f>
        <v>Тестени изделия</v>
      </c>
      <c r="B1367" s="7" t="str">
        <f>IFERROR(__xludf.DUMMYFUNCTION("""COMPUTED_VALUE"""),"Оризови кори (Rice Paper) Amaizin organic")</f>
        <v>Оризови кори (Rice Paper) Amaizin organic</v>
      </c>
      <c r="C1367" s="7">
        <f>IFERROR(__xludf.DUMMYFUNCTION("""COMPUTED_VALUE"""),100.0)</f>
        <v>100</v>
      </c>
      <c r="D1367" s="7">
        <f>IFERROR(__xludf.DUMMYFUNCTION("""COMPUTED_VALUE"""),3.2)</f>
        <v>3.2</v>
      </c>
      <c r="E1367" s="16">
        <f>IFERROR(__xludf.DUMMYFUNCTION("""COMPUTED_VALUE"""),81.3)</f>
        <v>81.3</v>
      </c>
      <c r="F1367" s="16">
        <f>IFERROR(__xludf.DUMMYFUNCTION("""COMPUTED_VALUE"""),0.1)</f>
        <v>0.1</v>
      </c>
      <c r="G1367" s="16">
        <f>IFERROR(__xludf.DUMMYFUNCTION("""COMPUTED_VALUE"""),0.0)</f>
        <v>0</v>
      </c>
      <c r="H1367" s="23">
        <f>IFERROR(__xludf.DUMMYFUNCTION("""COMPUTED_VALUE"""),338.9)</f>
        <v>338.9</v>
      </c>
    </row>
    <row r="1368">
      <c r="A1368" s="16" t="str">
        <f>IFERROR(__xludf.DUMMYFUNCTION("""COMPUTED_VALUE"""),"Тестени изделия")</f>
        <v>Тестени изделия</v>
      </c>
      <c r="B1368" s="7" t="str">
        <f>IFERROR(__xludf.DUMMYFUNCTION("""COMPUTED_VALUE"""),"Хляб Hovis wholemeal")</f>
        <v>Хляб Hovis wholemeal</v>
      </c>
      <c r="C1368" s="7">
        <f>IFERROR(__xludf.DUMMYFUNCTION("""COMPUTED_VALUE"""),100.0)</f>
        <v>100</v>
      </c>
      <c r="D1368" s="7">
        <f>IFERROR(__xludf.DUMMYFUNCTION("""COMPUTED_VALUE"""),11.1)</f>
        <v>11.1</v>
      </c>
      <c r="E1368" s="16">
        <f>IFERROR(__xludf.DUMMYFUNCTION("""COMPUTED_VALUE"""),37.0)</f>
        <v>37</v>
      </c>
      <c r="F1368" s="16">
        <f>IFERROR(__xludf.DUMMYFUNCTION("""COMPUTED_VALUE"""),2.2)</f>
        <v>2.2</v>
      </c>
      <c r="G1368" s="16">
        <f>IFERROR(__xludf.DUMMYFUNCTION("""COMPUTED_VALUE"""),6.8)</f>
        <v>6.8</v>
      </c>
      <c r="H1368" s="23">
        <f>IFERROR(__xludf.DUMMYFUNCTION("""COMPUTED_VALUE"""),212.20000000000002)</f>
        <v>212.2</v>
      </c>
    </row>
    <row r="1369">
      <c r="A1369" s="16" t="str">
        <f>IFERROR(__xludf.DUMMYFUNCTION("""COMPUTED_VALUE"""),"Тестени изделия")</f>
        <v>Тестени изделия</v>
      </c>
      <c r="B1369" s="7" t="str">
        <f>IFERROR(__xludf.DUMMYFUNCTION("""COMPUTED_VALUE"""),"Лаваш Спанак и спирулина")</f>
        <v>Лаваш Спанак и спирулина</v>
      </c>
      <c r="C1369" s="7">
        <f>IFERROR(__xludf.DUMMYFUNCTION("""COMPUTED_VALUE"""),100.0)</f>
        <v>100</v>
      </c>
      <c r="D1369" s="7">
        <f>IFERROR(__xludf.DUMMYFUNCTION("""COMPUTED_VALUE"""),9.8)</f>
        <v>9.8</v>
      </c>
      <c r="E1369" s="16">
        <f>IFERROR(__xludf.DUMMYFUNCTION("""COMPUTED_VALUE"""),54.7)</f>
        <v>54.7</v>
      </c>
      <c r="F1369" s="16">
        <f>IFERROR(__xludf.DUMMYFUNCTION("""COMPUTED_VALUE"""),2.1)</f>
        <v>2.1</v>
      </c>
      <c r="G1369" s="16">
        <f>IFERROR(__xludf.DUMMYFUNCTION("""COMPUTED_VALUE"""),1.0)</f>
        <v>1</v>
      </c>
      <c r="H1369" s="23">
        <f>IFERROR(__xludf.DUMMYFUNCTION("""COMPUTED_VALUE"""),276.9)</f>
        <v>276.9</v>
      </c>
    </row>
    <row r="1370">
      <c r="A1370" s="16" t="str">
        <f>IFERROR(__xludf.DUMMYFUNCTION("""COMPUTED_VALUE"""),"Тестени изделия")</f>
        <v>Тестени изделия</v>
      </c>
      <c r="B1370" s="7" t="str">
        <f>IFERROR(__xludf.DUMMYFUNCTION("""COMPUTED_VALUE"""),"Пълнозърнести тарали")</f>
        <v>Пълнозърнести тарали</v>
      </c>
      <c r="C1370" s="7">
        <f>IFERROR(__xludf.DUMMYFUNCTION("""COMPUTED_VALUE"""),100.0)</f>
        <v>100</v>
      </c>
      <c r="D1370" s="7">
        <f>IFERROR(__xludf.DUMMYFUNCTION("""COMPUTED_VALUE"""),9.0)</f>
        <v>9</v>
      </c>
      <c r="E1370" s="16">
        <f>IFERROR(__xludf.DUMMYFUNCTION("""COMPUTED_VALUE"""),66.0)</f>
        <v>66</v>
      </c>
      <c r="F1370" s="16">
        <f>IFERROR(__xludf.DUMMYFUNCTION("""COMPUTED_VALUE"""),18.0)</f>
        <v>18</v>
      </c>
      <c r="G1370" s="16">
        <f>IFERROR(__xludf.DUMMYFUNCTION("""COMPUTED_VALUE"""),1.0)</f>
        <v>1</v>
      </c>
      <c r="H1370" s="23">
        <f>IFERROR(__xludf.DUMMYFUNCTION("""COMPUTED_VALUE"""),462.0)</f>
        <v>462</v>
      </c>
    </row>
    <row r="1371">
      <c r="A1371" s="16" t="str">
        <f>IFERROR(__xludf.DUMMYFUNCTION("""COMPUTED_VALUE"""),"Тестени изделия")</f>
        <v>Тестени изделия</v>
      </c>
      <c r="B1371" s="7" t="str">
        <f>IFERROR(__xludf.DUMMYFUNCTION("""COMPUTED_VALUE"""),"Лаваш (Sar's Food)")</f>
        <v>Лаваш (Sar's Food)</v>
      </c>
      <c r="C1371" s="7">
        <f>IFERROR(__xludf.DUMMYFUNCTION("""COMPUTED_VALUE"""),100.0)</f>
        <v>100</v>
      </c>
      <c r="D1371" s="7">
        <f>IFERROR(__xludf.DUMMYFUNCTION("""COMPUTED_VALUE"""),3.0)</f>
        <v>3</v>
      </c>
      <c r="E1371" s="16">
        <f>IFERROR(__xludf.DUMMYFUNCTION("""COMPUTED_VALUE"""),21.0)</f>
        <v>21</v>
      </c>
      <c r="F1371" s="16">
        <f>IFERROR(__xludf.DUMMYFUNCTION("""COMPUTED_VALUE"""),0.36)</f>
        <v>0.36</v>
      </c>
      <c r="G1371" s="16">
        <f>IFERROR(__xludf.DUMMYFUNCTION("""COMPUTED_VALUE"""),0.0)</f>
        <v>0</v>
      </c>
      <c r="H1371" s="23">
        <f>IFERROR(__xludf.DUMMYFUNCTION("""COMPUTED_VALUE"""),99.24)</f>
        <v>99.24</v>
      </c>
    </row>
    <row r="1372">
      <c r="A1372" s="16" t="str">
        <f>IFERROR(__xludf.DUMMYFUNCTION("""COMPUTED_VALUE"""),"Тестени изделия")</f>
        <v>Тестени изделия</v>
      </c>
      <c r="B1372" s="7" t="str">
        <f>IFERROR(__xludf.DUMMYFUNCTION("""COMPUTED_VALUE"""),"ХЛЯБ ПЪЛНОЗЪРНЕСТ с ТИКВЕНИ СЕМКИ")</f>
        <v>ХЛЯБ ПЪЛНОЗЪРНЕСТ с ТИКВЕНИ СЕМКИ</v>
      </c>
      <c r="C1372" s="7">
        <f>IFERROR(__xludf.DUMMYFUNCTION("""COMPUTED_VALUE"""),100.0)</f>
        <v>100</v>
      </c>
      <c r="D1372" s="7">
        <f>IFERROR(__xludf.DUMMYFUNCTION("""COMPUTED_VALUE"""),10.2)</f>
        <v>10.2</v>
      </c>
      <c r="E1372" s="16">
        <f>IFERROR(__xludf.DUMMYFUNCTION("""COMPUTED_VALUE"""),45.0)</f>
        <v>45</v>
      </c>
      <c r="F1372" s="16">
        <f>IFERROR(__xludf.DUMMYFUNCTION("""COMPUTED_VALUE"""),5.5)</f>
        <v>5.5</v>
      </c>
      <c r="G1372" s="16">
        <f>IFERROR(__xludf.DUMMYFUNCTION("""COMPUTED_VALUE"""),8.0)</f>
        <v>8</v>
      </c>
      <c r="H1372" s="23">
        <f>IFERROR(__xludf.DUMMYFUNCTION("""COMPUTED_VALUE"""),270.3)</f>
        <v>270.3</v>
      </c>
    </row>
    <row r="1373">
      <c r="A1373" s="16" t="str">
        <f>IFERROR(__xludf.DUMMYFUNCTION("""COMPUTED_VALUE"""),"Тестени изделия")</f>
        <v>Тестени изделия</v>
      </c>
      <c r="B1373" s="7" t="str">
        <f>IFERROR(__xludf.DUMMYFUNCTION("""COMPUTED_VALUE"""),"Лаваш Dina imagine")</f>
        <v>Лаваш Dina imagine</v>
      </c>
      <c r="C1373" s="7">
        <f>IFERROR(__xludf.DUMMYFUNCTION("""COMPUTED_VALUE"""),100.0)</f>
        <v>100</v>
      </c>
      <c r="D1373" s="7">
        <f>IFERROR(__xludf.DUMMYFUNCTION("""COMPUTED_VALUE"""),8.9)</f>
        <v>8.9</v>
      </c>
      <c r="E1373" s="16">
        <f>IFERROR(__xludf.DUMMYFUNCTION("""COMPUTED_VALUE"""),54.7)</f>
        <v>54.7</v>
      </c>
      <c r="F1373" s="16">
        <f>IFERROR(__xludf.DUMMYFUNCTION("""COMPUTED_VALUE"""),2.1)</f>
        <v>2.1</v>
      </c>
      <c r="G1373" s="16">
        <f>IFERROR(__xludf.DUMMYFUNCTION("""COMPUTED_VALUE"""),0.5)</f>
        <v>0.5</v>
      </c>
      <c r="H1373" s="23">
        <f>IFERROR(__xludf.DUMMYFUNCTION("""COMPUTED_VALUE"""),273.3)</f>
        <v>273.3</v>
      </c>
    </row>
    <row r="1374">
      <c r="A1374" s="16" t="str">
        <f>IFERROR(__xludf.DUMMYFUNCTION("""COMPUTED_VALUE"""),"Тестени изделия")</f>
        <v>Тестени изделия</v>
      </c>
      <c r="B1374" s="7" t="str">
        <f>IFERROR(__xludf.DUMMYFUNCTION("""COMPUTED_VALUE"""),"Шопски геврек - Медената Питка")</f>
        <v>Шопски геврек - Медената Питка</v>
      </c>
      <c r="C1374" s="7">
        <f>IFERROR(__xludf.DUMMYFUNCTION("""COMPUTED_VALUE"""),100.0)</f>
        <v>100</v>
      </c>
      <c r="D1374" s="7">
        <f>IFERROR(__xludf.DUMMYFUNCTION("""COMPUTED_VALUE"""),10.6)</f>
        <v>10.6</v>
      </c>
      <c r="E1374" s="16">
        <f>IFERROR(__xludf.DUMMYFUNCTION("""COMPUTED_VALUE"""),40.1)</f>
        <v>40.1</v>
      </c>
      <c r="F1374" s="16">
        <f>IFERROR(__xludf.DUMMYFUNCTION("""COMPUTED_VALUE"""),12.3)</f>
        <v>12.3</v>
      </c>
      <c r="G1374" s="16">
        <f>IFERROR(__xludf.DUMMYFUNCTION("""COMPUTED_VALUE"""),0.5)</f>
        <v>0.5</v>
      </c>
      <c r="H1374" s="23">
        <f>IFERROR(__xludf.DUMMYFUNCTION("""COMPUTED_VALUE"""),313.5)</f>
        <v>313.5</v>
      </c>
    </row>
    <row r="1375">
      <c r="A1375" s="16" t="str">
        <f>IFERROR(__xludf.DUMMYFUNCTION("""COMPUTED_VALUE"""),"Тестени изделия")</f>
        <v>Тестени изделия</v>
      </c>
      <c r="B1375" s="7" t="str">
        <f>IFERROR(__xludf.DUMMYFUNCTION("""COMPUTED_VALUE"""),"Фиде (без яйца)")</f>
        <v>Фиде (без яйца)</v>
      </c>
      <c r="C1375" s="7">
        <f>IFERROR(__xludf.DUMMYFUNCTION("""COMPUTED_VALUE"""),100.0)</f>
        <v>100</v>
      </c>
      <c r="D1375" s="7">
        <f>IFERROR(__xludf.DUMMYFUNCTION("""COMPUTED_VALUE"""),10.5)</f>
        <v>10.5</v>
      </c>
      <c r="E1375" s="16">
        <f>IFERROR(__xludf.DUMMYFUNCTION("""COMPUTED_VALUE"""),75.0)</f>
        <v>75</v>
      </c>
      <c r="F1375" s="16">
        <f>IFERROR(__xludf.DUMMYFUNCTION("""COMPUTED_VALUE"""),2.0)</f>
        <v>2</v>
      </c>
      <c r="G1375" s="16">
        <f>IFERROR(__xludf.DUMMYFUNCTION("""COMPUTED_VALUE"""),0.0)</f>
        <v>0</v>
      </c>
      <c r="H1375" s="23">
        <f>IFERROR(__xludf.DUMMYFUNCTION("""COMPUTED_VALUE"""),360.0)</f>
        <v>360</v>
      </c>
    </row>
    <row r="1376">
      <c r="A1376" s="16" t="str">
        <f>IFERROR(__xludf.DUMMYFUNCTION("""COMPUTED_VALUE"""),"Тестени изделия")</f>
        <v>Тестени изделия</v>
      </c>
      <c r="B1376" s="7" t="str">
        <f>IFERROR(__xludf.DUMMYFUNCTION("""COMPUTED_VALUE"""),"Сухари с пълнозърнесто брашно и сусам Lidl")</f>
        <v>Сухари с пълнозърнесто брашно и сусам Lidl</v>
      </c>
      <c r="C1376" s="7">
        <f>IFERROR(__xludf.DUMMYFUNCTION("""COMPUTED_VALUE"""),100.0)</f>
        <v>100</v>
      </c>
      <c r="D1376" s="7">
        <f>IFERROR(__xludf.DUMMYFUNCTION("""COMPUTED_VALUE"""),11.0)</f>
        <v>11</v>
      </c>
      <c r="E1376" s="16">
        <f>IFERROR(__xludf.DUMMYFUNCTION("""COMPUTED_VALUE"""),58.0)</f>
        <v>58</v>
      </c>
      <c r="F1376" s="16">
        <f>IFERROR(__xludf.DUMMYFUNCTION("""COMPUTED_VALUE"""),6.0)</f>
        <v>6</v>
      </c>
      <c r="G1376" s="16">
        <f>IFERROR(__xludf.DUMMYFUNCTION("""COMPUTED_VALUE"""),0.0)</f>
        <v>0</v>
      </c>
      <c r="H1376" s="23">
        <f>IFERROR(__xludf.DUMMYFUNCTION("""COMPUTED_VALUE"""),330.0)</f>
        <v>330</v>
      </c>
    </row>
    <row r="1377">
      <c r="A1377" s="16" t="str">
        <f>IFERROR(__xludf.DUMMYFUNCTION("""COMPUTED_VALUE"""),"Тестени изделия")</f>
        <v>Тестени изделия</v>
      </c>
      <c r="B1377" s="7" t="str">
        <f>IFERROR(__xludf.DUMMYFUNCTION("""COMPUTED_VALUE"""),"Паста Combino (High Protein) от Lidl (сурово състояние)")</f>
        <v>Паста Combino (High Protein) от Lidl (сурово състояние)</v>
      </c>
      <c r="C1377" s="7">
        <f>IFERROR(__xludf.DUMMYFUNCTION("""COMPUTED_VALUE"""),100.0)</f>
        <v>100</v>
      </c>
      <c r="D1377" s="7">
        <f>IFERROR(__xludf.DUMMYFUNCTION("""COMPUTED_VALUE"""),30.7)</f>
        <v>30.7</v>
      </c>
      <c r="E1377" s="16">
        <f>IFERROR(__xludf.DUMMYFUNCTION("""COMPUTED_VALUE"""),49.4)</f>
        <v>49.4</v>
      </c>
      <c r="F1377" s="16">
        <f>IFERROR(__xludf.DUMMYFUNCTION("""COMPUTED_VALUE"""),4.0)</f>
        <v>4</v>
      </c>
      <c r="G1377" s="16">
        <f>IFERROR(__xludf.DUMMYFUNCTION("""COMPUTED_VALUE"""),3.0)</f>
        <v>3</v>
      </c>
      <c r="H1377" s="23">
        <f>IFERROR(__xludf.DUMMYFUNCTION("""COMPUTED_VALUE"""),356.4)</f>
        <v>356.4</v>
      </c>
    </row>
    <row r="1378">
      <c r="A1378" s="16" t="str">
        <f>IFERROR(__xludf.DUMMYFUNCTION("""COMPUTED_VALUE"""),"Тестени изделия")</f>
        <v>Тестени изделия</v>
      </c>
      <c r="B1378" s="7" t="str">
        <f>IFERROR(__xludf.DUMMYFUNCTION("""COMPUTED_VALUE"""),"Гръцка пита")</f>
        <v>Гръцка пита</v>
      </c>
      <c r="C1378" s="7">
        <f>IFERROR(__xludf.DUMMYFUNCTION("""COMPUTED_VALUE"""),100.0)</f>
        <v>100</v>
      </c>
      <c r="D1378" s="7">
        <f>IFERROR(__xludf.DUMMYFUNCTION("""COMPUTED_VALUE"""),8.5)</f>
        <v>8.5</v>
      </c>
      <c r="E1378" s="16">
        <f>IFERROR(__xludf.DUMMYFUNCTION("""COMPUTED_VALUE"""),48.9)</f>
        <v>48.9</v>
      </c>
      <c r="F1378" s="16">
        <f>IFERROR(__xludf.DUMMYFUNCTION("""COMPUTED_VALUE"""),5.0)</f>
        <v>5</v>
      </c>
      <c r="G1378" s="16">
        <f>IFERROR(__xludf.DUMMYFUNCTION("""COMPUTED_VALUE"""),0.0)</f>
        <v>0</v>
      </c>
      <c r="H1378" s="23">
        <f>IFERROR(__xludf.DUMMYFUNCTION("""COMPUTED_VALUE"""),274.6)</f>
        <v>274.6</v>
      </c>
    </row>
    <row r="1379">
      <c r="A1379" s="16" t="str">
        <f>IFERROR(__xludf.DUMMYFUNCTION("""COMPUTED_VALUE"""),"Тестени изделия")</f>
        <v>Тестени изделия</v>
      </c>
      <c r="B1379" s="7" t="str">
        <f>IFERROR(__xludf.DUMMYFUNCTION("""COMPUTED_VALUE"""),"Тортила")</f>
        <v>Тортила</v>
      </c>
      <c r="C1379" s="7">
        <f>IFERROR(__xludf.DUMMYFUNCTION("""COMPUTED_VALUE"""),100.0)</f>
        <v>100</v>
      </c>
      <c r="D1379" s="7">
        <f>IFERROR(__xludf.DUMMYFUNCTION("""COMPUTED_VALUE"""),7.8)</f>
        <v>7.8</v>
      </c>
      <c r="E1379" s="16">
        <f>IFERROR(__xludf.DUMMYFUNCTION("""COMPUTED_VALUE"""),51.0)</f>
        <v>51</v>
      </c>
      <c r="F1379" s="16">
        <f>IFERROR(__xludf.DUMMYFUNCTION("""COMPUTED_VALUE"""),7.6)</f>
        <v>7.6</v>
      </c>
      <c r="G1379" s="16">
        <f>IFERROR(__xludf.DUMMYFUNCTION("""COMPUTED_VALUE"""),2.6)</f>
        <v>2.6</v>
      </c>
      <c r="H1379" s="23">
        <f>IFERROR(__xludf.DUMMYFUNCTION("""COMPUTED_VALUE"""),303.59999999999997)</f>
        <v>303.6</v>
      </c>
    </row>
    <row r="1380">
      <c r="A1380" s="16" t="str">
        <f>IFERROR(__xludf.DUMMYFUNCTION("""COMPUTED_VALUE"""),"Тестени изделия")</f>
        <v>Тестени изделия</v>
      </c>
      <c r="B1380" s="7" t="str">
        <f>IFERROR(__xludf.DUMMYFUNCTION("""COMPUTED_VALUE"""),"Козуначени рулца")</f>
        <v>Козуначени рулца</v>
      </c>
      <c r="C1380" s="7">
        <f>IFERROR(__xludf.DUMMYFUNCTION("""COMPUTED_VALUE"""),100.0)</f>
        <v>100</v>
      </c>
      <c r="D1380" s="7">
        <f>IFERROR(__xludf.DUMMYFUNCTION("""COMPUTED_VALUE"""),7.9)</f>
        <v>7.9</v>
      </c>
      <c r="E1380" s="16">
        <f>IFERROR(__xludf.DUMMYFUNCTION("""COMPUTED_VALUE"""),53.3)</f>
        <v>53.3</v>
      </c>
      <c r="F1380" s="16">
        <f>IFERROR(__xludf.DUMMYFUNCTION("""COMPUTED_VALUE"""),6.2)</f>
        <v>6.2</v>
      </c>
      <c r="G1380" s="16">
        <f>IFERROR(__xludf.DUMMYFUNCTION("""COMPUTED_VALUE"""),0.0)</f>
        <v>0</v>
      </c>
      <c r="H1380" s="23">
        <f>IFERROR(__xludf.DUMMYFUNCTION("""COMPUTED_VALUE"""),300.59999999999997)</f>
        <v>300.6</v>
      </c>
    </row>
    <row r="1381">
      <c r="A1381" s="16" t="str">
        <f>IFERROR(__xludf.DUMMYFUNCTION("""COMPUTED_VALUE"""),"Тестени изделия")</f>
        <v>Тестени изделия</v>
      </c>
      <c r="B1381" s="7" t="str">
        <f>IFERROR(__xludf.DUMMYFUNCTION("""COMPUTED_VALUE"""),"Пълнозърнест Хляб")</f>
        <v>Пълнозърнест Хляб</v>
      </c>
      <c r="C1381" s="7">
        <f>IFERROR(__xludf.DUMMYFUNCTION("""COMPUTED_VALUE"""),100.0)</f>
        <v>100</v>
      </c>
      <c r="D1381" s="7">
        <f>IFERROR(__xludf.DUMMYFUNCTION("""COMPUTED_VALUE"""),10.6)</f>
        <v>10.6</v>
      </c>
      <c r="E1381" s="16">
        <f>IFERROR(__xludf.DUMMYFUNCTION("""COMPUTED_VALUE"""),37.8)</f>
        <v>37.8</v>
      </c>
      <c r="F1381" s="16">
        <f>IFERROR(__xludf.DUMMYFUNCTION("""COMPUTED_VALUE"""),2.8)</f>
        <v>2.8</v>
      </c>
      <c r="G1381" s="16">
        <f>IFERROR(__xludf.DUMMYFUNCTION("""COMPUTED_VALUE"""),6.4)</f>
        <v>6.4</v>
      </c>
      <c r="H1381" s="23">
        <f>IFERROR(__xludf.DUMMYFUNCTION("""COMPUTED_VALUE"""),218.79999999999998)</f>
        <v>218.8</v>
      </c>
    </row>
    <row r="1382">
      <c r="A1382" s="16" t="str">
        <f>IFERROR(__xludf.DUMMYFUNCTION("""COMPUTED_VALUE"""),"Тестени изделия")</f>
        <v>Тестени изделия</v>
      </c>
      <c r="B1382" s="7" t="str">
        <f>IFERROR(__xludf.DUMMYFUNCTION("""COMPUTED_VALUE"""),"Хляб Вита с 6 зърна")</f>
        <v>Хляб Вита с 6 зърна</v>
      </c>
      <c r="C1382" s="7">
        <f>IFERROR(__xludf.DUMMYFUNCTION("""COMPUTED_VALUE"""),100.0)</f>
        <v>100</v>
      </c>
      <c r="D1382" s="7">
        <f>IFERROR(__xludf.DUMMYFUNCTION("""COMPUTED_VALUE"""),7.5)</f>
        <v>7.5</v>
      </c>
      <c r="E1382" s="16">
        <f>IFERROR(__xludf.DUMMYFUNCTION("""COMPUTED_VALUE"""),35.0)</f>
        <v>35</v>
      </c>
      <c r="F1382" s="16">
        <f>IFERROR(__xludf.DUMMYFUNCTION("""COMPUTED_VALUE"""),2.0)</f>
        <v>2</v>
      </c>
      <c r="G1382" s="16">
        <f>IFERROR(__xludf.DUMMYFUNCTION("""COMPUTED_VALUE"""),16.0)</f>
        <v>16</v>
      </c>
      <c r="H1382" s="23">
        <f>IFERROR(__xludf.DUMMYFUNCTION("""COMPUTED_VALUE"""),188.0)</f>
        <v>188</v>
      </c>
    </row>
    <row r="1383">
      <c r="A1383" s="16" t="str">
        <f>IFERROR(__xludf.DUMMYFUNCTION("""COMPUTED_VALUE"""),"Тестени изделия")</f>
        <v>Тестени изделия</v>
      </c>
      <c r="B1383" s="7" t="str">
        <f>IFERROR(__xludf.DUMMYFUNCTION("""COMPUTED_VALUE"""),"Тортила Poco Loco")</f>
        <v>Тортила Poco Loco</v>
      </c>
      <c r="C1383" s="7">
        <f>IFERROR(__xludf.DUMMYFUNCTION("""COMPUTED_VALUE"""),100.0)</f>
        <v>100</v>
      </c>
      <c r="D1383" s="7">
        <f>IFERROR(__xludf.DUMMYFUNCTION("""COMPUTED_VALUE"""),9.3)</f>
        <v>9.3</v>
      </c>
      <c r="E1383" s="16">
        <f>IFERROR(__xludf.DUMMYFUNCTION("""COMPUTED_VALUE"""),54.0)</f>
        <v>54</v>
      </c>
      <c r="F1383" s="16">
        <f>IFERROR(__xludf.DUMMYFUNCTION("""COMPUTED_VALUE"""),8.0)</f>
        <v>8</v>
      </c>
      <c r="G1383" s="16">
        <f>IFERROR(__xludf.DUMMYFUNCTION("""COMPUTED_VALUE"""),1.0)</f>
        <v>1</v>
      </c>
      <c r="H1383" s="23">
        <f>IFERROR(__xludf.DUMMYFUNCTION("""COMPUTED_VALUE"""),325.2)</f>
        <v>325.2</v>
      </c>
    </row>
    <row r="1384">
      <c r="A1384" s="16" t="str">
        <f>IFERROR(__xludf.DUMMYFUNCTION("""COMPUTED_VALUE"""),"Тестени изделия")</f>
        <v>Тестени изделия</v>
      </c>
      <c r="B1384" s="7" t="str">
        <f>IFERROR(__xludf.DUMMYFUNCTION("""COMPUTED_VALUE"""),"Козунак")</f>
        <v>Козунак</v>
      </c>
      <c r="C1384" s="7">
        <f>IFERROR(__xludf.DUMMYFUNCTION("""COMPUTED_VALUE"""),100.0)</f>
        <v>100</v>
      </c>
      <c r="D1384" s="7">
        <f>IFERROR(__xludf.DUMMYFUNCTION("""COMPUTED_VALUE"""),8.4)</f>
        <v>8.4</v>
      </c>
      <c r="E1384" s="16">
        <f>IFERROR(__xludf.DUMMYFUNCTION("""COMPUTED_VALUE"""),60.9)</f>
        <v>60.9</v>
      </c>
      <c r="F1384" s="16">
        <f>IFERROR(__xludf.DUMMYFUNCTION("""COMPUTED_VALUE"""),10.0)</f>
        <v>10</v>
      </c>
      <c r="G1384" s="16">
        <f>IFERROR(__xludf.DUMMYFUNCTION("""COMPUTED_VALUE"""),0.1)</f>
        <v>0.1</v>
      </c>
      <c r="H1384" s="23">
        <f>IFERROR(__xludf.DUMMYFUNCTION("""COMPUTED_VALUE"""),367.2)</f>
        <v>367.2</v>
      </c>
    </row>
    <row r="1385">
      <c r="A1385" s="16" t="str">
        <f>IFERROR(__xludf.DUMMYFUNCTION("""COMPUTED_VALUE"""),"Тестени изделия")</f>
        <v>Тестени изделия</v>
      </c>
      <c r="B1385" s="7" t="str">
        <f>IFERROR(__xludf.DUMMYFUNCTION("""COMPUTED_VALUE"""),"Кори за лазаня ITALIAMO - LIDL сурови")</f>
        <v>Кори за лазаня ITALIAMO - LIDL сурови</v>
      </c>
      <c r="C1385" s="7">
        <f>IFERROR(__xludf.DUMMYFUNCTION("""COMPUTED_VALUE"""),100.0)</f>
        <v>100</v>
      </c>
      <c r="D1385" s="7">
        <f>IFERROR(__xludf.DUMMYFUNCTION("""COMPUTED_VALUE"""),9.8)</f>
        <v>9.8</v>
      </c>
      <c r="E1385" s="16">
        <f>IFERROR(__xludf.DUMMYFUNCTION("""COMPUTED_VALUE"""),52.8)</f>
        <v>52.8</v>
      </c>
      <c r="F1385" s="16">
        <f>IFERROR(__xludf.DUMMYFUNCTION("""COMPUTED_VALUE"""),3.2)</f>
        <v>3.2</v>
      </c>
      <c r="G1385" s="16">
        <f>IFERROR(__xludf.DUMMYFUNCTION("""COMPUTED_VALUE"""),0.0)</f>
        <v>0</v>
      </c>
      <c r="H1385" s="23">
        <f>IFERROR(__xludf.DUMMYFUNCTION("""COMPUTED_VALUE"""),279.2)</f>
        <v>279.2</v>
      </c>
    </row>
    <row r="1386">
      <c r="A1386" s="16" t="str">
        <f>IFERROR(__xludf.DUMMYFUNCTION("""COMPUTED_VALUE"""),"Тестени изделия")</f>
        <v>Тестени изделия</v>
      </c>
      <c r="B1386" s="7" t="str">
        <f>IFERROR(__xludf.DUMMYFUNCTION("""COMPUTED_VALUE"""),"Паста Combino (Сурово състояние)")</f>
        <v>Паста Combino (Сурово състояние)</v>
      </c>
      <c r="C1386" s="7">
        <f>IFERROR(__xludf.DUMMYFUNCTION("""COMPUTED_VALUE"""),100.0)</f>
        <v>100</v>
      </c>
      <c r="D1386" s="7">
        <f>IFERROR(__xludf.DUMMYFUNCTION("""COMPUTED_VALUE"""),5.5)</f>
        <v>5.5</v>
      </c>
      <c r="E1386" s="16">
        <f>IFERROR(__xludf.DUMMYFUNCTION("""COMPUTED_VALUE"""),79.0)</f>
        <v>79</v>
      </c>
      <c r="F1386" s="16">
        <f>IFERROR(__xludf.DUMMYFUNCTION("""COMPUTED_VALUE"""),0.8)</f>
        <v>0.8</v>
      </c>
      <c r="G1386" s="16">
        <f>IFERROR(__xludf.DUMMYFUNCTION("""COMPUTED_VALUE"""),0.0)</f>
        <v>0</v>
      </c>
      <c r="H1386" s="23">
        <f>IFERROR(__xludf.DUMMYFUNCTION("""COMPUTED_VALUE"""),345.2)</f>
        <v>345.2</v>
      </c>
    </row>
    <row r="1387">
      <c r="A1387" s="16" t="str">
        <f>IFERROR(__xludf.DUMMYFUNCTION("""COMPUTED_VALUE"""),"Тестени изделия")</f>
        <v>Тестени изделия</v>
      </c>
      <c r="B1387" s="7" t="str">
        <f>IFERROR(__xludf.DUMMYFUNCTION("""COMPUTED_VALUE"""),"Хляб ""Живена"" - 100 % лимец")</f>
        <v>Хляб "Живена" - 100 % лимец</v>
      </c>
      <c r="C1387" s="7">
        <f>IFERROR(__xludf.DUMMYFUNCTION("""COMPUTED_VALUE"""),100.0)</f>
        <v>100</v>
      </c>
      <c r="D1387" s="7">
        <f>IFERROR(__xludf.DUMMYFUNCTION("""COMPUTED_VALUE"""),9.4)</f>
        <v>9.4</v>
      </c>
      <c r="E1387" s="16">
        <f>IFERROR(__xludf.DUMMYFUNCTION("""COMPUTED_VALUE"""),53.0)</f>
        <v>53</v>
      </c>
      <c r="F1387" s="16">
        <f>IFERROR(__xludf.DUMMYFUNCTION("""COMPUTED_VALUE"""),1.9)</f>
        <v>1.9</v>
      </c>
      <c r="G1387" s="16">
        <f>IFERROR(__xludf.DUMMYFUNCTION("""COMPUTED_VALUE"""),7.4)</f>
        <v>7.4</v>
      </c>
      <c r="H1387" s="23">
        <f>IFERROR(__xludf.DUMMYFUNCTION("""COMPUTED_VALUE"""),266.7)</f>
        <v>266.7</v>
      </c>
    </row>
    <row r="1388">
      <c r="A1388" s="16" t="str">
        <f>IFERROR(__xludf.DUMMYFUNCTION("""COMPUTED_VALUE"""),"Тестени изделия")</f>
        <v>Тестени изделия</v>
      </c>
      <c r="B1388" s="7" t="str">
        <f>IFERROR(__xludf.DUMMYFUNCTION("""COMPUTED_VALUE"""),"Wholemeal wraps ASDA (арабска питка)")</f>
        <v>Wholemeal wraps ASDA (арабска питка)</v>
      </c>
      <c r="C1388" s="7">
        <f>IFERROR(__xludf.DUMMYFUNCTION("""COMPUTED_VALUE"""),100.0)</f>
        <v>100</v>
      </c>
      <c r="D1388" s="7">
        <f>IFERROR(__xludf.DUMMYFUNCTION("""COMPUTED_VALUE"""),7.9)</f>
        <v>7.9</v>
      </c>
      <c r="E1388" s="16">
        <f>IFERROR(__xludf.DUMMYFUNCTION("""COMPUTED_VALUE"""),39.5)</f>
        <v>39.5</v>
      </c>
      <c r="F1388" s="16">
        <f>IFERROR(__xludf.DUMMYFUNCTION("""COMPUTED_VALUE"""),2.0)</f>
        <v>2</v>
      </c>
      <c r="G1388" s="16">
        <f>IFERROR(__xludf.DUMMYFUNCTION("""COMPUTED_VALUE"""),12.4)</f>
        <v>12.4</v>
      </c>
      <c r="H1388" s="23">
        <f>IFERROR(__xludf.DUMMYFUNCTION("""COMPUTED_VALUE"""),207.6)</f>
        <v>207.6</v>
      </c>
    </row>
    <row r="1389">
      <c r="A1389" s="16" t="str">
        <f>IFERROR(__xludf.DUMMYFUNCTION("""COMPUTED_VALUE"""),"Тестени изделия")</f>
        <v>Тестени изделия</v>
      </c>
      <c r="B1389" s="7" t="str">
        <f>IFERROR(__xludf.DUMMYFUNCTION("""COMPUTED_VALUE"""),"Fusilli grune erbsen *")</f>
        <v>Fusilli grune erbsen *</v>
      </c>
      <c r="C1389" s="7">
        <f>IFERROR(__xludf.DUMMYFUNCTION("""COMPUTED_VALUE"""),100.0)</f>
        <v>100</v>
      </c>
      <c r="D1389" s="7">
        <f>IFERROR(__xludf.DUMMYFUNCTION("""COMPUTED_VALUE"""),20.0)</f>
        <v>20</v>
      </c>
      <c r="E1389" s="16">
        <f>IFERROR(__xludf.DUMMYFUNCTION("""COMPUTED_VALUE"""),55.0)</f>
        <v>55</v>
      </c>
      <c r="F1389" s="16">
        <f>IFERROR(__xludf.DUMMYFUNCTION("""COMPUTED_VALUE"""),2.0)</f>
        <v>2</v>
      </c>
      <c r="G1389" s="16">
        <f>IFERROR(__xludf.DUMMYFUNCTION("""COMPUTED_VALUE"""),9.0)</f>
        <v>9</v>
      </c>
      <c r="H1389" s="23">
        <f>IFERROR(__xludf.DUMMYFUNCTION("""COMPUTED_VALUE"""),318.0)</f>
        <v>318</v>
      </c>
    </row>
    <row r="1390">
      <c r="A1390" s="16" t="str">
        <f>IFERROR(__xludf.DUMMYFUNCTION("""COMPUTED_VALUE"""),"Тестени изделия")</f>
        <v>Тестени изделия</v>
      </c>
      <c r="B1390" s="7" t="str">
        <f>IFERROR(__xludf.DUMMYFUNCTION("""COMPUTED_VALUE"""),"Хляб ""Езекил""")</f>
        <v>Хляб "Езекил"</v>
      </c>
      <c r="C1390" s="7">
        <f>IFERROR(__xludf.DUMMYFUNCTION("""COMPUTED_VALUE"""),100.0)</f>
        <v>100</v>
      </c>
      <c r="D1390" s="7">
        <f>IFERROR(__xludf.DUMMYFUNCTION("""COMPUTED_VALUE"""),15.0)</f>
        <v>15</v>
      </c>
      <c r="E1390" s="16">
        <f>IFERROR(__xludf.DUMMYFUNCTION("""COMPUTED_VALUE"""),45.0)</f>
        <v>45</v>
      </c>
      <c r="F1390" s="16">
        <f>IFERROR(__xludf.DUMMYFUNCTION("""COMPUTED_VALUE"""),1.5)</f>
        <v>1.5</v>
      </c>
      <c r="G1390" s="16">
        <f>IFERROR(__xludf.DUMMYFUNCTION("""COMPUTED_VALUE"""),9.0)</f>
        <v>9</v>
      </c>
      <c r="H1390" s="23">
        <f>IFERROR(__xludf.DUMMYFUNCTION("""COMPUTED_VALUE"""),253.5)</f>
        <v>253.5</v>
      </c>
    </row>
    <row r="1391">
      <c r="A1391" s="16" t="str">
        <f>IFERROR(__xludf.DUMMYFUNCTION("""COMPUTED_VALUE"""),"Тестени изделия")</f>
        <v>Тестени изделия</v>
      </c>
      <c r="B1391" s="7" t="str">
        <f>IFERROR(__xludf.DUMMYFUNCTION("""COMPUTED_VALUE"""),"Пълнозърнест хляб Tastino - Lidl")</f>
        <v>Пълнозърнест хляб Tastino - Lidl</v>
      </c>
      <c r="C1391" s="7">
        <f>IFERROR(__xludf.DUMMYFUNCTION("""COMPUTED_VALUE"""),100.0)</f>
        <v>100</v>
      </c>
      <c r="D1391" s="7">
        <f>IFERROR(__xludf.DUMMYFUNCTION("""COMPUTED_VALUE"""),8.0)</f>
        <v>8</v>
      </c>
      <c r="E1391" s="16">
        <f>IFERROR(__xludf.DUMMYFUNCTION("""COMPUTED_VALUE"""),52.0)</f>
        <v>52</v>
      </c>
      <c r="F1391" s="16">
        <f>IFERROR(__xludf.DUMMYFUNCTION("""COMPUTED_VALUE"""),1.5)</f>
        <v>1.5</v>
      </c>
      <c r="G1391" s="16">
        <f>IFERROR(__xludf.DUMMYFUNCTION("""COMPUTED_VALUE"""),7.5)</f>
        <v>7.5</v>
      </c>
      <c r="H1391" s="23">
        <f>IFERROR(__xludf.DUMMYFUNCTION("""COMPUTED_VALUE"""),253.5)</f>
        <v>253.5</v>
      </c>
    </row>
    <row r="1392">
      <c r="A1392" s="16" t="str">
        <f>IFERROR(__xludf.DUMMYFUNCTION("""COMPUTED_VALUE"""),"Тестени изделия")</f>
        <v>Тестени изделия</v>
      </c>
      <c r="B1392" s="7" t="str">
        <f>IFERROR(__xludf.DUMMYFUNCTION("""COMPUTED_VALUE"""),"Хляб Вита - Фитнес - Нисковъглехидратен")</f>
        <v>Хляб Вита - Фитнес - Нисковъглехидратен</v>
      </c>
      <c r="C1392" s="7">
        <f>IFERROR(__xludf.DUMMYFUNCTION("""COMPUTED_VALUE"""),100.0)</f>
        <v>100</v>
      </c>
      <c r="D1392" s="7">
        <f>IFERROR(__xludf.DUMMYFUNCTION("""COMPUTED_VALUE"""),20.0)</f>
        <v>20</v>
      </c>
      <c r="E1392" s="16">
        <f>IFERROR(__xludf.DUMMYFUNCTION("""COMPUTED_VALUE"""),22.0)</f>
        <v>22</v>
      </c>
      <c r="F1392" s="16">
        <f>IFERROR(__xludf.DUMMYFUNCTION("""COMPUTED_VALUE"""),3.8)</f>
        <v>3.8</v>
      </c>
      <c r="G1392" s="16">
        <f>IFERROR(__xludf.DUMMYFUNCTION("""COMPUTED_VALUE"""),18.0)</f>
        <v>18</v>
      </c>
      <c r="H1392" s="23">
        <f>IFERROR(__xludf.DUMMYFUNCTION("""COMPUTED_VALUE"""),202.2)</f>
        <v>202.2</v>
      </c>
    </row>
    <row r="1393">
      <c r="A1393" s="16" t="str">
        <f>IFERROR(__xludf.DUMMYFUNCTION("""COMPUTED_VALUE"""),"Тестени изделия")</f>
        <v>Тестени изделия</v>
      </c>
      <c r="B1393" s="7" t="str">
        <f>IFERROR(__xludf.DUMMYFUNCTION("""COMPUTED_VALUE"""),"Бриож (ванилов)")</f>
        <v>Бриож (ванилов)</v>
      </c>
      <c r="C1393" s="7">
        <f>IFERROR(__xludf.DUMMYFUNCTION("""COMPUTED_VALUE"""),100.0)</f>
        <v>100</v>
      </c>
      <c r="D1393" s="7">
        <f>IFERROR(__xludf.DUMMYFUNCTION("""COMPUTED_VALUE"""),5.8)</f>
        <v>5.8</v>
      </c>
      <c r="E1393" s="16">
        <f>IFERROR(__xludf.DUMMYFUNCTION("""COMPUTED_VALUE"""),44.0)</f>
        <v>44</v>
      </c>
      <c r="F1393" s="16">
        <f>IFERROR(__xludf.DUMMYFUNCTION("""COMPUTED_VALUE"""),7.9)</f>
        <v>7.9</v>
      </c>
      <c r="G1393" s="16">
        <f>IFERROR(__xludf.DUMMYFUNCTION("""COMPUTED_VALUE"""),1.3)</f>
        <v>1.3</v>
      </c>
      <c r="H1393" s="23">
        <f>IFERROR(__xludf.DUMMYFUNCTION("""COMPUTED_VALUE"""),270.3)</f>
        <v>270.3</v>
      </c>
    </row>
    <row r="1394">
      <c r="A1394" s="16" t="str">
        <f>IFERROR(__xludf.DUMMYFUNCTION("""COMPUTED_VALUE"""),"Тестени изделия")</f>
        <v>Тестени изделия</v>
      </c>
      <c r="B1394" s="7" t="str">
        <f>IFERROR(__xludf.DUMMYFUNCTION("""COMPUTED_VALUE"""),"Протеинов хляб Mestemacher")</f>
        <v>Протеинов хляб Mestemacher</v>
      </c>
      <c r="C1394" s="7">
        <f>IFERROR(__xludf.DUMMYFUNCTION("""COMPUTED_VALUE"""),100.0)</f>
        <v>100</v>
      </c>
      <c r="D1394" s="7">
        <f>IFERROR(__xludf.DUMMYFUNCTION("""COMPUTED_VALUE"""),22.0)</f>
        <v>22</v>
      </c>
      <c r="E1394" s="16">
        <f>IFERROR(__xludf.DUMMYFUNCTION("""COMPUTED_VALUE"""),7.5)</f>
        <v>7.5</v>
      </c>
      <c r="F1394" s="16">
        <f>IFERROR(__xludf.DUMMYFUNCTION("""COMPUTED_VALUE"""),13.1)</f>
        <v>13.1</v>
      </c>
      <c r="G1394" s="16">
        <f>IFERROR(__xludf.DUMMYFUNCTION("""COMPUTED_VALUE"""),14.2)</f>
        <v>14.2</v>
      </c>
      <c r="H1394" s="23">
        <f>IFERROR(__xludf.DUMMYFUNCTION("""COMPUTED_VALUE"""),235.89999999999998)</f>
        <v>235.9</v>
      </c>
    </row>
    <row r="1395">
      <c r="A1395" s="16" t="str">
        <f>IFERROR(__xludf.DUMMYFUNCTION("""COMPUTED_VALUE"""),"Тестени изделия")</f>
        <v>Тестени изделия</v>
      </c>
      <c r="B1395" s="7" t="str">
        <f>IFERROR(__xludf.DUMMYFUNCTION("""COMPUTED_VALUE"""),"Оризови кори - ""Грам за килограм""")</f>
        <v>Оризови кори - "Грам за килограм"</v>
      </c>
      <c r="C1395" s="7">
        <f>IFERROR(__xludf.DUMMYFUNCTION("""COMPUTED_VALUE"""),100.0)</f>
        <v>100</v>
      </c>
      <c r="D1395" s="7">
        <f>IFERROR(__xludf.DUMMYFUNCTION("""COMPUTED_VALUE"""),0.84)</f>
        <v>0.84</v>
      </c>
      <c r="E1395" s="16">
        <f>IFERROR(__xludf.DUMMYFUNCTION("""COMPUTED_VALUE"""),84.5)</f>
        <v>84.5</v>
      </c>
      <c r="F1395" s="16">
        <f>IFERROR(__xludf.DUMMYFUNCTION("""COMPUTED_VALUE"""),0.35)</f>
        <v>0.35</v>
      </c>
      <c r="G1395" s="16">
        <f>IFERROR(__xludf.DUMMYFUNCTION("""COMPUTED_VALUE"""),0.0)</f>
        <v>0</v>
      </c>
      <c r="H1395" s="23">
        <f>IFERROR(__xludf.DUMMYFUNCTION("""COMPUTED_VALUE"""),344.51)</f>
        <v>344.51</v>
      </c>
    </row>
    <row r="1396">
      <c r="A1396" s="16" t="str">
        <f>IFERROR(__xludf.DUMMYFUNCTION("""COMPUTED_VALUE"""),"Тестени изделия")</f>
        <v>Тестени изделия</v>
      </c>
      <c r="B1396" s="7" t="str">
        <f>IFERROR(__xludf.DUMMYFUNCTION("""COMPUTED_VALUE"""),"Фусили от грах  YOU")</f>
        <v>Фусили от грах  YOU</v>
      </c>
      <c r="C1396" s="7">
        <f>IFERROR(__xludf.DUMMYFUNCTION("""COMPUTED_VALUE"""),100.0)</f>
        <v>100</v>
      </c>
      <c r="D1396" s="7">
        <f>IFERROR(__xludf.DUMMYFUNCTION("""COMPUTED_VALUE"""),20.0)</f>
        <v>20</v>
      </c>
      <c r="E1396" s="16">
        <f>IFERROR(__xludf.DUMMYFUNCTION("""COMPUTED_VALUE"""),55.0)</f>
        <v>55</v>
      </c>
      <c r="F1396" s="16">
        <f>IFERROR(__xludf.DUMMYFUNCTION("""COMPUTED_VALUE"""),2.0)</f>
        <v>2</v>
      </c>
      <c r="G1396" s="16">
        <f>IFERROR(__xludf.DUMMYFUNCTION("""COMPUTED_VALUE"""),9.0)</f>
        <v>9</v>
      </c>
      <c r="H1396" s="23">
        <f>IFERROR(__xludf.DUMMYFUNCTION("""COMPUTED_VALUE"""),318.0)</f>
        <v>318</v>
      </c>
    </row>
    <row r="1397">
      <c r="A1397" s="16" t="str">
        <f>IFERROR(__xludf.DUMMYFUNCTION("""COMPUTED_VALUE"""),"Тестени изделия")</f>
        <v>Тестени изделия</v>
      </c>
      <c r="B1397" s="7" t="str">
        <f>IFERROR(__xludf.DUMMYFUNCTION("""COMPUTED_VALUE"""),"Хляб Живена- слънчоглед и чиа")</f>
        <v>Хляб Живена- слънчоглед и чиа</v>
      </c>
      <c r="C1397" s="7">
        <f>IFERROR(__xludf.DUMMYFUNCTION("""COMPUTED_VALUE"""),100.0)</f>
        <v>100</v>
      </c>
      <c r="D1397" s="7">
        <f>IFERROR(__xludf.DUMMYFUNCTION("""COMPUTED_VALUE"""),10.6)</f>
        <v>10.6</v>
      </c>
      <c r="E1397" s="16">
        <f>IFERROR(__xludf.DUMMYFUNCTION("""COMPUTED_VALUE"""),42.0)</f>
        <v>42</v>
      </c>
      <c r="F1397" s="16">
        <f>IFERROR(__xludf.DUMMYFUNCTION("""COMPUTED_VALUE"""),6.0)</f>
        <v>6</v>
      </c>
      <c r="G1397" s="16">
        <f>IFERROR(__xludf.DUMMYFUNCTION("""COMPUTED_VALUE"""),0.0)</f>
        <v>0</v>
      </c>
      <c r="H1397" s="23">
        <f>IFERROR(__xludf.DUMMYFUNCTION("""COMPUTED_VALUE"""),264.4)</f>
        <v>264.4</v>
      </c>
    </row>
    <row r="1398">
      <c r="A1398" s="16" t="str">
        <f>IFERROR(__xludf.DUMMYFUNCTION("""COMPUTED_VALUE"""),"Тестени изделия")</f>
        <v>Тестени изделия</v>
      </c>
      <c r="B1398" s="7" t="str">
        <f>IFERROR(__xludf.DUMMYFUNCTION("""COMPUTED_VALUE"""),"Типов хляб")</f>
        <v>Типов хляб</v>
      </c>
      <c r="C1398" s="7">
        <f>IFERROR(__xludf.DUMMYFUNCTION("""COMPUTED_VALUE"""),100.0)</f>
        <v>100</v>
      </c>
      <c r="D1398" s="7">
        <f>IFERROR(__xludf.DUMMYFUNCTION("""COMPUTED_VALUE"""),7.4)</f>
        <v>7.4</v>
      </c>
      <c r="E1398" s="16">
        <f>IFERROR(__xludf.DUMMYFUNCTION("""COMPUTED_VALUE"""),54.0)</f>
        <v>54</v>
      </c>
      <c r="F1398" s="16">
        <f>IFERROR(__xludf.DUMMYFUNCTION("""COMPUTED_VALUE"""),1.0)</f>
        <v>1</v>
      </c>
      <c r="G1398" s="16">
        <f>IFERROR(__xludf.DUMMYFUNCTION("""COMPUTED_VALUE"""),0.0)</f>
        <v>0</v>
      </c>
      <c r="H1398" s="23">
        <f>IFERROR(__xludf.DUMMYFUNCTION("""COMPUTED_VALUE"""),254.6)</f>
        <v>254.6</v>
      </c>
    </row>
    <row r="1399">
      <c r="A1399" s="16" t="str">
        <f>IFERROR(__xludf.DUMMYFUNCTION("""COMPUTED_VALUE"""),"Тестени изделия")</f>
        <v>Тестени изделия</v>
      </c>
      <c r="B1399" s="7" t="str">
        <f>IFERROR(__xludf.DUMMYFUNCTION("""COMPUTED_VALUE"""),"KRISPROLLS wholegrain complets")</f>
        <v>KRISPROLLS wholegrain complets</v>
      </c>
      <c r="C1399" s="7">
        <f>IFERROR(__xludf.DUMMYFUNCTION("""COMPUTED_VALUE"""),100.0)</f>
        <v>100</v>
      </c>
      <c r="D1399" s="7">
        <f>IFERROR(__xludf.DUMMYFUNCTION("""COMPUTED_VALUE"""),11.0)</f>
        <v>11</v>
      </c>
      <c r="E1399" s="16">
        <f>IFERROR(__xludf.DUMMYFUNCTION("""COMPUTED_VALUE"""),7.4)</f>
        <v>7.4</v>
      </c>
      <c r="F1399" s="16">
        <f>IFERROR(__xludf.DUMMYFUNCTION("""COMPUTED_VALUE"""),6.4)</f>
        <v>6.4</v>
      </c>
      <c r="G1399" s="16">
        <f>IFERROR(__xludf.DUMMYFUNCTION("""COMPUTED_VALUE"""),6.7)</f>
        <v>6.7</v>
      </c>
      <c r="H1399" s="23">
        <f>IFERROR(__xludf.DUMMYFUNCTION("""COMPUTED_VALUE"""),131.2)</f>
        <v>131.2</v>
      </c>
    </row>
    <row r="1400">
      <c r="A1400" s="16" t="str">
        <f>IFERROR(__xludf.DUMMYFUNCTION("""COMPUTED_VALUE"""),"Тестени изделия")</f>
        <v>Тестени изделия</v>
      </c>
      <c r="B1400" s="7" t="str">
        <f>IFERROR(__xludf.DUMMYFUNCTION("""COMPUTED_VALUE"""),"Хляб Вита- орехи и ленено семе")</f>
        <v>Хляб Вита- орехи и ленено семе</v>
      </c>
      <c r="C1400" s="7">
        <f>IFERROR(__xludf.DUMMYFUNCTION("""COMPUTED_VALUE"""),100.0)</f>
        <v>100</v>
      </c>
      <c r="D1400" s="7">
        <f>IFERROR(__xludf.DUMMYFUNCTION("""COMPUTED_VALUE"""),16.0)</f>
        <v>16</v>
      </c>
      <c r="E1400" s="16">
        <f>IFERROR(__xludf.DUMMYFUNCTION("""COMPUTED_VALUE"""),37.0)</f>
        <v>37</v>
      </c>
      <c r="F1400" s="16">
        <f>IFERROR(__xludf.DUMMYFUNCTION("""COMPUTED_VALUE"""),1.3)</f>
        <v>1.3</v>
      </c>
      <c r="G1400" s="16">
        <f>IFERROR(__xludf.DUMMYFUNCTION("""COMPUTED_VALUE"""),0.0)</f>
        <v>0</v>
      </c>
      <c r="H1400" s="23">
        <f>IFERROR(__xludf.DUMMYFUNCTION("""COMPUTED_VALUE"""),223.7)</f>
        <v>223.7</v>
      </c>
    </row>
    <row r="1401">
      <c r="A1401" s="16" t="str">
        <f>IFERROR(__xludf.DUMMYFUNCTION("""COMPUTED_VALUE"""),"Тестени изделия")</f>
        <v>Тестени изделия</v>
      </c>
      <c r="B1401" s="7" t="str">
        <f>IFERROR(__xludf.DUMMYFUNCTION("""COMPUTED_VALUE"""),"Хляб Вита- лен, коноп,ов. ядки")</f>
        <v>Хляб Вита- лен, коноп,ов. ядки</v>
      </c>
      <c r="C1401" s="7">
        <f>IFERROR(__xludf.DUMMYFUNCTION("""COMPUTED_VALUE"""),100.0)</f>
        <v>100</v>
      </c>
      <c r="D1401" s="7">
        <f>IFERROR(__xludf.DUMMYFUNCTION("""COMPUTED_VALUE"""),21.0)</f>
        <v>21</v>
      </c>
      <c r="E1401" s="16">
        <f>IFERROR(__xludf.DUMMYFUNCTION("""COMPUTED_VALUE"""),38.0)</f>
        <v>38</v>
      </c>
      <c r="F1401" s="16">
        <f>IFERROR(__xludf.DUMMYFUNCTION("""COMPUTED_VALUE"""),2.3)</f>
        <v>2.3</v>
      </c>
      <c r="G1401" s="16">
        <f>IFERROR(__xludf.DUMMYFUNCTION("""COMPUTED_VALUE"""),0.0)</f>
        <v>0</v>
      </c>
      <c r="H1401" s="23">
        <f>IFERROR(__xludf.DUMMYFUNCTION("""COMPUTED_VALUE"""),256.7)</f>
        <v>256.7</v>
      </c>
    </row>
    <row r="1402">
      <c r="A1402" s="16" t="str">
        <f>IFERROR(__xludf.DUMMYFUNCTION("""COMPUTED_VALUE"""),"Тестени изделия")</f>
        <v>Тестени изделия</v>
      </c>
      <c r="B1402" s="7" t="str">
        <f>IFERROR(__xludf.DUMMYFUNCTION("""COMPUTED_VALUE"""),"Хляб Елиаз 100% Лимец")</f>
        <v>Хляб Елиаз 100% Лимец</v>
      </c>
      <c r="C1402" s="7">
        <f>IFERROR(__xludf.DUMMYFUNCTION("""COMPUTED_VALUE"""),100.0)</f>
        <v>100</v>
      </c>
      <c r="D1402" s="7">
        <f>IFERROR(__xludf.DUMMYFUNCTION("""COMPUTED_VALUE"""),9.33)</f>
        <v>9.33</v>
      </c>
      <c r="E1402" s="16">
        <f>IFERROR(__xludf.DUMMYFUNCTION("""COMPUTED_VALUE"""),58.67)</f>
        <v>58.67</v>
      </c>
      <c r="F1402" s="16">
        <f>IFERROR(__xludf.DUMMYFUNCTION("""COMPUTED_VALUE"""),1.58)</f>
        <v>1.58</v>
      </c>
      <c r="G1402" s="16">
        <f>IFERROR(__xludf.DUMMYFUNCTION("""COMPUTED_VALUE"""),0.0)</f>
        <v>0</v>
      </c>
      <c r="H1402" s="23">
        <f>IFERROR(__xludf.DUMMYFUNCTION("""COMPUTED_VALUE"""),286.22)</f>
        <v>286.22</v>
      </c>
    </row>
    <row r="1403">
      <c r="A1403" s="16" t="str">
        <f>IFERROR(__xludf.DUMMYFUNCTION("""COMPUTED_VALUE"""),"Тестени изделия")</f>
        <v>Тестени изделия</v>
      </c>
      <c r="B1403" s="7" t="str">
        <f>IFERROR(__xludf.DUMMYFUNCTION("""COMPUTED_VALUE"""),"Крекери Savours ASDA")</f>
        <v>Крекери Savours ASDA</v>
      </c>
      <c r="C1403" s="7">
        <f>IFERROR(__xludf.DUMMYFUNCTION("""COMPUTED_VALUE"""),100.0)</f>
        <v>100</v>
      </c>
      <c r="D1403" s="7">
        <f>IFERROR(__xludf.DUMMYFUNCTION("""COMPUTED_VALUE"""),8.6)</f>
        <v>8.6</v>
      </c>
      <c r="E1403" s="16">
        <f>IFERROR(__xludf.DUMMYFUNCTION("""COMPUTED_VALUE"""),63.2)</f>
        <v>63.2</v>
      </c>
      <c r="F1403" s="16">
        <f>IFERROR(__xludf.DUMMYFUNCTION("""COMPUTED_VALUE"""),21.2)</f>
        <v>21.2</v>
      </c>
      <c r="G1403" s="16">
        <f>IFERROR(__xludf.DUMMYFUNCTION("""COMPUTED_VALUE"""),2.4)</f>
        <v>2.4</v>
      </c>
      <c r="H1403" s="23">
        <f>IFERROR(__xludf.DUMMYFUNCTION("""COMPUTED_VALUE"""),478.0)</f>
        <v>478</v>
      </c>
    </row>
    <row r="1404">
      <c r="A1404" s="16" t="str">
        <f>IFERROR(__xludf.DUMMYFUNCTION("""COMPUTED_VALUE"""),"Тестени изделия")</f>
        <v>Тестени изделия</v>
      </c>
      <c r="B1404" s="7" t="str">
        <f>IFERROR(__xludf.DUMMYFUNCTION("""COMPUTED_VALUE"""),"Хляб с моркови")</f>
        <v>Хляб с моркови</v>
      </c>
      <c r="C1404" s="7">
        <f>IFERROR(__xludf.DUMMYFUNCTION("""COMPUTED_VALUE"""),100.0)</f>
        <v>100</v>
      </c>
      <c r="D1404" s="7">
        <f>IFERROR(__xludf.DUMMYFUNCTION("""COMPUTED_VALUE"""),8.97)</f>
        <v>8.97</v>
      </c>
      <c r="E1404" s="16">
        <f>IFERROR(__xludf.DUMMYFUNCTION("""COMPUTED_VALUE"""),57.33)</f>
        <v>57.33</v>
      </c>
      <c r="F1404" s="16">
        <f>IFERROR(__xludf.DUMMYFUNCTION("""COMPUTED_VALUE"""),0.83)</f>
        <v>0.83</v>
      </c>
      <c r="G1404" s="16">
        <f>IFERROR(__xludf.DUMMYFUNCTION("""COMPUTED_VALUE"""),0.0)</f>
        <v>0</v>
      </c>
      <c r="H1404" s="23">
        <f>IFERROR(__xludf.DUMMYFUNCTION("""COMPUTED_VALUE"""),272.67)</f>
        <v>272.67</v>
      </c>
    </row>
    <row r="1405">
      <c r="A1405" s="16" t="str">
        <f>IFERROR(__xludf.DUMMYFUNCTION("""COMPUTED_VALUE"""),"Тестени изделия")</f>
        <v>Тестени изделия</v>
      </c>
      <c r="B1405" s="7" t="str">
        <f>IFERROR(__xludf.DUMMYFUNCTION("""COMPUTED_VALUE"""),"Точени кори - Турски")</f>
        <v>Точени кори - Турски</v>
      </c>
      <c r="C1405" s="7">
        <f>IFERROR(__xludf.DUMMYFUNCTION("""COMPUTED_VALUE"""),100.0)</f>
        <v>100</v>
      </c>
      <c r="D1405" s="7">
        <f>IFERROR(__xludf.DUMMYFUNCTION("""COMPUTED_VALUE"""),9.3)</f>
        <v>9.3</v>
      </c>
      <c r="E1405" s="16">
        <f>IFERROR(__xludf.DUMMYFUNCTION("""COMPUTED_VALUE"""),52.0)</f>
        <v>52</v>
      </c>
      <c r="F1405" s="16">
        <f>IFERROR(__xludf.DUMMYFUNCTION("""COMPUTED_VALUE"""),1.2)</f>
        <v>1.2</v>
      </c>
      <c r="G1405" s="16">
        <f>IFERROR(__xludf.DUMMYFUNCTION("""COMPUTED_VALUE"""),0.0)</f>
        <v>0</v>
      </c>
      <c r="H1405" s="23">
        <f>IFERROR(__xludf.DUMMYFUNCTION("""COMPUTED_VALUE"""),256.0)</f>
        <v>256</v>
      </c>
    </row>
    <row r="1406">
      <c r="A1406" s="16" t="str">
        <f>IFERROR(__xludf.DUMMYFUNCTION("""COMPUTED_VALUE"""),"Тестени изделия")</f>
        <v>Тестени изделия</v>
      </c>
      <c r="B1406" s="7" t="str">
        <f>IFERROR(__xludf.DUMMYFUNCTION("""COMPUTED_VALUE"""),"Пълнозърнести сухари")</f>
        <v>Пълнозърнести сухари</v>
      </c>
      <c r="C1406" s="7">
        <f>IFERROR(__xludf.DUMMYFUNCTION("""COMPUTED_VALUE"""),100.0)</f>
        <v>100</v>
      </c>
      <c r="D1406" s="7">
        <f>IFERROR(__xludf.DUMMYFUNCTION("""COMPUTED_VALUE"""),15.6)</f>
        <v>15.6</v>
      </c>
      <c r="E1406" s="16">
        <f>IFERROR(__xludf.DUMMYFUNCTION("""COMPUTED_VALUE"""),61.0)</f>
        <v>61</v>
      </c>
      <c r="F1406" s="16">
        <f>IFERROR(__xludf.DUMMYFUNCTION("""COMPUTED_VALUE"""),8.0)</f>
        <v>8</v>
      </c>
      <c r="G1406" s="16">
        <f>IFERROR(__xludf.DUMMYFUNCTION("""COMPUTED_VALUE"""),10.0)</f>
        <v>10</v>
      </c>
      <c r="H1406" s="23">
        <f>IFERROR(__xludf.DUMMYFUNCTION("""COMPUTED_VALUE"""),378.4)</f>
        <v>378.4</v>
      </c>
    </row>
    <row r="1407">
      <c r="A1407" s="16" t="str">
        <f>IFERROR(__xludf.DUMMYFUNCTION("""COMPUTED_VALUE"""),"Тестени изделия")</f>
        <v>Тестени изделия</v>
      </c>
      <c r="B1407" s="7" t="str">
        <f>IFERROR(__xludf.DUMMYFUNCTION("""COMPUTED_VALUE"""),"Тесто за пица ЛИДЛ")</f>
        <v>Тесто за пица ЛИДЛ</v>
      </c>
      <c r="C1407" s="7">
        <f>IFERROR(__xludf.DUMMYFUNCTION("""COMPUTED_VALUE"""),100.0)</f>
        <v>100</v>
      </c>
      <c r="D1407" s="7">
        <f>IFERROR(__xludf.DUMMYFUNCTION("""COMPUTED_VALUE"""),6.6)</f>
        <v>6.6</v>
      </c>
      <c r="E1407" s="16">
        <f>IFERROR(__xludf.DUMMYFUNCTION("""COMPUTED_VALUE"""),45.3)</f>
        <v>45.3</v>
      </c>
      <c r="F1407" s="16">
        <f>IFERROR(__xludf.DUMMYFUNCTION("""COMPUTED_VALUE"""),5.4)</f>
        <v>5.4</v>
      </c>
      <c r="G1407" s="16">
        <f>IFERROR(__xludf.DUMMYFUNCTION("""COMPUTED_VALUE"""),0.0)</f>
        <v>0</v>
      </c>
      <c r="H1407" s="23">
        <f>IFERROR(__xludf.DUMMYFUNCTION("""COMPUTED_VALUE"""),256.2)</f>
        <v>256.2</v>
      </c>
    </row>
    <row r="1408">
      <c r="A1408" s="16" t="str">
        <f>IFERROR(__xludf.DUMMYFUNCTION("""COMPUTED_VALUE"""),"Тестени изделия")</f>
        <v>Тестени изделия</v>
      </c>
      <c r="B1408" s="7" t="str">
        <f>IFERROR(__xludf.DUMMYFUNCTION("""COMPUTED_VALUE"""),"Хляб 102 зърна Елиаз")</f>
        <v>Хляб 102 зърна Елиаз</v>
      </c>
      <c r="C1408" s="7">
        <f>IFERROR(__xludf.DUMMYFUNCTION("""COMPUTED_VALUE"""),100.0)</f>
        <v>100</v>
      </c>
      <c r="D1408" s="7">
        <f>IFERROR(__xludf.DUMMYFUNCTION("""COMPUTED_VALUE"""),8.59)</f>
        <v>8.59</v>
      </c>
      <c r="E1408" s="16">
        <f>IFERROR(__xludf.DUMMYFUNCTION("""COMPUTED_VALUE"""),52.78)</f>
        <v>52.78</v>
      </c>
      <c r="F1408" s="16">
        <f>IFERROR(__xludf.DUMMYFUNCTION("""COMPUTED_VALUE"""),2.81)</f>
        <v>2.81</v>
      </c>
      <c r="G1408" s="16">
        <f>IFERROR(__xludf.DUMMYFUNCTION("""COMPUTED_VALUE"""),0.0)</f>
        <v>0</v>
      </c>
      <c r="H1408" s="23">
        <f>IFERROR(__xludf.DUMMYFUNCTION("""COMPUTED_VALUE"""),270.77000000000004)</f>
        <v>270.77</v>
      </c>
    </row>
    <row r="1409">
      <c r="A1409" s="16" t="str">
        <f>IFERROR(__xludf.DUMMYFUNCTION("""COMPUTED_VALUE"""),"Тестени изделия")</f>
        <v>Тестени изделия</v>
      </c>
      <c r="B1409" s="7" t="str">
        <f>IFERROR(__xludf.DUMMYFUNCTION("""COMPUTED_VALUE"""),"Хляб Сладко вдъхновение")</f>
        <v>Хляб Сладко вдъхновение</v>
      </c>
      <c r="C1409" s="7">
        <f>IFERROR(__xludf.DUMMYFUNCTION("""COMPUTED_VALUE"""),100.0)</f>
        <v>100</v>
      </c>
      <c r="D1409" s="7">
        <f>IFERROR(__xludf.DUMMYFUNCTION("""COMPUTED_VALUE"""),8.5)</f>
        <v>8.5</v>
      </c>
      <c r="E1409" s="16">
        <f>IFERROR(__xludf.DUMMYFUNCTION("""COMPUTED_VALUE"""),49.3)</f>
        <v>49.3</v>
      </c>
      <c r="F1409" s="16">
        <f>IFERROR(__xludf.DUMMYFUNCTION("""COMPUTED_VALUE"""),1.5)</f>
        <v>1.5</v>
      </c>
      <c r="G1409" s="16">
        <f>IFERROR(__xludf.DUMMYFUNCTION("""COMPUTED_VALUE"""),4.2)</f>
        <v>4.2</v>
      </c>
      <c r="H1409" s="23">
        <f>IFERROR(__xludf.DUMMYFUNCTION("""COMPUTED_VALUE"""),244.7)</f>
        <v>244.7</v>
      </c>
    </row>
    <row r="1410">
      <c r="A1410" s="16" t="str">
        <f>IFERROR(__xludf.DUMMYFUNCTION("""COMPUTED_VALUE"""),"Тестени изделия")</f>
        <v>Тестени изделия</v>
      </c>
      <c r="B1410" s="7" t="str">
        <f>IFERROR(__xludf.DUMMYFUNCTION("""COMPUTED_VALUE"""),"Хляб с Квас - Грахам")</f>
        <v>Хляб с Квас - Грахам</v>
      </c>
      <c r="C1410" s="7">
        <f>IFERROR(__xludf.DUMMYFUNCTION("""COMPUTED_VALUE"""),100.0)</f>
        <v>100</v>
      </c>
      <c r="D1410" s="7">
        <f>IFERROR(__xludf.DUMMYFUNCTION("""COMPUTED_VALUE"""),8.0)</f>
        <v>8</v>
      </c>
      <c r="E1410" s="16">
        <f>IFERROR(__xludf.DUMMYFUNCTION("""COMPUTED_VALUE"""),47.0)</f>
        <v>47</v>
      </c>
      <c r="F1410" s="16">
        <f>IFERROR(__xludf.DUMMYFUNCTION("""COMPUTED_VALUE"""),0.2)</f>
        <v>0.2</v>
      </c>
      <c r="G1410" s="16">
        <f>IFERROR(__xludf.DUMMYFUNCTION("""COMPUTED_VALUE"""),8.0)</f>
        <v>8</v>
      </c>
      <c r="H1410" s="23">
        <f>IFERROR(__xludf.DUMMYFUNCTION("""COMPUTED_VALUE"""),221.8)</f>
        <v>221.8</v>
      </c>
    </row>
    <row r="1411">
      <c r="A1411" s="16" t="str">
        <f>IFERROR(__xludf.DUMMYFUNCTION("""COMPUTED_VALUE"""),"Тестени изделия")</f>
        <v>Тестени изделия</v>
      </c>
      <c r="B1411" s="7" t="str">
        <f>IFERROR(__xludf.DUMMYFUNCTION("""COMPUTED_VALUE"""),"Пълнозърнест хляб със слънчогледови семки")</f>
        <v>Пълнозърнест хляб със слънчогледови семки</v>
      </c>
      <c r="C1411" s="7">
        <f>IFERROR(__xludf.DUMMYFUNCTION("""COMPUTED_VALUE"""),100.0)</f>
        <v>100</v>
      </c>
      <c r="D1411" s="7">
        <f>IFERROR(__xludf.DUMMYFUNCTION("""COMPUTED_VALUE"""),5.7)</f>
        <v>5.7</v>
      </c>
      <c r="E1411" s="16">
        <f>IFERROR(__xludf.DUMMYFUNCTION("""COMPUTED_VALUE"""),29.4)</f>
        <v>29.4</v>
      </c>
      <c r="F1411" s="16">
        <f>IFERROR(__xludf.DUMMYFUNCTION("""COMPUTED_VALUE"""),3.9)</f>
        <v>3.9</v>
      </c>
      <c r="G1411" s="16">
        <f>IFERROR(__xludf.DUMMYFUNCTION("""COMPUTED_VALUE"""),9.2)</f>
        <v>9.2</v>
      </c>
      <c r="H1411" s="23">
        <f>IFERROR(__xludf.DUMMYFUNCTION("""COMPUTED_VALUE"""),175.5)</f>
        <v>175.5</v>
      </c>
    </row>
    <row r="1412">
      <c r="A1412" s="16" t="str">
        <f>IFERROR(__xludf.DUMMYFUNCTION("""COMPUTED_VALUE"""),"Тестени изделия")</f>
        <v>Тестени изделия</v>
      </c>
      <c r="B1412" s="7" t="str">
        <f>IFERROR(__xludf.DUMMYFUNCTION("""COMPUTED_VALUE"""),"Пълнозърнест хляб Vital+")</f>
        <v>Пълнозърнест хляб Vital+</v>
      </c>
      <c r="C1412" s="7">
        <f>IFERROR(__xludf.DUMMYFUNCTION("""COMPUTED_VALUE"""),100.0)</f>
        <v>100</v>
      </c>
      <c r="D1412" s="7">
        <f>IFERROR(__xludf.DUMMYFUNCTION("""COMPUTED_VALUE"""),12.0)</f>
        <v>12</v>
      </c>
      <c r="E1412" s="16">
        <f>IFERROR(__xludf.DUMMYFUNCTION("""COMPUTED_VALUE"""),22.0)</f>
        <v>22</v>
      </c>
      <c r="F1412" s="16">
        <f>IFERROR(__xludf.DUMMYFUNCTION("""COMPUTED_VALUE"""),16.0)</f>
        <v>16</v>
      </c>
      <c r="G1412" s="16">
        <f>IFERROR(__xludf.DUMMYFUNCTION("""COMPUTED_VALUE"""),0.0)</f>
        <v>0</v>
      </c>
      <c r="H1412" s="23">
        <f>IFERROR(__xludf.DUMMYFUNCTION("""COMPUTED_VALUE"""),280.0)</f>
        <v>280</v>
      </c>
    </row>
    <row r="1413">
      <c r="A1413" s="16" t="str">
        <f>IFERROR(__xludf.DUMMYFUNCTION("""COMPUTED_VALUE"""),"Тестени изделия")</f>
        <v>Тестени изделия</v>
      </c>
      <c r="B1413" s="7" t="str">
        <f>IFERROR(__xludf.DUMMYFUNCTION("""COMPUTED_VALUE"""),"Пица домашна Carlito")</f>
        <v>Пица домашна Carlito</v>
      </c>
      <c r="C1413" s="7">
        <f>IFERROR(__xludf.DUMMYFUNCTION("""COMPUTED_VALUE"""),100.0)</f>
        <v>100</v>
      </c>
      <c r="D1413" s="7">
        <f>IFERROR(__xludf.DUMMYFUNCTION("""COMPUTED_VALUE"""),13.0)</f>
        <v>13</v>
      </c>
      <c r="E1413" s="16">
        <f>IFERROR(__xludf.DUMMYFUNCTION("""COMPUTED_VALUE"""),27.8)</f>
        <v>27.8</v>
      </c>
      <c r="F1413" s="16">
        <f>IFERROR(__xludf.DUMMYFUNCTION("""COMPUTED_VALUE"""),10.9)</f>
        <v>10.9</v>
      </c>
      <c r="G1413" s="16">
        <f>IFERROR(__xludf.DUMMYFUNCTION("""COMPUTED_VALUE"""),0.0)</f>
        <v>0</v>
      </c>
      <c r="H1413" s="23">
        <f>IFERROR(__xludf.DUMMYFUNCTION("""COMPUTED_VALUE"""),261.3)</f>
        <v>261.3</v>
      </c>
    </row>
    <row r="1414">
      <c r="A1414" s="16" t="str">
        <f>IFERROR(__xludf.DUMMYFUNCTION("""COMPUTED_VALUE"""),"Тестени изделия")</f>
        <v>Тестени изделия</v>
      </c>
      <c r="B1414" s="7" t="str">
        <f>IFERROR(__xludf.DUMMYFUNCTION("""COMPUTED_VALUE"""),"Ръчно точени кори Хармония")</f>
        <v>Ръчно точени кори Хармония</v>
      </c>
      <c r="C1414" s="7">
        <f>IFERROR(__xludf.DUMMYFUNCTION("""COMPUTED_VALUE"""),100.0)</f>
        <v>100</v>
      </c>
      <c r="D1414" s="7">
        <f>IFERROR(__xludf.DUMMYFUNCTION("""COMPUTED_VALUE"""),9.76)</f>
        <v>9.76</v>
      </c>
      <c r="E1414" s="16">
        <f>IFERROR(__xludf.DUMMYFUNCTION("""COMPUTED_VALUE"""),52.66)</f>
        <v>52.66</v>
      </c>
      <c r="F1414" s="16">
        <f>IFERROR(__xludf.DUMMYFUNCTION("""COMPUTED_VALUE"""),2.63)</f>
        <v>2.63</v>
      </c>
      <c r="G1414" s="16">
        <f>IFERROR(__xludf.DUMMYFUNCTION("""COMPUTED_VALUE"""),0.0)</f>
        <v>0</v>
      </c>
      <c r="H1414" s="23">
        <f>IFERROR(__xludf.DUMMYFUNCTION("""COMPUTED_VALUE"""),273.34999999999997)</f>
        <v>273.35</v>
      </c>
    </row>
    <row r="1415">
      <c r="A1415" s="16" t="str">
        <f>IFERROR(__xludf.DUMMYFUNCTION("""COMPUTED_VALUE"""),"Тестени изделия")</f>
        <v>Тестени изделия</v>
      </c>
      <c r="B1415" s="7" t="str">
        <f>IFERROR(__xludf.DUMMYFUNCTION("""COMPUTED_VALUE"""),"Пълнозърнест с тиквено семе Симид")</f>
        <v>Пълнозърнест с тиквено семе Симид</v>
      </c>
      <c r="C1415" s="7">
        <f>IFERROR(__xludf.DUMMYFUNCTION("""COMPUTED_VALUE"""),100.0)</f>
        <v>100</v>
      </c>
      <c r="D1415" s="7">
        <f>IFERROR(__xludf.DUMMYFUNCTION("""COMPUTED_VALUE"""),10.2)</f>
        <v>10.2</v>
      </c>
      <c r="E1415" s="16">
        <f>IFERROR(__xludf.DUMMYFUNCTION("""COMPUTED_VALUE"""),45.0)</f>
        <v>45</v>
      </c>
      <c r="F1415" s="16">
        <f>IFERROR(__xludf.DUMMYFUNCTION("""COMPUTED_VALUE"""),5.5)</f>
        <v>5.5</v>
      </c>
      <c r="G1415" s="16">
        <f>IFERROR(__xludf.DUMMYFUNCTION("""COMPUTED_VALUE"""),0.0)</f>
        <v>0</v>
      </c>
      <c r="H1415" s="23">
        <f>IFERROR(__xludf.DUMMYFUNCTION("""COMPUTED_VALUE"""),270.3)</f>
        <v>270.3</v>
      </c>
    </row>
    <row r="1416">
      <c r="A1416" s="16" t="str">
        <f>IFERROR(__xludf.DUMMYFUNCTION("""COMPUTED_VALUE"""),"Тестени изделия")</f>
        <v>Тестени изделия</v>
      </c>
      <c r="B1416" s="7" t="str">
        <f>IFERROR(__xludf.DUMMYFUNCTION("""COMPUTED_VALUE"""),"Хляб пълнозърнест тостер PanCarre")</f>
        <v>Хляб пълнозърнест тостер PanCarre</v>
      </c>
      <c r="C1416" s="7">
        <f>IFERROR(__xludf.DUMMYFUNCTION("""COMPUTED_VALUE"""),100.0)</f>
        <v>100</v>
      </c>
      <c r="D1416" s="7">
        <f>IFERROR(__xludf.DUMMYFUNCTION("""COMPUTED_VALUE"""),7.5)</f>
        <v>7.5</v>
      </c>
      <c r="E1416" s="16">
        <f>IFERROR(__xludf.DUMMYFUNCTION("""COMPUTED_VALUE"""),50.5)</f>
        <v>50.5</v>
      </c>
      <c r="F1416" s="16">
        <f>IFERROR(__xludf.DUMMYFUNCTION("""COMPUTED_VALUE"""),5.2)</f>
        <v>5.2</v>
      </c>
      <c r="G1416" s="16">
        <f>IFERROR(__xludf.DUMMYFUNCTION("""COMPUTED_VALUE"""),4.0)</f>
        <v>4</v>
      </c>
      <c r="H1416" s="23">
        <f>IFERROR(__xludf.DUMMYFUNCTION("""COMPUTED_VALUE"""),278.8)</f>
        <v>278.8</v>
      </c>
    </row>
    <row r="1417">
      <c r="A1417" s="16" t="str">
        <f>IFERROR(__xludf.DUMMYFUNCTION("""COMPUTED_VALUE"""),"Тестени изделия")</f>
        <v>Тестени изделия</v>
      </c>
      <c r="B1417" s="7" t="str">
        <f>IFERROR(__xludf.DUMMYFUNCTION("""COMPUTED_VALUE"""),"Протеинов хляб BIO /DM/")</f>
        <v>Протеинов хляб BIO /DM/</v>
      </c>
      <c r="C1417" s="7">
        <f>IFERROR(__xludf.DUMMYFUNCTION("""COMPUTED_VALUE"""),100.0)</f>
        <v>100</v>
      </c>
      <c r="D1417" s="7">
        <f>IFERROR(__xludf.DUMMYFUNCTION("""COMPUTED_VALUE"""),20.0)</f>
        <v>20</v>
      </c>
      <c r="E1417" s="16">
        <f>IFERROR(__xludf.DUMMYFUNCTION("""COMPUTED_VALUE"""),14.0)</f>
        <v>14</v>
      </c>
      <c r="F1417" s="16">
        <f>IFERROR(__xludf.DUMMYFUNCTION("""COMPUTED_VALUE"""),10.0)</f>
        <v>10</v>
      </c>
      <c r="G1417" s="16">
        <f>IFERROR(__xludf.DUMMYFUNCTION("""COMPUTED_VALUE"""),11.0)</f>
        <v>11</v>
      </c>
      <c r="H1417" s="23">
        <f>IFERROR(__xludf.DUMMYFUNCTION("""COMPUTED_VALUE"""),226.0)</f>
        <v>226</v>
      </c>
    </row>
    <row r="1418">
      <c r="A1418" s="16" t="str">
        <f>IFERROR(__xludf.DUMMYFUNCTION("""COMPUTED_VALUE"""),"Тестени изделия")</f>
        <v>Тестени изделия</v>
      </c>
      <c r="B1418" s="7" t="str">
        <f>IFERROR(__xludf.DUMMYFUNCTION("""COMPUTED_VALUE"""),"Glass Noodles Vitasia, Lidl")</f>
        <v>Glass Noodles Vitasia, Lidl</v>
      </c>
      <c r="C1418" s="7">
        <f>IFERROR(__xludf.DUMMYFUNCTION("""COMPUTED_VALUE"""),100.0)</f>
        <v>100</v>
      </c>
      <c r="D1418" s="7">
        <f>IFERROR(__xludf.DUMMYFUNCTION("""COMPUTED_VALUE"""),0.4)</f>
        <v>0.4</v>
      </c>
      <c r="E1418" s="16">
        <f>IFERROR(__xludf.DUMMYFUNCTION("""COMPUTED_VALUE"""),82.7)</f>
        <v>82.7</v>
      </c>
      <c r="F1418" s="16">
        <f>IFERROR(__xludf.DUMMYFUNCTION("""COMPUTED_VALUE"""),0.4)</f>
        <v>0.4</v>
      </c>
      <c r="G1418" s="16">
        <f>IFERROR(__xludf.DUMMYFUNCTION("""COMPUTED_VALUE"""),0.0)</f>
        <v>0</v>
      </c>
      <c r="H1418" s="23">
        <f>IFERROR(__xludf.DUMMYFUNCTION("""COMPUTED_VALUE"""),336.00000000000006)</f>
        <v>336</v>
      </c>
    </row>
    <row r="1419">
      <c r="A1419" s="16" t="str">
        <f>IFERROR(__xludf.DUMMYFUNCTION("""COMPUTED_VALUE"""),"Тестени изделия")</f>
        <v>Тестени изделия</v>
      </c>
      <c r="B1419" s="7" t="str">
        <f>IFERROR(__xludf.DUMMYFUNCTION("""COMPUTED_VALUE"""),"Нудли с яйца, Vitasia Lidl")</f>
        <v>Нудли с яйца, Vitasia Lidl</v>
      </c>
      <c r="C1419" s="7">
        <f>IFERROR(__xludf.DUMMYFUNCTION("""COMPUTED_VALUE"""),100.0)</f>
        <v>100</v>
      </c>
      <c r="D1419" s="7">
        <f>IFERROR(__xludf.DUMMYFUNCTION("""COMPUTED_VALUE"""),14.0)</f>
        <v>14</v>
      </c>
      <c r="E1419" s="16">
        <f>IFERROR(__xludf.DUMMYFUNCTION("""COMPUTED_VALUE"""),70.0)</f>
        <v>70</v>
      </c>
      <c r="F1419" s="16">
        <f>IFERROR(__xludf.DUMMYFUNCTION("""COMPUTED_VALUE"""),2.6)</f>
        <v>2.6</v>
      </c>
      <c r="G1419" s="16">
        <f>IFERROR(__xludf.DUMMYFUNCTION("""COMPUTED_VALUE"""),0.0)</f>
        <v>0</v>
      </c>
      <c r="H1419" s="23">
        <f>IFERROR(__xludf.DUMMYFUNCTION("""COMPUTED_VALUE"""),359.4)</f>
        <v>359.4</v>
      </c>
    </row>
    <row r="1420">
      <c r="A1420" s="16" t="str">
        <f>IFERROR(__xludf.DUMMYFUNCTION("""COMPUTED_VALUE"""),"Тестени изделия")</f>
        <v>Тестени изделия</v>
      </c>
      <c r="B1420" s="7" t="str">
        <f>IFERROR(__xludf.DUMMYFUNCTION("""COMPUTED_VALUE"""),"МИО 103 Зърна Хляб")</f>
        <v>МИО 103 Зърна Хляб</v>
      </c>
      <c r="C1420" s="7">
        <f>IFERROR(__xludf.DUMMYFUNCTION("""COMPUTED_VALUE"""),100.0)</f>
        <v>100</v>
      </c>
      <c r="D1420" s="7">
        <f>IFERROR(__xludf.DUMMYFUNCTION("""COMPUTED_VALUE"""),12.4)</f>
        <v>12.4</v>
      </c>
      <c r="E1420" s="16">
        <f>IFERROR(__xludf.DUMMYFUNCTION("""COMPUTED_VALUE"""),45.4)</f>
        <v>45.4</v>
      </c>
      <c r="F1420" s="16">
        <f>IFERROR(__xludf.DUMMYFUNCTION("""COMPUTED_VALUE"""),2.2)</f>
        <v>2.2</v>
      </c>
      <c r="G1420" s="16">
        <f>IFERROR(__xludf.DUMMYFUNCTION("""COMPUTED_VALUE"""),4.9)</f>
        <v>4.9</v>
      </c>
      <c r="H1420" s="23">
        <f>IFERROR(__xludf.DUMMYFUNCTION("""COMPUTED_VALUE"""),251.0)</f>
        <v>251</v>
      </c>
    </row>
    <row r="1421">
      <c r="A1421" s="16" t="str">
        <f>IFERROR(__xludf.DUMMYFUNCTION("""COMPUTED_VALUE"""),"Тестени изделия")</f>
        <v>Тестени изделия</v>
      </c>
      <c r="B1421" s="7" t="str">
        <f>IFERROR(__xludf.DUMMYFUNCTION("""COMPUTED_VALUE"""),"Roll-Ups Лаваш Lidl")</f>
        <v>Roll-Ups Лаваш Lidl</v>
      </c>
      <c r="C1421" s="7">
        <f>IFERROR(__xludf.DUMMYFUNCTION("""COMPUTED_VALUE"""),100.0)</f>
        <v>100</v>
      </c>
      <c r="D1421" s="7">
        <f>IFERROR(__xludf.DUMMYFUNCTION("""COMPUTED_VALUE"""),7.5)</f>
        <v>7.5</v>
      </c>
      <c r="E1421" s="16">
        <f>IFERROR(__xludf.DUMMYFUNCTION("""COMPUTED_VALUE"""),53.4)</f>
        <v>53.4</v>
      </c>
      <c r="F1421" s="16">
        <f>IFERROR(__xludf.DUMMYFUNCTION("""COMPUTED_VALUE"""),0.9)</f>
        <v>0.9</v>
      </c>
      <c r="G1421" s="16">
        <f>IFERROR(__xludf.DUMMYFUNCTION("""COMPUTED_VALUE"""),0.0)</f>
        <v>0</v>
      </c>
      <c r="H1421" s="23">
        <f>IFERROR(__xludf.DUMMYFUNCTION("""COMPUTED_VALUE"""),251.7)</f>
        <v>251.7</v>
      </c>
    </row>
    <row r="1422">
      <c r="A1422" s="16" t="str">
        <f>IFERROR(__xludf.DUMMYFUNCTION("""COMPUTED_VALUE"""),"Тестени изделия")</f>
        <v>Тестени изделия</v>
      </c>
      <c r="B1422" s="7" t="str">
        <f>IFERROR(__xludf.DUMMYFUNCTION("""COMPUTED_VALUE"""),"Кори за лазаня Италиано Лидл")</f>
        <v>Кори за лазаня Италиано Лидл</v>
      </c>
      <c r="C1422" s="7">
        <f>IFERROR(__xludf.DUMMYFUNCTION("""COMPUTED_VALUE"""),100.0)</f>
        <v>100</v>
      </c>
      <c r="D1422" s="7">
        <f>IFERROR(__xludf.DUMMYFUNCTION("""COMPUTED_VALUE"""),10.0)</f>
        <v>10</v>
      </c>
      <c r="E1422" s="16">
        <f>IFERROR(__xludf.DUMMYFUNCTION("""COMPUTED_VALUE"""),52.0)</f>
        <v>52</v>
      </c>
      <c r="F1422" s="16">
        <f>IFERROR(__xludf.DUMMYFUNCTION("""COMPUTED_VALUE"""),3.0)</f>
        <v>3</v>
      </c>
      <c r="G1422" s="16">
        <f>IFERROR(__xludf.DUMMYFUNCTION("""COMPUTED_VALUE"""),0.0)</f>
        <v>0</v>
      </c>
      <c r="H1422" s="23">
        <f>IFERROR(__xludf.DUMMYFUNCTION("""COMPUTED_VALUE"""),275.0)</f>
        <v>275</v>
      </c>
    </row>
    <row r="1423">
      <c r="A1423" s="16" t="str">
        <f>IFERROR(__xludf.DUMMYFUNCTION("""COMPUTED_VALUE"""),"Тестени изделия")</f>
        <v>Тестени изделия</v>
      </c>
      <c r="B1423" s="7" t="str">
        <f>IFERROR(__xludf.DUMMYFUNCTION("""COMPUTED_VALUE"""),"Brioche rolls Jean Pierre")</f>
        <v>Brioche rolls Jean Pierre</v>
      </c>
      <c r="C1423" s="7">
        <f>IFERROR(__xludf.DUMMYFUNCTION("""COMPUTED_VALUE"""),100.0)</f>
        <v>100</v>
      </c>
      <c r="D1423" s="7">
        <f>IFERROR(__xludf.DUMMYFUNCTION("""COMPUTED_VALUE"""),9.0)</f>
        <v>9</v>
      </c>
      <c r="E1423" s="16">
        <f>IFERROR(__xludf.DUMMYFUNCTION("""COMPUTED_VALUE"""),55.0)</f>
        <v>55</v>
      </c>
      <c r="F1423" s="16">
        <f>IFERROR(__xludf.DUMMYFUNCTION("""COMPUTED_VALUE"""),13.0)</f>
        <v>13</v>
      </c>
      <c r="G1423" s="16">
        <f>IFERROR(__xludf.DUMMYFUNCTION("""COMPUTED_VALUE"""),0.0)</f>
        <v>0</v>
      </c>
      <c r="H1423" s="23">
        <f>IFERROR(__xludf.DUMMYFUNCTION("""COMPUTED_VALUE"""),373.0)</f>
        <v>373</v>
      </c>
    </row>
    <row r="1424">
      <c r="A1424" s="16" t="str">
        <f>IFERROR(__xludf.DUMMYFUNCTION("""COMPUTED_VALUE"""),"Тестени изделия")</f>
        <v>Тестени изделия</v>
      </c>
      <c r="B1424" s="7" t="str">
        <f>IFERROR(__xludf.DUMMYFUNCTION("""COMPUTED_VALUE"""),"Хляб “Бонус-6 зърна”")</f>
        <v>Хляб “Бонус-6 зърна”</v>
      </c>
      <c r="C1424" s="7">
        <f>IFERROR(__xludf.DUMMYFUNCTION("""COMPUTED_VALUE"""),100.0)</f>
        <v>100</v>
      </c>
      <c r="D1424" s="7">
        <f>IFERROR(__xludf.DUMMYFUNCTION("""COMPUTED_VALUE"""),7.8)</f>
        <v>7.8</v>
      </c>
      <c r="E1424" s="16">
        <f>IFERROR(__xludf.DUMMYFUNCTION("""COMPUTED_VALUE"""),37.0)</f>
        <v>37</v>
      </c>
      <c r="F1424" s="16">
        <f>IFERROR(__xludf.DUMMYFUNCTION("""COMPUTED_VALUE"""),3.3)</f>
        <v>3.3</v>
      </c>
      <c r="G1424" s="16">
        <f>IFERROR(__xludf.DUMMYFUNCTION("""COMPUTED_VALUE"""),20.6)</f>
        <v>20.6</v>
      </c>
      <c r="H1424" s="23">
        <f>IFERROR(__xludf.DUMMYFUNCTION("""COMPUTED_VALUE"""),208.89999999999998)</f>
        <v>208.9</v>
      </c>
    </row>
    <row r="1425">
      <c r="A1425" s="16" t="str">
        <f>IFERROR(__xludf.DUMMYFUNCTION("""COMPUTED_VALUE"""),"Тестени изделия")</f>
        <v>Тестени изделия</v>
      </c>
      <c r="B1425" s="7" t="str">
        <f>IFERROR(__xludf.DUMMYFUNCTION("""COMPUTED_VALUE"""),"Хляб”Симид”-ръжен-Clean Label")</f>
        <v>Хляб”Симид”-ръжен-Clean Label</v>
      </c>
      <c r="C1425" s="7">
        <f>IFERROR(__xludf.DUMMYFUNCTION("""COMPUTED_VALUE"""),100.0)</f>
        <v>100</v>
      </c>
      <c r="D1425" s="7">
        <f>IFERROR(__xludf.DUMMYFUNCTION("""COMPUTED_VALUE"""),7.0)</f>
        <v>7</v>
      </c>
      <c r="E1425" s="16">
        <f>IFERROR(__xludf.DUMMYFUNCTION("""COMPUTED_VALUE"""),52.0)</f>
        <v>52</v>
      </c>
      <c r="F1425" s="16">
        <f>IFERROR(__xludf.DUMMYFUNCTION("""COMPUTED_VALUE"""),1.5)</f>
        <v>1.5</v>
      </c>
      <c r="G1425" s="16">
        <f>IFERROR(__xludf.DUMMYFUNCTION("""COMPUTED_VALUE"""),0.0)</f>
        <v>0</v>
      </c>
      <c r="H1425" s="23">
        <f>IFERROR(__xludf.DUMMYFUNCTION("""COMPUTED_VALUE"""),249.5)</f>
        <v>249.5</v>
      </c>
    </row>
    <row r="1426">
      <c r="A1426" s="16" t="str">
        <f>IFERROR(__xludf.DUMMYFUNCTION("""COMPUTED_VALUE"""),"Тестени изделия")</f>
        <v>Тестени изделия</v>
      </c>
      <c r="B1426" s="7" t="str">
        <f>IFERROR(__xludf.DUMMYFUNCTION("""COMPUTED_VALUE"""),"Хляб Живена (Тиква и Слънчоглед)")</f>
        <v>Хляб Живена (Тиква и Слънчоглед)</v>
      </c>
      <c r="C1426" s="7">
        <f>IFERROR(__xludf.DUMMYFUNCTION("""COMPUTED_VALUE"""),100.0)</f>
        <v>100</v>
      </c>
      <c r="D1426" s="7">
        <f>IFERROR(__xludf.DUMMYFUNCTION("""COMPUTED_VALUE"""),12.4)</f>
        <v>12.4</v>
      </c>
      <c r="E1426" s="16">
        <f>IFERROR(__xludf.DUMMYFUNCTION("""COMPUTED_VALUE"""),38.0)</f>
        <v>38</v>
      </c>
      <c r="F1426" s="16">
        <f>IFERROR(__xludf.DUMMYFUNCTION("""COMPUTED_VALUE"""),10.0)</f>
        <v>10</v>
      </c>
      <c r="G1426" s="16">
        <f>IFERROR(__xludf.DUMMYFUNCTION("""COMPUTED_VALUE"""),6.0)</f>
        <v>6</v>
      </c>
      <c r="H1426" s="23">
        <f>IFERROR(__xludf.DUMMYFUNCTION("""COMPUTED_VALUE"""),291.6)</f>
        <v>291.6</v>
      </c>
    </row>
    <row r="1427">
      <c r="A1427" s="16" t="str">
        <f>IFERROR(__xludf.DUMMYFUNCTION("""COMPUTED_VALUE"""),"Тестени изделия")</f>
        <v>Тестени изделия</v>
      </c>
      <c r="B1427" s="7" t="str">
        <f>IFERROR(__xludf.DUMMYFUNCTION("""COMPUTED_VALUE"""),"Пица Делочоза 4 сирена Лидъл")</f>
        <v>Пица Делочоза 4 сирена Лидъл</v>
      </c>
      <c r="C1427" s="7">
        <f>IFERROR(__xludf.DUMMYFUNCTION("""COMPUTED_VALUE"""),100.0)</f>
        <v>100</v>
      </c>
      <c r="D1427" s="7">
        <f>IFERROR(__xludf.DUMMYFUNCTION("""COMPUTED_VALUE"""),11.0)</f>
        <v>11</v>
      </c>
      <c r="E1427" s="16">
        <f>IFERROR(__xludf.DUMMYFUNCTION("""COMPUTED_VALUE"""),21.0)</f>
        <v>21</v>
      </c>
      <c r="F1427" s="16">
        <f>IFERROR(__xludf.DUMMYFUNCTION("""COMPUTED_VALUE"""),9.0)</f>
        <v>9</v>
      </c>
      <c r="G1427" s="16">
        <f>IFERROR(__xludf.DUMMYFUNCTION("""COMPUTED_VALUE"""),0.0)</f>
        <v>0</v>
      </c>
      <c r="H1427" s="23">
        <f>IFERROR(__xludf.DUMMYFUNCTION("""COMPUTED_VALUE"""),209.0)</f>
        <v>209</v>
      </c>
    </row>
    <row r="1428">
      <c r="A1428" s="16" t="str">
        <f>IFERROR(__xludf.DUMMYFUNCTION("""COMPUTED_VALUE"""),"Тестени изделия")</f>
        <v>Тестени изделия</v>
      </c>
      <c r="B1428" s="7" t="str">
        <f>IFERROR(__xludf.DUMMYFUNCTION("""COMPUTED_VALUE"""),"Хляб микс плюс 5 брашна")</f>
        <v>Хляб микс плюс 5 брашна</v>
      </c>
      <c r="C1428" s="7">
        <f>IFERROR(__xludf.DUMMYFUNCTION("""COMPUTED_VALUE"""),100.0)</f>
        <v>100</v>
      </c>
      <c r="D1428" s="7">
        <f>IFERROR(__xludf.DUMMYFUNCTION("""COMPUTED_VALUE"""),7.8)</f>
        <v>7.8</v>
      </c>
      <c r="E1428" s="16">
        <f>IFERROR(__xludf.DUMMYFUNCTION("""COMPUTED_VALUE"""),53.0)</f>
        <v>53</v>
      </c>
      <c r="F1428" s="16">
        <f>IFERROR(__xludf.DUMMYFUNCTION("""COMPUTED_VALUE"""),1.1)</f>
        <v>1.1</v>
      </c>
      <c r="G1428" s="16">
        <f>IFERROR(__xludf.DUMMYFUNCTION("""COMPUTED_VALUE"""),8.7)</f>
        <v>8.7</v>
      </c>
      <c r="H1428" s="23">
        <f>IFERROR(__xludf.DUMMYFUNCTION("""COMPUTED_VALUE"""),253.1)</f>
        <v>253.1</v>
      </c>
    </row>
    <row r="1429">
      <c r="A1429" s="16" t="str">
        <f>IFERROR(__xludf.DUMMYFUNCTION("""COMPUTED_VALUE"""),"Тестени изделия")</f>
        <v>Тестени изделия</v>
      </c>
      <c r="B1429" s="7" t="str">
        <f>IFERROR(__xludf.DUMMYFUNCTION("""COMPUTED_VALUE"""),"Високопротеинов хляб- “Живена”")</f>
        <v>Високопротеинов хляб- “Живена”</v>
      </c>
      <c r="C1429" s="7">
        <f>IFERROR(__xludf.DUMMYFUNCTION("""COMPUTED_VALUE"""),100.0)</f>
        <v>100</v>
      </c>
      <c r="D1429" s="7">
        <f>IFERROR(__xludf.DUMMYFUNCTION("""COMPUTED_VALUE"""),15.4)</f>
        <v>15.4</v>
      </c>
      <c r="E1429" s="16">
        <f>IFERROR(__xludf.DUMMYFUNCTION("""COMPUTED_VALUE"""),40.0)</f>
        <v>40</v>
      </c>
      <c r="F1429" s="16">
        <f>IFERROR(__xludf.DUMMYFUNCTION("""COMPUTED_VALUE"""),6.2)</f>
        <v>6.2</v>
      </c>
      <c r="G1429" s="16">
        <f>IFERROR(__xludf.DUMMYFUNCTION("""COMPUTED_VALUE"""),11.0)</f>
        <v>11</v>
      </c>
      <c r="H1429" s="23">
        <f>IFERROR(__xludf.DUMMYFUNCTION("""COMPUTED_VALUE"""),277.4)</f>
        <v>277.4</v>
      </c>
    </row>
    <row r="1430">
      <c r="A1430" s="16" t="str">
        <f>IFERROR(__xludf.DUMMYFUNCTION("""COMPUTED_VALUE"""),"Тестени изделия")</f>
        <v>Тестени изделия</v>
      </c>
      <c r="B1430" s="7" t="str">
        <f>IFERROR(__xludf.DUMMYFUNCTION("""COMPUTED_VALUE"""),"Паста (варена със сол)")</f>
        <v>Паста (варена със сол)</v>
      </c>
      <c r="C1430" s="7">
        <f>IFERROR(__xludf.DUMMYFUNCTION("""COMPUTED_VALUE"""),100.0)</f>
        <v>100</v>
      </c>
      <c r="D1430" s="7">
        <f>IFERROR(__xludf.DUMMYFUNCTION("""COMPUTED_VALUE"""),5.8)</f>
        <v>5.8</v>
      </c>
      <c r="E1430" s="16">
        <f>IFERROR(__xludf.DUMMYFUNCTION("""COMPUTED_VALUE"""),30.59)</f>
        <v>30.59</v>
      </c>
      <c r="F1430" s="16">
        <f>IFERROR(__xludf.DUMMYFUNCTION("""COMPUTED_VALUE"""),0.93)</f>
        <v>0.93</v>
      </c>
      <c r="G1430" s="16">
        <f>IFERROR(__xludf.DUMMYFUNCTION("""COMPUTED_VALUE"""),0.0)</f>
        <v>0</v>
      </c>
      <c r="H1430" s="23">
        <f>IFERROR(__xludf.DUMMYFUNCTION("""COMPUTED_VALUE"""),153.93)</f>
        <v>153.93</v>
      </c>
    </row>
    <row r="1431">
      <c r="A1431" s="16" t="str">
        <f>IFERROR(__xludf.DUMMYFUNCTION("""COMPUTED_VALUE"""),"Тестени изделия")</f>
        <v>Тестени изделия</v>
      </c>
      <c r="B1431" s="7" t="str">
        <f>IFERROR(__xludf.DUMMYFUNCTION("""COMPUTED_VALUE"""),"Паста penne glutenfrei kaufland - от царевица")</f>
        <v>Паста penne glutenfrei kaufland - от царевица</v>
      </c>
      <c r="C1431" s="7">
        <f>IFERROR(__xludf.DUMMYFUNCTION("""COMPUTED_VALUE"""),100.0)</f>
        <v>100</v>
      </c>
      <c r="D1431" s="7">
        <f>IFERROR(__xludf.DUMMYFUNCTION("""COMPUTED_VALUE"""),6.0)</f>
        <v>6</v>
      </c>
      <c r="E1431" s="16">
        <f>IFERROR(__xludf.DUMMYFUNCTION("""COMPUTED_VALUE"""),79.0)</f>
        <v>79</v>
      </c>
      <c r="F1431" s="16">
        <f>IFERROR(__xludf.DUMMYFUNCTION("""COMPUTED_VALUE"""),1.0)</f>
        <v>1</v>
      </c>
      <c r="G1431" s="16">
        <f>IFERROR(__xludf.DUMMYFUNCTION("""COMPUTED_VALUE"""),3.0)</f>
        <v>3</v>
      </c>
      <c r="H1431" s="23">
        <f>IFERROR(__xludf.DUMMYFUNCTION("""COMPUTED_VALUE"""),349.0)</f>
        <v>349</v>
      </c>
    </row>
    <row r="1432">
      <c r="A1432" s="16" t="str">
        <f>IFERROR(__xludf.DUMMYFUNCTION("""COMPUTED_VALUE"""),"Тестени изделия")</f>
        <v>Тестени изделия</v>
      </c>
      <c r="B1432" s="7" t="str">
        <f>IFERROR(__xludf.DUMMYFUNCTION("""COMPUTED_VALUE"""),"Папарделе с яйца - лидъл (сорово състояние)")</f>
        <v>Папарделе с яйца - лидъл (сорово състояние)</v>
      </c>
      <c r="C1432" s="7">
        <f>IFERROR(__xludf.DUMMYFUNCTION("""COMPUTED_VALUE"""),100.0)</f>
        <v>100</v>
      </c>
      <c r="D1432" s="7">
        <f>IFERROR(__xludf.DUMMYFUNCTION("""COMPUTED_VALUE"""),9.8)</f>
        <v>9.8</v>
      </c>
      <c r="E1432" s="16">
        <f>IFERROR(__xludf.DUMMYFUNCTION("""COMPUTED_VALUE"""),52.8)</f>
        <v>52.8</v>
      </c>
      <c r="F1432" s="16">
        <f>IFERROR(__xludf.DUMMYFUNCTION("""COMPUTED_VALUE"""),3.2)</f>
        <v>3.2</v>
      </c>
      <c r="G1432" s="16">
        <f>IFERROR(__xludf.DUMMYFUNCTION("""COMPUTED_VALUE"""),0.0)</f>
        <v>0</v>
      </c>
      <c r="H1432" s="23">
        <f>IFERROR(__xludf.DUMMYFUNCTION("""COMPUTED_VALUE"""),279.2)</f>
        <v>279.2</v>
      </c>
    </row>
    <row r="1433">
      <c r="A1433" s="16" t="str">
        <f>IFERROR(__xludf.DUMMYFUNCTION("""COMPUTED_VALUE"""),"Тестени изделия")</f>
        <v>Тестени изделия</v>
      </c>
      <c r="B1433" s="7" t="str">
        <f>IFERROR(__xludf.DUMMYFUNCTION("""COMPUTED_VALUE"""),"Пълнозърнеста тортила")</f>
        <v>Пълнозърнеста тортила</v>
      </c>
      <c r="C1433" s="7">
        <f>IFERROR(__xludf.DUMMYFUNCTION("""COMPUTED_VALUE"""),100.0)</f>
        <v>100</v>
      </c>
      <c r="D1433" s="7">
        <f>IFERROR(__xludf.DUMMYFUNCTION("""COMPUTED_VALUE"""),9.5)</f>
        <v>9.5</v>
      </c>
      <c r="E1433" s="16">
        <f>IFERROR(__xludf.DUMMYFUNCTION("""COMPUTED_VALUE"""),40.0)</f>
        <v>40</v>
      </c>
      <c r="F1433" s="16">
        <f>IFERROR(__xludf.DUMMYFUNCTION("""COMPUTED_VALUE"""),7.2)</f>
        <v>7.2</v>
      </c>
      <c r="G1433" s="16">
        <f>IFERROR(__xludf.DUMMYFUNCTION("""COMPUTED_VALUE"""),11.0)</f>
        <v>11</v>
      </c>
      <c r="H1433" s="23">
        <f>IFERROR(__xludf.DUMMYFUNCTION("""COMPUTED_VALUE"""),262.8)</f>
        <v>262.8</v>
      </c>
    </row>
    <row r="1434">
      <c r="A1434" s="16" t="str">
        <f>IFERROR(__xludf.DUMMYFUNCTION("""COMPUTED_VALUE"""),"Тестени изделия")</f>
        <v>Тестени изделия</v>
      </c>
      <c r="B1434" s="7" t="str">
        <f>IFERROR(__xludf.DUMMYFUNCTION("""COMPUTED_VALUE"""),"Хляб със семена (Кауфланд, Лидл, ФФ)")</f>
        <v>Хляб със семена (Кауфланд, Лидл, ФФ)</v>
      </c>
      <c r="C1434" s="7">
        <f>IFERROR(__xludf.DUMMYFUNCTION("""COMPUTED_VALUE"""),100.0)</f>
        <v>100</v>
      </c>
      <c r="D1434" s="7">
        <f>IFERROR(__xludf.DUMMYFUNCTION("""COMPUTED_VALUE"""),9.0)</f>
        <v>9</v>
      </c>
      <c r="E1434" s="16">
        <f>IFERROR(__xludf.DUMMYFUNCTION("""COMPUTED_VALUE"""),52.0)</f>
        <v>52</v>
      </c>
      <c r="F1434" s="16">
        <f>IFERROR(__xludf.DUMMYFUNCTION("""COMPUTED_VALUE"""),4.5)</f>
        <v>4.5</v>
      </c>
      <c r="G1434" s="16">
        <f>IFERROR(__xludf.DUMMYFUNCTION("""COMPUTED_VALUE"""),7.0)</f>
        <v>7</v>
      </c>
      <c r="H1434" s="23">
        <f>IFERROR(__xludf.DUMMYFUNCTION("""COMPUTED_VALUE"""),284.5)</f>
        <v>284.5</v>
      </c>
    </row>
    <row r="1435">
      <c r="A1435" s="16" t="str">
        <f>IFERROR(__xludf.DUMMYFUNCTION("""COMPUTED_VALUE"""),"Тестени изделия")</f>
        <v>Тестени изделия</v>
      </c>
      <c r="B1435" s="7" t="str">
        <f>IFERROR(__xludf.DUMMYFUNCTION("""COMPUTED_VALUE"""),"Спагети (Варени)")</f>
        <v>Спагети (Варени)</v>
      </c>
      <c r="C1435" s="7">
        <f>IFERROR(__xludf.DUMMYFUNCTION("""COMPUTED_VALUE"""),100.0)</f>
        <v>100</v>
      </c>
      <c r="D1435" s="7">
        <f>IFERROR(__xludf.DUMMYFUNCTION("""COMPUTED_VALUE"""),5.8)</f>
        <v>5.8</v>
      </c>
      <c r="E1435" s="16">
        <f>IFERROR(__xludf.DUMMYFUNCTION("""COMPUTED_VALUE"""),30.59)</f>
        <v>30.59</v>
      </c>
      <c r="F1435" s="16">
        <f>IFERROR(__xludf.DUMMYFUNCTION("""COMPUTED_VALUE"""),0.93)</f>
        <v>0.93</v>
      </c>
      <c r="G1435" s="16">
        <f>IFERROR(__xludf.DUMMYFUNCTION("""COMPUTED_VALUE"""),1.8)</f>
        <v>1.8</v>
      </c>
      <c r="H1435" s="23">
        <f>IFERROR(__xludf.DUMMYFUNCTION("""COMPUTED_VALUE"""),153.93)</f>
        <v>153.93</v>
      </c>
    </row>
    <row r="1436">
      <c r="A1436" s="16" t="str">
        <f>IFERROR(__xludf.DUMMYFUNCTION("""COMPUTED_VALUE"""),"Тестени изделия")</f>
        <v>Тестени изделия</v>
      </c>
      <c r="B1436" s="7" t="str">
        <f>IFERROR(__xludf.DUMMYFUNCTION("""COMPUTED_VALUE"""),"Хляб Добруджа")</f>
        <v>Хляб Добруджа</v>
      </c>
      <c r="C1436" s="12">
        <f>IFERROR(__xludf.DUMMYFUNCTION("""COMPUTED_VALUE"""),100.0)</f>
        <v>100</v>
      </c>
      <c r="D1436" s="7">
        <f>IFERROR(__xludf.DUMMYFUNCTION("""COMPUTED_VALUE"""),7.5)</f>
        <v>7.5</v>
      </c>
      <c r="E1436" s="16">
        <f>IFERROR(__xludf.DUMMYFUNCTION("""COMPUTED_VALUE"""),55.0)</f>
        <v>55</v>
      </c>
      <c r="F1436" s="16">
        <f>IFERROR(__xludf.DUMMYFUNCTION("""COMPUTED_VALUE"""),1.0)</f>
        <v>1</v>
      </c>
      <c r="G1436" s="16">
        <f>IFERROR(__xludf.DUMMYFUNCTION("""COMPUTED_VALUE"""),2.5)</f>
        <v>2.5</v>
      </c>
      <c r="H1436" s="16">
        <f>IFERROR(__xludf.DUMMYFUNCTION("""COMPUTED_VALUE"""),259.0)</f>
        <v>259</v>
      </c>
    </row>
    <row r="1437">
      <c r="A1437" s="16" t="str">
        <f>IFERROR(__xludf.DUMMYFUNCTION("""COMPUTED_VALUE"""),"Тестени изделия")</f>
        <v>Тестени изделия</v>
      </c>
      <c r="B1437" s="7" t="str">
        <f>IFERROR(__xludf.DUMMYFUNCTION("""COMPUTED_VALUE"""),"Хляб ръжен - König Ludwig")</f>
        <v>Хляб ръжен - König Ludwig</v>
      </c>
      <c r="C1437" s="12">
        <f>IFERROR(__xludf.DUMMYFUNCTION("""COMPUTED_VALUE"""),100.0)</f>
        <v>100</v>
      </c>
      <c r="D1437" s="7">
        <f>IFERROR(__xludf.DUMMYFUNCTION("""COMPUTED_VALUE"""),9.4)</f>
        <v>9.4</v>
      </c>
      <c r="E1437" s="16">
        <f>IFERROR(__xludf.DUMMYFUNCTION("""COMPUTED_VALUE"""),44.0)</f>
        <v>44</v>
      </c>
      <c r="F1437" s="16">
        <f>IFERROR(__xludf.DUMMYFUNCTION("""COMPUTED_VALUE"""),1.4)</f>
        <v>1.4</v>
      </c>
      <c r="G1437" s="16">
        <f>IFERROR(__xludf.DUMMYFUNCTION("""COMPUTED_VALUE"""),6.7)</f>
        <v>6.7</v>
      </c>
      <c r="H1437" s="16">
        <f>IFERROR(__xludf.DUMMYFUNCTION("""COMPUTED_VALUE"""),226.2)</f>
        <v>226.2</v>
      </c>
    </row>
    <row r="1438">
      <c r="A1438" s="16" t="str">
        <f>IFERROR(__xludf.DUMMYFUNCTION("""COMPUTED_VALUE"""),"Тестени изделия")</f>
        <v>Тестени изделия</v>
      </c>
      <c r="B1438" s="7" t="str">
        <f>IFERROR(__xludf.DUMMYFUNCTION("""COMPUTED_VALUE"""),"Ръжен хляб ""König Ludwig""")</f>
        <v>Ръжен хляб "König Ludwig"</v>
      </c>
      <c r="C1438" s="12">
        <f>IFERROR(__xludf.DUMMYFUNCTION("""COMPUTED_VALUE"""),100.0)</f>
        <v>100</v>
      </c>
      <c r="D1438" s="7">
        <f>IFERROR(__xludf.DUMMYFUNCTION("""COMPUTED_VALUE"""),9.4)</f>
        <v>9.4</v>
      </c>
      <c r="E1438" s="16">
        <f>IFERROR(__xludf.DUMMYFUNCTION("""COMPUTED_VALUE"""),44.0)</f>
        <v>44</v>
      </c>
      <c r="F1438" s="16">
        <f>IFERROR(__xludf.DUMMYFUNCTION("""COMPUTED_VALUE"""),1.4)</f>
        <v>1.4</v>
      </c>
      <c r="G1438" s="16">
        <f>IFERROR(__xludf.DUMMYFUNCTION("""COMPUTED_VALUE"""),6.7)</f>
        <v>6.7</v>
      </c>
      <c r="H1438" s="16">
        <f>IFERROR(__xludf.DUMMYFUNCTION("""COMPUTED_VALUE"""),226.2)</f>
        <v>226.2</v>
      </c>
    </row>
    <row r="1439">
      <c r="A1439" s="16" t="str">
        <f>IFERROR(__xludf.DUMMYFUNCTION("""COMPUTED_VALUE"""),"Тестени изделия")</f>
        <v>Тестени изделия</v>
      </c>
      <c r="B1439" s="7" t="str">
        <f>IFERROR(__xludf.DUMMYFUNCTION("""COMPUTED_VALUE"""),"Пшенични сухари Elite Classic")</f>
        <v>Пшенични сухари Elite Classic</v>
      </c>
      <c r="C1439" s="12">
        <f>IFERROR(__xludf.DUMMYFUNCTION("""COMPUTED_VALUE"""),100.0)</f>
        <v>100</v>
      </c>
      <c r="D1439" s="7">
        <f>IFERROR(__xludf.DUMMYFUNCTION("""COMPUTED_VALUE"""),11.0)</f>
        <v>11</v>
      </c>
      <c r="E1439" s="16">
        <f>IFERROR(__xludf.DUMMYFUNCTION("""COMPUTED_VALUE"""),71.0)</f>
        <v>71</v>
      </c>
      <c r="F1439" s="16">
        <f>IFERROR(__xludf.DUMMYFUNCTION("""COMPUTED_VALUE"""),7.8)</f>
        <v>7.8</v>
      </c>
      <c r="G1439" s="16">
        <f>IFERROR(__xludf.DUMMYFUNCTION("""COMPUTED_VALUE"""),4.7)</f>
        <v>4.7</v>
      </c>
      <c r="H1439" s="16">
        <f>IFERROR(__xludf.DUMMYFUNCTION("""COMPUTED_VALUE"""),398.2)</f>
        <v>398.2</v>
      </c>
    </row>
    <row r="1440">
      <c r="A1440" s="16" t="str">
        <f>IFERROR(__xludf.DUMMYFUNCTION("""COMPUTED_VALUE"""),"Тестени изделия")</f>
        <v>Тестени изделия</v>
      </c>
      <c r="B1440" s="7" t="str">
        <f>IFERROR(__xludf.DUMMYFUNCTION("""COMPUTED_VALUE"""),"BIO Toasties LIDL")</f>
        <v>BIO Toasties LIDL</v>
      </c>
      <c r="C1440" s="12">
        <f>IFERROR(__xludf.DUMMYFUNCTION("""COMPUTED_VALUE"""),100.0)</f>
        <v>100</v>
      </c>
      <c r="D1440" s="7">
        <f>IFERROR(__xludf.DUMMYFUNCTION("""COMPUTED_VALUE"""),6.6)</f>
        <v>6.6</v>
      </c>
      <c r="E1440" s="16">
        <f>IFERROR(__xludf.DUMMYFUNCTION("""COMPUTED_VALUE"""),47.2)</f>
        <v>47.2</v>
      </c>
      <c r="F1440" s="16">
        <f>IFERROR(__xludf.DUMMYFUNCTION("""COMPUTED_VALUE"""),1.1)</f>
        <v>1.1</v>
      </c>
      <c r="G1440" s="16">
        <f>IFERROR(__xludf.DUMMYFUNCTION("""COMPUTED_VALUE"""),7.4)</f>
        <v>7.4</v>
      </c>
      <c r="H1440" s="16">
        <f>IFERROR(__xludf.DUMMYFUNCTION("""COMPUTED_VALUE"""),225.10000000000002)</f>
        <v>225.1</v>
      </c>
    </row>
    <row r="1441">
      <c r="A1441" s="16" t="str">
        <f>IFERROR(__xludf.DUMMYFUNCTION("""COMPUTED_VALUE"""),"Тестени изделия")</f>
        <v>Тестени изделия</v>
      </c>
      <c r="B1441" s="7" t="str">
        <f>IFERROR(__xludf.DUMMYFUNCTION("""COMPUTED_VALUE"""),"Тортила LIDL пълнозърнеста")</f>
        <v>Тортила LIDL пълнозърнеста</v>
      </c>
      <c r="C1441" s="12">
        <f>IFERROR(__xludf.DUMMYFUNCTION("""COMPUTED_VALUE"""),100.0)</f>
        <v>100</v>
      </c>
      <c r="D1441" s="7">
        <f>IFERROR(__xludf.DUMMYFUNCTION("""COMPUTED_VALUE"""),9.3)</f>
        <v>9.3</v>
      </c>
      <c r="E1441" s="16">
        <f>IFERROR(__xludf.DUMMYFUNCTION("""COMPUTED_VALUE"""),46.3)</f>
        <v>46.3</v>
      </c>
      <c r="F1441" s="16">
        <f>IFERROR(__xludf.DUMMYFUNCTION("""COMPUTED_VALUE"""),6.0)</f>
        <v>6</v>
      </c>
      <c r="G1441" s="16">
        <f>IFERROR(__xludf.DUMMYFUNCTION("""COMPUTED_VALUE"""),6.4)</f>
        <v>6.4</v>
      </c>
      <c r="H1441" s="16">
        <f>IFERROR(__xludf.DUMMYFUNCTION("""COMPUTED_VALUE"""),276.4)</f>
        <v>276.4</v>
      </c>
    </row>
    <row r="1442">
      <c r="A1442" s="16" t="str">
        <f>IFERROR(__xludf.DUMMYFUNCTION("""COMPUTED_VALUE"""),"Тестени изделия")</f>
        <v>Тестени изделия</v>
      </c>
      <c r="B1442" s="7" t="str">
        <f>IFERROR(__xludf.DUMMYFUNCTION("""COMPUTED_VALUE"""),"Хрупкав хляб от лимец LIDL")</f>
        <v>Хрупкав хляб от лимец LIDL</v>
      </c>
      <c r="C1442" s="12">
        <f>IFERROR(__xludf.DUMMYFUNCTION("""COMPUTED_VALUE"""),100.0)</f>
        <v>100</v>
      </c>
      <c r="D1442" s="7">
        <f>IFERROR(__xludf.DUMMYFUNCTION("""COMPUTED_VALUE"""),10.4)</f>
        <v>10.4</v>
      </c>
      <c r="E1442" s="16">
        <f>IFERROR(__xludf.DUMMYFUNCTION("""COMPUTED_VALUE"""),42.2)</f>
        <v>42.2</v>
      </c>
      <c r="F1442" s="16">
        <f>IFERROR(__xludf.DUMMYFUNCTION("""COMPUTED_VALUE"""),4.6)</f>
        <v>4.6</v>
      </c>
      <c r="G1442" s="16">
        <f>IFERROR(__xludf.DUMMYFUNCTION("""COMPUTED_VALUE"""),5.8)</f>
        <v>5.8</v>
      </c>
      <c r="H1442" s="16">
        <f>IFERROR(__xludf.DUMMYFUNCTION("""COMPUTED_VALUE"""),251.8)</f>
        <v>251.8</v>
      </c>
    </row>
    <row r="1443">
      <c r="A1443" s="16" t="str">
        <f>IFERROR(__xludf.DUMMYFUNCTION("""COMPUTED_VALUE"""),"Тестени изделия")</f>
        <v>Тестени изделия</v>
      </c>
      <c r="B1443" s="7" t="str">
        <f>IFERROR(__xludf.DUMMYFUNCTION("""COMPUTED_VALUE"""),"Хрупкав хляб Südtiroler")</f>
        <v>Хрупкав хляб Südtiroler</v>
      </c>
      <c r="C1443" s="12">
        <f>IFERROR(__xludf.DUMMYFUNCTION("""COMPUTED_VALUE"""),100.0)</f>
        <v>100</v>
      </c>
      <c r="D1443" s="7">
        <f>IFERROR(__xludf.DUMMYFUNCTION("""COMPUTED_VALUE"""),8.0)</f>
        <v>8</v>
      </c>
      <c r="E1443" s="16">
        <f>IFERROR(__xludf.DUMMYFUNCTION("""COMPUTED_VALUE"""),71.8)</f>
        <v>71.8</v>
      </c>
      <c r="F1443" s="16">
        <f>IFERROR(__xludf.DUMMYFUNCTION("""COMPUTED_VALUE"""),1.4)</f>
        <v>1.4</v>
      </c>
      <c r="G1443" s="16">
        <f>IFERROR(__xludf.DUMMYFUNCTION("""COMPUTED_VALUE"""),6.4)</f>
        <v>6.4</v>
      </c>
      <c r="H1443" s="16">
        <f>IFERROR(__xludf.DUMMYFUNCTION("""COMPUTED_VALUE"""),331.8)</f>
        <v>331.8</v>
      </c>
    </row>
    <row r="1444">
      <c r="A1444" s="16" t="str">
        <f>IFERROR(__xludf.DUMMYFUNCTION("""COMPUTED_VALUE"""),"Тестени изделия")</f>
        <v>Тестени изделия</v>
      </c>
      <c r="B1444" s="7" t="str">
        <f>IFERROR(__xludf.DUMMYFUNCTION("""COMPUTED_VALUE"""),"Селска франзела LIDL")</f>
        <v>Селска франзела LIDL</v>
      </c>
      <c r="C1444" s="12">
        <f>IFERROR(__xludf.DUMMYFUNCTION("""COMPUTED_VALUE"""),100.0)</f>
        <v>100</v>
      </c>
      <c r="D1444" s="7">
        <f>IFERROR(__xludf.DUMMYFUNCTION("""COMPUTED_VALUE"""),10.0)</f>
        <v>10</v>
      </c>
      <c r="E1444" s="16">
        <f>IFERROR(__xludf.DUMMYFUNCTION("""COMPUTED_VALUE"""),45.0)</f>
        <v>45</v>
      </c>
      <c r="F1444" s="16">
        <f>IFERROR(__xludf.DUMMYFUNCTION("""COMPUTED_VALUE"""),1.1)</f>
        <v>1.1</v>
      </c>
      <c r="G1444" s="16">
        <f>IFERROR(__xludf.DUMMYFUNCTION("""COMPUTED_VALUE"""),0.0)</f>
        <v>0</v>
      </c>
      <c r="H1444" s="16">
        <f>IFERROR(__xludf.DUMMYFUNCTION("""COMPUTED_VALUE"""),229.9)</f>
        <v>229.9</v>
      </c>
    </row>
    <row r="1445">
      <c r="A1445" s="16" t="str">
        <f>IFERROR(__xludf.DUMMYFUNCTION("""COMPUTED_VALUE"""),"Тестени изделия")</f>
        <v>Тестени изделия</v>
      </c>
      <c r="B1445" s="7" t="str">
        <f>IFERROR(__xludf.DUMMYFUNCTION("""COMPUTED_VALUE"""),"Хляб за сандвич от лимец Лидл")</f>
        <v>Хляб за сандвич от лимец Лидл</v>
      </c>
      <c r="C1445" s="12">
        <f>IFERROR(__xludf.DUMMYFUNCTION("""COMPUTED_VALUE"""),100.0)</f>
        <v>100</v>
      </c>
      <c r="D1445" s="7">
        <f>IFERROR(__xludf.DUMMYFUNCTION("""COMPUTED_VALUE"""),10.2)</f>
        <v>10.2</v>
      </c>
      <c r="E1445" s="16">
        <f>IFERROR(__xludf.DUMMYFUNCTION("""COMPUTED_VALUE"""),42.0)</f>
        <v>42</v>
      </c>
      <c r="F1445" s="16">
        <f>IFERROR(__xludf.DUMMYFUNCTION("""COMPUTED_VALUE"""),3.0)</f>
        <v>3</v>
      </c>
      <c r="G1445" s="16">
        <f>IFERROR(__xludf.DUMMYFUNCTION("""COMPUTED_VALUE"""),5.1)</f>
        <v>5.1</v>
      </c>
      <c r="H1445" s="16">
        <f>IFERROR(__xludf.DUMMYFUNCTION("""COMPUTED_VALUE"""),235.8)</f>
        <v>235.8</v>
      </c>
    </row>
    <row r="1446">
      <c r="A1446" s="16" t="str">
        <f>IFERROR(__xludf.DUMMYFUNCTION("""COMPUTED_VALUE"""),"Тестени изделия")</f>
        <v>Тестени изделия</v>
      </c>
      <c r="B1446" s="7" t="str">
        <f>IFERROR(__xludf.DUMMYFUNCTION("""COMPUTED_VALUE"""),"Галета")</f>
        <v>Галета</v>
      </c>
      <c r="C1446" s="12">
        <f>IFERROR(__xludf.DUMMYFUNCTION("""COMPUTED_VALUE"""),100.0)</f>
        <v>100</v>
      </c>
      <c r="D1446" s="7">
        <f>IFERROR(__xludf.DUMMYFUNCTION("""COMPUTED_VALUE"""),13.0)</f>
        <v>13</v>
      </c>
      <c r="E1446" s="16">
        <f>IFERROR(__xludf.DUMMYFUNCTION("""COMPUTED_VALUE"""),70.0)</f>
        <v>70</v>
      </c>
      <c r="F1446" s="16">
        <f>IFERROR(__xludf.DUMMYFUNCTION("""COMPUTED_VALUE"""),1.6)</f>
        <v>1.6</v>
      </c>
      <c r="G1446" s="16">
        <f>IFERROR(__xludf.DUMMYFUNCTION("""COMPUTED_VALUE"""),0.0)</f>
        <v>0</v>
      </c>
      <c r="H1446" s="16">
        <f>IFERROR(__xludf.DUMMYFUNCTION("""COMPUTED_VALUE"""),346.4)</f>
        <v>346.4</v>
      </c>
    </row>
    <row r="1447">
      <c r="A1447" s="16" t="str">
        <f>IFERROR(__xludf.DUMMYFUNCTION("""COMPUTED_VALUE"""),"Тестени изделия")</f>
        <v>Тестени изделия</v>
      </c>
      <c r="B1447" s="7" t="str">
        <f>IFERROR(__xludf.DUMMYFUNCTION("""COMPUTED_VALUE"""),"Хляб от елда с орехи")</f>
        <v>Хляб от елда с орехи</v>
      </c>
      <c r="C1447" s="12">
        <f>IFERROR(__xludf.DUMMYFUNCTION("""COMPUTED_VALUE"""),100.0)</f>
        <v>100</v>
      </c>
      <c r="D1447" s="7">
        <f>IFERROR(__xludf.DUMMYFUNCTION("""COMPUTED_VALUE"""),9.6)</f>
        <v>9.6</v>
      </c>
      <c r="E1447" s="16">
        <f>IFERROR(__xludf.DUMMYFUNCTION("""COMPUTED_VALUE"""),31.0)</f>
        <v>31</v>
      </c>
      <c r="F1447" s="16">
        <f>IFERROR(__xludf.DUMMYFUNCTION("""COMPUTED_VALUE"""),12.0)</f>
        <v>12</v>
      </c>
      <c r="G1447" s="16">
        <f>IFERROR(__xludf.DUMMYFUNCTION("""COMPUTED_VALUE"""),9.1)</f>
        <v>9.1</v>
      </c>
      <c r="H1447" s="16">
        <f>IFERROR(__xludf.DUMMYFUNCTION("""COMPUTED_VALUE"""),270.4)</f>
        <v>270.4</v>
      </c>
    </row>
    <row r="1448">
      <c r="A1448" s="16" t="str">
        <f>IFERROR(__xludf.DUMMYFUNCTION("""COMPUTED_VALUE"""),"Тестени изделия")</f>
        <v>Тестени изделия</v>
      </c>
      <c r="B1448" s="7" t="str">
        <f>IFERROR(__xludf.DUMMYFUNCTION("""COMPUTED_VALUE"""),"Tastino - Хрупкав ръжен хляб - Lidl")</f>
        <v>Tastino - Хрупкав ръжен хляб - Lidl</v>
      </c>
      <c r="C1448" s="12">
        <f>IFERROR(__xludf.DUMMYFUNCTION("""COMPUTED_VALUE"""),100.0)</f>
        <v>100</v>
      </c>
      <c r="D1448" s="7">
        <f>IFERROR(__xludf.DUMMYFUNCTION("""COMPUTED_VALUE"""),10.8)</f>
        <v>10.8</v>
      </c>
      <c r="E1448" s="16">
        <f>IFERROR(__xludf.DUMMYFUNCTION("""COMPUTED_VALUE"""),64.8)</f>
        <v>64.8</v>
      </c>
      <c r="F1448" s="16">
        <f>IFERROR(__xludf.DUMMYFUNCTION("""COMPUTED_VALUE"""),1.8)</f>
        <v>1.8</v>
      </c>
      <c r="G1448" s="16">
        <f>IFERROR(__xludf.DUMMYFUNCTION("""COMPUTED_VALUE"""),16.9)</f>
        <v>16.9</v>
      </c>
      <c r="H1448" s="16">
        <f>IFERROR(__xludf.DUMMYFUNCTION("""COMPUTED_VALUE"""),318.59999999999997)</f>
        <v>318.6</v>
      </c>
    </row>
    <row r="1449">
      <c r="A1449" s="16" t="str">
        <f>IFERROR(__xludf.DUMMYFUNCTION("""COMPUTED_VALUE"""),"Тестени изделия")</f>
        <v>Тестени изделия</v>
      </c>
      <c r="B1449" s="7" t="str">
        <f>IFERROR(__xludf.DUMMYFUNCTION("""COMPUTED_VALUE"""),"Солети Хрус Хрус")</f>
        <v>Солети Хрус Хрус</v>
      </c>
      <c r="C1449" s="12">
        <f>IFERROR(__xludf.DUMMYFUNCTION("""COMPUTED_VALUE"""),100.0)</f>
        <v>100</v>
      </c>
      <c r="D1449" s="7">
        <f>IFERROR(__xludf.DUMMYFUNCTION("""COMPUTED_VALUE"""),9.1)</f>
        <v>9.1</v>
      </c>
      <c r="E1449" s="16">
        <f>IFERROR(__xludf.DUMMYFUNCTION("""COMPUTED_VALUE"""),78.3)</f>
        <v>78.3</v>
      </c>
      <c r="F1449" s="16">
        <f>IFERROR(__xludf.DUMMYFUNCTION("""COMPUTED_VALUE"""),4.7)</f>
        <v>4.7</v>
      </c>
      <c r="G1449" s="16">
        <f>IFERROR(__xludf.DUMMYFUNCTION("""COMPUTED_VALUE"""),0.0)</f>
        <v>0</v>
      </c>
      <c r="H1449" s="16">
        <f>IFERROR(__xludf.DUMMYFUNCTION("""COMPUTED_VALUE"""),391.9)</f>
        <v>391.9</v>
      </c>
    </row>
    <row r="1450">
      <c r="A1450" s="16" t="str">
        <f>IFERROR(__xludf.DUMMYFUNCTION("""COMPUTED_VALUE"""),"Тестени изделия")</f>
        <v>Тестени изделия</v>
      </c>
      <c r="B1450" s="7" t="str">
        <f>IFERROR(__xludf.DUMMYFUNCTION("""COMPUTED_VALUE"""),"Тортила Лидл (листа)")</f>
        <v>Тортила Лидл (листа)</v>
      </c>
      <c r="C1450" s="12">
        <f>IFERROR(__xludf.DUMMYFUNCTION("""COMPUTED_VALUE"""),100.0)</f>
        <v>100</v>
      </c>
      <c r="D1450" s="7">
        <f>IFERROR(__xludf.DUMMYFUNCTION("""COMPUTED_VALUE"""),9.3)</f>
        <v>9.3</v>
      </c>
      <c r="E1450" s="16">
        <f>IFERROR(__xludf.DUMMYFUNCTION("""COMPUTED_VALUE"""),52.4)</f>
        <v>52.4</v>
      </c>
      <c r="F1450" s="16">
        <f>IFERROR(__xludf.DUMMYFUNCTION("""COMPUTED_VALUE"""),10.0)</f>
        <v>10</v>
      </c>
      <c r="G1450" s="16">
        <f>IFERROR(__xludf.DUMMYFUNCTION("""COMPUTED_VALUE"""),0.0)</f>
        <v>0</v>
      </c>
      <c r="H1450" s="16">
        <f>IFERROR(__xludf.DUMMYFUNCTION("""COMPUTED_VALUE"""),336.8)</f>
        <v>336.8</v>
      </c>
    </row>
    <row r="1451">
      <c r="A1451" s="16" t="str">
        <f>IFERROR(__xludf.DUMMYFUNCTION("""COMPUTED_VALUE"""),"Тестени изделия")</f>
        <v>Тестени изделия</v>
      </c>
      <c r="B1451" s="7" t="str">
        <f>IFERROR(__xludf.DUMMYFUNCTION("""COMPUTED_VALUE"""),"БИО хляб (пълнозърнест) Лидл")</f>
        <v>БИО хляб (пълнозърнест) Лидл</v>
      </c>
      <c r="C1451" s="12">
        <f>IFERROR(__xludf.DUMMYFUNCTION("""COMPUTED_VALUE"""),100.0)</f>
        <v>100</v>
      </c>
      <c r="D1451" s="7">
        <f>IFERROR(__xludf.DUMMYFUNCTION("""COMPUTED_VALUE"""),4.2)</f>
        <v>4.2</v>
      </c>
      <c r="E1451" s="16">
        <f>IFERROR(__xludf.DUMMYFUNCTION("""COMPUTED_VALUE"""),34.6)</f>
        <v>34.6</v>
      </c>
      <c r="F1451" s="16">
        <f>IFERROR(__xludf.DUMMYFUNCTION("""COMPUTED_VALUE"""),1.2)</f>
        <v>1.2</v>
      </c>
      <c r="G1451" s="16">
        <f>IFERROR(__xludf.DUMMYFUNCTION("""COMPUTED_VALUE"""),0.0)</f>
        <v>0</v>
      </c>
      <c r="H1451" s="16">
        <f>IFERROR(__xludf.DUMMYFUNCTION("""COMPUTED_VALUE"""),166.00000000000003)</f>
        <v>166</v>
      </c>
    </row>
    <row r="1452">
      <c r="A1452" s="16" t="str">
        <f>IFERROR(__xludf.DUMMYFUNCTION("""COMPUTED_VALUE"""),"Тестени изделия")</f>
        <v>Тестени изделия</v>
      </c>
      <c r="B1452" s="7" t="str">
        <f>IFERROR(__xludf.DUMMYFUNCTION("""COMPUTED_VALUE"""),"Пшеничен хляб с царевичен премикс")</f>
        <v>Пшеничен хляб с царевичен премикс</v>
      </c>
      <c r="C1452" s="12">
        <f>IFERROR(__xludf.DUMMYFUNCTION("""COMPUTED_VALUE"""),100.0)</f>
        <v>100</v>
      </c>
      <c r="D1452" s="7">
        <f>IFERROR(__xludf.DUMMYFUNCTION("""COMPUTED_VALUE"""),10.5)</f>
        <v>10.5</v>
      </c>
      <c r="E1452" s="16">
        <f>IFERROR(__xludf.DUMMYFUNCTION("""COMPUTED_VALUE"""),48.6)</f>
        <v>48.6</v>
      </c>
      <c r="F1452" s="16">
        <f>IFERROR(__xludf.DUMMYFUNCTION("""COMPUTED_VALUE"""),3.6)</f>
        <v>3.6</v>
      </c>
      <c r="G1452" s="16">
        <f>IFERROR(__xludf.DUMMYFUNCTION("""COMPUTED_VALUE"""),0.0)</f>
        <v>0</v>
      </c>
      <c r="H1452" s="16">
        <f>IFERROR(__xludf.DUMMYFUNCTION("""COMPUTED_VALUE"""),268.8)</f>
        <v>268.8</v>
      </c>
    </row>
    <row r="1453">
      <c r="A1453" s="16" t="str">
        <f>IFERROR(__xludf.DUMMYFUNCTION("""COMPUTED_VALUE"""),"Туршии")</f>
        <v>Туршии</v>
      </c>
      <c r="B1453" s="7" t="str">
        <f>IFERROR(__xludf.DUMMYFUNCTION("""COMPUTED_VALUE"""),"Кисели краставички - люти (Кауфланд)")</f>
        <v>Кисели краставички - люти (Кауфланд)</v>
      </c>
      <c r="C1453" s="7">
        <f>IFERROR(__xludf.DUMMYFUNCTION("""COMPUTED_VALUE"""),100.0)</f>
        <v>100</v>
      </c>
      <c r="D1453" s="7">
        <f>IFERROR(__xludf.DUMMYFUNCTION("""COMPUTED_VALUE"""),1.9)</f>
        <v>1.9</v>
      </c>
      <c r="E1453" s="16">
        <f>IFERROR(__xludf.DUMMYFUNCTION("""COMPUTED_VALUE"""),9.5)</f>
        <v>9.5</v>
      </c>
      <c r="F1453" s="16">
        <f>IFERROR(__xludf.DUMMYFUNCTION("""COMPUTED_VALUE"""),0.0)</f>
        <v>0</v>
      </c>
      <c r="G1453" s="16">
        <f>IFERROR(__xludf.DUMMYFUNCTION("""COMPUTED_VALUE"""),0.0)</f>
        <v>0</v>
      </c>
      <c r="H1453" s="16">
        <f>IFERROR(__xludf.DUMMYFUNCTION("""COMPUTED_VALUE"""),45.6)</f>
        <v>45.6</v>
      </c>
    </row>
    <row r="1454">
      <c r="A1454" s="16" t="str">
        <f>IFERROR(__xludf.DUMMYFUNCTION("""COMPUTED_VALUE"""),"Туршии")</f>
        <v>Туршии</v>
      </c>
      <c r="B1454" s="7" t="str">
        <f>IFERROR(__xludf.DUMMYFUNCTION("""COMPUTED_VALUE"""),"Кисели краставички с мед (Фрешона)")</f>
        <v>Кисели краставички с мед (Фрешона)</v>
      </c>
      <c r="C1454" s="12">
        <f>IFERROR(__xludf.DUMMYFUNCTION("""COMPUTED_VALUE"""),100.0)</f>
        <v>100</v>
      </c>
      <c r="D1454" s="7">
        <f>IFERROR(__xludf.DUMMYFUNCTION("""COMPUTED_VALUE"""),1.4)</f>
        <v>1.4</v>
      </c>
      <c r="E1454" s="16">
        <f>IFERROR(__xludf.DUMMYFUNCTION("""COMPUTED_VALUE"""),11.2)</f>
        <v>11.2</v>
      </c>
      <c r="F1454" s="16">
        <f>IFERROR(__xludf.DUMMYFUNCTION("""COMPUTED_VALUE"""),0.2)</f>
        <v>0.2</v>
      </c>
      <c r="G1454" s="16">
        <f>IFERROR(__xludf.DUMMYFUNCTION("""COMPUTED_VALUE"""),0.0)</f>
        <v>0</v>
      </c>
      <c r="H1454" s="16">
        <f>IFERROR(__xludf.DUMMYFUNCTION("""COMPUTED_VALUE"""),52.199999999999996)</f>
        <v>52.2</v>
      </c>
    </row>
    <row r="1455">
      <c r="A1455" s="16" t="str">
        <f>IFERROR(__xludf.DUMMYFUNCTION("""COMPUTED_VALUE"""),"Туршии")</f>
        <v>Туршии</v>
      </c>
      <c r="B1455" s="7" t="str">
        <f>IFERROR(__xludf.DUMMYFUNCTION("""COMPUTED_VALUE"""),"Туршия - зеле,моркови,чушки,зелени домати")</f>
        <v>Туршия - зеле,моркови,чушки,зелени домати</v>
      </c>
      <c r="C1455" s="7">
        <f>IFERROR(__xludf.DUMMYFUNCTION("""COMPUTED_VALUE"""),100.0)</f>
        <v>100</v>
      </c>
      <c r="D1455" s="7">
        <f>IFERROR(__xludf.DUMMYFUNCTION("""COMPUTED_VALUE"""),0.8)</f>
        <v>0.8</v>
      </c>
      <c r="E1455" s="16">
        <f>IFERROR(__xludf.DUMMYFUNCTION("""COMPUTED_VALUE"""),11.6)</f>
        <v>11.6</v>
      </c>
      <c r="F1455" s="16">
        <f>IFERROR(__xludf.DUMMYFUNCTION("""COMPUTED_VALUE"""),2.0)</f>
        <v>2</v>
      </c>
      <c r="G1455" s="16">
        <f>IFERROR(__xludf.DUMMYFUNCTION("""COMPUTED_VALUE"""),1.68)</f>
        <v>1.68</v>
      </c>
      <c r="H1455" s="23">
        <f>IFERROR(__xludf.DUMMYFUNCTION("""COMPUTED_VALUE"""),67.6)</f>
        <v>67.6</v>
      </c>
    </row>
    <row r="1456">
      <c r="A1456" s="16" t="str">
        <f>IFERROR(__xludf.DUMMYFUNCTION("""COMPUTED_VALUE"""),"Храни и ястия от ресторанти/закусвални")</f>
        <v>Храни и ястия от ресторанти/закусвални</v>
      </c>
      <c r="B1456" s="7" t="str">
        <f>IFERROR(__xludf.DUMMYFUNCTION("""COMPUTED_VALUE"""),"Крем супа- картофена")</f>
        <v>Крем супа- картофена</v>
      </c>
      <c r="C1456" s="7">
        <f>IFERROR(__xludf.DUMMYFUNCTION("""COMPUTED_VALUE"""),100.0)</f>
        <v>100</v>
      </c>
      <c r="D1456" s="7">
        <f>IFERROR(__xludf.DUMMYFUNCTION("""COMPUTED_VALUE"""),1.0)</f>
        <v>1</v>
      </c>
      <c r="E1456" s="16">
        <f>IFERROR(__xludf.DUMMYFUNCTION("""COMPUTED_VALUE"""),7.0)</f>
        <v>7</v>
      </c>
      <c r="F1456" s="16">
        <f>IFERROR(__xludf.DUMMYFUNCTION("""COMPUTED_VALUE"""),7.0)</f>
        <v>7</v>
      </c>
      <c r="G1456" s="16" t="str">
        <f>IFERROR(__xludf.DUMMYFUNCTION("""COMPUTED_VALUE"""),"0.5")</f>
        <v>0.5</v>
      </c>
      <c r="H1456" s="23">
        <f>IFERROR(__xludf.DUMMYFUNCTION("""COMPUTED_VALUE"""),95.0)</f>
        <v>95</v>
      </c>
    </row>
    <row r="1457">
      <c r="A1457" s="16" t="str">
        <f>IFERROR(__xludf.DUMMYFUNCTION("""COMPUTED_VALUE"""),"Храни и ястия от ресторанти/закусвални")</f>
        <v>Храни и ястия от ресторанти/закусвални</v>
      </c>
      <c r="B1457" s="7" t="str">
        <f>IFERROR(__xludf.DUMMYFUNCTION("""COMPUTED_VALUE"""),"Крем супа- карфиол")</f>
        <v>Крем супа- карфиол</v>
      </c>
      <c r="C1457" s="7">
        <f>IFERROR(__xludf.DUMMYFUNCTION("""COMPUTED_VALUE"""),100.0)</f>
        <v>100</v>
      </c>
      <c r="D1457" s="7">
        <f>IFERROR(__xludf.DUMMYFUNCTION("""COMPUTED_VALUE"""),1.0)</f>
        <v>1</v>
      </c>
      <c r="E1457" s="16">
        <f>IFERROR(__xludf.DUMMYFUNCTION("""COMPUTED_VALUE"""),3.0)</f>
        <v>3</v>
      </c>
      <c r="F1457" s="16">
        <f>IFERROR(__xludf.DUMMYFUNCTION("""COMPUTED_VALUE"""),6.0)</f>
        <v>6</v>
      </c>
      <c r="G1457" s="16">
        <f>IFERROR(__xludf.DUMMYFUNCTION("""COMPUTED_VALUE"""),1.0)</f>
        <v>1</v>
      </c>
      <c r="H1457" s="23">
        <f>IFERROR(__xludf.DUMMYFUNCTION("""COMPUTED_VALUE"""),70.0)</f>
        <v>70</v>
      </c>
    </row>
    <row r="1458">
      <c r="A1458" s="16" t="str">
        <f>IFERROR(__xludf.DUMMYFUNCTION("""COMPUTED_VALUE"""),"Храни и ястия от ресторанти/закусвални")</f>
        <v>Храни и ястия от ресторанти/закусвални</v>
      </c>
      <c r="B1458" s="7" t="str">
        <f>IFERROR(__xludf.DUMMYFUNCTION("""COMPUTED_VALUE"""),"Крем супа- Броколи")</f>
        <v>Крем супа- Броколи</v>
      </c>
      <c r="C1458" s="7">
        <f>IFERROR(__xludf.DUMMYFUNCTION("""COMPUTED_VALUE"""),100.0)</f>
        <v>100</v>
      </c>
      <c r="D1458" s="7">
        <f>IFERROR(__xludf.DUMMYFUNCTION("""COMPUTED_VALUE"""),1.0)</f>
        <v>1</v>
      </c>
      <c r="E1458" s="16">
        <f>IFERROR(__xludf.DUMMYFUNCTION("""COMPUTED_VALUE"""),3.0)</f>
        <v>3</v>
      </c>
      <c r="F1458" s="16">
        <f>IFERROR(__xludf.DUMMYFUNCTION("""COMPUTED_VALUE"""),6.0)</f>
        <v>6</v>
      </c>
      <c r="G1458" s="16">
        <f>IFERROR(__xludf.DUMMYFUNCTION("""COMPUTED_VALUE"""),1.0)</f>
        <v>1</v>
      </c>
      <c r="H1458" s="23">
        <f>IFERROR(__xludf.DUMMYFUNCTION("""COMPUTED_VALUE"""),70.0)</f>
        <v>70</v>
      </c>
    </row>
    <row r="1459">
      <c r="A1459" s="16" t="str">
        <f>IFERROR(__xludf.DUMMYFUNCTION("""COMPUTED_VALUE"""),"Храни и ястия от ресторанти/закусвални")</f>
        <v>Храни и ястия от ресторанти/закусвални</v>
      </c>
      <c r="B1459" s="7" t="str">
        <f>IFERROR(__xludf.DUMMYFUNCTION("""COMPUTED_VALUE"""),"Боб чорба")</f>
        <v>Боб чорба</v>
      </c>
      <c r="C1459" s="7">
        <f>IFERROR(__xludf.DUMMYFUNCTION("""COMPUTED_VALUE"""),100.0)</f>
        <v>100</v>
      </c>
      <c r="D1459" s="7">
        <f>IFERROR(__xludf.DUMMYFUNCTION("""COMPUTED_VALUE"""),4.0)</f>
        <v>4</v>
      </c>
      <c r="E1459" s="16">
        <f>IFERROR(__xludf.DUMMYFUNCTION("""COMPUTED_VALUE"""),10.0)</f>
        <v>10</v>
      </c>
      <c r="F1459" s="16">
        <f>IFERROR(__xludf.DUMMYFUNCTION("""COMPUTED_VALUE"""),10.0)</f>
        <v>10</v>
      </c>
      <c r="G1459" s="16">
        <f>IFERROR(__xludf.DUMMYFUNCTION("""COMPUTED_VALUE"""),4.0)</f>
        <v>4</v>
      </c>
      <c r="H1459" s="23">
        <f>IFERROR(__xludf.DUMMYFUNCTION("""COMPUTED_VALUE"""),146.0)</f>
        <v>146</v>
      </c>
    </row>
    <row r="1460">
      <c r="A1460" s="16" t="str">
        <f>IFERROR(__xludf.DUMMYFUNCTION("""COMPUTED_VALUE"""),"Храни и ястия от ресторанти/закусвални")</f>
        <v>Храни и ястия от ресторанти/закусвални</v>
      </c>
      <c r="B1460" s="7" t="str">
        <f>IFERROR(__xludf.DUMMYFUNCTION("""COMPUTED_VALUE"""),"Шкембе чорба")</f>
        <v>Шкембе чорба</v>
      </c>
      <c r="C1460" s="7">
        <f>IFERROR(__xludf.DUMMYFUNCTION("""COMPUTED_VALUE"""),100.0)</f>
        <v>100</v>
      </c>
      <c r="D1460" s="7">
        <f>IFERROR(__xludf.DUMMYFUNCTION("""COMPUTED_VALUE"""),4.0)</f>
        <v>4</v>
      </c>
      <c r="E1460" s="16">
        <f>IFERROR(__xludf.DUMMYFUNCTION("""COMPUTED_VALUE"""),1.0)</f>
        <v>1</v>
      </c>
      <c r="F1460" s="16">
        <f>IFERROR(__xludf.DUMMYFUNCTION("""COMPUTED_VALUE"""),8.0)</f>
        <v>8</v>
      </c>
      <c r="G1460" s="16">
        <f>IFERROR(__xludf.DUMMYFUNCTION("""COMPUTED_VALUE"""),0.0)</f>
        <v>0</v>
      </c>
      <c r="H1460" s="23">
        <f>IFERROR(__xludf.DUMMYFUNCTION("""COMPUTED_VALUE"""),92.0)</f>
        <v>92</v>
      </c>
    </row>
    <row r="1461">
      <c r="A1461" s="16" t="str">
        <f>IFERROR(__xludf.DUMMYFUNCTION("""COMPUTED_VALUE"""),"Храни и ястия от ресторанти/закусвални")</f>
        <v>Храни и ястия от ресторанти/закусвални</v>
      </c>
      <c r="B1461" s="7" t="str">
        <f>IFERROR(__xludf.DUMMYFUNCTION("""COMPUTED_VALUE"""),"Рибена супа")</f>
        <v>Рибена супа</v>
      </c>
      <c r="C1461" s="7">
        <f>IFERROR(__xludf.DUMMYFUNCTION("""COMPUTED_VALUE"""),100.0)</f>
        <v>100</v>
      </c>
      <c r="D1461" s="7">
        <f>IFERROR(__xludf.DUMMYFUNCTION("""COMPUTED_VALUE"""),3.0)</f>
        <v>3</v>
      </c>
      <c r="E1461" s="16">
        <f>IFERROR(__xludf.DUMMYFUNCTION("""COMPUTED_VALUE"""),1.0)</f>
        <v>1</v>
      </c>
      <c r="F1461" s="16">
        <f>IFERROR(__xludf.DUMMYFUNCTION("""COMPUTED_VALUE"""),5.0)</f>
        <v>5</v>
      </c>
      <c r="G1461" s="16">
        <f>IFERROR(__xludf.DUMMYFUNCTION("""COMPUTED_VALUE"""),0.0)</f>
        <v>0</v>
      </c>
      <c r="H1461" s="23">
        <f>IFERROR(__xludf.DUMMYFUNCTION("""COMPUTED_VALUE"""),61.0)</f>
        <v>61</v>
      </c>
    </row>
    <row r="1462">
      <c r="A1462" s="16" t="str">
        <f>IFERROR(__xludf.DUMMYFUNCTION("""COMPUTED_VALUE"""),"Храни и ястия от ресторанти/закусвални")</f>
        <v>Храни и ястия от ресторанти/закусвални</v>
      </c>
      <c r="B1462" s="7" t="str">
        <f>IFERROR(__xludf.DUMMYFUNCTION("""COMPUTED_VALUE"""),"Телешко варено")</f>
        <v>Телешко варено</v>
      </c>
      <c r="C1462" s="7">
        <f>IFERROR(__xludf.DUMMYFUNCTION("""COMPUTED_VALUE"""),100.0)</f>
        <v>100</v>
      </c>
      <c r="D1462" s="7">
        <f>IFERROR(__xludf.DUMMYFUNCTION("""COMPUTED_VALUE"""),5.0)</f>
        <v>5</v>
      </c>
      <c r="E1462" s="16">
        <f>IFERROR(__xludf.DUMMYFUNCTION("""COMPUTED_VALUE"""),1.0)</f>
        <v>1</v>
      </c>
      <c r="F1462" s="16">
        <f>IFERROR(__xludf.DUMMYFUNCTION("""COMPUTED_VALUE"""),10.0)</f>
        <v>10</v>
      </c>
      <c r="G1462" s="16">
        <f>IFERROR(__xludf.DUMMYFUNCTION("""COMPUTED_VALUE"""),0.0)</f>
        <v>0</v>
      </c>
      <c r="H1462" s="23">
        <f>IFERROR(__xludf.DUMMYFUNCTION("""COMPUTED_VALUE"""),114.0)</f>
        <v>114</v>
      </c>
    </row>
    <row r="1463">
      <c r="A1463" s="16" t="str">
        <f>IFERROR(__xludf.DUMMYFUNCTION("""COMPUTED_VALUE"""),"Храни и ястия от ресторанти/закусвални")</f>
        <v>Храни и ястия от ресторанти/закусвални</v>
      </c>
      <c r="B1463" s="7" t="str">
        <f>IFERROR(__xludf.DUMMYFUNCTION("""COMPUTED_VALUE"""),"Закуска Тутманик")</f>
        <v>Закуска Тутманик</v>
      </c>
      <c r="C1463" s="7">
        <f>IFERROR(__xludf.DUMMYFUNCTION("""COMPUTED_VALUE"""),100.0)</f>
        <v>100</v>
      </c>
      <c r="D1463" s="7">
        <f>IFERROR(__xludf.DUMMYFUNCTION("""COMPUTED_VALUE"""),8.0)</f>
        <v>8</v>
      </c>
      <c r="E1463" s="16">
        <f>IFERROR(__xludf.DUMMYFUNCTION("""COMPUTED_VALUE"""),36.0)</f>
        <v>36</v>
      </c>
      <c r="F1463" s="16">
        <f>IFERROR(__xludf.DUMMYFUNCTION("""COMPUTED_VALUE"""),25.0)</f>
        <v>25</v>
      </c>
      <c r="G1463" s="16">
        <f>IFERROR(__xludf.DUMMYFUNCTION("""COMPUTED_VALUE"""),1.0)</f>
        <v>1</v>
      </c>
      <c r="H1463" s="23">
        <f>IFERROR(__xludf.DUMMYFUNCTION("""COMPUTED_VALUE"""),401.0)</f>
        <v>401</v>
      </c>
    </row>
    <row r="1464">
      <c r="A1464" s="16" t="str">
        <f>IFERROR(__xludf.DUMMYFUNCTION("""COMPUTED_VALUE"""),"Храни и ястия от ресторанти/закусвални")</f>
        <v>Храни и ястия от ресторанти/закусвални</v>
      </c>
      <c r="B1464" s="7" t="str">
        <f>IFERROR(__xludf.DUMMYFUNCTION("""COMPUTED_VALUE"""),"Закуска Геврек")</f>
        <v>Закуска Геврек</v>
      </c>
      <c r="C1464" s="7">
        <f>IFERROR(__xludf.DUMMYFUNCTION("""COMPUTED_VALUE"""),100.0)</f>
        <v>100</v>
      </c>
      <c r="D1464" s="7">
        <f>IFERROR(__xludf.DUMMYFUNCTION("""COMPUTED_VALUE"""),10.0)</f>
        <v>10</v>
      </c>
      <c r="E1464" s="16">
        <f>IFERROR(__xludf.DUMMYFUNCTION("""COMPUTED_VALUE"""),68.0)</f>
        <v>68</v>
      </c>
      <c r="F1464" s="16">
        <f>IFERROR(__xludf.DUMMYFUNCTION("""COMPUTED_VALUE"""),8.0)</f>
        <v>8</v>
      </c>
      <c r="G1464" s="16">
        <f>IFERROR(__xludf.DUMMYFUNCTION("""COMPUTED_VALUE"""),1.0)</f>
        <v>1</v>
      </c>
      <c r="H1464" s="23">
        <f>IFERROR(__xludf.DUMMYFUNCTION("""COMPUTED_VALUE"""),384.0)</f>
        <v>384</v>
      </c>
    </row>
    <row r="1465">
      <c r="A1465" s="16" t="str">
        <f>IFERROR(__xludf.DUMMYFUNCTION("""COMPUTED_VALUE"""),"Храни и ястия от ресторанти/закусвални")</f>
        <v>Храни и ястия от ресторанти/закусвални</v>
      </c>
      <c r="B1465" s="7" t="str">
        <f>IFERROR(__xludf.DUMMYFUNCTION("""COMPUTED_VALUE"""),"Закуска Баничка")</f>
        <v>Закуска Баничка</v>
      </c>
      <c r="C1465" s="7">
        <f>IFERROR(__xludf.DUMMYFUNCTION("""COMPUTED_VALUE"""),100.0)</f>
        <v>100</v>
      </c>
      <c r="D1465" s="7">
        <f>IFERROR(__xludf.DUMMYFUNCTION("""COMPUTED_VALUE"""),8.0)</f>
        <v>8</v>
      </c>
      <c r="E1465" s="16">
        <f>IFERROR(__xludf.DUMMYFUNCTION("""COMPUTED_VALUE"""),41.0)</f>
        <v>41</v>
      </c>
      <c r="F1465" s="16">
        <f>IFERROR(__xludf.DUMMYFUNCTION("""COMPUTED_VALUE"""),25.0)</f>
        <v>25</v>
      </c>
      <c r="G1465" s="16">
        <f>IFERROR(__xludf.DUMMYFUNCTION("""COMPUTED_VALUE"""),1.0)</f>
        <v>1</v>
      </c>
      <c r="H1465" s="23">
        <f>IFERROR(__xludf.DUMMYFUNCTION("""COMPUTED_VALUE"""),421.0)</f>
        <v>421</v>
      </c>
    </row>
    <row r="1466">
      <c r="A1466" s="16" t="str">
        <f>IFERROR(__xludf.DUMMYFUNCTION("""COMPUTED_VALUE"""),"Храни и ястия от ресторанти/закусвални")</f>
        <v>Храни и ястия от ресторанти/закусвални</v>
      </c>
      <c r="B1466" s="7" t="str">
        <f>IFERROR(__xludf.DUMMYFUNCTION("""COMPUTED_VALUE"""),"Пърленка- стандартна")</f>
        <v>Пърленка- стандартна</v>
      </c>
      <c r="C1466" s="7">
        <f>IFERROR(__xludf.DUMMYFUNCTION("""COMPUTED_VALUE"""),100.0)</f>
        <v>100</v>
      </c>
      <c r="D1466" s="7">
        <f>IFERROR(__xludf.DUMMYFUNCTION("""COMPUTED_VALUE"""),6.0)</f>
        <v>6</v>
      </c>
      <c r="E1466" s="16">
        <f>IFERROR(__xludf.DUMMYFUNCTION("""COMPUTED_VALUE"""),50.0)</f>
        <v>50</v>
      </c>
      <c r="F1466" s="16">
        <f>IFERROR(__xludf.DUMMYFUNCTION("""COMPUTED_VALUE"""),4.0)</f>
        <v>4</v>
      </c>
      <c r="G1466" s="16">
        <f>IFERROR(__xludf.DUMMYFUNCTION("""COMPUTED_VALUE"""),1.0)</f>
        <v>1</v>
      </c>
      <c r="H1466" s="23">
        <f>IFERROR(__xludf.DUMMYFUNCTION("""COMPUTED_VALUE"""),260.0)</f>
        <v>260</v>
      </c>
    </row>
    <row r="1467">
      <c r="A1467" s="16" t="str">
        <f>IFERROR(__xludf.DUMMYFUNCTION("""COMPUTED_VALUE"""),"Храни и ястия от ресторанти/закусвални")</f>
        <v>Храни и ястия от ресторанти/закусвални</v>
      </c>
      <c r="B1467" s="7" t="str">
        <f>IFERROR(__xludf.DUMMYFUNCTION("""COMPUTED_VALUE"""),"Пърленка с масло")</f>
        <v>Пърленка с масло</v>
      </c>
      <c r="C1467" s="7">
        <f>IFERROR(__xludf.DUMMYFUNCTION("""COMPUTED_VALUE"""),100.0)</f>
        <v>100</v>
      </c>
      <c r="D1467" s="7">
        <f>IFERROR(__xludf.DUMMYFUNCTION("""COMPUTED_VALUE"""),6.0)</f>
        <v>6</v>
      </c>
      <c r="E1467" s="16">
        <f>IFERROR(__xludf.DUMMYFUNCTION("""COMPUTED_VALUE"""),50.0)</f>
        <v>50</v>
      </c>
      <c r="F1467" s="16">
        <f>IFERROR(__xludf.DUMMYFUNCTION("""COMPUTED_VALUE"""),12.0)</f>
        <v>12</v>
      </c>
      <c r="G1467" s="16">
        <f>IFERROR(__xludf.DUMMYFUNCTION("""COMPUTED_VALUE"""),1.0)</f>
        <v>1</v>
      </c>
      <c r="H1467" s="23">
        <f>IFERROR(__xludf.DUMMYFUNCTION("""COMPUTED_VALUE"""),332.0)</f>
        <v>332</v>
      </c>
    </row>
    <row r="1468">
      <c r="A1468" s="16" t="str">
        <f>IFERROR(__xludf.DUMMYFUNCTION("""COMPUTED_VALUE"""),"Храни и ястия от ресторанти/закусвални")</f>
        <v>Храни и ястия от ресторанти/закусвални</v>
      </c>
      <c r="B1468" s="7" t="str">
        <f>IFERROR(__xludf.DUMMYFUNCTION("""COMPUTED_VALUE"""),"Пърленка със сирене/ кашкавал")</f>
        <v>Пърленка със сирене/ кашкавал</v>
      </c>
      <c r="C1468" s="7">
        <f>IFERROR(__xludf.DUMMYFUNCTION("""COMPUTED_VALUE"""),100.0)</f>
        <v>100</v>
      </c>
      <c r="D1468" s="7">
        <f>IFERROR(__xludf.DUMMYFUNCTION("""COMPUTED_VALUE"""),12.0)</f>
        <v>12</v>
      </c>
      <c r="E1468" s="16">
        <f>IFERROR(__xludf.DUMMYFUNCTION("""COMPUTED_VALUE"""),50.0)</f>
        <v>50</v>
      </c>
      <c r="F1468" s="16">
        <f>IFERROR(__xludf.DUMMYFUNCTION("""COMPUTED_VALUE"""),14.0)</f>
        <v>14</v>
      </c>
      <c r="G1468" s="16">
        <f>IFERROR(__xludf.DUMMYFUNCTION("""COMPUTED_VALUE"""),1.0)</f>
        <v>1</v>
      </c>
      <c r="H1468" s="23">
        <f>IFERROR(__xludf.DUMMYFUNCTION("""COMPUTED_VALUE"""),374.0)</f>
        <v>374</v>
      </c>
    </row>
    <row r="1469">
      <c r="A1469" s="16" t="str">
        <f>IFERROR(__xludf.DUMMYFUNCTION("""COMPUTED_VALUE"""),"Храни и ястия от ресторанти/закусвални")</f>
        <v>Храни и ястия от ресторанти/закусвални</v>
      </c>
      <c r="B1469" s="7" t="str">
        <f>IFERROR(__xludf.DUMMYFUNCTION("""COMPUTED_VALUE"""),"Телешко кюфте")</f>
        <v>Телешко кюфте</v>
      </c>
      <c r="C1469" s="7">
        <f>IFERROR(__xludf.DUMMYFUNCTION("""COMPUTED_VALUE"""),100.0)</f>
        <v>100</v>
      </c>
      <c r="D1469" s="7">
        <f>IFERROR(__xludf.DUMMYFUNCTION("""COMPUTED_VALUE"""),16.0)</f>
        <v>16</v>
      </c>
      <c r="E1469" s="16">
        <f>IFERROR(__xludf.DUMMYFUNCTION("""COMPUTED_VALUE"""),5.0)</f>
        <v>5</v>
      </c>
      <c r="F1469" s="16">
        <f>IFERROR(__xludf.DUMMYFUNCTION("""COMPUTED_VALUE"""),18.0)</f>
        <v>18</v>
      </c>
      <c r="G1469" s="16">
        <f>IFERROR(__xludf.DUMMYFUNCTION("""COMPUTED_VALUE"""),0.0)</f>
        <v>0</v>
      </c>
      <c r="H1469" s="23">
        <f>IFERROR(__xludf.DUMMYFUNCTION("""COMPUTED_VALUE"""),246.0)</f>
        <v>246</v>
      </c>
    </row>
    <row r="1470">
      <c r="A1470" s="16" t="str">
        <f>IFERROR(__xludf.DUMMYFUNCTION("""COMPUTED_VALUE"""),"Храни и ястия от ресторанти/закусвални")</f>
        <v>Храни и ястия от ресторанти/закусвални</v>
      </c>
      <c r="B1470" s="7" t="str">
        <f>IFERROR(__xludf.DUMMYFUNCTION("""COMPUTED_VALUE"""),"Свинско кюфте")</f>
        <v>Свинско кюфте</v>
      </c>
      <c r="C1470" s="7">
        <f>IFERROR(__xludf.DUMMYFUNCTION("""COMPUTED_VALUE"""),100.0)</f>
        <v>100</v>
      </c>
      <c r="D1470" s="7">
        <f>IFERROR(__xludf.DUMMYFUNCTION("""COMPUTED_VALUE"""),13.0)</f>
        <v>13</v>
      </c>
      <c r="E1470" s="16">
        <f>IFERROR(__xludf.DUMMYFUNCTION("""COMPUTED_VALUE"""),5.0)</f>
        <v>5</v>
      </c>
      <c r="F1470" s="16">
        <f>IFERROR(__xludf.DUMMYFUNCTION("""COMPUTED_VALUE"""),25.0)</f>
        <v>25</v>
      </c>
      <c r="G1470" s="16">
        <f>IFERROR(__xludf.DUMMYFUNCTION("""COMPUTED_VALUE"""),0.0)</f>
        <v>0</v>
      </c>
      <c r="H1470" s="23">
        <f>IFERROR(__xludf.DUMMYFUNCTION("""COMPUTED_VALUE"""),297.0)</f>
        <v>297</v>
      </c>
    </row>
    <row r="1471">
      <c r="A1471" s="16" t="str">
        <f>IFERROR(__xludf.DUMMYFUNCTION("""COMPUTED_VALUE"""),"Храни и ястия от ресторанти/закусвални")</f>
        <v>Храни и ястия от ресторанти/закусвални</v>
      </c>
      <c r="B1471" s="7" t="str">
        <f>IFERROR(__xludf.DUMMYFUNCTION("""COMPUTED_VALUE"""),"Телешка наденица")</f>
        <v>Телешка наденица</v>
      </c>
      <c r="C1471" s="7">
        <f>IFERROR(__xludf.DUMMYFUNCTION("""COMPUTED_VALUE"""),100.0)</f>
        <v>100</v>
      </c>
      <c r="D1471" s="7">
        <f>IFERROR(__xludf.DUMMYFUNCTION("""COMPUTED_VALUE"""),16.0)</f>
        <v>16</v>
      </c>
      <c r="E1471" s="16">
        <f>IFERROR(__xludf.DUMMYFUNCTION("""COMPUTED_VALUE"""),1.0)</f>
        <v>1</v>
      </c>
      <c r="F1471" s="16">
        <f>IFERROR(__xludf.DUMMYFUNCTION("""COMPUTED_VALUE"""),30.0)</f>
        <v>30</v>
      </c>
      <c r="G1471" s="16">
        <f>IFERROR(__xludf.DUMMYFUNCTION("""COMPUTED_VALUE"""),0.0)</f>
        <v>0</v>
      </c>
      <c r="H1471" s="23">
        <f>IFERROR(__xludf.DUMMYFUNCTION("""COMPUTED_VALUE"""),338.0)</f>
        <v>338</v>
      </c>
    </row>
    <row r="1472">
      <c r="A1472" s="16" t="str">
        <f>IFERROR(__xludf.DUMMYFUNCTION("""COMPUTED_VALUE"""),"Храни и ястия от ресторанти/закусвални")</f>
        <v>Храни и ястия от ресторанти/закусвални</v>
      </c>
      <c r="B1472" s="7" t="str">
        <f>IFERROR(__xludf.DUMMYFUNCTION("""COMPUTED_VALUE"""),"Дюнер с пилешко месо без сосове")</f>
        <v>Дюнер с пилешко месо без сосове</v>
      </c>
      <c r="C1472" s="7">
        <f>IFERROR(__xludf.DUMMYFUNCTION("""COMPUTED_VALUE"""),100.0)</f>
        <v>100</v>
      </c>
      <c r="D1472" s="7">
        <f>IFERROR(__xludf.DUMMYFUNCTION("""COMPUTED_VALUE"""),10.0)</f>
        <v>10</v>
      </c>
      <c r="E1472" s="16">
        <f>IFERROR(__xludf.DUMMYFUNCTION("""COMPUTED_VALUE"""),15.0)</f>
        <v>15</v>
      </c>
      <c r="F1472" s="16">
        <f>IFERROR(__xludf.DUMMYFUNCTION("""COMPUTED_VALUE"""),12.0)</f>
        <v>12</v>
      </c>
      <c r="G1472" s="16">
        <f>IFERROR(__xludf.DUMMYFUNCTION("""COMPUTED_VALUE"""),2.0)</f>
        <v>2</v>
      </c>
      <c r="H1472" s="23">
        <f>IFERROR(__xludf.DUMMYFUNCTION("""COMPUTED_VALUE"""),208.0)</f>
        <v>208</v>
      </c>
    </row>
    <row r="1473">
      <c r="A1473" s="16" t="str">
        <f>IFERROR(__xludf.DUMMYFUNCTION("""COMPUTED_VALUE"""),"Храни и ястия от ресторанти/закусвални")</f>
        <v>Храни и ястия от ресторанти/закусвални</v>
      </c>
      <c r="B1473" s="7" t="str">
        <f>IFERROR(__xludf.DUMMYFUNCTION("""COMPUTED_VALUE"""),"Дюнер с пилешко месо със сосове")</f>
        <v>Дюнер с пилешко месо със сосове</v>
      </c>
      <c r="C1473" s="7">
        <f>IFERROR(__xludf.DUMMYFUNCTION("""COMPUTED_VALUE"""),100.0)</f>
        <v>100</v>
      </c>
      <c r="D1473" s="7">
        <f>IFERROR(__xludf.DUMMYFUNCTION("""COMPUTED_VALUE"""),10.0)</f>
        <v>10</v>
      </c>
      <c r="E1473" s="16">
        <f>IFERROR(__xludf.DUMMYFUNCTION("""COMPUTED_VALUE"""),15.0)</f>
        <v>15</v>
      </c>
      <c r="F1473" s="16">
        <f>IFERROR(__xludf.DUMMYFUNCTION("""COMPUTED_VALUE"""),25.0)</f>
        <v>25</v>
      </c>
      <c r="G1473" s="16">
        <f>IFERROR(__xludf.DUMMYFUNCTION("""COMPUTED_VALUE"""),2.0)</f>
        <v>2</v>
      </c>
      <c r="H1473" s="23">
        <f>IFERROR(__xludf.DUMMYFUNCTION("""COMPUTED_VALUE"""),325.0)</f>
        <v>325</v>
      </c>
    </row>
    <row r="1474">
      <c r="A1474" s="16" t="str">
        <f>IFERROR(__xludf.DUMMYFUNCTION("""COMPUTED_VALUE"""),"Храни и ястия от ресторанти/закусвални")</f>
        <v>Храни и ястия от ресторанти/закусвални</v>
      </c>
      <c r="B1474" s="7" t="str">
        <f>IFERROR(__xludf.DUMMYFUNCTION("""COMPUTED_VALUE"""),"Дюнер с телешко месо без сосове")</f>
        <v>Дюнер с телешко месо без сосове</v>
      </c>
      <c r="C1474" s="7">
        <f>IFERROR(__xludf.DUMMYFUNCTION("""COMPUTED_VALUE"""),100.0)</f>
        <v>100</v>
      </c>
      <c r="D1474" s="7">
        <f>IFERROR(__xludf.DUMMYFUNCTION("""COMPUTED_VALUE"""),10.0)</f>
        <v>10</v>
      </c>
      <c r="E1474" s="16">
        <f>IFERROR(__xludf.DUMMYFUNCTION("""COMPUTED_VALUE"""),15.0)</f>
        <v>15</v>
      </c>
      <c r="F1474" s="16">
        <f>IFERROR(__xludf.DUMMYFUNCTION("""COMPUTED_VALUE"""),12.0)</f>
        <v>12</v>
      </c>
      <c r="G1474" s="16">
        <f>IFERROR(__xludf.DUMMYFUNCTION("""COMPUTED_VALUE"""),2.0)</f>
        <v>2</v>
      </c>
      <c r="H1474" s="23">
        <f>IFERROR(__xludf.DUMMYFUNCTION("""COMPUTED_VALUE"""),208.0)</f>
        <v>208</v>
      </c>
    </row>
    <row r="1475">
      <c r="A1475" s="16" t="str">
        <f>IFERROR(__xludf.DUMMYFUNCTION("""COMPUTED_VALUE"""),"Храни и ястия от ресторанти/закусвални")</f>
        <v>Храни и ястия от ресторанти/закусвални</v>
      </c>
      <c r="B1475" s="7" t="str">
        <f>IFERROR(__xludf.DUMMYFUNCTION("""COMPUTED_VALUE"""),"Дюнер с телешко месо със сосове")</f>
        <v>Дюнер с телешко месо със сосове</v>
      </c>
      <c r="C1475" s="7">
        <f>IFERROR(__xludf.DUMMYFUNCTION("""COMPUTED_VALUE"""),100.0)</f>
        <v>100</v>
      </c>
      <c r="D1475" s="7">
        <f>IFERROR(__xludf.DUMMYFUNCTION("""COMPUTED_VALUE"""),11.0)</f>
        <v>11</v>
      </c>
      <c r="E1475" s="16">
        <f>IFERROR(__xludf.DUMMYFUNCTION("""COMPUTED_VALUE"""),15.0)</f>
        <v>15</v>
      </c>
      <c r="F1475" s="16">
        <f>IFERROR(__xludf.DUMMYFUNCTION("""COMPUTED_VALUE"""),25.0)</f>
        <v>25</v>
      </c>
      <c r="G1475" s="16">
        <f>IFERROR(__xludf.DUMMYFUNCTION("""COMPUTED_VALUE"""),2.0)</f>
        <v>2</v>
      </c>
      <c r="H1475" s="23">
        <f>IFERROR(__xludf.DUMMYFUNCTION("""COMPUTED_VALUE"""),329.0)</f>
        <v>329</v>
      </c>
    </row>
    <row r="1476">
      <c r="A1476" s="16" t="str">
        <f>IFERROR(__xludf.DUMMYFUNCTION("""COMPUTED_VALUE"""),"Храни и ястия от ресторанти/закусвални")</f>
        <v>Храни и ястия от ресторанти/закусвални</v>
      </c>
      <c r="B1476" s="7" t="str">
        <f>IFERROR(__xludf.DUMMYFUNCTION("""COMPUTED_VALUE"""),"Картофи соте")</f>
        <v>Картофи соте</v>
      </c>
      <c r="C1476" s="7">
        <f>IFERROR(__xludf.DUMMYFUNCTION("""COMPUTED_VALUE"""),100.0)</f>
        <v>100</v>
      </c>
      <c r="D1476" s="7">
        <f>IFERROR(__xludf.DUMMYFUNCTION("""COMPUTED_VALUE"""),11.0)</f>
        <v>11</v>
      </c>
      <c r="E1476" s="16">
        <f>IFERROR(__xludf.DUMMYFUNCTION("""COMPUTED_VALUE"""),15.0)</f>
        <v>15</v>
      </c>
      <c r="F1476" s="16">
        <f>IFERROR(__xludf.DUMMYFUNCTION("""COMPUTED_VALUE"""),25.0)</f>
        <v>25</v>
      </c>
      <c r="G1476" s="16">
        <f>IFERROR(__xludf.DUMMYFUNCTION("""COMPUTED_VALUE"""),1.0)</f>
        <v>1</v>
      </c>
      <c r="H1476" s="23">
        <f>IFERROR(__xludf.DUMMYFUNCTION("""COMPUTED_VALUE"""),329.0)</f>
        <v>329</v>
      </c>
    </row>
    <row r="1477">
      <c r="A1477" s="16" t="str">
        <f>IFERROR(__xludf.DUMMYFUNCTION("""COMPUTED_VALUE"""),"Храни и ястия от ресторанти/закусвални")</f>
        <v>Храни и ястия от ресторанти/закусвални</v>
      </c>
      <c r="B1477" s="7" t="str">
        <f>IFERROR(__xludf.DUMMYFUNCTION("""COMPUTED_VALUE"""),"Кашкавал пане")</f>
        <v>Кашкавал пане</v>
      </c>
      <c r="C1477" s="7">
        <f>IFERROR(__xludf.DUMMYFUNCTION("""COMPUTED_VALUE"""),100.0)</f>
        <v>100</v>
      </c>
      <c r="D1477" s="7">
        <f>IFERROR(__xludf.DUMMYFUNCTION("""COMPUTED_VALUE"""),17.05)</f>
        <v>17.05</v>
      </c>
      <c r="E1477" s="16">
        <f>IFERROR(__xludf.DUMMYFUNCTION("""COMPUTED_VALUE"""),13.54)</f>
        <v>13.54</v>
      </c>
      <c r="F1477" s="16">
        <f>IFERROR(__xludf.DUMMYFUNCTION("""COMPUTED_VALUE"""),31.79)</f>
        <v>31.79</v>
      </c>
      <c r="G1477" s="16">
        <f>IFERROR(__xludf.DUMMYFUNCTION("""COMPUTED_VALUE"""),0.0)</f>
        <v>0</v>
      </c>
      <c r="H1477" s="23">
        <f>IFERROR(__xludf.DUMMYFUNCTION("""COMPUTED_VALUE"""),408.47)</f>
        <v>408.47</v>
      </c>
    </row>
    <row r="1478">
      <c r="A1478" s="16" t="str">
        <f>IFERROR(__xludf.DUMMYFUNCTION("""COMPUTED_VALUE"""),"Храни и ястия от ресторанти/закусвални")</f>
        <v>Храни и ястия от ресторанти/закусвални</v>
      </c>
      <c r="B1478" s="7" t="str">
        <f>IFERROR(__xludf.DUMMYFUNCTION("""COMPUTED_VALUE"""),"Пържени картофи")</f>
        <v>Пържени картофи</v>
      </c>
      <c r="C1478" s="7">
        <f>IFERROR(__xludf.DUMMYFUNCTION("""COMPUTED_VALUE"""),100.0)</f>
        <v>100</v>
      </c>
      <c r="D1478" s="7">
        <f>IFERROR(__xludf.DUMMYFUNCTION("""COMPUTED_VALUE"""),2.16)</f>
        <v>2.16</v>
      </c>
      <c r="E1478" s="16">
        <f>IFERROR(__xludf.DUMMYFUNCTION("""COMPUTED_VALUE"""),25.59)</f>
        <v>25.59</v>
      </c>
      <c r="F1478" s="16">
        <f>IFERROR(__xludf.DUMMYFUNCTION("""COMPUTED_VALUE"""),6.24)</f>
        <v>6.24</v>
      </c>
      <c r="G1478" s="16">
        <f>IFERROR(__xludf.DUMMYFUNCTION("""COMPUTED_VALUE"""),2.3)</f>
        <v>2.3</v>
      </c>
      <c r="H1478" s="23">
        <f>IFERROR(__xludf.DUMMYFUNCTION("""COMPUTED_VALUE"""),167.16)</f>
        <v>167.16</v>
      </c>
    </row>
    <row r="1479">
      <c r="A1479" s="16" t="str">
        <f>IFERROR(__xludf.DUMMYFUNCTION("""COMPUTED_VALUE"""),"Храни и ястия от ресторанти/закусвални")</f>
        <v>Храни и ястия от ресторанти/закусвални</v>
      </c>
      <c r="B1479" s="7" t="str">
        <f>IFERROR(__xludf.DUMMYFUNCTION("""COMPUTED_VALUE"""),"Салата ""Цезар""")</f>
        <v>Салата "Цезар"</v>
      </c>
      <c r="C1479" s="7">
        <f>IFERROR(__xludf.DUMMYFUNCTION("""COMPUTED_VALUE"""),100.0)</f>
        <v>100</v>
      </c>
      <c r="D1479" s="7">
        <f>IFERROR(__xludf.DUMMYFUNCTION("""COMPUTED_VALUE"""),8.55)</f>
        <v>8.55</v>
      </c>
      <c r="E1479" s="16">
        <f>IFERROR(__xludf.DUMMYFUNCTION("""COMPUTED_VALUE"""),8.3)</f>
        <v>8.3</v>
      </c>
      <c r="F1479" s="16">
        <f>IFERROR(__xludf.DUMMYFUNCTION("""COMPUTED_VALUE"""),15.0)</f>
        <v>15</v>
      </c>
      <c r="G1479" s="16">
        <f>IFERROR(__xludf.DUMMYFUNCTION("""COMPUTED_VALUE"""),1.0)</f>
        <v>1</v>
      </c>
      <c r="H1479" s="23">
        <f>IFERROR(__xludf.DUMMYFUNCTION("""COMPUTED_VALUE"""),202.4)</f>
        <v>202.4</v>
      </c>
    </row>
    <row r="1480">
      <c r="A1480" s="16" t="str">
        <f>IFERROR(__xludf.DUMMYFUNCTION("""COMPUTED_VALUE"""),"Ядки")</f>
        <v>Ядки</v>
      </c>
      <c r="B1480" s="7" t="str">
        <f>IFERROR(__xludf.DUMMYFUNCTION("""COMPUTED_VALUE"""),"Бадеми (сурови)")</f>
        <v>Бадеми (сурови)</v>
      </c>
      <c r="C1480" s="7" t="str">
        <f>IFERROR(__xludf.DUMMYFUNCTION("""COMPUTED_VALUE"""),"100")</f>
        <v>100</v>
      </c>
      <c r="D1480" s="7">
        <f>IFERROR(__xludf.DUMMYFUNCTION("""COMPUTED_VALUE"""),21.0)</f>
        <v>21</v>
      </c>
      <c r="E1480" s="16">
        <f>IFERROR(__xludf.DUMMYFUNCTION("""COMPUTED_VALUE"""),21.0)</f>
        <v>21</v>
      </c>
      <c r="F1480" s="16">
        <f>IFERROR(__xludf.DUMMYFUNCTION("""COMPUTED_VALUE"""),50.0)</f>
        <v>50</v>
      </c>
      <c r="G1480" s="16">
        <f>IFERROR(__xludf.DUMMYFUNCTION("""COMPUTED_VALUE"""),12.5)</f>
        <v>12.5</v>
      </c>
      <c r="H1480" s="23">
        <f>IFERROR(__xludf.DUMMYFUNCTION("""COMPUTED_VALUE"""),618.0)</f>
        <v>618</v>
      </c>
    </row>
    <row r="1481">
      <c r="A1481" s="16" t="str">
        <f>IFERROR(__xludf.DUMMYFUNCTION("""COMPUTED_VALUE"""),"Ядки")</f>
        <v>Ядки</v>
      </c>
      <c r="B1481" s="7" t="str">
        <f>IFERROR(__xludf.DUMMYFUNCTION("""COMPUTED_VALUE"""),"Бразилски орехи (сурови)")</f>
        <v>Бразилски орехи (сурови)</v>
      </c>
      <c r="C1481" s="7" t="str">
        <f>IFERROR(__xludf.DUMMYFUNCTION("""COMPUTED_VALUE"""),"100")</f>
        <v>100</v>
      </c>
      <c r="D1481" s="7">
        <f>IFERROR(__xludf.DUMMYFUNCTION("""COMPUTED_VALUE"""),14.0)</f>
        <v>14</v>
      </c>
      <c r="E1481" s="16">
        <f>IFERROR(__xludf.DUMMYFUNCTION("""COMPUTED_VALUE"""),12.0)</f>
        <v>12</v>
      </c>
      <c r="F1481" s="16">
        <f>IFERROR(__xludf.DUMMYFUNCTION("""COMPUTED_VALUE"""),67.0)</f>
        <v>67</v>
      </c>
      <c r="G1481" s="16">
        <f>IFERROR(__xludf.DUMMYFUNCTION("""COMPUTED_VALUE"""),7.5)</f>
        <v>7.5</v>
      </c>
      <c r="H1481" s="23">
        <f>IFERROR(__xludf.DUMMYFUNCTION("""COMPUTED_VALUE"""),707.0)</f>
        <v>707</v>
      </c>
    </row>
    <row r="1482">
      <c r="A1482" s="16" t="str">
        <f>IFERROR(__xludf.DUMMYFUNCTION("""COMPUTED_VALUE"""),"Ядки")</f>
        <v>Ядки</v>
      </c>
      <c r="B1482" s="7" t="str">
        <f>IFERROR(__xludf.DUMMYFUNCTION("""COMPUTED_VALUE"""),"Кашу (сурово)")</f>
        <v>Кашу (сурово)</v>
      </c>
      <c r="C1482" s="7" t="str">
        <f>IFERROR(__xludf.DUMMYFUNCTION("""COMPUTED_VALUE"""),"100")</f>
        <v>100</v>
      </c>
      <c r="D1482" s="7">
        <f>IFERROR(__xludf.DUMMYFUNCTION("""COMPUTED_VALUE"""),18.0)</f>
        <v>18</v>
      </c>
      <c r="E1482" s="16">
        <f>IFERROR(__xludf.DUMMYFUNCTION("""COMPUTED_VALUE"""),30.0)</f>
        <v>30</v>
      </c>
      <c r="F1482" s="16">
        <f>IFERROR(__xludf.DUMMYFUNCTION("""COMPUTED_VALUE"""),44.0)</f>
        <v>44</v>
      </c>
      <c r="G1482" s="16">
        <f>IFERROR(__xludf.DUMMYFUNCTION("""COMPUTED_VALUE"""),4.0)</f>
        <v>4</v>
      </c>
      <c r="H1482" s="23">
        <f>IFERROR(__xludf.DUMMYFUNCTION("""COMPUTED_VALUE"""),588.0)</f>
        <v>588</v>
      </c>
    </row>
    <row r="1483">
      <c r="A1483" s="16" t="str">
        <f>IFERROR(__xludf.DUMMYFUNCTION("""COMPUTED_VALUE"""),"Ядки")</f>
        <v>Ядки</v>
      </c>
      <c r="B1483" s="7" t="str">
        <f>IFERROR(__xludf.DUMMYFUNCTION("""COMPUTED_VALUE"""),"Лешници (сурови)")</f>
        <v>Лешници (сурови)</v>
      </c>
      <c r="C1483" s="7" t="str">
        <f>IFERROR(__xludf.DUMMYFUNCTION("""COMPUTED_VALUE"""),"100")</f>
        <v>100</v>
      </c>
      <c r="D1483" s="7">
        <f>IFERROR(__xludf.DUMMYFUNCTION("""COMPUTED_VALUE"""),15.0)</f>
        <v>15</v>
      </c>
      <c r="E1483" s="16">
        <f>IFERROR(__xludf.DUMMYFUNCTION("""COMPUTED_VALUE"""),16.0)</f>
        <v>16</v>
      </c>
      <c r="F1483" s="16">
        <f>IFERROR(__xludf.DUMMYFUNCTION("""COMPUTED_VALUE"""),60.0)</f>
        <v>60</v>
      </c>
      <c r="G1483" s="16">
        <f>IFERROR(__xludf.DUMMYFUNCTION("""COMPUTED_VALUE"""),10.0)</f>
        <v>10</v>
      </c>
      <c r="H1483" s="23">
        <f>IFERROR(__xludf.DUMMYFUNCTION("""COMPUTED_VALUE"""),664.0)</f>
        <v>664</v>
      </c>
    </row>
    <row r="1484">
      <c r="A1484" s="16" t="str">
        <f>IFERROR(__xludf.DUMMYFUNCTION("""COMPUTED_VALUE"""),"Ядки")</f>
        <v>Ядки</v>
      </c>
      <c r="B1484" s="7" t="str">
        <f>IFERROR(__xludf.DUMMYFUNCTION("""COMPUTED_VALUE"""),"Фъстъци (сурови)")</f>
        <v>Фъстъци (сурови)</v>
      </c>
      <c r="C1484" s="7" t="str">
        <f>IFERROR(__xludf.DUMMYFUNCTION("""COMPUTED_VALUE"""),"100")</f>
        <v>100</v>
      </c>
      <c r="D1484" s="7">
        <f>IFERROR(__xludf.DUMMYFUNCTION("""COMPUTED_VALUE"""),25.0)</f>
        <v>25</v>
      </c>
      <c r="E1484" s="16">
        <f>IFERROR(__xludf.DUMMYFUNCTION("""COMPUTED_VALUE"""),16.0)</f>
        <v>16</v>
      </c>
      <c r="F1484" s="16">
        <f>IFERROR(__xludf.DUMMYFUNCTION("""COMPUTED_VALUE"""),50.0)</f>
        <v>50</v>
      </c>
      <c r="G1484" s="16">
        <f>IFERROR(__xludf.DUMMYFUNCTION("""COMPUTED_VALUE"""),8.5)</f>
        <v>8.5</v>
      </c>
      <c r="H1484" s="23">
        <f>IFERROR(__xludf.DUMMYFUNCTION("""COMPUTED_VALUE"""),614.0)</f>
        <v>614</v>
      </c>
    </row>
    <row r="1485">
      <c r="A1485" s="16" t="str">
        <f>IFERROR(__xludf.DUMMYFUNCTION("""COMPUTED_VALUE"""),"Ядки")</f>
        <v>Ядки</v>
      </c>
      <c r="B1485" s="7" t="str">
        <f>IFERROR(__xludf.DUMMYFUNCTION("""COMPUTED_VALUE"""),"Шам фъстък (печен)")</f>
        <v>Шам фъстък (печен)</v>
      </c>
      <c r="C1485" s="7" t="str">
        <f>IFERROR(__xludf.DUMMYFUNCTION("""COMPUTED_VALUE"""),"100")</f>
        <v>100</v>
      </c>
      <c r="D1485" s="7">
        <f>IFERROR(__xludf.DUMMYFUNCTION("""COMPUTED_VALUE"""),20.0)</f>
        <v>20</v>
      </c>
      <c r="E1485" s="16">
        <f>IFERROR(__xludf.DUMMYFUNCTION("""COMPUTED_VALUE"""),27.0)</f>
        <v>27</v>
      </c>
      <c r="F1485" s="16">
        <f>IFERROR(__xludf.DUMMYFUNCTION("""COMPUTED_VALUE"""),45.0)</f>
        <v>45</v>
      </c>
      <c r="G1485" s="16">
        <f>IFERROR(__xludf.DUMMYFUNCTION("""COMPUTED_VALUE"""),10.0)</f>
        <v>10</v>
      </c>
      <c r="H1485" s="23">
        <f>IFERROR(__xludf.DUMMYFUNCTION("""COMPUTED_VALUE"""),593.0)</f>
        <v>593</v>
      </c>
    </row>
    <row r="1486">
      <c r="A1486" s="16" t="str">
        <f>IFERROR(__xludf.DUMMYFUNCTION("""COMPUTED_VALUE"""),"Ядки")</f>
        <v>Ядки</v>
      </c>
      <c r="B1486" s="7" t="str">
        <f>IFERROR(__xludf.DUMMYFUNCTION("""COMPUTED_VALUE"""),"Орехи (сурови)")</f>
        <v>Орехи (сурови)</v>
      </c>
      <c r="C1486" s="7" t="str">
        <f>IFERROR(__xludf.DUMMYFUNCTION("""COMPUTED_VALUE"""),"100")</f>
        <v>100</v>
      </c>
      <c r="D1486" s="7">
        <f>IFERROR(__xludf.DUMMYFUNCTION("""COMPUTED_VALUE"""),15.0)</f>
        <v>15</v>
      </c>
      <c r="E1486" s="16">
        <f>IFERROR(__xludf.DUMMYFUNCTION("""COMPUTED_VALUE"""),13.0)</f>
        <v>13</v>
      </c>
      <c r="F1486" s="16">
        <f>IFERROR(__xludf.DUMMYFUNCTION("""COMPUTED_VALUE"""),65.0)</f>
        <v>65</v>
      </c>
      <c r="G1486" s="16">
        <f>IFERROR(__xludf.DUMMYFUNCTION("""COMPUTED_VALUE"""),6.5)</f>
        <v>6.5</v>
      </c>
      <c r="H1486" s="23">
        <f>IFERROR(__xludf.DUMMYFUNCTION("""COMPUTED_VALUE"""),697.0)</f>
        <v>697</v>
      </c>
    </row>
    <row r="1487">
      <c r="A1487" s="16" t="str">
        <f>IFERROR(__xludf.DUMMYFUNCTION("""COMPUTED_VALUE"""),"Ядки")</f>
        <v>Ядки</v>
      </c>
      <c r="B1487" s="7" t="str">
        <f>IFERROR(__xludf.DUMMYFUNCTION("""COMPUTED_VALUE"""),"Бадеми (филирани)")</f>
        <v>Бадеми (филирани)</v>
      </c>
      <c r="C1487" s="7">
        <f>IFERROR(__xludf.DUMMYFUNCTION("""COMPUTED_VALUE"""),100.0)</f>
        <v>100</v>
      </c>
      <c r="D1487" s="7">
        <f>IFERROR(__xludf.DUMMYFUNCTION("""COMPUTED_VALUE"""),21.0)</f>
        <v>21</v>
      </c>
      <c r="E1487" s="16">
        <f>IFERROR(__xludf.DUMMYFUNCTION("""COMPUTED_VALUE"""),22.0)</f>
        <v>22</v>
      </c>
      <c r="F1487" s="16">
        <f>IFERROR(__xludf.DUMMYFUNCTION("""COMPUTED_VALUE"""),50.0)</f>
        <v>50</v>
      </c>
      <c r="G1487" s="16">
        <f>IFERROR(__xludf.DUMMYFUNCTION("""COMPUTED_VALUE"""),12.1)</f>
        <v>12.1</v>
      </c>
      <c r="H1487" s="23">
        <f>IFERROR(__xludf.DUMMYFUNCTION("""COMPUTED_VALUE"""),622.0)</f>
        <v>622</v>
      </c>
    </row>
    <row r="1488">
      <c r="A1488" s="16" t="str">
        <f>IFERROR(__xludf.DUMMYFUNCTION("""COMPUTED_VALUE"""),"Ядки")</f>
        <v>Ядки</v>
      </c>
      <c r="B1488" s="7" t="str">
        <f>IFERROR(__xludf.DUMMYFUNCTION("""COMPUTED_VALUE"""),"Микс от семена-тиквено, слънчогледово, ленено, сусамово /сурово сустояние(Лидъл)")</f>
        <v>Микс от семена-тиквено, слънчогледово, ленено, сусамово /сурово сустояние(Лидъл)</v>
      </c>
      <c r="C1488" s="7">
        <f>IFERROR(__xludf.DUMMYFUNCTION("""COMPUTED_VALUE"""),100.0)</f>
        <v>100</v>
      </c>
      <c r="D1488" s="7">
        <f>IFERROR(__xludf.DUMMYFUNCTION("""COMPUTED_VALUE"""),26.0)</f>
        <v>26</v>
      </c>
      <c r="E1488" s="16">
        <f>IFERROR(__xludf.DUMMYFUNCTION("""COMPUTED_VALUE"""),4.1)</f>
        <v>4.1</v>
      </c>
      <c r="F1488" s="16">
        <f>IFERROR(__xludf.DUMMYFUNCTION("""COMPUTED_VALUE"""),50.2)</f>
        <v>50.2</v>
      </c>
      <c r="G1488" s="16">
        <f>IFERROR(__xludf.DUMMYFUNCTION("""COMPUTED_VALUE"""),9.3)</f>
        <v>9.3</v>
      </c>
      <c r="H1488" s="23">
        <f>IFERROR(__xludf.DUMMYFUNCTION("""COMPUTED_VALUE"""),572.2)</f>
        <v>572.2</v>
      </c>
    </row>
    <row r="1489">
      <c r="A1489" s="16" t="str">
        <f>IFERROR(__xludf.DUMMYFUNCTION("""COMPUTED_VALUE"""),"Ядки")</f>
        <v>Ядки</v>
      </c>
      <c r="B1489" s="7" t="str">
        <f>IFERROR(__xludf.DUMMYFUNCTION("""COMPUTED_VALUE"""),"Кестени (варени)")</f>
        <v>Кестени (варени)</v>
      </c>
      <c r="C1489" s="7">
        <f>IFERROR(__xludf.DUMMYFUNCTION("""COMPUTED_VALUE"""),100.0)</f>
        <v>100</v>
      </c>
      <c r="D1489" s="7">
        <f>IFERROR(__xludf.DUMMYFUNCTION("""COMPUTED_VALUE"""),2.0)</f>
        <v>2</v>
      </c>
      <c r="E1489" s="16">
        <f>IFERROR(__xludf.DUMMYFUNCTION("""COMPUTED_VALUE"""),27.76)</f>
        <v>27.76</v>
      </c>
      <c r="F1489" s="16">
        <f>IFERROR(__xludf.DUMMYFUNCTION("""COMPUTED_VALUE"""),1.38)</f>
        <v>1.38</v>
      </c>
      <c r="G1489" s="16">
        <f>IFERROR(__xludf.DUMMYFUNCTION("""COMPUTED_VALUE"""),0.0)</f>
        <v>0</v>
      </c>
      <c r="H1489" s="23">
        <f>IFERROR(__xludf.DUMMYFUNCTION("""COMPUTED_VALUE"""),131.46)</f>
        <v>131.46</v>
      </c>
    </row>
    <row r="1490">
      <c r="A1490" s="16" t="str">
        <f>IFERROR(__xludf.DUMMYFUNCTION("""COMPUTED_VALUE"""),"Ядки")</f>
        <v>Ядки</v>
      </c>
      <c r="B1490" s="7" t="str">
        <f>IFERROR(__xludf.DUMMYFUNCTION("""COMPUTED_VALUE"""),"Печена соя")</f>
        <v>Печена соя</v>
      </c>
      <c r="C1490" s="7">
        <f>IFERROR(__xludf.DUMMYFUNCTION("""COMPUTED_VALUE"""),100.0)</f>
        <v>100</v>
      </c>
      <c r="D1490" s="7">
        <f>IFERROR(__xludf.DUMMYFUNCTION("""COMPUTED_VALUE"""),36.22)</f>
        <v>36.22</v>
      </c>
      <c r="E1490" s="16">
        <f>IFERROR(__xludf.DUMMYFUNCTION("""COMPUTED_VALUE"""),33.65)</f>
        <v>33.65</v>
      </c>
      <c r="F1490" s="16">
        <f>IFERROR(__xludf.DUMMYFUNCTION("""COMPUTED_VALUE"""),25.4)</f>
        <v>25.4</v>
      </c>
      <c r="G1490" s="16">
        <f>IFERROR(__xludf.DUMMYFUNCTION("""COMPUTED_VALUE"""),0.0)</f>
        <v>0</v>
      </c>
      <c r="H1490" s="23">
        <f>IFERROR(__xludf.DUMMYFUNCTION("""COMPUTED_VALUE"""),508.08000000000004)</f>
        <v>508.08</v>
      </c>
    </row>
    <row r="1491">
      <c r="A1491" s="16" t="str">
        <f>IFERROR(__xludf.DUMMYFUNCTION("""COMPUTED_VALUE"""),"Ядки")</f>
        <v>Ядки</v>
      </c>
      <c r="B1491" s="7" t="str">
        <f>IFERROR(__xludf.DUMMYFUNCTION("""COMPUTED_VALUE"""),"Лешници натрошени печени Lidl")</f>
        <v>Лешници натрошени печени Lidl</v>
      </c>
      <c r="C1491" s="7">
        <f>IFERROR(__xludf.DUMMYFUNCTION("""COMPUTED_VALUE"""),100.0)</f>
        <v>100</v>
      </c>
      <c r="D1491" s="7">
        <f>IFERROR(__xludf.DUMMYFUNCTION("""COMPUTED_VALUE"""),16.5)</f>
        <v>16.5</v>
      </c>
      <c r="E1491" s="16">
        <f>IFERROR(__xludf.DUMMYFUNCTION("""COMPUTED_VALUE"""),4.5)</f>
        <v>4.5</v>
      </c>
      <c r="F1491" s="16">
        <f>IFERROR(__xludf.DUMMYFUNCTION("""COMPUTED_VALUE"""),65.0)</f>
        <v>65</v>
      </c>
      <c r="G1491" s="16">
        <f>IFERROR(__xludf.DUMMYFUNCTION("""COMPUTED_VALUE"""),0.0)</f>
        <v>0</v>
      </c>
      <c r="H1491" s="23">
        <f>IFERROR(__xludf.DUMMYFUNCTION("""COMPUTED_VALUE"""),669.0)</f>
        <v>669</v>
      </c>
    </row>
    <row r="1492">
      <c r="A1492" s="16" t="str">
        <f>IFERROR(__xludf.DUMMYFUNCTION("""COMPUTED_VALUE"""),"Ядки")</f>
        <v>Ядки</v>
      </c>
      <c r="B1492" s="7" t="str">
        <f>IFERROR(__xludf.DUMMYFUNCTION("""COMPUTED_VALUE"""),"Филирани бадеми Кауфланд")</f>
        <v>Филирани бадеми Кауфланд</v>
      </c>
      <c r="C1492" s="7">
        <f>IFERROR(__xludf.DUMMYFUNCTION("""COMPUTED_VALUE"""),100.0)</f>
        <v>100</v>
      </c>
      <c r="D1492" s="7">
        <f>IFERROR(__xludf.DUMMYFUNCTION("""COMPUTED_VALUE"""),24.0)</f>
        <v>24</v>
      </c>
      <c r="E1492" s="16">
        <f>IFERROR(__xludf.DUMMYFUNCTION("""COMPUTED_VALUE"""),5.7)</f>
        <v>5.7</v>
      </c>
      <c r="F1492" s="16">
        <f>IFERROR(__xludf.DUMMYFUNCTION("""COMPUTED_VALUE"""),53.0)</f>
        <v>53</v>
      </c>
      <c r="G1492" s="16">
        <f>IFERROR(__xludf.DUMMYFUNCTION("""COMPUTED_VALUE"""),11.0)</f>
        <v>11</v>
      </c>
      <c r="H1492" s="23">
        <f>IFERROR(__xludf.DUMMYFUNCTION("""COMPUTED_VALUE"""),595.8)</f>
        <v>595.8</v>
      </c>
    </row>
    <row r="1493">
      <c r="A1493" s="16" t="str">
        <f>IFERROR(__xludf.DUMMYFUNCTION("""COMPUTED_VALUE"""),"Ядки")</f>
        <v>Ядки</v>
      </c>
      <c r="B1493" s="7" t="str">
        <f>IFERROR(__xludf.DUMMYFUNCTION("""COMPUTED_VALUE"""),"Пекан")</f>
        <v>Пекан</v>
      </c>
      <c r="C1493" s="7">
        <f>IFERROR(__xludf.DUMMYFUNCTION("""COMPUTED_VALUE"""),100.0)</f>
        <v>100</v>
      </c>
      <c r="D1493" s="7">
        <f>IFERROR(__xludf.DUMMYFUNCTION("""COMPUTED_VALUE"""),9.5)</f>
        <v>9.5</v>
      </c>
      <c r="E1493" s="16">
        <f>IFERROR(__xludf.DUMMYFUNCTION("""COMPUTED_VALUE"""),14.0)</f>
        <v>14</v>
      </c>
      <c r="F1493" s="16">
        <f>IFERROR(__xludf.DUMMYFUNCTION("""COMPUTED_VALUE"""),75.0)</f>
        <v>75</v>
      </c>
      <c r="G1493" s="16">
        <f>IFERROR(__xludf.DUMMYFUNCTION("""COMPUTED_VALUE"""),9.0)</f>
        <v>9</v>
      </c>
      <c r="H1493" s="23">
        <f>IFERROR(__xludf.DUMMYFUNCTION("""COMPUTED_VALUE"""),769.0)</f>
        <v>769</v>
      </c>
    </row>
    <row r="1494">
      <c r="A1494" s="16" t="str">
        <f>IFERROR(__xludf.DUMMYFUNCTION("""COMPUTED_VALUE"""),"Ядки")</f>
        <v>Ядки</v>
      </c>
      <c r="B1494" s="7" t="str">
        <f>IFERROR(__xludf.DUMMYFUNCTION("""COMPUTED_VALUE"""),"Бадеми (печени, със сол)")</f>
        <v>Бадеми (печени, със сол)</v>
      </c>
      <c r="C1494" s="7">
        <f>IFERROR(__xludf.DUMMYFUNCTION("""COMPUTED_VALUE"""),100.0)</f>
        <v>100</v>
      </c>
      <c r="D1494" s="7">
        <f>IFERROR(__xludf.DUMMYFUNCTION("""COMPUTED_VALUE"""),20.96)</f>
        <v>20.96</v>
      </c>
      <c r="E1494" s="16">
        <f>IFERROR(__xludf.DUMMYFUNCTION("""COMPUTED_VALUE"""),21.01)</f>
        <v>21.01</v>
      </c>
      <c r="F1494" s="16">
        <f>IFERROR(__xludf.DUMMYFUNCTION("""COMPUTED_VALUE"""),52.54)</f>
        <v>52.54</v>
      </c>
      <c r="G1494" s="16">
        <f>IFERROR(__xludf.DUMMYFUNCTION("""COMPUTED_VALUE"""),0.0)</f>
        <v>0</v>
      </c>
      <c r="H1494" s="23">
        <f>IFERROR(__xludf.DUMMYFUNCTION("""COMPUTED_VALUE"""),640.74)</f>
        <v>640.74</v>
      </c>
    </row>
    <row r="1495">
      <c r="A1495" s="16" t="str">
        <f>IFERROR(__xludf.DUMMYFUNCTION("""COMPUTED_VALUE"""),"Ядки")</f>
        <v>Ядки</v>
      </c>
      <c r="B1495" s="7" t="str">
        <f>IFERROR(__xludf.DUMMYFUNCTION("""COMPUTED_VALUE"""),"Кашу (печено, със сол)")</f>
        <v>Кашу (печено, със сол)</v>
      </c>
      <c r="C1495" s="7">
        <f>IFERROR(__xludf.DUMMYFUNCTION("""COMPUTED_VALUE"""),100.0)</f>
        <v>100</v>
      </c>
      <c r="D1495" s="7">
        <f>IFERROR(__xludf.DUMMYFUNCTION("""COMPUTED_VALUE"""),15.31)</f>
        <v>15.31</v>
      </c>
      <c r="E1495" s="16">
        <f>IFERROR(__xludf.DUMMYFUNCTION("""COMPUTED_VALUE"""),32.69)</f>
        <v>32.69</v>
      </c>
      <c r="F1495" s="16">
        <f>IFERROR(__xludf.DUMMYFUNCTION("""COMPUTED_VALUE"""),46.35)</f>
        <v>46.35</v>
      </c>
      <c r="G1495" s="16">
        <f>IFERROR(__xludf.DUMMYFUNCTION("""COMPUTED_VALUE"""),0.0)</f>
        <v>0</v>
      </c>
      <c r="H1495" s="23">
        <f>IFERROR(__xludf.DUMMYFUNCTION("""COMPUTED_VALUE"""),609.1500000000001)</f>
        <v>609.15</v>
      </c>
    </row>
    <row r="1496">
      <c r="A1496" s="16" t="str">
        <f>IFERROR(__xludf.DUMMYFUNCTION("""COMPUTED_VALUE"""),"Ядки")</f>
        <v>Ядки</v>
      </c>
      <c r="B1496" s="7" t="str">
        <f>IFERROR(__xludf.DUMMYFUNCTION("""COMPUTED_VALUE"""),"Тиквени семки - сурови - Роис")</f>
        <v>Тиквени семки - сурови - Роис</v>
      </c>
      <c r="C1496" s="12">
        <f>IFERROR(__xludf.DUMMYFUNCTION("""COMPUTED_VALUE"""),100.0)</f>
        <v>100</v>
      </c>
      <c r="D1496" s="7">
        <f>IFERROR(__xludf.DUMMYFUNCTION("""COMPUTED_VALUE"""),25.0)</f>
        <v>25</v>
      </c>
      <c r="E1496" s="16">
        <f>IFERROR(__xludf.DUMMYFUNCTION("""COMPUTED_VALUE"""),18.0)</f>
        <v>18</v>
      </c>
      <c r="F1496" s="16">
        <f>IFERROR(__xludf.DUMMYFUNCTION("""COMPUTED_VALUE"""),46.0)</f>
        <v>46</v>
      </c>
      <c r="G1496" s="16">
        <f>IFERROR(__xludf.DUMMYFUNCTION("""COMPUTED_VALUE"""),4.0)</f>
        <v>4</v>
      </c>
      <c r="H1496" s="16">
        <f>IFERROR(__xludf.DUMMYFUNCTION("""COMPUTED_VALUE"""),586.0)</f>
        <v>586</v>
      </c>
    </row>
    <row r="1497">
      <c r="A1497" s="16" t="str">
        <f>IFERROR(__xludf.DUMMYFUNCTION("""COMPUTED_VALUE"""),"Ядки")</f>
        <v>Ядки</v>
      </c>
      <c r="B1497" s="7" t="str">
        <f>IFERROR(__xludf.DUMMYFUNCTION("""COMPUTED_VALUE"""),"Печени фъстъци Detelina´s")</f>
        <v>Печени фъстъци Detelina´s</v>
      </c>
      <c r="C1497" s="12">
        <f>IFERROR(__xludf.DUMMYFUNCTION("""COMPUTED_VALUE"""),100.0)</f>
        <v>100</v>
      </c>
      <c r="D1497" s="7">
        <f>IFERROR(__xludf.DUMMYFUNCTION("""COMPUTED_VALUE"""),26.8)</f>
        <v>26.8</v>
      </c>
      <c r="E1497" s="16">
        <f>IFERROR(__xludf.DUMMYFUNCTION("""COMPUTED_VALUE"""),15.5)</f>
        <v>15.5</v>
      </c>
      <c r="F1497" s="16">
        <f>IFERROR(__xludf.DUMMYFUNCTION("""COMPUTED_VALUE"""),41.5)</f>
        <v>41.5</v>
      </c>
      <c r="G1497" s="16">
        <f>IFERROR(__xludf.DUMMYFUNCTION("""COMPUTED_VALUE"""),9.2)</f>
        <v>9.2</v>
      </c>
      <c r="H1497" s="16">
        <f>IFERROR(__xludf.DUMMYFUNCTION("""COMPUTED_VALUE"""),542.7)</f>
        <v>542.7</v>
      </c>
    </row>
    <row r="1498">
      <c r="A1498" s="16" t="str">
        <f>IFERROR(__xludf.DUMMYFUNCTION("""COMPUTED_VALUE"""),"Ядки")</f>
        <v>Ядки</v>
      </c>
      <c r="B1498" s="7" t="str">
        <f>IFERROR(__xludf.DUMMYFUNCTION("""COMPUTED_VALUE"""),"Кайсиеви ядки (сурови)")</f>
        <v>Кайсиеви ядки (сурови)</v>
      </c>
      <c r="C1498" s="12">
        <f>IFERROR(__xludf.DUMMYFUNCTION("""COMPUTED_VALUE"""),100.0)</f>
        <v>100</v>
      </c>
      <c r="D1498" s="7">
        <f>IFERROR(__xludf.DUMMYFUNCTION("""COMPUTED_VALUE"""),7.0)</f>
        <v>7</v>
      </c>
      <c r="E1498" s="16">
        <f>IFERROR(__xludf.DUMMYFUNCTION("""COMPUTED_VALUE"""),7.0)</f>
        <v>7</v>
      </c>
      <c r="F1498" s="16">
        <f>IFERROR(__xludf.DUMMYFUNCTION("""COMPUTED_VALUE"""),14.0)</f>
        <v>14</v>
      </c>
      <c r="G1498" s="16">
        <f>IFERROR(__xludf.DUMMYFUNCTION("""COMPUTED_VALUE"""),0.0)</f>
        <v>0</v>
      </c>
      <c r="H1498" s="16">
        <f>IFERROR(__xludf.DUMMYFUNCTION("""COMPUTED_VALUE"""),182.0)</f>
        <v>182</v>
      </c>
    </row>
    <row r="1499">
      <c r="A1499" s="16" t="str">
        <f>IFERROR(__xludf.DUMMYFUNCTION("""COMPUTED_VALUE"""),"Ядки")</f>
        <v>Ядки</v>
      </c>
      <c r="B1499" s="7" t="str">
        <f>IFERROR(__xludf.DUMMYFUNCTION("""COMPUTED_VALUE"""),"Семена MIX- Farmer´S Snack")</f>
        <v>Семена MIX- Farmer´S Snack</v>
      </c>
      <c r="C1499" s="12">
        <f>IFERROR(__xludf.DUMMYFUNCTION("""COMPUTED_VALUE"""),100.0)</f>
        <v>100</v>
      </c>
      <c r="D1499" s="7">
        <f>IFERROR(__xludf.DUMMYFUNCTION("""COMPUTED_VALUE"""),27.0)</f>
        <v>27</v>
      </c>
      <c r="E1499" s="16">
        <f>IFERROR(__xludf.DUMMYFUNCTION("""COMPUTED_VALUE"""),12.0)</f>
        <v>12</v>
      </c>
      <c r="F1499" s="16">
        <f>IFERROR(__xludf.DUMMYFUNCTION("""COMPUTED_VALUE"""),49.0)</f>
        <v>49</v>
      </c>
      <c r="G1499" s="16">
        <f>IFERROR(__xludf.DUMMYFUNCTION("""COMPUTED_VALUE"""),0.0)</f>
        <v>0</v>
      </c>
      <c r="H1499" s="16">
        <f>IFERROR(__xludf.DUMMYFUNCTION("""COMPUTED_VALUE"""),597.0)</f>
        <v>597</v>
      </c>
    </row>
    <row r="1500">
      <c r="A1500" s="16" t="str">
        <f>IFERROR(__xludf.DUMMYFUNCTION("""COMPUTED_VALUE"""),"Ядкови масла")</f>
        <v>Ядкови масла</v>
      </c>
      <c r="B1500" s="7" t="str">
        <f>IFERROR(__xludf.DUMMYFUNCTION("""COMPUTED_VALUE"""),"Фъстъчено масло Балчо (нискомаслено)")</f>
        <v>Фъстъчено масло Балчо (нискомаслено)</v>
      </c>
      <c r="C1500" s="12">
        <f>IFERROR(__xludf.DUMMYFUNCTION("""COMPUTED_VALUE"""),100.0)</f>
        <v>100</v>
      </c>
      <c r="D1500" s="7">
        <f>IFERROR(__xludf.DUMMYFUNCTION("""COMPUTED_VALUE"""),50.2)</f>
        <v>50.2</v>
      </c>
      <c r="E1500" s="16">
        <f>IFERROR(__xludf.DUMMYFUNCTION("""COMPUTED_VALUE"""),13.5)</f>
        <v>13.5</v>
      </c>
      <c r="F1500" s="16">
        <f>IFERROR(__xludf.DUMMYFUNCTION("""COMPUTED_VALUE"""),33.5)</f>
        <v>33.5</v>
      </c>
      <c r="G1500" s="16">
        <f>IFERROR(__xludf.DUMMYFUNCTION("""COMPUTED_VALUE"""),6.0)</f>
        <v>6</v>
      </c>
      <c r="H1500" s="23">
        <f>IFERROR(__xludf.DUMMYFUNCTION("""COMPUTED_VALUE"""),556.3)</f>
        <v>556.3</v>
      </c>
    </row>
    <row r="1501">
      <c r="A1501" s="16" t="str">
        <f>IFERROR(__xludf.DUMMYFUNCTION("""COMPUTED_VALUE"""),"Ядкови масла")</f>
        <v>Ядкови масла</v>
      </c>
      <c r="B1501" s="7" t="str">
        <f>IFERROR(__xludf.DUMMYFUNCTION("""COMPUTED_VALUE"""),"Фъстъчено масло (натурално)")</f>
        <v>Фъстъчено масло (натурално)</v>
      </c>
      <c r="C1501" s="7" t="str">
        <f>IFERROR(__xludf.DUMMYFUNCTION("""COMPUTED_VALUE"""),"100")</f>
        <v>100</v>
      </c>
      <c r="D1501" s="7">
        <f>IFERROR(__xludf.DUMMYFUNCTION("""COMPUTED_VALUE"""),25.0)</f>
        <v>25</v>
      </c>
      <c r="E1501" s="16">
        <f>IFERROR(__xludf.DUMMYFUNCTION("""COMPUTED_VALUE"""),16.0)</f>
        <v>16</v>
      </c>
      <c r="F1501" s="16">
        <f>IFERROR(__xludf.DUMMYFUNCTION("""COMPUTED_VALUE"""),50.0)</f>
        <v>50</v>
      </c>
      <c r="G1501" s="16">
        <f>IFERROR(__xludf.DUMMYFUNCTION("""COMPUTED_VALUE"""),8.5)</f>
        <v>8.5</v>
      </c>
      <c r="H1501" s="23">
        <f>IFERROR(__xludf.DUMMYFUNCTION("""COMPUTED_VALUE"""),614.0)</f>
        <v>614</v>
      </c>
    </row>
    <row r="1502">
      <c r="A1502" s="16" t="str">
        <f>IFERROR(__xludf.DUMMYFUNCTION("""COMPUTED_VALUE"""),"Ядкови масла")</f>
        <v>Ядкови масла</v>
      </c>
      <c r="B1502" s="7" t="str">
        <f>IFERROR(__xludf.DUMMYFUNCTION("""COMPUTED_VALUE"""),"Сусамов тахан (всички видове)")</f>
        <v>Сусамов тахан (всички видове)</v>
      </c>
      <c r="C1502" s="7" t="str">
        <f>IFERROR(__xludf.DUMMYFUNCTION("""COMPUTED_VALUE"""),"100")</f>
        <v>100</v>
      </c>
      <c r="D1502" s="7">
        <f>IFERROR(__xludf.DUMMYFUNCTION("""COMPUTED_VALUE"""),20.0)</f>
        <v>20</v>
      </c>
      <c r="E1502" s="16">
        <f>IFERROR(__xludf.DUMMYFUNCTION("""COMPUTED_VALUE"""),12.0)</f>
        <v>12</v>
      </c>
      <c r="F1502" s="16">
        <f>IFERROR(__xludf.DUMMYFUNCTION("""COMPUTED_VALUE"""),56.0)</f>
        <v>56</v>
      </c>
      <c r="G1502" s="16">
        <f>IFERROR(__xludf.DUMMYFUNCTION("""COMPUTED_VALUE"""),10.0)</f>
        <v>10</v>
      </c>
      <c r="H1502" s="23">
        <f>IFERROR(__xludf.DUMMYFUNCTION("""COMPUTED_VALUE"""),632.0)</f>
        <v>632</v>
      </c>
    </row>
    <row r="1503">
      <c r="A1503" s="16" t="str">
        <f>IFERROR(__xludf.DUMMYFUNCTION("""COMPUTED_VALUE"""),"Ядкови масла")</f>
        <v>Ядкови масла</v>
      </c>
      <c r="B1503" s="7" t="str">
        <f>IFERROR(__xludf.DUMMYFUNCTION("""COMPUTED_VALUE"""),"Лешников тахан (всички видове)")</f>
        <v>Лешников тахан (всички видове)</v>
      </c>
      <c r="C1503" s="7">
        <f>IFERROR(__xludf.DUMMYFUNCTION("""COMPUTED_VALUE"""),100.0)</f>
        <v>100</v>
      </c>
      <c r="D1503" s="7">
        <f>IFERROR(__xludf.DUMMYFUNCTION("""COMPUTED_VALUE"""),15.0)</f>
        <v>15</v>
      </c>
      <c r="E1503" s="16">
        <f>IFERROR(__xludf.DUMMYFUNCTION("""COMPUTED_VALUE"""),18.0)</f>
        <v>18</v>
      </c>
      <c r="F1503" s="16">
        <f>IFERROR(__xludf.DUMMYFUNCTION("""COMPUTED_VALUE"""),62.0)</f>
        <v>62</v>
      </c>
      <c r="G1503" s="16">
        <f>IFERROR(__xludf.DUMMYFUNCTION("""COMPUTED_VALUE"""),9.0)</f>
        <v>9</v>
      </c>
      <c r="H1503" s="23">
        <f>IFERROR(__xludf.DUMMYFUNCTION("""COMPUTED_VALUE"""),690.0)</f>
        <v>690</v>
      </c>
    </row>
    <row r="1504">
      <c r="A1504" s="16" t="str">
        <f>IFERROR(__xludf.DUMMYFUNCTION("""COMPUTED_VALUE"""),"Ядкови масла")</f>
        <v>Ядкови масла</v>
      </c>
      <c r="B1504" s="7" t="str">
        <f>IFERROR(__xludf.DUMMYFUNCTION("""COMPUTED_VALUE"""),"Фъстъчено масло Малвина")</f>
        <v>Фъстъчено масло Малвина</v>
      </c>
      <c r="C1504" s="7">
        <f>IFERROR(__xludf.DUMMYFUNCTION("""COMPUTED_VALUE"""),100.0)</f>
        <v>100</v>
      </c>
      <c r="D1504" s="7">
        <f>IFERROR(__xludf.DUMMYFUNCTION("""COMPUTED_VALUE"""),18.0)</f>
        <v>18</v>
      </c>
      <c r="E1504" s="16">
        <f>IFERROR(__xludf.DUMMYFUNCTION("""COMPUTED_VALUE"""),23.0)</f>
        <v>23</v>
      </c>
      <c r="F1504" s="16">
        <f>IFERROR(__xludf.DUMMYFUNCTION("""COMPUTED_VALUE"""),41.0)</f>
        <v>41</v>
      </c>
      <c r="G1504" s="16">
        <f>IFERROR(__xludf.DUMMYFUNCTION("""COMPUTED_VALUE"""),0.0)</f>
        <v>0</v>
      </c>
      <c r="H1504" s="23">
        <f>IFERROR(__xludf.DUMMYFUNCTION("""COMPUTED_VALUE"""),533.0)</f>
        <v>533</v>
      </c>
    </row>
    <row r="1505">
      <c r="A1505" s="16" t="str">
        <f>IFERROR(__xludf.DUMMYFUNCTION("""COMPUTED_VALUE"""),"Ядкови масла")</f>
        <v>Ядкови масла</v>
      </c>
      <c r="B1505" s="7" t="str">
        <f>IFERROR(__xludf.DUMMYFUNCTION("""COMPUTED_VALUE"""),"Бадемово масло")</f>
        <v>Бадемово масло</v>
      </c>
      <c r="C1505" s="7">
        <f>IFERROR(__xludf.DUMMYFUNCTION("""COMPUTED_VALUE"""),100.0)</f>
        <v>100</v>
      </c>
      <c r="D1505" s="7">
        <f>IFERROR(__xludf.DUMMYFUNCTION("""COMPUTED_VALUE"""),24.5)</f>
        <v>24.5</v>
      </c>
      <c r="E1505" s="16">
        <f>IFERROR(__xludf.DUMMYFUNCTION("""COMPUTED_VALUE"""),8.0)</f>
        <v>8</v>
      </c>
      <c r="F1505" s="16">
        <f>IFERROR(__xludf.DUMMYFUNCTION("""COMPUTED_VALUE"""),52.9)</f>
        <v>52.9</v>
      </c>
      <c r="G1505" s="16">
        <f>IFERROR(__xludf.DUMMYFUNCTION("""COMPUTED_VALUE"""),9.3)</f>
        <v>9.3</v>
      </c>
      <c r="H1505" s="23">
        <f>IFERROR(__xludf.DUMMYFUNCTION("""COMPUTED_VALUE"""),606.0999999999999)</f>
        <v>606.1</v>
      </c>
    </row>
    <row r="1506">
      <c r="A1506" s="16" t="str">
        <f>IFERROR(__xludf.DUMMYFUNCTION("""COMPUTED_VALUE"""),"Ядкови масла")</f>
        <v>Ядкови масла</v>
      </c>
      <c r="B1506" s="7" t="str">
        <f>IFERROR(__xludf.DUMMYFUNCTION("""COMPUTED_VALUE"""),"Бадемов крем Sisinni Pro 20")</f>
        <v>Бадемов крем Sisinni Pro 20</v>
      </c>
      <c r="C1506" s="7">
        <f>IFERROR(__xludf.DUMMYFUNCTION("""COMPUTED_VALUE"""),100.0)</f>
        <v>100</v>
      </c>
      <c r="D1506" s="7">
        <f>IFERROR(__xludf.DUMMYFUNCTION("""COMPUTED_VALUE"""),20.0)</f>
        <v>20</v>
      </c>
      <c r="E1506" s="16">
        <f>IFERROR(__xludf.DUMMYFUNCTION("""COMPUTED_VALUE"""),34.0)</f>
        <v>34</v>
      </c>
      <c r="F1506" s="16">
        <f>IFERROR(__xludf.DUMMYFUNCTION("""COMPUTED_VALUE"""),40.0)</f>
        <v>40</v>
      </c>
      <c r="G1506" s="16">
        <f>IFERROR(__xludf.DUMMYFUNCTION("""COMPUTED_VALUE"""),0.0)</f>
        <v>0</v>
      </c>
      <c r="H1506" s="23">
        <f>IFERROR(__xludf.DUMMYFUNCTION("""COMPUTED_VALUE"""),576.0)</f>
        <v>576</v>
      </c>
    </row>
    <row r="1507">
      <c r="A1507" s="16" t="str">
        <f>IFERROR(__xludf.DUMMYFUNCTION("""COMPUTED_VALUE"""),"Ядкови масла")</f>
        <v>Ядкови масла</v>
      </c>
      <c r="B1507" s="7" t="str">
        <f>IFERROR(__xludf.DUMMYFUNCTION("""COMPUTED_VALUE"""),"Орехов тахан био- Белун")</f>
        <v>Орехов тахан био- Белун</v>
      </c>
      <c r="C1507" s="7">
        <f>IFERROR(__xludf.DUMMYFUNCTION("""COMPUTED_VALUE"""),100.0)</f>
        <v>100</v>
      </c>
      <c r="D1507" s="7">
        <f>IFERROR(__xludf.DUMMYFUNCTION("""COMPUTED_VALUE"""),13.74)</f>
        <v>13.74</v>
      </c>
      <c r="E1507" s="16">
        <f>IFERROR(__xludf.DUMMYFUNCTION("""COMPUTED_VALUE"""),18.26)</f>
        <v>18.26</v>
      </c>
      <c r="F1507" s="16">
        <f>IFERROR(__xludf.DUMMYFUNCTION("""COMPUTED_VALUE"""),66.77)</f>
        <v>66.77</v>
      </c>
      <c r="G1507" s="16">
        <f>IFERROR(__xludf.DUMMYFUNCTION("""COMPUTED_VALUE"""),0.0)</f>
        <v>0</v>
      </c>
      <c r="H1507" s="23">
        <f>IFERROR(__xludf.DUMMYFUNCTION("""COMPUTED_VALUE"""),728.93)</f>
        <v>728.93</v>
      </c>
    </row>
    <row r="1508">
      <c r="A1508" s="16" t="str">
        <f>IFERROR(__xludf.DUMMYFUNCTION("""COMPUTED_VALUE"""),"Ядкови масла")</f>
        <v>Ядкови масла</v>
      </c>
      <c r="B1508" s="7" t="str">
        <f>IFERROR(__xludf.DUMMYFUNCTION("""COMPUTED_VALUE"""),"Бадемов тахан (всички видове)")</f>
        <v>Бадемов тахан (всички видове)</v>
      </c>
      <c r="C1508" s="7">
        <f>IFERROR(__xludf.DUMMYFUNCTION("""COMPUTED_VALUE"""),100.0)</f>
        <v>100</v>
      </c>
      <c r="D1508" s="7">
        <f>IFERROR(__xludf.DUMMYFUNCTION("""COMPUTED_VALUE"""),24.0)</f>
        <v>24</v>
      </c>
      <c r="E1508" s="16">
        <f>IFERROR(__xludf.DUMMYFUNCTION("""COMPUTED_VALUE"""),20.0)</f>
        <v>20</v>
      </c>
      <c r="F1508" s="16">
        <f>IFERROR(__xludf.DUMMYFUNCTION("""COMPUTED_VALUE"""),54.0)</f>
        <v>54</v>
      </c>
      <c r="G1508" s="16">
        <f>IFERROR(__xludf.DUMMYFUNCTION("""COMPUTED_VALUE"""),0.0)</f>
        <v>0</v>
      </c>
      <c r="H1508" s="23">
        <f>IFERROR(__xludf.DUMMYFUNCTION("""COMPUTED_VALUE"""),662.0)</f>
        <v>662</v>
      </c>
    </row>
    <row r="1509">
      <c r="A1509" s="16" t="str">
        <f>IFERROR(__xludf.DUMMYFUNCTION("""COMPUTED_VALUE"""),"Ядкови масла")</f>
        <v>Ядкови масла</v>
      </c>
      <c r="B1509" s="7" t="str">
        <f>IFERROR(__xludf.DUMMYFUNCTION("""COMPUTED_VALUE"""),"Фъстъчено масло с повече протеин")</f>
        <v>Фъстъчено масло с повече протеин</v>
      </c>
      <c r="C1509" s="12">
        <f>IFERROR(__xludf.DUMMYFUNCTION("""COMPUTED_VALUE"""),100.0)</f>
        <v>100</v>
      </c>
      <c r="D1509" s="7">
        <f>IFERROR(__xludf.DUMMYFUNCTION("""COMPUTED_VALUE"""),42.0)</f>
        <v>42</v>
      </c>
      <c r="E1509" s="16">
        <f>IFERROR(__xludf.DUMMYFUNCTION("""COMPUTED_VALUE"""),19.0)</f>
        <v>19</v>
      </c>
      <c r="F1509" s="16">
        <f>IFERROR(__xludf.DUMMYFUNCTION("""COMPUTED_VALUE"""),38.0)</f>
        <v>38</v>
      </c>
      <c r="G1509" s="16">
        <f>IFERROR(__xludf.DUMMYFUNCTION("""COMPUTED_VALUE"""),0.0)</f>
        <v>0</v>
      </c>
      <c r="H1509" s="16">
        <f>IFERROR(__xludf.DUMMYFUNCTION("""COMPUTED_VALUE"""),586.0)</f>
        <v>586</v>
      </c>
    </row>
    <row r="1510">
      <c r="A1510" s="16" t="str">
        <f>IFERROR(__xludf.DUMMYFUNCTION("""COMPUTED_VALUE"""),"Яйца")</f>
        <v>Яйца</v>
      </c>
      <c r="B1510" s="7" t="str">
        <f>IFERROR(__xludf.DUMMYFUNCTION("""COMPUTED_VALUE"""),"Цяло яйце")</f>
        <v>Цяло яйце</v>
      </c>
      <c r="C1510" s="7" t="str">
        <f>IFERROR(__xludf.DUMMYFUNCTION("""COMPUTED_VALUE"""),"100")</f>
        <v>100</v>
      </c>
      <c r="D1510" s="7">
        <f>IFERROR(__xludf.DUMMYFUNCTION("""COMPUTED_VALUE"""),12.6)</f>
        <v>12.6</v>
      </c>
      <c r="E1510" s="16">
        <f>IFERROR(__xludf.DUMMYFUNCTION("""COMPUTED_VALUE"""),0.8)</f>
        <v>0.8</v>
      </c>
      <c r="F1510" s="16">
        <f>IFERROR(__xludf.DUMMYFUNCTION("""COMPUTED_VALUE"""),9.9)</f>
        <v>9.9</v>
      </c>
      <c r="G1510" s="16">
        <f>IFERROR(__xludf.DUMMYFUNCTION("""COMPUTED_VALUE"""),0.0)</f>
        <v>0</v>
      </c>
      <c r="H1510" s="23">
        <f>IFERROR(__xludf.DUMMYFUNCTION("""COMPUTED_VALUE"""),142.70000000000002)</f>
        <v>142.7</v>
      </c>
    </row>
    <row r="1511">
      <c r="A1511" s="16" t="str">
        <f>IFERROR(__xludf.DUMMYFUNCTION("""COMPUTED_VALUE"""),"Яйца")</f>
        <v>Яйца</v>
      </c>
      <c r="B1511" s="7" t="str">
        <f>IFERROR(__xludf.DUMMYFUNCTION("""COMPUTED_VALUE"""),"Яйчен белтък")</f>
        <v>Яйчен белтък</v>
      </c>
      <c r="C1511" s="7" t="str">
        <f>IFERROR(__xludf.DUMMYFUNCTION("""COMPUTED_VALUE"""),"100")</f>
        <v>100</v>
      </c>
      <c r="D1511" s="7">
        <f>IFERROR(__xludf.DUMMYFUNCTION("""COMPUTED_VALUE"""),10.9)</f>
        <v>10.9</v>
      </c>
      <c r="E1511" s="16">
        <f>IFERROR(__xludf.DUMMYFUNCTION("""COMPUTED_VALUE"""),0.7)</f>
        <v>0.7</v>
      </c>
      <c r="F1511" s="16">
        <f>IFERROR(__xludf.DUMMYFUNCTION("""COMPUTED_VALUE"""),0.2)</f>
        <v>0.2</v>
      </c>
      <c r="G1511" s="16">
        <f>IFERROR(__xludf.DUMMYFUNCTION("""COMPUTED_VALUE"""),0.0)</f>
        <v>0</v>
      </c>
      <c r="H1511" s="23">
        <f>IFERROR(__xludf.DUMMYFUNCTION("""COMPUTED_VALUE"""),48.199999999999996)</f>
        <v>48.2</v>
      </c>
    </row>
    <row r="1512">
      <c r="A1512" s="16" t="str">
        <f>IFERROR(__xludf.DUMMYFUNCTION("""COMPUTED_VALUE"""),"Яйца")</f>
        <v>Яйца</v>
      </c>
      <c r="B1512" s="7" t="str">
        <f>IFERROR(__xludf.DUMMYFUNCTION("""COMPUTED_VALUE"""),"Яйчен жълтък")</f>
        <v>Яйчен жълтък</v>
      </c>
      <c r="C1512" s="7" t="str">
        <f>IFERROR(__xludf.DUMMYFUNCTION("""COMPUTED_VALUE"""),"100")</f>
        <v>100</v>
      </c>
      <c r="D1512" s="7">
        <f>IFERROR(__xludf.DUMMYFUNCTION("""COMPUTED_VALUE"""),15.9)</f>
        <v>15.9</v>
      </c>
      <c r="E1512" s="16">
        <f>IFERROR(__xludf.DUMMYFUNCTION("""COMPUTED_VALUE"""),3.6)</f>
        <v>3.6</v>
      </c>
      <c r="F1512" s="16">
        <f>IFERROR(__xludf.DUMMYFUNCTION("""COMPUTED_VALUE"""),26.5)</f>
        <v>26.5</v>
      </c>
      <c r="G1512" s="16">
        <f>IFERROR(__xludf.DUMMYFUNCTION("""COMPUTED_VALUE"""),0.0)</f>
        <v>0</v>
      </c>
      <c r="H1512" s="23">
        <f>IFERROR(__xludf.DUMMYFUNCTION("""COMPUTED_VALUE"""),316.5)</f>
        <v>316.5</v>
      </c>
    </row>
    <row r="1513">
      <c r="A1513" s="16" t="str">
        <f>IFERROR(__xludf.DUMMYFUNCTION("""COMPUTED_VALUE"""),"Яйца")</f>
        <v>Яйца</v>
      </c>
      <c r="B1513" s="7" t="str">
        <f>IFERROR(__xludf.DUMMYFUNCTION("""COMPUTED_VALUE"""),"Яйце от пъдпъдък (цяло)")</f>
        <v>Яйце от пъдпъдък (цяло)</v>
      </c>
      <c r="C1513" s="12">
        <f>IFERROR(__xludf.DUMMYFUNCTION("""COMPUTED_VALUE"""),100.0)</f>
        <v>100</v>
      </c>
      <c r="D1513" s="7">
        <f>IFERROR(__xludf.DUMMYFUNCTION("""COMPUTED_VALUE"""),13.05)</f>
        <v>13.05</v>
      </c>
      <c r="E1513" s="16">
        <f>IFERROR(__xludf.DUMMYFUNCTION("""COMPUTED_VALUE"""),0.41)</f>
        <v>0.41</v>
      </c>
      <c r="F1513" s="16">
        <f>IFERROR(__xludf.DUMMYFUNCTION("""COMPUTED_VALUE"""),11.09)</f>
        <v>11.09</v>
      </c>
      <c r="G1513" s="16">
        <f>IFERROR(__xludf.DUMMYFUNCTION("""COMPUTED_VALUE"""),0.0)</f>
        <v>0</v>
      </c>
      <c r="H1513" s="16">
        <f>IFERROR(__xludf.DUMMYFUNCTION("""COMPUTED_VALUE"""),153.65)</f>
        <v>153.65</v>
      </c>
    </row>
    <row r="1514">
      <c r="A1514" s="16" t="str">
        <f>IFERROR(__xludf.DUMMYFUNCTION("""COMPUTED_VALUE"""),"Брашна")</f>
        <v>Брашна</v>
      </c>
      <c r="B1514" s="7" t="str">
        <f>IFERROR(__xludf.DUMMYFUNCTION("""COMPUTED_VALUE"""),"Фъстъчено Обезмаслено Брашно (Mercadona)")</f>
        <v>Фъстъчено Обезмаслено Брашно (Mercadona)</v>
      </c>
      <c r="C1514" s="12">
        <f>IFERROR(__xludf.DUMMYFUNCTION("""COMPUTED_VALUE"""),100.0)</f>
        <v>100</v>
      </c>
      <c r="D1514" s="7">
        <f>IFERROR(__xludf.DUMMYFUNCTION("""COMPUTED_VALUE"""),46.7)</f>
        <v>46.7</v>
      </c>
      <c r="E1514" s="16">
        <f>IFERROR(__xludf.DUMMYFUNCTION("""COMPUTED_VALUE"""),21.0)</f>
        <v>21</v>
      </c>
      <c r="F1514" s="16">
        <f>IFERROR(__xludf.DUMMYFUNCTION("""COMPUTED_VALUE"""),13.2)</f>
        <v>13.2</v>
      </c>
      <c r="G1514" s="16">
        <f>IFERROR(__xludf.DUMMYFUNCTION("""COMPUTED_VALUE"""),13.3)</f>
        <v>13.3</v>
      </c>
      <c r="H1514" s="16">
        <f>IFERROR(__xludf.DUMMYFUNCTION("""COMPUTED_VALUE"""),389.6)</f>
        <v>389.6</v>
      </c>
    </row>
    <row r="1515">
      <c r="A1515" s="16" t="str">
        <f>IFERROR(__xludf.DUMMYFUNCTION("""COMPUTED_VALUE"""),"Млечни")</f>
        <v>Млечни</v>
      </c>
      <c r="B1515" s="7" t="str">
        <f>IFERROR(__xludf.DUMMYFUNCTION("""COMPUTED_VALUE"""),"EHRMANN ПРОТЕИНОВ ПУДИНГ")</f>
        <v>EHRMANN ПРОТЕИНОВ ПУДИНГ</v>
      </c>
      <c r="C1515" s="12">
        <f>IFERROR(__xludf.DUMMYFUNCTION("""COMPUTED_VALUE"""),100.0)</f>
        <v>100</v>
      </c>
      <c r="D1515" s="7">
        <f>IFERROR(__xludf.DUMMYFUNCTION("""COMPUTED_VALUE"""),10.0)</f>
        <v>10</v>
      </c>
      <c r="E1515" s="16">
        <f>IFERROR(__xludf.DUMMYFUNCTION("""COMPUTED_VALUE"""),5.5)</f>
        <v>5.5</v>
      </c>
      <c r="F1515" s="16">
        <f>IFERROR(__xludf.DUMMYFUNCTION("""COMPUTED_VALUE"""),1.5)</f>
        <v>1.5</v>
      </c>
      <c r="G1515" s="16">
        <f>IFERROR(__xludf.DUMMYFUNCTION("""COMPUTED_VALUE"""),0.0)</f>
        <v>0</v>
      </c>
      <c r="H1515" s="16">
        <f>IFERROR(__xludf.DUMMYFUNCTION("""COMPUTED_VALUE"""),75.5)</f>
        <v>75.5</v>
      </c>
    </row>
    <row r="1516">
      <c r="A1516" s="16" t="str">
        <f>IFERROR(__xludf.DUMMYFUNCTION("""COMPUTED_VALUE"""),"Зърнени храни")</f>
        <v>Зърнени храни</v>
      </c>
      <c r="B1516" s="7" t="str">
        <f>IFERROR(__xludf.DUMMYFUNCTION("""COMPUTED_VALUE"""),"Сладка царевица консерва LEDA")</f>
        <v>Сладка царевица консерва LEDA</v>
      </c>
      <c r="C1516" s="12">
        <f>IFERROR(__xludf.DUMMYFUNCTION("""COMPUTED_VALUE"""),100.0)</f>
        <v>100</v>
      </c>
      <c r="D1516" s="7">
        <f>IFERROR(__xludf.DUMMYFUNCTION("""COMPUTED_VALUE"""),2.9)</f>
        <v>2.9</v>
      </c>
      <c r="E1516" s="16">
        <f>IFERROR(__xludf.DUMMYFUNCTION("""COMPUTED_VALUE"""),12.0)</f>
        <v>12</v>
      </c>
      <c r="F1516" s="16">
        <f>IFERROR(__xludf.DUMMYFUNCTION("""COMPUTED_VALUE"""),2.4)</f>
        <v>2.4</v>
      </c>
      <c r="G1516" s="16">
        <f>IFERROR(__xludf.DUMMYFUNCTION("""COMPUTED_VALUE"""),0.0)</f>
        <v>0</v>
      </c>
      <c r="H1516" s="16">
        <f>IFERROR(__xludf.DUMMYFUNCTION("""COMPUTED_VALUE"""),81.2)</f>
        <v>81.2</v>
      </c>
    </row>
    <row r="1517">
      <c r="A1517" s="16" t="str">
        <f>IFERROR(__xludf.DUMMYFUNCTION("""COMPUTED_VALUE"""),"Шоколад")</f>
        <v>Шоколад</v>
      </c>
      <c r="B1517" s="7" t="str">
        <f>IFERROR(__xludf.DUMMYFUNCTION("""COMPUTED_VALUE"""),"Шоколад Победа със стевия 72%")</f>
        <v>Шоколад Победа със стевия 72%</v>
      </c>
      <c r="C1517" s="12">
        <f>IFERROR(__xludf.DUMMYFUNCTION("""COMPUTED_VALUE"""),100.0)</f>
        <v>100</v>
      </c>
      <c r="D1517" s="7">
        <f>IFERROR(__xludf.DUMMYFUNCTION("""COMPUTED_VALUE"""),10.0)</f>
        <v>10</v>
      </c>
      <c r="E1517" s="16">
        <f>IFERROR(__xludf.DUMMYFUNCTION("""COMPUTED_VALUE"""),12.0)</f>
        <v>12</v>
      </c>
      <c r="F1517" s="16">
        <f>IFERROR(__xludf.DUMMYFUNCTION("""COMPUTED_VALUE"""),35.0)</f>
        <v>35</v>
      </c>
      <c r="G1517" s="16">
        <f>IFERROR(__xludf.DUMMYFUNCTION("""COMPUTED_VALUE"""),14.0)</f>
        <v>14</v>
      </c>
      <c r="H1517" s="16">
        <f>IFERROR(__xludf.DUMMYFUNCTION("""COMPUTED_VALUE"""),403.0)</f>
        <v>403</v>
      </c>
    </row>
    <row r="1518">
      <c r="A1518" s="16" t="str">
        <f>IFERROR(__xludf.DUMMYFUNCTION("""COMPUTED_VALUE"""),"Протеин на прах")</f>
        <v>Протеин на прах</v>
      </c>
      <c r="B1518" s="7" t="str">
        <f>IFERROR(__xludf.DUMMYFUNCTION("""COMPUTED_VALUE"""),"БЪЛК/BULK Pure Whey Protein Strawberry")</f>
        <v>БЪЛК/BULK Pure Whey Protein Strawberry</v>
      </c>
      <c r="C1518" s="12">
        <f>IFERROR(__xludf.DUMMYFUNCTION("""COMPUTED_VALUE"""),100.0)</f>
        <v>100</v>
      </c>
      <c r="D1518" s="7">
        <f>IFERROR(__xludf.DUMMYFUNCTION("""COMPUTED_VALUE"""),77.0)</f>
        <v>77</v>
      </c>
      <c r="E1518" s="16">
        <f>IFERROR(__xludf.DUMMYFUNCTION("""COMPUTED_VALUE"""),4.0)</f>
        <v>4</v>
      </c>
      <c r="F1518" s="16">
        <f>IFERROR(__xludf.DUMMYFUNCTION("""COMPUTED_VALUE"""),7.0)</f>
        <v>7</v>
      </c>
      <c r="G1518" s="16">
        <f>IFERROR(__xludf.DUMMYFUNCTION("""COMPUTED_VALUE"""),0.0)</f>
        <v>0</v>
      </c>
      <c r="H1518" s="16">
        <f>IFERROR(__xludf.DUMMYFUNCTION("""COMPUTED_VALUE"""),387.0)</f>
        <v>387</v>
      </c>
    </row>
    <row r="1519">
      <c r="A1519" s="16" t="str">
        <f>IFERROR(__xludf.DUMMYFUNCTION("""COMPUTED_VALUE"""),"Протеин на прах")</f>
        <v>Протеин на прах</v>
      </c>
      <c r="B1519" s="7" t="str">
        <f>IFERROR(__xludf.DUMMYFUNCTION("""COMPUTED_VALUE"""),"БЪЛК/BULK Pure Whey Chocolate cookies")</f>
        <v>БЪЛК/BULK Pure Whey Chocolate cookies</v>
      </c>
      <c r="C1519" s="12">
        <f>IFERROR(__xludf.DUMMYFUNCTION("""COMPUTED_VALUE"""),100.0)</f>
        <v>100</v>
      </c>
      <c r="D1519" s="7">
        <f>IFERROR(__xludf.DUMMYFUNCTION("""COMPUTED_VALUE"""),73.0)</f>
        <v>73</v>
      </c>
      <c r="E1519" s="16">
        <f>IFERROR(__xludf.DUMMYFUNCTION("""COMPUTED_VALUE"""),11.0)</f>
        <v>11</v>
      </c>
      <c r="F1519" s="16">
        <f>IFERROR(__xludf.DUMMYFUNCTION("""COMPUTED_VALUE"""),4.0)</f>
        <v>4</v>
      </c>
      <c r="G1519" s="16">
        <f>IFERROR(__xludf.DUMMYFUNCTION("""COMPUTED_VALUE"""),2.6)</f>
        <v>2.6</v>
      </c>
      <c r="H1519" s="16">
        <f>IFERROR(__xludf.DUMMYFUNCTION("""COMPUTED_VALUE"""),372.0)</f>
        <v>372</v>
      </c>
    </row>
    <row r="1520">
      <c r="A1520" s="16" t="str">
        <f>IFERROR(__xludf.DUMMYFUNCTION("""COMPUTED_VALUE"""),"Млечни")</f>
        <v>Млечни</v>
      </c>
      <c r="B1520" s="7" t="str">
        <f>IFERROR(__xludf.DUMMYFUNCTION("""COMPUTED_VALUE"""),"Мляко с повишено съдържание на протеин Meggle")</f>
        <v>Мляко с повишено съдържание на протеин Meggle</v>
      </c>
      <c r="C1520" s="12">
        <f>IFERROR(__xludf.DUMMYFUNCTION("""COMPUTED_VALUE"""),100.0)</f>
        <v>100</v>
      </c>
      <c r="D1520" s="7">
        <f>IFERROR(__xludf.DUMMYFUNCTION("""COMPUTED_VALUE"""),4.6)</f>
        <v>4.6</v>
      </c>
      <c r="E1520" s="16">
        <f>IFERROR(__xludf.DUMMYFUNCTION("""COMPUTED_VALUE"""),5.0)</f>
        <v>5</v>
      </c>
      <c r="F1520" s="16">
        <f>IFERROR(__xludf.DUMMYFUNCTION("""COMPUTED_VALUE"""),1.5)</f>
        <v>1.5</v>
      </c>
      <c r="G1520" s="16">
        <f>IFERROR(__xludf.DUMMYFUNCTION("""COMPUTED_VALUE"""),0.0)</f>
        <v>0</v>
      </c>
      <c r="H1520" s="16">
        <f>IFERROR(__xludf.DUMMYFUNCTION("""COMPUTED_VALUE"""),51.9)</f>
        <v>51.9</v>
      </c>
    </row>
    <row r="1521">
      <c r="A1521" s="16" t="str">
        <f>IFERROR(__xludf.DUMMYFUNCTION("""COMPUTED_VALUE"""),"Тестени изделия")</f>
        <v>Тестени изделия</v>
      </c>
      <c r="B1521" s="7" t="str">
        <f>IFERROR(__xludf.DUMMYFUNCTION("""COMPUTED_VALUE"""),"Тортила с протеин SINNACK")</f>
        <v>Тортила с протеин SINNACK</v>
      </c>
      <c r="C1521" s="12">
        <f>IFERROR(__xludf.DUMMYFUNCTION("""COMPUTED_VALUE"""),100.0)</f>
        <v>100</v>
      </c>
      <c r="D1521" s="7">
        <f>IFERROR(__xludf.DUMMYFUNCTION("""COMPUTED_VALUE"""),22.0)</f>
        <v>22</v>
      </c>
      <c r="E1521" s="16">
        <f>IFERROR(__xludf.DUMMYFUNCTION("""COMPUTED_VALUE"""),35.0)</f>
        <v>35</v>
      </c>
      <c r="F1521" s="16">
        <f>IFERROR(__xludf.DUMMYFUNCTION("""COMPUTED_VALUE"""),8.4)</f>
        <v>8.4</v>
      </c>
      <c r="G1521" s="16">
        <f>IFERROR(__xludf.DUMMYFUNCTION("""COMPUTED_VALUE"""),0.0)</f>
        <v>0</v>
      </c>
      <c r="H1521" s="16">
        <f>IFERROR(__xludf.DUMMYFUNCTION("""COMPUTED_VALUE"""),303.6)</f>
        <v>303.6</v>
      </c>
    </row>
    <row r="1522">
      <c r="A1522" s="16" t="str">
        <f>IFERROR(__xludf.DUMMYFUNCTION("""COMPUTED_VALUE"""),"Брашна")</f>
        <v>Брашна</v>
      </c>
      <c r="B1522" s="7" t="str">
        <f>IFERROR(__xludf.DUMMYFUNCTION("""COMPUTED_VALUE"""),"Смес за хляб Integrale Belbake Lidl")</f>
        <v>Смес за хляб Integrale Belbake Lidl</v>
      </c>
      <c r="C1522" s="12">
        <f>IFERROR(__xludf.DUMMYFUNCTION("""COMPUTED_VALUE"""),100.0)</f>
        <v>100</v>
      </c>
      <c r="D1522" s="7">
        <f>IFERROR(__xludf.DUMMYFUNCTION("""COMPUTED_VALUE"""),8.4)</f>
        <v>8.4</v>
      </c>
      <c r="E1522" s="16">
        <f>IFERROR(__xludf.DUMMYFUNCTION("""COMPUTED_VALUE"""),43.8)</f>
        <v>43.8</v>
      </c>
      <c r="F1522" s="16">
        <f>IFERROR(__xludf.DUMMYFUNCTION("""COMPUTED_VALUE"""),0.3)</f>
        <v>0.3</v>
      </c>
      <c r="G1522" s="16">
        <f>IFERROR(__xludf.DUMMYFUNCTION("""COMPUTED_VALUE"""),0.0)</f>
        <v>0</v>
      </c>
      <c r="H1522" s="16">
        <f>IFERROR(__xludf.DUMMYFUNCTION("""COMPUTED_VALUE"""),211.49999999999997)</f>
        <v>211.5</v>
      </c>
    </row>
    <row r="1523">
      <c r="A1523" s="16" t="str">
        <f>IFERROR(__xludf.DUMMYFUNCTION("""COMPUTED_VALUE"""),"Бобови храни")</f>
        <v>Бобови храни</v>
      </c>
      <c r="B1523" s="7" t="str">
        <f>IFERROR(__xludf.DUMMYFUNCTION("""COMPUTED_VALUE"""),"Кафява леща Rewe - консерва")</f>
        <v>Кафява леща Rewe - консерва</v>
      </c>
      <c r="C1523" s="12">
        <f>IFERROR(__xludf.DUMMYFUNCTION("""COMPUTED_VALUE"""),100.0)</f>
        <v>100</v>
      </c>
      <c r="D1523" s="7">
        <f>IFERROR(__xludf.DUMMYFUNCTION("""COMPUTED_VALUE"""),7.0)</f>
        <v>7</v>
      </c>
      <c r="E1523" s="16">
        <f>IFERROR(__xludf.DUMMYFUNCTION("""COMPUTED_VALUE"""),13.0)</f>
        <v>13</v>
      </c>
      <c r="F1523" s="16">
        <f>IFERROR(__xludf.DUMMYFUNCTION("""COMPUTED_VALUE"""),0.7)</f>
        <v>0.7</v>
      </c>
      <c r="G1523" s="16">
        <f>IFERROR(__xludf.DUMMYFUNCTION("""COMPUTED_VALUE"""),20.0)</f>
        <v>20</v>
      </c>
      <c r="H1523" s="16">
        <f>IFERROR(__xludf.DUMMYFUNCTION("""COMPUTED_VALUE"""),86.3)</f>
        <v>86.3</v>
      </c>
    </row>
    <row r="1524">
      <c r="A1524" s="16" t="str">
        <f>IFERROR(__xludf.DUMMYFUNCTION("""COMPUTED_VALUE"""),"Тестени изделия")</f>
        <v>Тестени изделия</v>
      </c>
      <c r="B1524" s="7" t="str">
        <f>IFERROR(__xludf.DUMMYFUNCTION("""COMPUTED_VALUE"""),"Паста от нахут Барила")</f>
        <v>Паста от нахут Барила</v>
      </c>
      <c r="C1524" s="12">
        <f>IFERROR(__xludf.DUMMYFUNCTION("""COMPUTED_VALUE"""),100.0)</f>
        <v>100</v>
      </c>
      <c r="D1524" s="7">
        <f>IFERROR(__xludf.DUMMYFUNCTION("""COMPUTED_VALUE"""),21.0)</f>
        <v>21</v>
      </c>
      <c r="E1524" s="16">
        <f>IFERROR(__xludf.DUMMYFUNCTION("""COMPUTED_VALUE"""),45.0)</f>
        <v>45</v>
      </c>
      <c r="F1524" s="16">
        <f>IFERROR(__xludf.DUMMYFUNCTION("""COMPUTED_VALUE"""),6.2)</f>
        <v>6.2</v>
      </c>
      <c r="G1524" s="16">
        <f>IFERROR(__xludf.DUMMYFUNCTION("""COMPUTED_VALUE"""),14.0)</f>
        <v>14</v>
      </c>
      <c r="H1524" s="16">
        <f>IFERROR(__xludf.DUMMYFUNCTION("""COMPUTED_VALUE"""),319.8)</f>
        <v>319.8</v>
      </c>
    </row>
    <row r="1525">
      <c r="A1525" s="16" t="str">
        <f>IFERROR(__xludf.DUMMYFUNCTION("""COMPUTED_VALUE"""),"Добавки")</f>
        <v>Добавки</v>
      </c>
      <c r="B1525" s="7" t="str">
        <f>IFERROR(__xludf.DUMMYFUNCTION("""COMPUTED_VALUE"""),"Колаген на прах")</f>
        <v>Колаген на прах</v>
      </c>
      <c r="C1525" s="12">
        <f>IFERROR(__xludf.DUMMYFUNCTION("""COMPUTED_VALUE"""),100.0)</f>
        <v>100</v>
      </c>
      <c r="D1525" s="7">
        <f>IFERROR(__xludf.DUMMYFUNCTION("""COMPUTED_VALUE"""),90.0)</f>
        <v>90</v>
      </c>
      <c r="E1525" s="16">
        <f>IFERROR(__xludf.DUMMYFUNCTION("""COMPUTED_VALUE"""),0.0)</f>
        <v>0</v>
      </c>
      <c r="F1525" s="16">
        <f>IFERROR(__xludf.DUMMYFUNCTION("""COMPUTED_VALUE"""),0.0)</f>
        <v>0</v>
      </c>
      <c r="G1525" s="16">
        <f>IFERROR(__xludf.DUMMYFUNCTION("""COMPUTED_VALUE"""),0.0)</f>
        <v>0</v>
      </c>
      <c r="H1525" s="16">
        <f>IFERROR(__xludf.DUMMYFUNCTION("""COMPUTED_VALUE"""),359.0)</f>
        <v>359</v>
      </c>
    </row>
    <row r="1526">
      <c r="A1526" s="16" t="str">
        <f>IFERROR(__xludf.DUMMYFUNCTION("""COMPUTED_VALUE"""),"Десерти (всички видове)")</f>
        <v>Десерти (всички видове)</v>
      </c>
      <c r="B1526" s="7" t="str">
        <f>IFERROR(__xludf.DUMMYFUNCTION("""COMPUTED_VALUE"""),"Натурален шоколад без захар 100% веган ""Viki Nuts""")</f>
        <v>Натурален шоколад без захар 100% веган "Viki Nuts"</v>
      </c>
      <c r="C1526" s="12">
        <f>IFERROR(__xludf.DUMMYFUNCTION("""COMPUTED_VALUE"""),100.0)</f>
        <v>100</v>
      </c>
      <c r="D1526" s="7">
        <f>IFERROR(__xludf.DUMMYFUNCTION("""COMPUTED_VALUE"""),20.5)</f>
        <v>20.5</v>
      </c>
      <c r="E1526" s="16">
        <f>IFERROR(__xludf.DUMMYFUNCTION("""COMPUTED_VALUE"""),7.14)</f>
        <v>7.14</v>
      </c>
      <c r="F1526" s="16">
        <f>IFERROR(__xludf.DUMMYFUNCTION("""COMPUTED_VALUE"""),38.83)</f>
        <v>38.83</v>
      </c>
      <c r="G1526" s="16">
        <f>IFERROR(__xludf.DUMMYFUNCTION("""COMPUTED_VALUE"""),6.58)</f>
        <v>6.58</v>
      </c>
      <c r="H1526" s="16">
        <f>IFERROR(__xludf.DUMMYFUNCTION("""COMPUTED_VALUE"""),460.03)</f>
        <v>460.03</v>
      </c>
    </row>
    <row r="1527">
      <c r="A1527" s="16" t="str">
        <f>IFERROR(__xludf.DUMMYFUNCTION("""COMPUTED_VALUE"""),"Млечни")</f>
        <v>Млечни</v>
      </c>
      <c r="B1527" s="7" t="str">
        <f>IFERROR(__xludf.DUMMYFUNCTION("""COMPUTED_VALUE"""),"Протеинов йогурт Kri Kri Super spoon")</f>
        <v>Протеинов йогурт Kri Kri Super spoon</v>
      </c>
      <c r="C1527" s="12">
        <f>IFERROR(__xludf.DUMMYFUNCTION("""COMPUTED_VALUE"""),100.0)</f>
        <v>100</v>
      </c>
      <c r="D1527" s="7">
        <f>IFERROR(__xludf.DUMMYFUNCTION("""COMPUTED_VALUE"""),8.8)</f>
        <v>8.8</v>
      </c>
      <c r="E1527" s="16">
        <f>IFERROR(__xludf.DUMMYFUNCTION("""COMPUTED_VALUE"""),11.0)</f>
        <v>11</v>
      </c>
      <c r="F1527" s="16">
        <f>IFERROR(__xludf.DUMMYFUNCTION("""COMPUTED_VALUE"""),0.0)</f>
        <v>0</v>
      </c>
      <c r="G1527" s="16">
        <f>IFERROR(__xludf.DUMMYFUNCTION("""COMPUTED_VALUE"""),0.0)</f>
        <v>0</v>
      </c>
      <c r="H1527" s="16">
        <f>IFERROR(__xludf.DUMMYFUNCTION("""COMPUTED_VALUE"""),79.2)</f>
        <v>79.2</v>
      </c>
    </row>
    <row r="1528">
      <c r="A1528" s="16" t="str">
        <f>IFERROR(__xludf.DUMMYFUNCTION("""COMPUTED_VALUE"""),"Вегетариански/веган продукти")</f>
        <v>Вегетариански/веган продукти</v>
      </c>
      <c r="B1528" s="7" t="str">
        <f>IFERROR(__xludf.DUMMYFUNCTION("""COMPUTED_VALUE"""),"КОКОСОВО МЛЯКО 17% DRAGON SUPERFOODS")</f>
        <v>КОКОСОВО МЛЯКО 17% DRAGON SUPERFOODS</v>
      </c>
      <c r="C1528" s="12">
        <f>IFERROR(__xludf.DUMMYFUNCTION("""COMPUTED_VALUE"""),100.0)</f>
        <v>100</v>
      </c>
      <c r="D1528" s="7">
        <f>IFERROR(__xludf.DUMMYFUNCTION("""COMPUTED_VALUE"""),1.6)</f>
        <v>1.6</v>
      </c>
      <c r="E1528" s="16">
        <f>IFERROR(__xludf.DUMMYFUNCTION("""COMPUTED_VALUE"""),2.6)</f>
        <v>2.6</v>
      </c>
      <c r="F1528" s="16">
        <f>IFERROR(__xludf.DUMMYFUNCTION("""COMPUTED_VALUE"""),17.0)</f>
        <v>17</v>
      </c>
      <c r="G1528" s="16">
        <f>IFERROR(__xludf.DUMMYFUNCTION("""COMPUTED_VALUE"""),0.0)</f>
        <v>0</v>
      </c>
      <c r="H1528" s="16">
        <f>IFERROR(__xludf.DUMMYFUNCTION("""COMPUTED_VALUE"""),169.8)</f>
        <v>169.8</v>
      </c>
    </row>
    <row r="1529">
      <c r="A1529" s="16" t="str">
        <f>IFERROR(__xludf.DUMMYFUNCTION("""COMPUTED_VALUE"""),"Тестени изделия")</f>
        <v>Тестени изделия</v>
      </c>
      <c r="B1529" s="7" t="str">
        <f>IFERROR(__xludf.DUMMYFUNCTION("""COMPUTED_VALUE"""),"ПРОТЕИНОВ ХЛЯБ ТОСТ ЕЛИАЗ")</f>
        <v>ПРОТЕИНОВ ХЛЯБ ТОСТ ЕЛИАЗ</v>
      </c>
      <c r="C1529" s="12">
        <f>IFERROR(__xludf.DUMMYFUNCTION("""COMPUTED_VALUE"""),100.0)</f>
        <v>100</v>
      </c>
      <c r="D1529" s="7">
        <f>IFERROR(__xludf.DUMMYFUNCTION("""COMPUTED_VALUE"""),14.0)</f>
        <v>14</v>
      </c>
      <c r="E1529" s="16">
        <f>IFERROR(__xludf.DUMMYFUNCTION("""COMPUTED_VALUE"""),50.73)</f>
        <v>50.73</v>
      </c>
      <c r="F1529" s="16">
        <f>IFERROR(__xludf.DUMMYFUNCTION("""COMPUTED_VALUE"""),12.8)</f>
        <v>12.8</v>
      </c>
      <c r="G1529" s="16">
        <f>IFERROR(__xludf.DUMMYFUNCTION("""COMPUTED_VALUE"""),0.0)</f>
        <v>0</v>
      </c>
      <c r="H1529" s="16">
        <f>IFERROR(__xludf.DUMMYFUNCTION("""COMPUTED_VALUE"""),349.2)</f>
        <v>349.2</v>
      </c>
    </row>
    <row r="1530">
      <c r="A1530" s="16" t="str">
        <f>IFERROR(__xludf.DUMMYFUNCTION("""COMPUTED_VALUE"""),"Млечни")</f>
        <v>Млечни</v>
      </c>
      <c r="B1530" s="7" t="str">
        <f>IFERROR(__xludf.DUMMYFUNCTION("""COMPUTED_VALUE"""),"Извара (нискомаслена) ""JA!""")</f>
        <v>Извара (нискомаслена) "JA!"</v>
      </c>
      <c r="C1530" s="12">
        <f>IFERROR(__xludf.DUMMYFUNCTION("""COMPUTED_VALUE"""),100.0)</f>
        <v>100</v>
      </c>
      <c r="D1530" s="7">
        <f>IFERROR(__xludf.DUMMYFUNCTION("""COMPUTED_VALUE"""),12.0)</f>
        <v>12</v>
      </c>
      <c r="E1530" s="16">
        <f>IFERROR(__xludf.DUMMYFUNCTION("""COMPUTED_VALUE"""),4.1)</f>
        <v>4.1</v>
      </c>
      <c r="F1530" s="16">
        <f>IFERROR(__xludf.DUMMYFUNCTION("""COMPUTED_VALUE"""),0.2)</f>
        <v>0.2</v>
      </c>
      <c r="G1530" s="16">
        <f>IFERROR(__xludf.DUMMYFUNCTION("""COMPUTED_VALUE"""),0.0)</f>
        <v>0</v>
      </c>
      <c r="H1530" s="16">
        <f>IFERROR(__xludf.DUMMYFUNCTION("""COMPUTED_VALUE"""),66.2)</f>
        <v>66.2</v>
      </c>
    </row>
    <row r="1531">
      <c r="A1531" s="16" t="str">
        <f>IFERROR(__xludf.DUMMYFUNCTION("""COMPUTED_VALUE"""),"Зеленчуци")</f>
        <v>Зеленчуци</v>
      </c>
      <c r="B1531" s="7" t="str">
        <f>IFERROR(__xludf.DUMMYFUNCTION("""COMPUTED_VALUE"""),"Италианска салата в плик  ""Veggieland""")</f>
        <v>Италианска салата в плик  "Veggieland"</v>
      </c>
      <c r="C1531" s="12">
        <f>IFERROR(__xludf.DUMMYFUNCTION("""COMPUTED_VALUE"""),100.0)</f>
        <v>100</v>
      </c>
      <c r="D1531" s="7">
        <f>IFERROR(__xludf.DUMMYFUNCTION("""COMPUTED_VALUE"""),1.5)</f>
        <v>1.5</v>
      </c>
      <c r="E1531" s="16">
        <f>IFERROR(__xludf.DUMMYFUNCTION("""COMPUTED_VALUE"""),2.7)</f>
        <v>2.7</v>
      </c>
      <c r="F1531" s="16">
        <f>IFERROR(__xludf.DUMMYFUNCTION("""COMPUTED_VALUE"""),0.3)</f>
        <v>0.3</v>
      </c>
      <c r="G1531" s="16">
        <f>IFERROR(__xludf.DUMMYFUNCTION("""COMPUTED_VALUE"""),0.0)</f>
        <v>0</v>
      </c>
      <c r="H1531" s="16">
        <f>IFERROR(__xludf.DUMMYFUNCTION("""COMPUTED_VALUE"""),19.5)</f>
        <v>19.5</v>
      </c>
    </row>
    <row r="1532">
      <c r="A1532" s="16" t="str">
        <f>IFERROR(__xludf.DUMMYFUNCTION("""COMPUTED_VALUE"""),"Зърнени храни")</f>
        <v>Зърнени храни</v>
      </c>
      <c r="B1532" s="7" t="str">
        <f>IFERROR(__xludf.DUMMYFUNCTION("""COMPUTED_VALUE"""),"Фитнес Пуканки (без мазнина) ""Anaconda food""")</f>
        <v>Фитнес Пуканки (без мазнина) "Anaconda food"</v>
      </c>
      <c r="C1532" s="12">
        <f>IFERROR(__xludf.DUMMYFUNCTION("""COMPUTED_VALUE"""),100.0)</f>
        <v>100</v>
      </c>
      <c r="D1532" s="7">
        <f>IFERROR(__xludf.DUMMYFUNCTION("""COMPUTED_VALUE"""),8.96)</f>
        <v>8.96</v>
      </c>
      <c r="E1532" s="16">
        <f>IFERROR(__xludf.DUMMYFUNCTION("""COMPUTED_VALUE"""),79.8)</f>
        <v>79.8</v>
      </c>
      <c r="F1532" s="16">
        <f>IFERROR(__xludf.DUMMYFUNCTION("""COMPUTED_VALUE"""),0.92)</f>
        <v>0.92</v>
      </c>
      <c r="G1532" s="16">
        <f>IFERROR(__xludf.DUMMYFUNCTION("""COMPUTED_VALUE"""),8.15)</f>
        <v>8.15</v>
      </c>
      <c r="H1532" s="16">
        <f>IFERROR(__xludf.DUMMYFUNCTION("""COMPUTED_VALUE"""),363.31999999999994)</f>
        <v>363.32</v>
      </c>
    </row>
    <row r="1533">
      <c r="A1533" s="16" t="str">
        <f>IFERROR(__xludf.DUMMYFUNCTION("""COMPUTED_VALUE"""),"Добавки")</f>
        <v>Добавки</v>
      </c>
      <c r="B1533" s="7" t="str">
        <f>IFERROR(__xludf.DUMMYFUNCTION("""COMPUTED_VALUE"""),"Агаве сироп")</f>
        <v>Агаве сироп</v>
      </c>
      <c r="C1533" s="12">
        <f>IFERROR(__xludf.DUMMYFUNCTION("""COMPUTED_VALUE"""),100.0)</f>
        <v>100</v>
      </c>
      <c r="D1533" s="7">
        <f>IFERROR(__xludf.DUMMYFUNCTION("""COMPUTED_VALUE"""),0.5)</f>
        <v>0.5</v>
      </c>
      <c r="E1533" s="16">
        <f>IFERROR(__xludf.DUMMYFUNCTION("""COMPUTED_VALUE"""),75.0)</f>
        <v>75</v>
      </c>
      <c r="F1533" s="16">
        <f>IFERROR(__xludf.DUMMYFUNCTION("""COMPUTED_VALUE"""),0.5)</f>
        <v>0.5</v>
      </c>
      <c r="G1533" s="16">
        <f>IFERROR(__xludf.DUMMYFUNCTION("""COMPUTED_VALUE"""),0.0)</f>
        <v>0</v>
      </c>
      <c r="H1533" s="16">
        <f>IFERROR(__xludf.DUMMYFUNCTION("""COMPUTED_VALUE"""),306.5)</f>
        <v>306.5</v>
      </c>
    </row>
    <row r="1534">
      <c r="A1534" s="16" t="str">
        <f>IFERROR(__xludf.DUMMYFUNCTION("""COMPUTED_VALUE"""),"Смеси за приготвяне на храна")</f>
        <v>Смеси за приготвяне на храна</v>
      </c>
      <c r="B1534" s="7" t="str">
        <f>IFERROR(__xludf.DUMMYFUNCTION("""COMPUTED_VALUE"""),"Протеинови палачинки The Protein Works 100g смес")</f>
        <v>Протеинови палачинки The Protein Works 100g смес</v>
      </c>
      <c r="C1534" s="12">
        <f>IFERROR(__xludf.DUMMYFUNCTION("""COMPUTED_VALUE"""),100.0)</f>
        <v>100</v>
      </c>
      <c r="D1534" s="7">
        <f>IFERROR(__xludf.DUMMYFUNCTION("""COMPUTED_VALUE"""),36.0)</f>
        <v>36</v>
      </c>
      <c r="E1534" s="16">
        <f>IFERROR(__xludf.DUMMYFUNCTION("""COMPUTED_VALUE"""),38.4)</f>
        <v>38.4</v>
      </c>
      <c r="F1534" s="16">
        <f>IFERROR(__xludf.DUMMYFUNCTION("""COMPUTED_VALUE"""),3.2)</f>
        <v>3.2</v>
      </c>
      <c r="G1534" s="16">
        <f>IFERROR(__xludf.DUMMYFUNCTION("""COMPUTED_VALUE"""),6.5)</f>
        <v>6.5</v>
      </c>
      <c r="H1534" s="16">
        <f>IFERROR(__xludf.DUMMYFUNCTION("""COMPUTED_VALUE"""),326.40000000000003)</f>
        <v>326.4</v>
      </c>
    </row>
    <row r="1535">
      <c r="A1535" s="16" t="str">
        <f>IFERROR(__xludf.DUMMYFUNCTION("""COMPUTED_VALUE"""),"Тестени изделия")</f>
        <v>Тестени изделия</v>
      </c>
      <c r="B1535" s="7" t="str">
        <f>IFERROR(__xludf.DUMMYFUNCTION("""COMPUTED_VALUE"""),"Паста от леща Vanavita")</f>
        <v>Паста от леща Vanavita</v>
      </c>
      <c r="C1535" s="12">
        <f>IFERROR(__xludf.DUMMYFUNCTION("""COMPUTED_VALUE"""),100.0)</f>
        <v>100</v>
      </c>
      <c r="D1535" s="7">
        <f>IFERROR(__xludf.DUMMYFUNCTION("""COMPUTED_VALUE"""),24.0)</f>
        <v>24</v>
      </c>
      <c r="E1535" s="16">
        <f>IFERROR(__xludf.DUMMYFUNCTION("""COMPUTED_VALUE"""),58.0)</f>
        <v>58</v>
      </c>
      <c r="F1535" s="16">
        <f>IFERROR(__xludf.DUMMYFUNCTION("""COMPUTED_VALUE"""),1.3)</f>
        <v>1.3</v>
      </c>
      <c r="G1535" s="16">
        <f>IFERROR(__xludf.DUMMYFUNCTION("""COMPUTED_VALUE"""),3.8)</f>
        <v>3.8</v>
      </c>
      <c r="H1535" s="16">
        <f>IFERROR(__xludf.DUMMYFUNCTION("""COMPUTED_VALUE"""),357.9)</f>
        <v>357.9</v>
      </c>
    </row>
    <row r="1536">
      <c r="A1536" s="16" t="str">
        <f>IFERROR(__xludf.DUMMYFUNCTION("""COMPUTED_VALUE"""),"Смеси за приготвяне на храна")</f>
        <v>Смеси за приготвяне на храна</v>
      </c>
      <c r="B1536" s="7" t="str">
        <f>IFERROR(__xludf.DUMMYFUNCTION("""COMPUTED_VALUE"""),"Протеинова каша вкус ягода Gym Beam")</f>
        <v>Протеинова каша вкус ягода Gym Beam</v>
      </c>
      <c r="C1536" s="12">
        <f>IFERROR(__xludf.DUMMYFUNCTION("""COMPUTED_VALUE"""),100.0)</f>
        <v>100</v>
      </c>
      <c r="D1536" s="7">
        <f>IFERROR(__xludf.DUMMYFUNCTION("""COMPUTED_VALUE"""),36.0)</f>
        <v>36</v>
      </c>
      <c r="E1536" s="16">
        <f>IFERROR(__xludf.DUMMYFUNCTION("""COMPUTED_VALUE"""),37.0)</f>
        <v>37</v>
      </c>
      <c r="F1536" s="16">
        <f>IFERROR(__xludf.DUMMYFUNCTION("""COMPUTED_VALUE"""),11.0)</f>
        <v>11</v>
      </c>
      <c r="G1536" s="16">
        <f>IFERROR(__xludf.DUMMYFUNCTION("""COMPUTED_VALUE"""),6.3)</f>
        <v>6.3</v>
      </c>
      <c r="H1536" s="16">
        <f>IFERROR(__xludf.DUMMYFUNCTION("""COMPUTED_VALUE"""),391.0)</f>
        <v>391</v>
      </c>
    </row>
    <row r="1537">
      <c r="A1537" s="16" t="str">
        <f>IFERROR(__xludf.DUMMYFUNCTION("""COMPUTED_VALUE"""),"Сосове")</f>
        <v>Сосове</v>
      </c>
      <c r="B1537" s="7" t="str">
        <f>IFERROR(__xludf.DUMMYFUNCTION("""COMPUTED_VALUE"""),"Песто Chef is")</f>
        <v>Песто Chef is</v>
      </c>
      <c r="C1537" s="12">
        <f>IFERROR(__xludf.DUMMYFUNCTION("""COMPUTED_VALUE"""),100.0)</f>
        <v>100</v>
      </c>
      <c r="D1537" s="7">
        <f>IFERROR(__xludf.DUMMYFUNCTION("""COMPUTED_VALUE"""),3.2)</f>
        <v>3.2</v>
      </c>
      <c r="E1537" s="16">
        <f>IFERROR(__xludf.DUMMYFUNCTION("""COMPUTED_VALUE"""),7.7)</f>
        <v>7.7</v>
      </c>
      <c r="F1537" s="16">
        <f>IFERROR(__xludf.DUMMYFUNCTION("""COMPUTED_VALUE"""),41.4)</f>
        <v>41.4</v>
      </c>
      <c r="G1537" s="16">
        <f>IFERROR(__xludf.DUMMYFUNCTION("""COMPUTED_VALUE"""),1.3)</f>
        <v>1.3</v>
      </c>
      <c r="H1537" s="16">
        <f>IFERROR(__xludf.DUMMYFUNCTION("""COMPUTED_VALUE"""),416.2)</f>
        <v>416.2</v>
      </c>
    </row>
    <row r="1538">
      <c r="A1538" s="16" t="str">
        <f>IFERROR(__xludf.DUMMYFUNCTION("""COMPUTED_VALUE"""),"Протеинов Бар")</f>
        <v>Протеинов Бар</v>
      </c>
      <c r="B1538" s="7" t="str">
        <f>IFERROR(__xludf.DUMMYFUNCTION("""COMPUTED_VALUE"""),"Myprotein протеинов бар Chocolate cookie dough")</f>
        <v>Myprotein протеинов бар Chocolate cookie dough</v>
      </c>
      <c r="C1538" s="12">
        <f>IFERROR(__xludf.DUMMYFUNCTION("""COMPUTED_VALUE"""),100.0)</f>
        <v>100</v>
      </c>
      <c r="D1538" s="7">
        <f>IFERROR(__xludf.DUMMYFUNCTION("""COMPUTED_VALUE"""),40.0)</f>
        <v>40</v>
      </c>
      <c r="E1538" s="16">
        <f>IFERROR(__xludf.DUMMYFUNCTION("""COMPUTED_VALUE"""),24.0)</f>
        <v>24</v>
      </c>
      <c r="F1538" s="16">
        <f>IFERROR(__xludf.DUMMYFUNCTION("""COMPUTED_VALUE"""),10.0)</f>
        <v>10</v>
      </c>
      <c r="G1538" s="16">
        <f>IFERROR(__xludf.DUMMYFUNCTION("""COMPUTED_VALUE"""),0.0)</f>
        <v>0</v>
      </c>
      <c r="H1538" s="16">
        <f>IFERROR(__xludf.DUMMYFUNCTION("""COMPUTED_VALUE"""),346.0)</f>
        <v>346</v>
      </c>
    </row>
    <row r="1539">
      <c r="A1539" s="16" t="str">
        <f>IFERROR(__xludf.DUMMYFUNCTION("""COMPUTED_VALUE"""),"Ядкови масла")</f>
        <v>Ядкови масла</v>
      </c>
      <c r="B1539" s="7" t="str">
        <f>IFERROR(__xludf.DUMMYFUNCTION("""COMPUTED_VALUE"""),"Тахан от фъстъци Better")</f>
        <v>Тахан от фъстъци Better</v>
      </c>
      <c r="C1539" s="12">
        <f>IFERROR(__xludf.DUMMYFUNCTION("""COMPUTED_VALUE"""),100.0)</f>
        <v>100</v>
      </c>
      <c r="D1539" s="7">
        <f>IFERROR(__xludf.DUMMYFUNCTION("""COMPUTED_VALUE"""),31.0)</f>
        <v>31</v>
      </c>
      <c r="E1539" s="16">
        <f>IFERROR(__xludf.DUMMYFUNCTION("""COMPUTED_VALUE"""),9.4)</f>
        <v>9.4</v>
      </c>
      <c r="F1539" s="16">
        <f>IFERROR(__xludf.DUMMYFUNCTION("""COMPUTED_VALUE"""),51.0)</f>
        <v>51</v>
      </c>
      <c r="G1539" s="16">
        <f>IFERROR(__xludf.DUMMYFUNCTION("""COMPUTED_VALUE"""),0.0)</f>
        <v>0</v>
      </c>
      <c r="H1539" s="16">
        <f>IFERROR(__xludf.DUMMYFUNCTION("""COMPUTED_VALUE"""),620.6)</f>
        <v>620.6</v>
      </c>
    </row>
    <row r="1540">
      <c r="A1540" s="16" t="str">
        <f>IFERROR(__xludf.DUMMYFUNCTION("""COMPUTED_VALUE"""),"Вегетариански протеинови храни")</f>
        <v>Вегетариански протеинови храни</v>
      </c>
      <c r="B1540" s="7" t="str">
        <f>IFERROR(__xludf.DUMMYFUNCTION("""COMPUTED_VALUE"""),"Вегетариански брауни микс Better (gluten free)")</f>
        <v>Вегетариански брауни микс Better (gluten free)</v>
      </c>
      <c r="C1540" s="12">
        <f>IFERROR(__xludf.DUMMYFUNCTION("""COMPUTED_VALUE"""),100.0)</f>
        <v>100</v>
      </c>
      <c r="D1540" s="7">
        <f>IFERROR(__xludf.DUMMYFUNCTION("""COMPUTED_VALUE"""),8.0)</f>
        <v>8</v>
      </c>
      <c r="E1540" s="16">
        <f>IFERROR(__xludf.DUMMYFUNCTION("""COMPUTED_VALUE"""),79.0)</f>
        <v>79</v>
      </c>
      <c r="F1540" s="16">
        <f>IFERROR(__xludf.DUMMYFUNCTION("""COMPUTED_VALUE"""),2.9)</f>
        <v>2.9</v>
      </c>
      <c r="G1540" s="16">
        <f>IFERROR(__xludf.DUMMYFUNCTION("""COMPUTED_VALUE"""),5.5)</f>
        <v>5.5</v>
      </c>
      <c r="H1540" s="16">
        <f>IFERROR(__xludf.DUMMYFUNCTION("""COMPUTED_VALUE"""),374.1)</f>
        <v>374.1</v>
      </c>
    </row>
    <row r="1541">
      <c r="A1541" s="16" t="str">
        <f>IFERROR(__xludf.DUMMYFUNCTION("""COMPUTED_VALUE"""),"Бобови храни")</f>
        <v>Бобови храни</v>
      </c>
      <c r="B1541" s="7" t="str">
        <f>IFERROR(__xludf.DUMMYFUNCTION("""COMPUTED_VALUE"""),"Лютеница с добруджански бял боб (LIDL)")</f>
        <v>Лютеница с добруджански бял боб (LIDL)</v>
      </c>
      <c r="C1541" s="12">
        <f>IFERROR(__xludf.DUMMYFUNCTION("""COMPUTED_VALUE"""),100.0)</f>
        <v>100</v>
      </c>
      <c r="D1541" s="7">
        <f>IFERROR(__xludf.DUMMYFUNCTION("""COMPUTED_VALUE"""),2.9)</f>
        <v>2.9</v>
      </c>
      <c r="E1541" s="16">
        <f>IFERROR(__xludf.DUMMYFUNCTION("""COMPUTED_VALUE"""),29.4)</f>
        <v>29.4</v>
      </c>
      <c r="F1541" s="16">
        <f>IFERROR(__xludf.DUMMYFUNCTION("""COMPUTED_VALUE"""),3.6)</f>
        <v>3.6</v>
      </c>
      <c r="G1541" s="16">
        <f>IFERROR(__xludf.DUMMYFUNCTION("""COMPUTED_VALUE"""),0.0)</f>
        <v>0</v>
      </c>
      <c r="H1541" s="16">
        <f>IFERROR(__xludf.DUMMYFUNCTION("""COMPUTED_VALUE"""),161.6)</f>
        <v>161.6</v>
      </c>
    </row>
    <row r="1542">
      <c r="A1542" s="16" t="str">
        <f>IFERROR(__xludf.DUMMYFUNCTION("""COMPUTED_VALUE"""),"Протеин на прах")</f>
        <v>Протеин на прах</v>
      </c>
      <c r="B1542" s="7" t="str">
        <f>IFERROR(__xludf.DUMMYFUNCTION("""COMPUTED_VALUE"""),"MyProtein Impact Whey Isolate")</f>
        <v>MyProtein Impact Whey Isolate</v>
      </c>
      <c r="C1542" s="12">
        <f>IFERROR(__xludf.DUMMYFUNCTION("""COMPUTED_VALUE"""),100.0)</f>
        <v>100</v>
      </c>
      <c r="D1542" s="7">
        <f>IFERROR(__xludf.DUMMYFUNCTION("""COMPUTED_VALUE"""),90.0)</f>
        <v>90</v>
      </c>
      <c r="E1542" s="16">
        <f>IFERROR(__xludf.DUMMYFUNCTION("""COMPUTED_VALUE"""),2.5)</f>
        <v>2.5</v>
      </c>
      <c r="F1542" s="16">
        <f>IFERROR(__xludf.DUMMYFUNCTION("""COMPUTED_VALUE"""),0.3)</f>
        <v>0.3</v>
      </c>
      <c r="G1542" s="16">
        <f>IFERROR(__xludf.DUMMYFUNCTION("""COMPUTED_VALUE"""),0.0)</f>
        <v>0</v>
      </c>
      <c r="H1542" s="16">
        <f>IFERROR(__xludf.DUMMYFUNCTION("""COMPUTED_VALUE"""),161.6)</f>
        <v>161.6</v>
      </c>
    </row>
    <row r="1543">
      <c r="A1543" s="16" t="str">
        <f>IFERROR(__xludf.DUMMYFUNCTION("""COMPUTED_VALUE"""),"Кореноплодни зеленчуци")</f>
        <v>Кореноплодни зеленчуци</v>
      </c>
      <c r="B1543" s="7" t="str">
        <f>IFERROR(__xludf.DUMMYFUNCTION("""COMPUTED_VALUE"""),"Картофени крокети замразени - Лидъл")</f>
        <v>Картофени крокети замразени - Лидъл</v>
      </c>
      <c r="C1543" s="12">
        <f>IFERROR(__xludf.DUMMYFUNCTION("""COMPUTED_VALUE"""),100.0)</f>
        <v>100</v>
      </c>
      <c r="D1543" s="7">
        <f>IFERROR(__xludf.DUMMYFUNCTION("""COMPUTED_VALUE"""),2.5)</f>
        <v>2.5</v>
      </c>
      <c r="E1543" s="16">
        <f>IFERROR(__xludf.DUMMYFUNCTION("""COMPUTED_VALUE"""),26.5)</f>
        <v>26.5</v>
      </c>
      <c r="F1543" s="16">
        <f>IFERROR(__xludf.DUMMYFUNCTION("""COMPUTED_VALUE"""),5.5)</f>
        <v>5.5</v>
      </c>
      <c r="G1543" s="16">
        <f>IFERROR(__xludf.DUMMYFUNCTION("""COMPUTED_VALUE"""),0.0)</f>
        <v>0</v>
      </c>
      <c r="H1543" s="16">
        <f>IFERROR(__xludf.DUMMYFUNCTION("""COMPUTED_VALUE"""),165.5)</f>
        <v>165.5</v>
      </c>
    </row>
    <row r="1544">
      <c r="A1544" s="16" t="str">
        <f>IFERROR(__xludf.DUMMYFUNCTION("""COMPUTED_VALUE"""),"Зеленчуци (пресни)")</f>
        <v>Зеленчуци (пресни)</v>
      </c>
      <c r="B1544" s="7" t="str">
        <f>IFERROR(__xludf.DUMMYFUNCTION("""COMPUTED_VALUE"""),"Бяла ряпа с моркови - ""Денито""")</f>
        <v>Бяла ряпа с моркови - "Денито"</v>
      </c>
      <c r="C1544" s="12">
        <f>IFERROR(__xludf.DUMMYFUNCTION("""COMPUTED_VALUE"""),100.0)</f>
        <v>100</v>
      </c>
      <c r="D1544" s="7">
        <f>IFERROR(__xludf.DUMMYFUNCTION("""COMPUTED_VALUE"""),0.8)</f>
        <v>0.8</v>
      </c>
      <c r="E1544" s="16">
        <f>IFERROR(__xludf.DUMMYFUNCTION("""COMPUTED_VALUE"""),4.8)</f>
        <v>4.8</v>
      </c>
      <c r="F1544" s="16">
        <f>IFERROR(__xludf.DUMMYFUNCTION("""COMPUTED_VALUE"""),1.0)</f>
        <v>1</v>
      </c>
      <c r="G1544" s="16">
        <f>IFERROR(__xludf.DUMMYFUNCTION("""COMPUTED_VALUE"""),0.0)</f>
        <v>0</v>
      </c>
      <c r="H1544" s="16">
        <f>IFERROR(__xludf.DUMMYFUNCTION("""COMPUTED_VALUE"""),31.4)</f>
        <v>31.4</v>
      </c>
    </row>
    <row r="1545">
      <c r="A1545" s="16" t="str">
        <f>IFERROR(__xludf.DUMMYFUNCTION("""COMPUTED_VALUE"""),"Бобови храни")</f>
        <v>Бобови храни</v>
      </c>
      <c r="B1545" s="7" t="str">
        <f>IFERROR(__xludf.DUMMYFUNCTION("""COMPUTED_VALUE"""),"Лютеница с добруджански бял боб (LIDL)")</f>
        <v>Лютеница с добруджански бял боб (LIDL)</v>
      </c>
      <c r="C1545" s="12">
        <f>IFERROR(__xludf.DUMMYFUNCTION("""COMPUTED_VALUE"""),100.0)</f>
        <v>100</v>
      </c>
      <c r="D1545" s="7">
        <f>IFERROR(__xludf.DUMMYFUNCTION("""COMPUTED_VALUE"""),2.9)</f>
        <v>2.9</v>
      </c>
      <c r="E1545" s="16">
        <f>IFERROR(__xludf.DUMMYFUNCTION("""COMPUTED_VALUE"""),29.4)</f>
        <v>29.4</v>
      </c>
      <c r="F1545" s="16">
        <f>IFERROR(__xludf.DUMMYFUNCTION("""COMPUTED_VALUE"""),3.6)</f>
        <v>3.6</v>
      </c>
      <c r="G1545" s="16">
        <f>IFERROR(__xludf.DUMMYFUNCTION("""COMPUTED_VALUE"""),0.0)</f>
        <v>0</v>
      </c>
      <c r="H1545" s="16">
        <f>IFERROR(__xludf.DUMMYFUNCTION("""COMPUTED_VALUE"""),161.6)</f>
        <v>161.6</v>
      </c>
    </row>
    <row r="1546">
      <c r="A1546" s="16" t="str">
        <f>IFERROR(__xludf.DUMMYFUNCTION("""COMPUTED_VALUE"""),"Тестени изделия")</f>
        <v>Тестени изделия</v>
      </c>
      <c r="B1546" s="7" t="str">
        <f>IFERROR(__xludf.DUMMYFUNCTION("""COMPUTED_VALUE"""),"Високо протеинова пица - Spicy Jackfruit ""Lidl""")</f>
        <v>Високо протеинова пица - Spicy Jackfruit "Lidl"</v>
      </c>
      <c r="C1546" s="12">
        <f>IFERROR(__xludf.DUMMYFUNCTION("""COMPUTED_VALUE"""),100.0)</f>
        <v>100</v>
      </c>
      <c r="D1546" s="7">
        <f>IFERROR(__xludf.DUMMYFUNCTION("""COMPUTED_VALUE"""),15.8)</f>
        <v>15.8</v>
      </c>
      <c r="E1546" s="16">
        <f>IFERROR(__xludf.DUMMYFUNCTION("""COMPUTED_VALUE"""),12.0)</f>
        <v>12</v>
      </c>
      <c r="F1546" s="16">
        <f>IFERROR(__xludf.DUMMYFUNCTION("""COMPUTED_VALUE"""),8.0)</f>
        <v>8</v>
      </c>
      <c r="G1546" s="16">
        <f>IFERROR(__xludf.DUMMYFUNCTION("""COMPUTED_VALUE"""),0.0)</f>
        <v>0</v>
      </c>
      <c r="H1546" s="16">
        <f>IFERROR(__xludf.DUMMYFUNCTION("""COMPUTED_VALUE"""),183.2)</f>
        <v>183.2</v>
      </c>
    </row>
    <row r="1547">
      <c r="A1547" s="16" t="str">
        <f>IFERROR(__xludf.DUMMYFUNCTION("""COMPUTED_VALUE"""),"Тестени изделия")</f>
        <v>Тестени изделия</v>
      </c>
      <c r="B1547" s="7" t="str">
        <f>IFERROR(__xludf.DUMMYFUNCTION("""COMPUTED_VALUE"""),"Високо протеинова пица - Lentil Curry ""Lidl""")</f>
        <v>Високо протеинова пица - Lentil Curry "Lidl"</v>
      </c>
      <c r="C1547" s="12">
        <f>IFERROR(__xludf.DUMMYFUNCTION("""COMPUTED_VALUE"""),100.0)</f>
        <v>100</v>
      </c>
      <c r="D1547" s="7">
        <f>IFERROR(__xludf.DUMMYFUNCTION("""COMPUTED_VALUE"""),15.8)</f>
        <v>15.8</v>
      </c>
      <c r="E1547" s="16">
        <f>IFERROR(__xludf.DUMMYFUNCTION("""COMPUTED_VALUE"""),13.4)</f>
        <v>13.4</v>
      </c>
      <c r="F1547" s="16">
        <f>IFERROR(__xludf.DUMMYFUNCTION("""COMPUTED_VALUE"""),4.1)</f>
        <v>4.1</v>
      </c>
      <c r="G1547" s="16">
        <f>IFERROR(__xludf.DUMMYFUNCTION("""COMPUTED_VALUE"""),0.0)</f>
        <v>0</v>
      </c>
      <c r="H1547" s="16">
        <f>IFERROR(__xludf.DUMMYFUNCTION("""COMPUTED_VALUE"""),153.70000000000002)</f>
        <v>153.7</v>
      </c>
    </row>
    <row r="1548">
      <c r="A1548" s="16" t="str">
        <f>IFERROR(__xludf.DUMMYFUNCTION("""COMPUTED_VALUE"""),"Протеин на прах")</f>
        <v>Протеин на прах</v>
      </c>
      <c r="B1548" s="7" t="str">
        <f>IFERROR(__xludf.DUMMYFUNCTION("""COMPUTED_VALUE"""),"BioTechUSA - Protein Power wih creatine - Strawberry and Banana")</f>
        <v>BioTechUSA - Protein Power wih creatine - Strawberry and Banana</v>
      </c>
      <c r="C1548" s="12">
        <f>IFERROR(__xludf.DUMMYFUNCTION("""COMPUTED_VALUE"""),100.0)</f>
        <v>100</v>
      </c>
      <c r="D1548" s="7">
        <f>IFERROR(__xludf.DUMMYFUNCTION("""COMPUTED_VALUE"""),86.0)</f>
        <v>86</v>
      </c>
      <c r="E1548" s="16">
        <f>IFERROR(__xludf.DUMMYFUNCTION("""COMPUTED_VALUE"""),3.7)</f>
        <v>3.7</v>
      </c>
      <c r="F1548" s="16">
        <f>IFERROR(__xludf.DUMMYFUNCTION("""COMPUTED_VALUE"""),1.6)</f>
        <v>1.6</v>
      </c>
      <c r="G1548" s="16">
        <f>IFERROR(__xludf.DUMMYFUNCTION("""COMPUTED_VALUE"""),0.0)</f>
        <v>0</v>
      </c>
      <c r="H1548" s="16">
        <f>IFERROR(__xludf.DUMMYFUNCTION("""COMPUTED_VALUE"""),373.2)</f>
        <v>373.2</v>
      </c>
    </row>
    <row r="1549">
      <c r="A1549" s="16" t="str">
        <f>IFERROR(__xludf.DUMMYFUNCTION("""COMPUTED_VALUE"""),"Протеин на прах")</f>
        <v>Протеин на прах</v>
      </c>
      <c r="B1549" s="7" t="str">
        <f>IFERROR(__xludf.DUMMYFUNCTION("""COMPUTED_VALUE"""),"BioTechUSA - 100% Pure Whey - Caramel and Cappuchino")</f>
        <v>BioTechUSA - 100% Pure Whey - Caramel and Cappuchino</v>
      </c>
      <c r="C1549" s="12">
        <f>IFERROR(__xludf.DUMMYFUNCTION("""COMPUTED_VALUE"""),100.0)</f>
        <v>100</v>
      </c>
      <c r="D1549" s="7">
        <f>IFERROR(__xludf.DUMMYFUNCTION("""COMPUTED_VALUE"""),75.0)</f>
        <v>75</v>
      </c>
      <c r="E1549" s="16">
        <f>IFERROR(__xludf.DUMMYFUNCTION("""COMPUTED_VALUE"""),5.5)</f>
        <v>5.5</v>
      </c>
      <c r="F1549" s="16">
        <f>IFERROR(__xludf.DUMMYFUNCTION("""COMPUTED_VALUE"""),6.4)</f>
        <v>6.4</v>
      </c>
      <c r="G1549" s="16">
        <f>IFERROR(__xludf.DUMMYFUNCTION("""COMPUTED_VALUE"""),0.0)</f>
        <v>0</v>
      </c>
      <c r="H1549" s="16">
        <f>IFERROR(__xludf.DUMMYFUNCTION("""COMPUTED_VALUE"""),379.6)</f>
        <v>379.6</v>
      </c>
    </row>
    <row r="1550">
      <c r="A1550" s="16" t="str">
        <f>IFERROR(__xludf.DUMMYFUNCTION("""COMPUTED_VALUE"""),"Вегетариански протеинови храни")</f>
        <v>Вегетариански протеинови храни</v>
      </c>
      <c r="B1550" s="7" t="str">
        <f>IFERROR(__xludf.DUMMYFUNCTION("""COMPUTED_VALUE"""),"Ксантанова гума")</f>
        <v>Ксантанова гума</v>
      </c>
      <c r="C1550" s="12">
        <f>IFERROR(__xludf.DUMMYFUNCTION("""COMPUTED_VALUE"""),100.0)</f>
        <v>100</v>
      </c>
      <c r="D1550" s="7">
        <f>IFERROR(__xludf.DUMMYFUNCTION("""COMPUTED_VALUE"""),7.0)</f>
        <v>7</v>
      </c>
      <c r="E1550" s="16">
        <f>IFERROR(__xludf.DUMMYFUNCTION("""COMPUTED_VALUE"""),77.0)</f>
        <v>77</v>
      </c>
      <c r="F1550" s="16">
        <f>IFERROR(__xludf.DUMMYFUNCTION("""COMPUTED_VALUE"""),0.0)</f>
        <v>0</v>
      </c>
      <c r="G1550" s="16">
        <f>IFERROR(__xludf.DUMMYFUNCTION("""COMPUTED_VALUE"""),0.0)</f>
        <v>0</v>
      </c>
      <c r="H1550" s="16">
        <f>IFERROR(__xludf.DUMMYFUNCTION("""COMPUTED_VALUE"""),336.0)</f>
        <v>336</v>
      </c>
    </row>
    <row r="1551">
      <c r="A1551" s="16" t="str">
        <f>IFERROR(__xludf.DUMMYFUNCTION("""COMPUTED_VALUE"""),"Зърнени храни")</f>
        <v>Зърнени храни</v>
      </c>
      <c r="B1551" s="7" t="str">
        <f>IFERROR(__xludf.DUMMYFUNCTION("""COMPUTED_VALUE"""),"Ориз ""Ширатаки""")</f>
        <v>Ориз "Ширатаки"</v>
      </c>
      <c r="C1551" s="12">
        <f>IFERROR(__xludf.DUMMYFUNCTION("""COMPUTED_VALUE"""),100.0)</f>
        <v>100</v>
      </c>
      <c r="D1551" s="7">
        <f>IFERROR(__xludf.DUMMYFUNCTION("""COMPUTED_VALUE"""),0.5)</f>
        <v>0.5</v>
      </c>
      <c r="E1551" s="16">
        <f>IFERROR(__xludf.DUMMYFUNCTION("""COMPUTED_VALUE"""),0.8)</f>
        <v>0.8</v>
      </c>
      <c r="F1551" s="16">
        <f>IFERROR(__xludf.DUMMYFUNCTION("""COMPUTED_VALUE"""),0.5)</f>
        <v>0.5</v>
      </c>
      <c r="G1551" s="16">
        <f>IFERROR(__xludf.DUMMYFUNCTION("""COMPUTED_VALUE"""),0.0)</f>
        <v>0</v>
      </c>
      <c r="H1551" s="16">
        <f>IFERROR(__xludf.DUMMYFUNCTION("""COMPUTED_VALUE"""),9.7)</f>
        <v>9.7</v>
      </c>
    </row>
    <row r="1552">
      <c r="A1552" s="16" t="str">
        <f>IFERROR(__xludf.DUMMYFUNCTION("""COMPUTED_VALUE"""),"Бобови храни")</f>
        <v>Бобови храни</v>
      </c>
      <c r="B1552" s="7" t="str">
        <f>IFERROR(__xludf.DUMMYFUNCTION("""COMPUTED_VALUE"""),"Царевица за пуканки ""БИО""")</f>
        <v>Царевица за пуканки "БИО"</v>
      </c>
      <c r="C1552" s="12">
        <f>IFERROR(__xludf.DUMMYFUNCTION("""COMPUTED_VALUE"""),100.0)</f>
        <v>100</v>
      </c>
      <c r="D1552" s="7">
        <f>IFERROR(__xludf.DUMMYFUNCTION("""COMPUTED_VALUE"""),9.4)</f>
        <v>9.4</v>
      </c>
      <c r="E1552" s="16">
        <f>IFERROR(__xludf.DUMMYFUNCTION("""COMPUTED_VALUE"""),66.98)</f>
        <v>66.98</v>
      </c>
      <c r="F1552" s="16">
        <f>IFERROR(__xludf.DUMMYFUNCTION("""COMPUTED_VALUE"""),4.7)</f>
        <v>4.7</v>
      </c>
      <c r="G1552" s="16">
        <f>IFERROR(__xludf.DUMMYFUNCTION("""COMPUTED_VALUE"""),0.0)</f>
        <v>0</v>
      </c>
      <c r="H1552" s="16">
        <f>IFERROR(__xludf.DUMMYFUNCTION("""COMPUTED_VALUE"""),347.82000000000005)</f>
        <v>347.82</v>
      </c>
    </row>
    <row r="1553">
      <c r="A1553" s="16" t="str">
        <f>IFERROR(__xludf.DUMMYFUNCTION("""COMPUTED_VALUE"""),"Вегетариански протеинови храни")</f>
        <v>Вегетариански протеинови храни</v>
      </c>
      <c r="B1553" s="7" t="str">
        <f>IFERROR(__xludf.DUMMYFUNCTION("""COMPUTED_VALUE"""),"Сейтан ""GutBio"" - Aldi")</f>
        <v>Сейтан "GutBio" - Aldi</v>
      </c>
      <c r="C1553" s="12">
        <f>IFERROR(__xludf.DUMMYFUNCTION("""COMPUTED_VALUE"""),100.0)</f>
        <v>100</v>
      </c>
      <c r="D1553" s="7">
        <f>IFERROR(__xludf.DUMMYFUNCTION("""COMPUTED_VALUE"""),21.3)</f>
        <v>21.3</v>
      </c>
      <c r="E1553" s="16">
        <f>IFERROR(__xludf.DUMMYFUNCTION("""COMPUTED_VALUE"""),3.4)</f>
        <v>3.4</v>
      </c>
      <c r="F1553" s="16">
        <f>IFERROR(__xludf.DUMMYFUNCTION("""COMPUTED_VALUE"""),1.4)</f>
        <v>1.4</v>
      </c>
      <c r="G1553" s="16">
        <f>IFERROR(__xludf.DUMMYFUNCTION("""COMPUTED_VALUE"""),0.0)</f>
        <v>0</v>
      </c>
      <c r="H1553" s="16">
        <f>IFERROR(__xludf.DUMMYFUNCTION("""COMPUTED_VALUE"""),111.39999999999999)</f>
        <v>111.4</v>
      </c>
    </row>
    <row r="1554">
      <c r="A1554" s="16" t="str">
        <f>IFERROR(__xludf.DUMMYFUNCTION("""COMPUTED_VALUE"""),"Замразени плодове/зеленчуци")</f>
        <v>Замразени плодове/зеленчуци</v>
      </c>
      <c r="B1554" s="7" t="str">
        <f>IFERROR(__xludf.DUMMYFUNCTION("""COMPUTED_VALUE"""),"Замразена царевица")</f>
        <v>Замразена царевица</v>
      </c>
      <c r="C1554" s="12">
        <f>IFERROR(__xludf.DUMMYFUNCTION("""COMPUTED_VALUE"""),100.0)</f>
        <v>100</v>
      </c>
      <c r="D1554" s="7">
        <f>IFERROR(__xludf.DUMMYFUNCTION("""COMPUTED_VALUE"""),2.9)</f>
        <v>2.9</v>
      </c>
      <c r="E1554" s="16">
        <f>IFERROR(__xludf.DUMMYFUNCTION("""COMPUTED_VALUE"""),12.0)</f>
        <v>12</v>
      </c>
      <c r="F1554" s="16">
        <f>IFERROR(__xludf.DUMMYFUNCTION("""COMPUTED_VALUE"""),1.3)</f>
        <v>1.3</v>
      </c>
      <c r="G1554" s="16">
        <f>IFERROR(__xludf.DUMMYFUNCTION("""COMPUTED_VALUE"""),3.3)</f>
        <v>3.3</v>
      </c>
      <c r="H1554" s="16">
        <f>IFERROR(__xludf.DUMMYFUNCTION("""COMPUTED_VALUE"""),71.3)</f>
        <v>71.3</v>
      </c>
    </row>
    <row r="1555">
      <c r="A1555" s="16" t="str">
        <f>IFERROR(__xludf.DUMMYFUNCTION("""COMPUTED_VALUE"""),"Замразени плодове/зеленчуци")</f>
        <v>Замразени плодове/зеленчуци</v>
      </c>
      <c r="B1555" s="7" t="str">
        <f>IFERROR(__xludf.DUMMYFUNCTION("""COMPUTED_VALUE"""),"Замразен грах")</f>
        <v>Замразен грах</v>
      </c>
      <c r="C1555" s="12">
        <f>IFERROR(__xludf.DUMMYFUNCTION("""COMPUTED_VALUE"""),100.0)</f>
        <v>100</v>
      </c>
      <c r="D1555" s="7">
        <f>IFERROR(__xludf.DUMMYFUNCTION("""COMPUTED_VALUE"""),6.0)</f>
        <v>6</v>
      </c>
      <c r="E1555" s="16">
        <f>IFERROR(__xludf.DUMMYFUNCTION("""COMPUTED_VALUE"""),11.0)</f>
        <v>11</v>
      </c>
      <c r="F1555" s="16">
        <f>IFERROR(__xludf.DUMMYFUNCTION("""COMPUTED_VALUE"""),0.4)</f>
        <v>0.4</v>
      </c>
      <c r="G1555" s="16">
        <f>IFERROR(__xludf.DUMMYFUNCTION("""COMPUTED_VALUE"""),5.0)</f>
        <v>5</v>
      </c>
      <c r="H1555" s="16">
        <f>IFERROR(__xludf.DUMMYFUNCTION("""COMPUTED_VALUE"""),71.6)</f>
        <v>71.6</v>
      </c>
    </row>
    <row r="1556">
      <c r="A1556" s="16" t="str">
        <f>IFERROR(__xludf.DUMMYFUNCTION("""COMPUTED_VALUE"""),"Замразени плодове/зеленчуци")</f>
        <v>Замразени плодове/зеленчуци</v>
      </c>
      <c r="B1556" s="7" t="str">
        <f>IFERROR(__xludf.DUMMYFUNCTION("""COMPUTED_VALUE"""),"Замразени моркови")</f>
        <v>Замразени моркови</v>
      </c>
      <c r="C1556" s="12">
        <f>IFERROR(__xludf.DUMMYFUNCTION("""COMPUTED_VALUE"""),100.0)</f>
        <v>100</v>
      </c>
      <c r="D1556" s="7">
        <f>IFERROR(__xludf.DUMMYFUNCTION("""COMPUTED_VALUE"""),0.4)</f>
        <v>0.4</v>
      </c>
      <c r="E1556" s="16">
        <f>IFERROR(__xludf.DUMMYFUNCTION("""COMPUTED_VALUE"""),6.7)</f>
        <v>6.7</v>
      </c>
      <c r="F1556" s="16">
        <f>IFERROR(__xludf.DUMMYFUNCTION("""COMPUTED_VALUE"""),0.0)</f>
        <v>0</v>
      </c>
      <c r="G1556" s="16">
        <f>IFERROR(__xludf.DUMMYFUNCTION("""COMPUTED_VALUE"""),3.2)</f>
        <v>3.2</v>
      </c>
      <c r="H1556" s="16">
        <f>IFERROR(__xludf.DUMMYFUNCTION("""COMPUTED_VALUE"""),28.400000000000002)</f>
        <v>28.4</v>
      </c>
    </row>
    <row r="1557">
      <c r="A1557" s="16" t="str">
        <f>IFERROR(__xludf.DUMMYFUNCTION("""COMPUTED_VALUE"""),"Зърнени храни")</f>
        <v>Зърнени храни</v>
      </c>
      <c r="B1557" s="7" t="str">
        <f>IFERROR(__xludf.DUMMYFUNCTION("""COMPUTED_VALUE"""),"Оризов грис ""Krina""")</f>
        <v>Оризов грис "Krina"</v>
      </c>
      <c r="C1557" s="12">
        <f>IFERROR(__xludf.DUMMYFUNCTION("""COMPUTED_VALUE"""),100.0)</f>
        <v>100</v>
      </c>
      <c r="D1557" s="7">
        <f>IFERROR(__xludf.DUMMYFUNCTION("""COMPUTED_VALUE"""),6.6)</f>
        <v>6.6</v>
      </c>
      <c r="E1557" s="16">
        <f>IFERROR(__xludf.DUMMYFUNCTION("""COMPUTED_VALUE"""),79.0)</f>
        <v>79</v>
      </c>
      <c r="F1557" s="16">
        <f>IFERROR(__xludf.DUMMYFUNCTION("""COMPUTED_VALUE"""),0.6)</f>
        <v>0.6</v>
      </c>
      <c r="G1557" s="16">
        <f>IFERROR(__xludf.DUMMYFUNCTION("""COMPUTED_VALUE"""),0.0)</f>
        <v>0</v>
      </c>
      <c r="H1557" s="16">
        <f>IFERROR(__xludf.DUMMYFUNCTION("""COMPUTED_VALUE"""),347.79999999999995)</f>
        <v>347.8</v>
      </c>
    </row>
    <row r="1558">
      <c r="A1558" s="16" t="str">
        <f>IFERROR(__xludf.DUMMYFUNCTION("""COMPUTED_VALUE"""),"Бобови храни")</f>
        <v>Бобови храни</v>
      </c>
      <c r="B1558" s="7" t="str">
        <f>IFERROR(__xludf.DUMMYFUNCTION("""COMPUTED_VALUE"""),"Боб по манастирски ""Lidl""")</f>
        <v>Боб по манастирски "Lidl"</v>
      </c>
      <c r="C1558" s="12">
        <f>IFERROR(__xludf.DUMMYFUNCTION("""COMPUTED_VALUE"""),100.0)</f>
        <v>100</v>
      </c>
      <c r="D1558" s="7">
        <f>IFERROR(__xludf.DUMMYFUNCTION("""COMPUTED_VALUE"""),5.0)</f>
        <v>5</v>
      </c>
      <c r="E1558" s="16">
        <f>IFERROR(__xludf.DUMMYFUNCTION("""COMPUTED_VALUE"""),18.0)</f>
        <v>18</v>
      </c>
      <c r="F1558" s="16">
        <f>IFERROR(__xludf.DUMMYFUNCTION("""COMPUTED_VALUE"""),6.0)</f>
        <v>6</v>
      </c>
      <c r="G1558" s="16">
        <f>IFERROR(__xludf.DUMMYFUNCTION("""COMPUTED_VALUE"""),0.0)</f>
        <v>0</v>
      </c>
      <c r="H1558" s="16">
        <f>IFERROR(__xludf.DUMMYFUNCTION("""COMPUTED_VALUE"""),146.0)</f>
        <v>146</v>
      </c>
    </row>
    <row r="1559">
      <c r="A1559" s="16" t="str">
        <f>IFERROR(__xludf.DUMMYFUNCTION("""COMPUTED_VALUE"""),"Млечни")</f>
        <v>Млечни</v>
      </c>
      <c r="B1559" s="7" t="str">
        <f>IFERROR(__xludf.DUMMYFUNCTION("""COMPUTED_VALUE"""),"Папрука у павлаци")</f>
        <v>Папрука у павлаци</v>
      </c>
      <c r="C1559" s="12">
        <f>IFERROR(__xludf.DUMMYFUNCTION("""COMPUTED_VALUE"""),100.0)</f>
        <v>100</v>
      </c>
      <c r="D1559" s="7">
        <f>IFERROR(__xludf.DUMMYFUNCTION("""COMPUTED_VALUE"""),5.0)</f>
        <v>5</v>
      </c>
      <c r="E1559" s="16">
        <f>IFERROR(__xludf.DUMMYFUNCTION("""COMPUTED_VALUE"""),2.7)</f>
        <v>2.7</v>
      </c>
      <c r="F1559" s="16">
        <f>IFERROR(__xludf.DUMMYFUNCTION("""COMPUTED_VALUE"""),11.0)</f>
        <v>11</v>
      </c>
      <c r="G1559" s="16">
        <f>IFERROR(__xludf.DUMMYFUNCTION("""COMPUTED_VALUE"""),0.0)</f>
        <v>0</v>
      </c>
      <c r="H1559" s="16">
        <f>IFERROR(__xludf.DUMMYFUNCTION("""COMPUTED_VALUE"""),146.0)</f>
        <v>146</v>
      </c>
    </row>
    <row r="1560">
      <c r="A1560" s="16" t="str">
        <f>IFERROR(__xludf.DUMMYFUNCTION("""COMPUTED_VALUE"""),"Бобови храни")</f>
        <v>Бобови храни</v>
      </c>
      <c r="B1560" s="7" t="str">
        <f>IFERROR(__xludf.DUMMYFUNCTION("""COMPUTED_VALUE"""),"Печен боб с доматен сос ""Freshona""")</f>
        <v>Печен боб с доматен сос "Freshona"</v>
      </c>
      <c r="C1560" s="12">
        <f>IFERROR(__xludf.DUMMYFUNCTION("""COMPUTED_VALUE"""),100.0)</f>
        <v>100</v>
      </c>
      <c r="D1560" s="7">
        <f>IFERROR(__xludf.DUMMYFUNCTION("""COMPUTED_VALUE"""),4.1)</f>
        <v>4.1</v>
      </c>
      <c r="E1560" s="16">
        <f>IFERROR(__xludf.DUMMYFUNCTION("""COMPUTED_VALUE"""),12.4)</f>
        <v>12.4</v>
      </c>
      <c r="F1560" s="16">
        <f>IFERROR(__xludf.DUMMYFUNCTION("""COMPUTED_VALUE"""),0.6)</f>
        <v>0.6</v>
      </c>
      <c r="G1560" s="13">
        <f>IFERROR(__xludf.DUMMYFUNCTION("""COMPUTED_VALUE"""),0.0)</f>
        <v>0</v>
      </c>
      <c r="H1560" s="16">
        <f>IFERROR(__xludf.DUMMYFUNCTION("""COMPUTED_VALUE"""),146.0)</f>
        <v>146</v>
      </c>
    </row>
    <row r="1561">
      <c r="A1561" s="16" t="str">
        <f>IFERROR(__xludf.DUMMYFUNCTION("""COMPUTED_VALUE"""),"Протеин на прах")</f>
        <v>Протеин на прах</v>
      </c>
      <c r="B1561" s="7" t="str">
        <f>IFERROR(__xludf.DUMMYFUNCTION("""COMPUTED_VALUE"""),"FA Gold Whey Protein Isolate")</f>
        <v>FA Gold Whey Protein Isolate</v>
      </c>
      <c r="C1561" s="12">
        <f>IFERROR(__xludf.DUMMYFUNCTION("""COMPUTED_VALUE"""),100.0)</f>
        <v>100</v>
      </c>
      <c r="D1561" s="7">
        <f>IFERROR(__xludf.DUMMYFUNCTION("""COMPUTED_VALUE"""),83.0)</f>
        <v>83</v>
      </c>
      <c r="E1561" s="16">
        <f>IFERROR(__xludf.DUMMYFUNCTION("""COMPUTED_VALUE"""),2.5)</f>
        <v>2.5</v>
      </c>
      <c r="F1561" s="16">
        <f>IFERROR(__xludf.DUMMYFUNCTION("""COMPUTED_VALUE"""),0.5)</f>
        <v>0.5</v>
      </c>
      <c r="G1561" s="16">
        <f>IFERROR(__xludf.DUMMYFUNCTION("""COMPUTED_VALUE"""),0.0)</f>
        <v>0</v>
      </c>
      <c r="H1561" s="16">
        <f>IFERROR(__xludf.DUMMYFUNCTION("""COMPUTED_VALUE"""),146.0)</f>
        <v>146</v>
      </c>
    </row>
    <row r="1562">
      <c r="A1562" s="16" t="str">
        <f>IFERROR(__xludf.DUMMYFUNCTION("""COMPUTED_VALUE"""),"Месо")</f>
        <v>Месо</v>
      </c>
      <c r="B1562" s="7" t="str">
        <f>IFERROR(__xludf.DUMMYFUNCTION("""COMPUTED_VALUE"""),"Агнешки бут (сурово състояние)")</f>
        <v>Агнешки бут (сурово състояние)</v>
      </c>
      <c r="C1562" s="12">
        <f>IFERROR(__xludf.DUMMYFUNCTION("""COMPUTED_VALUE"""),100.0)</f>
        <v>100</v>
      </c>
      <c r="D1562" s="7">
        <f>IFERROR(__xludf.DUMMYFUNCTION("""COMPUTED_VALUE"""),22.0)</f>
        <v>22</v>
      </c>
      <c r="E1562" s="16">
        <f>IFERROR(__xludf.DUMMYFUNCTION("""COMPUTED_VALUE"""),0.0)</f>
        <v>0</v>
      </c>
      <c r="F1562" s="16">
        <f>IFERROR(__xludf.DUMMYFUNCTION("""COMPUTED_VALUE"""),18.0)</f>
        <v>18</v>
      </c>
      <c r="G1562" s="16">
        <f>IFERROR(__xludf.DUMMYFUNCTION("""COMPUTED_VALUE"""),0.0)</f>
        <v>0</v>
      </c>
      <c r="H1562" s="16">
        <f>IFERROR(__xludf.DUMMYFUNCTION("""COMPUTED_VALUE"""),146.0)</f>
        <v>146</v>
      </c>
    </row>
    <row r="1563">
      <c r="A1563" s="16" t="str">
        <f>IFERROR(__xludf.DUMMYFUNCTION("""COMPUTED_VALUE"""),"Месо")</f>
        <v>Месо</v>
      </c>
      <c r="B1563" s="7" t="str">
        <f>IFERROR(__xludf.DUMMYFUNCTION("""COMPUTED_VALUE"""),"Агнешки врат (сурово състояние)")</f>
        <v>Агнешки врат (сурово състояние)</v>
      </c>
      <c r="C1563" s="12">
        <f>IFERROR(__xludf.DUMMYFUNCTION("""COMPUTED_VALUE"""),100.0)</f>
        <v>100</v>
      </c>
      <c r="D1563" s="7">
        <f>IFERROR(__xludf.DUMMYFUNCTION("""COMPUTED_VALUE"""),22.0)</f>
        <v>22</v>
      </c>
      <c r="E1563" s="16">
        <f>IFERROR(__xludf.DUMMYFUNCTION("""COMPUTED_VALUE"""),0.0)</f>
        <v>0</v>
      </c>
      <c r="F1563" s="16">
        <f>IFERROR(__xludf.DUMMYFUNCTION("""COMPUTED_VALUE"""),22.0)</f>
        <v>22</v>
      </c>
      <c r="G1563" s="16">
        <f>IFERROR(__xludf.DUMMYFUNCTION("""COMPUTED_VALUE"""),0.0)</f>
        <v>0</v>
      </c>
      <c r="H1563" s="16">
        <f>IFERROR(__xludf.DUMMYFUNCTION("""COMPUTED_VALUE"""),146.0)</f>
        <v>146</v>
      </c>
    </row>
    <row r="1564">
      <c r="A1564" s="16" t="str">
        <f>IFERROR(__xludf.DUMMYFUNCTION("""COMPUTED_VALUE"""),"Ядкови масла")</f>
        <v>Ядкови масла</v>
      </c>
      <c r="B1564" s="7" t="str">
        <f>IFERROR(__xludf.DUMMYFUNCTION("""COMPUTED_VALUE"""),"Фъстъчено масло на прах PB2")</f>
        <v>Фъстъчено масло на прах PB2</v>
      </c>
      <c r="C1564" s="12">
        <f>IFERROR(__xludf.DUMMYFUNCTION("""COMPUTED_VALUE"""),100.0)</f>
        <v>100</v>
      </c>
      <c r="D1564" s="7">
        <f>IFERROR(__xludf.DUMMYFUNCTION("""COMPUTED_VALUE"""),46.15)</f>
        <v>46.15</v>
      </c>
      <c r="E1564" s="16">
        <f>IFERROR(__xludf.DUMMYFUNCTION("""COMPUTED_VALUE"""),38.46)</f>
        <v>38.46</v>
      </c>
      <c r="F1564" s="16">
        <f>IFERROR(__xludf.DUMMYFUNCTION("""COMPUTED_VALUE"""),11.5)</f>
        <v>11.5</v>
      </c>
      <c r="G1564" s="16">
        <f>IFERROR(__xludf.DUMMYFUNCTION("""COMPUTED_VALUE"""),0.0)</f>
        <v>0</v>
      </c>
      <c r="H1564" s="16">
        <f>IFERROR(__xludf.DUMMYFUNCTION("""COMPUTED_VALUE"""),441.94)</f>
        <v>441.94</v>
      </c>
    </row>
    <row r="1565">
      <c r="A1565" s="16" t="str">
        <f>IFERROR(__xludf.DUMMYFUNCTION("""COMPUTED_VALUE"""),"Млечни")</f>
        <v>Млечни</v>
      </c>
      <c r="B1565" s="7" t="str">
        <f>IFERROR(__xludf.DUMMYFUNCTION("""COMPUTED_VALUE"""),"Кокосово мляко Alpro Barista")</f>
        <v>Кокосово мляко Alpro Barista</v>
      </c>
      <c r="C1565" s="12">
        <f>IFERROR(__xludf.DUMMYFUNCTION("""COMPUTED_VALUE"""),100.0)</f>
        <v>100</v>
      </c>
      <c r="D1565" s="7">
        <f>IFERROR(__xludf.DUMMYFUNCTION("""COMPUTED_VALUE"""),1.5)</f>
        <v>1.5</v>
      </c>
      <c r="E1565" s="16">
        <f>IFERROR(__xludf.DUMMYFUNCTION("""COMPUTED_VALUE"""),3.3)</f>
        <v>3.3</v>
      </c>
      <c r="F1565" s="16">
        <f>IFERROR(__xludf.DUMMYFUNCTION("""COMPUTED_VALUE"""),1.4)</f>
        <v>1.4</v>
      </c>
      <c r="G1565" s="16">
        <f>IFERROR(__xludf.DUMMYFUNCTION("""COMPUTED_VALUE"""),0.2)</f>
        <v>0.2</v>
      </c>
      <c r="H1565" s="16">
        <f>IFERROR(__xludf.DUMMYFUNCTION("""COMPUTED_VALUE"""),31.8)</f>
        <v>31.8</v>
      </c>
    </row>
    <row r="1566">
      <c r="A1566" s="16" t="str">
        <f>IFERROR(__xludf.DUMMYFUNCTION("""COMPUTED_VALUE"""),"Месо")</f>
        <v>Месо</v>
      </c>
      <c r="B1566" s="7" t="str">
        <f>IFERROR(__xludf.DUMMYFUNCTION("""COMPUTED_VALUE"""),"Прясно пилешко филе (Лидл - сурово състояние)")</f>
        <v>Прясно пилешко филе (Лидл - сурово състояние)</v>
      </c>
      <c r="C1566" s="12">
        <f>IFERROR(__xludf.DUMMYFUNCTION("""COMPUTED_VALUE"""),100.0)</f>
        <v>100</v>
      </c>
      <c r="D1566" s="7">
        <f>IFERROR(__xludf.DUMMYFUNCTION("""COMPUTED_VALUE"""),22.4)</f>
        <v>22.4</v>
      </c>
      <c r="E1566" s="16">
        <f>IFERROR(__xludf.DUMMYFUNCTION("""COMPUTED_VALUE"""),0.2)</f>
        <v>0.2</v>
      </c>
      <c r="F1566" s="16">
        <f>IFERROR(__xludf.DUMMYFUNCTION("""COMPUTED_VALUE"""),0.9)</f>
        <v>0.9</v>
      </c>
      <c r="G1566" s="16">
        <f>IFERROR(__xludf.DUMMYFUNCTION("""COMPUTED_VALUE"""),0.0)</f>
        <v>0</v>
      </c>
      <c r="H1566" s="16">
        <f>IFERROR(__xludf.DUMMYFUNCTION("""COMPUTED_VALUE"""),98.5)</f>
        <v>98.5</v>
      </c>
    </row>
    <row r="1567">
      <c r="A1567" s="16" t="str">
        <f>IFERROR(__xludf.DUMMYFUNCTION("""COMPUTED_VALUE"""),"Сосове")</f>
        <v>Сосове</v>
      </c>
      <c r="B1567" s="7" t="str">
        <f>IFERROR(__xludf.DUMMYFUNCTION("""COMPUTED_VALUE"""),"Балсамико оцет Crema")</f>
        <v>Балсамико оцет Crema</v>
      </c>
      <c r="C1567" s="12">
        <f>IFERROR(__xludf.DUMMYFUNCTION("""COMPUTED_VALUE"""),100.0)</f>
        <v>100</v>
      </c>
      <c r="D1567" s="7">
        <f>IFERROR(__xludf.DUMMYFUNCTION("""COMPUTED_VALUE"""),1.1)</f>
        <v>1.1</v>
      </c>
      <c r="E1567" s="16">
        <f>IFERROR(__xludf.DUMMYFUNCTION("""COMPUTED_VALUE"""),51.0)</f>
        <v>51</v>
      </c>
      <c r="F1567" s="16">
        <f>IFERROR(__xludf.DUMMYFUNCTION("""COMPUTED_VALUE"""),0.0)</f>
        <v>0</v>
      </c>
      <c r="G1567" s="16">
        <f>IFERROR(__xludf.DUMMYFUNCTION("""COMPUTED_VALUE"""),0.0)</f>
        <v>0</v>
      </c>
      <c r="H1567" s="16">
        <f>IFERROR(__xludf.DUMMYFUNCTION("""COMPUTED_VALUE"""),208.4)</f>
        <v>208.4</v>
      </c>
    </row>
    <row r="1568">
      <c r="A1568" s="16" t="str">
        <f>IFERROR(__xludf.DUMMYFUNCTION("""COMPUTED_VALUE"""),"Млечни")</f>
        <v>Млечни</v>
      </c>
      <c r="B1568" s="7" t="str">
        <f>IFERROR(__xludf.DUMMYFUNCTION("""COMPUTED_VALUE"""),"Обезмаслена извара БИО ""REWE""")</f>
        <v>Обезмаслена извара БИО "REWE"</v>
      </c>
      <c r="C1568" s="12">
        <f>IFERROR(__xludf.DUMMYFUNCTION("""COMPUTED_VALUE"""),100.0)</f>
        <v>100</v>
      </c>
      <c r="D1568" s="7">
        <f>IFERROR(__xludf.DUMMYFUNCTION("""COMPUTED_VALUE"""),12.0)</f>
        <v>12</v>
      </c>
      <c r="E1568" s="16">
        <f>IFERROR(__xludf.DUMMYFUNCTION("""COMPUTED_VALUE"""),4.1)</f>
        <v>4.1</v>
      </c>
      <c r="F1568" s="16">
        <f>IFERROR(__xludf.DUMMYFUNCTION("""COMPUTED_VALUE"""),0.2)</f>
        <v>0.2</v>
      </c>
      <c r="G1568" s="16">
        <f>IFERROR(__xludf.DUMMYFUNCTION("""COMPUTED_VALUE"""),0.0)</f>
        <v>0</v>
      </c>
      <c r="H1568" s="16">
        <f>IFERROR(__xludf.DUMMYFUNCTION("""COMPUTED_VALUE"""),66.2)</f>
        <v>66.2</v>
      </c>
    </row>
    <row r="1569">
      <c r="A1569" s="16" t="str">
        <f>IFERROR(__xludf.DUMMYFUNCTION("""COMPUTED_VALUE"""),"Млечни")</f>
        <v>Млечни</v>
      </c>
      <c r="B1569" s="7" t="str">
        <f>IFERROR(__xludf.DUMMYFUNCTION("""COMPUTED_VALUE"""),"Моцарела ""Arla""")</f>
        <v>Моцарела "Arla"</v>
      </c>
      <c r="C1569" s="12">
        <f>IFERROR(__xludf.DUMMYFUNCTION("""COMPUTED_VALUE"""),100.0)</f>
        <v>100</v>
      </c>
      <c r="D1569" s="7">
        <f>IFERROR(__xludf.DUMMYFUNCTION("""COMPUTED_VALUE"""),25.0)</f>
        <v>25</v>
      </c>
      <c r="E1569" s="16">
        <f>IFERROR(__xludf.DUMMYFUNCTION("""COMPUTED_VALUE"""),1.0)</f>
        <v>1</v>
      </c>
      <c r="F1569" s="16">
        <f>IFERROR(__xludf.DUMMYFUNCTION("""COMPUTED_VALUE"""),22.0)</f>
        <v>22</v>
      </c>
      <c r="G1569" s="16">
        <f>IFERROR(__xludf.DUMMYFUNCTION("""COMPUTED_VALUE"""),0.0)</f>
        <v>0</v>
      </c>
      <c r="H1569" s="16">
        <f>IFERROR(__xludf.DUMMYFUNCTION("""COMPUTED_VALUE"""),302.0)</f>
        <v>302</v>
      </c>
    </row>
    <row r="1570">
      <c r="A1570" s="16" t="str">
        <f>IFERROR(__xludf.DUMMYFUNCTION("""COMPUTED_VALUE"""),"Месо")</f>
        <v>Месо</v>
      </c>
      <c r="B1570" s="7" t="str">
        <f>IFERROR(__xludf.DUMMYFUNCTION("""COMPUTED_VALUE"""),"Пуешко филе ""IFANTIS""")</f>
        <v>Пуешко филе "IFANTIS"</v>
      </c>
      <c r="C1570" s="12">
        <f>IFERROR(__xludf.DUMMYFUNCTION("""COMPUTED_VALUE"""),100.0)</f>
        <v>100</v>
      </c>
      <c r="D1570" s="7">
        <f>IFERROR(__xludf.DUMMYFUNCTION("""COMPUTED_VALUE"""),11.0)</f>
        <v>11</v>
      </c>
      <c r="E1570" s="16">
        <f>IFERROR(__xludf.DUMMYFUNCTION("""COMPUTED_VALUE"""),5.0)</f>
        <v>5</v>
      </c>
      <c r="F1570" s="16">
        <f>IFERROR(__xludf.DUMMYFUNCTION("""COMPUTED_VALUE"""),4.0)</f>
        <v>4</v>
      </c>
      <c r="G1570" s="16">
        <f>IFERROR(__xludf.DUMMYFUNCTION("""COMPUTED_VALUE"""),0.0)</f>
        <v>0</v>
      </c>
      <c r="H1570" s="16">
        <f>IFERROR(__xludf.DUMMYFUNCTION("""COMPUTED_VALUE"""),100.0)</f>
        <v>100</v>
      </c>
    </row>
    <row r="1571">
      <c r="A1571" s="16" t="str">
        <f>IFERROR(__xludf.DUMMYFUNCTION("""COMPUTED_VALUE"""),"Протеин на прах")</f>
        <v>Протеин на прах</v>
      </c>
      <c r="B1571" s="7" t="str">
        <f>IFERROR(__xludf.DUMMYFUNCTION("""COMPUTED_VALUE"""),"Казеинов протеин ""My protein""")</f>
        <v>Казеинов протеин "My protein"</v>
      </c>
      <c r="C1571" s="12">
        <f>IFERROR(__xludf.DUMMYFUNCTION("""COMPUTED_VALUE"""),100.0)</f>
        <v>100</v>
      </c>
      <c r="D1571" s="7">
        <f>IFERROR(__xludf.DUMMYFUNCTION("""COMPUTED_VALUE"""),76.0)</f>
        <v>76</v>
      </c>
      <c r="E1571" s="16">
        <f>IFERROR(__xludf.DUMMYFUNCTION("""COMPUTED_VALUE"""),4.0)</f>
        <v>4</v>
      </c>
      <c r="F1571" s="16">
        <f>IFERROR(__xludf.DUMMYFUNCTION("""COMPUTED_VALUE"""),1.5)</f>
        <v>1.5</v>
      </c>
      <c r="G1571" s="16">
        <f>IFERROR(__xludf.DUMMYFUNCTION("""COMPUTED_VALUE"""),0.0)</f>
        <v>0</v>
      </c>
      <c r="H1571" s="16">
        <f>IFERROR(__xludf.DUMMYFUNCTION("""COMPUTED_VALUE"""),333.5)</f>
        <v>333.5</v>
      </c>
    </row>
    <row r="1572">
      <c r="A1572" s="16" t="str">
        <f>IFERROR(__xludf.DUMMYFUNCTION("""COMPUTED_VALUE"""),"Ядкови масла")</f>
        <v>Ядкови масла</v>
      </c>
      <c r="B1572" s="7" t="str">
        <f>IFERROR(__xludf.DUMMYFUNCTION("""COMPUTED_VALUE"""),"Натурално протеиново бадемово масло MyProtein")</f>
        <v>Натурално протеиново бадемово масло MyProtein</v>
      </c>
      <c r="C1572" s="12">
        <f>IFERROR(__xludf.DUMMYFUNCTION("""COMPUTED_VALUE"""),100.0)</f>
        <v>100</v>
      </c>
      <c r="D1572" s="7">
        <f>IFERROR(__xludf.DUMMYFUNCTION("""COMPUTED_VALUE"""),25.0)</f>
        <v>25</v>
      </c>
      <c r="E1572" s="16">
        <f>IFERROR(__xludf.DUMMYFUNCTION("""COMPUTED_VALUE"""),6.5)</f>
        <v>6.5</v>
      </c>
      <c r="F1572" s="16">
        <f>IFERROR(__xludf.DUMMYFUNCTION("""COMPUTED_VALUE"""),56.0)</f>
        <v>56</v>
      </c>
      <c r="G1572" s="16">
        <f>IFERROR(__xludf.DUMMYFUNCTION("""COMPUTED_VALUE"""),12.0)</f>
        <v>12</v>
      </c>
      <c r="H1572" s="16">
        <f>IFERROR(__xludf.DUMMYFUNCTION("""COMPUTED_VALUE"""),630.0)</f>
        <v>630</v>
      </c>
    </row>
    <row r="1573">
      <c r="A1573" s="16" t="str">
        <f>IFERROR(__xludf.DUMMYFUNCTION("""COMPUTED_VALUE"""),"Риба")</f>
        <v>Риба</v>
      </c>
      <c r="B1573" s="7" t="str">
        <f>IFERROR(__xludf.DUMMYFUNCTION("""COMPUTED_VALUE"""),"Сьомга, осолена, студено пушена Nautica")</f>
        <v>Сьомга, осолена, студено пушена Nautica</v>
      </c>
      <c r="C1573" s="12">
        <f>IFERROR(__xludf.DUMMYFUNCTION("""COMPUTED_VALUE"""),100.0)</f>
        <v>100</v>
      </c>
      <c r="D1573" s="7">
        <f>IFERROR(__xludf.DUMMYFUNCTION("""COMPUTED_VALUE"""),20.4)</f>
        <v>20.4</v>
      </c>
      <c r="E1573" s="16">
        <f>IFERROR(__xludf.DUMMYFUNCTION("""COMPUTED_VALUE"""),0.0)</f>
        <v>0</v>
      </c>
      <c r="F1573" s="16">
        <f>IFERROR(__xludf.DUMMYFUNCTION("""COMPUTED_VALUE"""),10.7)</f>
        <v>10.7</v>
      </c>
      <c r="G1573" s="16">
        <f>IFERROR(__xludf.DUMMYFUNCTION("""COMPUTED_VALUE"""),0.0)</f>
        <v>0</v>
      </c>
      <c r="H1573" s="16">
        <f>IFERROR(__xludf.DUMMYFUNCTION("""COMPUTED_VALUE"""),177.89999999999998)</f>
        <v>177.9</v>
      </c>
    </row>
    <row r="1574">
      <c r="A1574" s="16" t="str">
        <f>IFERROR(__xludf.DUMMYFUNCTION("""COMPUTED_VALUE"""),"Протеин на прах")</f>
        <v>Протеин на прах</v>
      </c>
      <c r="B1574" s="7" t="str">
        <f>IFERROR(__xludf.DUMMYFUNCTION("""COMPUTED_VALUE"""),"USN Protein")</f>
        <v>USN Protein</v>
      </c>
      <c r="C1574" s="12">
        <f>IFERROR(__xludf.DUMMYFUNCTION("""COMPUTED_VALUE"""),100.0)</f>
        <v>100</v>
      </c>
      <c r="D1574" s="7">
        <f>IFERROR(__xludf.DUMMYFUNCTION("""COMPUTED_VALUE"""),70.0)</f>
        <v>70</v>
      </c>
      <c r="E1574" s="16">
        <f>IFERROR(__xludf.DUMMYFUNCTION("""COMPUTED_VALUE"""),19.0)</f>
        <v>19</v>
      </c>
      <c r="F1574" s="16">
        <f>IFERROR(__xludf.DUMMYFUNCTION("""COMPUTED_VALUE"""),4.5)</f>
        <v>4.5</v>
      </c>
      <c r="G1574" s="16">
        <f>IFERROR(__xludf.DUMMYFUNCTION("""COMPUTED_VALUE"""),0.3)</f>
        <v>0.3</v>
      </c>
      <c r="H1574" s="16">
        <f>IFERROR(__xludf.DUMMYFUNCTION("""COMPUTED_VALUE"""),396.5)</f>
        <v>396.5</v>
      </c>
    </row>
    <row r="1575">
      <c r="A1575" s="16" t="str">
        <f>IFERROR(__xludf.DUMMYFUNCTION("""COMPUTED_VALUE"""),"Тестени изделия")</f>
        <v>Тестени изделия</v>
      </c>
      <c r="B1575" s="7" t="str">
        <f>IFERROR(__xludf.DUMMYFUNCTION("""COMPUTED_VALUE"""),"Хляб със семена")</f>
        <v>Хляб със семена</v>
      </c>
      <c r="C1575" s="12">
        <f>IFERROR(__xludf.DUMMYFUNCTION("""COMPUTED_VALUE"""),100.0)</f>
        <v>100</v>
      </c>
      <c r="D1575" s="7">
        <f>IFERROR(__xludf.DUMMYFUNCTION("""COMPUTED_VALUE"""),8.0)</f>
        <v>8</v>
      </c>
      <c r="E1575" s="16">
        <f>IFERROR(__xludf.DUMMYFUNCTION("""COMPUTED_VALUE"""),52.0)</f>
        <v>52</v>
      </c>
      <c r="F1575" s="16">
        <f>IFERROR(__xludf.DUMMYFUNCTION("""COMPUTED_VALUE"""),8.5)</f>
        <v>8.5</v>
      </c>
      <c r="G1575" s="16">
        <f>IFERROR(__xludf.DUMMYFUNCTION("""COMPUTED_VALUE"""),7.0)</f>
        <v>7</v>
      </c>
      <c r="H1575" s="16">
        <f>IFERROR(__xludf.DUMMYFUNCTION("""COMPUTED_VALUE"""),316.5)</f>
        <v>316.5</v>
      </c>
    </row>
    <row r="1576">
      <c r="A1576" s="16" t="str">
        <f>IFERROR(__xludf.DUMMYFUNCTION("""COMPUTED_VALUE"""),"Зърнени храни")</f>
        <v>Зърнени храни</v>
      </c>
      <c r="B1576" s="7" t="str">
        <f>IFERROR(__xludf.DUMMYFUNCTION("""COMPUTED_VALUE"""),"Пшенични трици")</f>
        <v>Пшенични трици</v>
      </c>
      <c r="C1576" s="12">
        <f>IFERROR(__xludf.DUMMYFUNCTION("""COMPUTED_VALUE"""),100.0)</f>
        <v>100</v>
      </c>
      <c r="D1576" s="7">
        <f>IFERROR(__xludf.DUMMYFUNCTION("""COMPUTED_VALUE"""),16.0)</f>
        <v>16</v>
      </c>
      <c r="E1576" s="16">
        <f>IFERROR(__xludf.DUMMYFUNCTION("""COMPUTED_VALUE"""),65.0)</f>
        <v>65</v>
      </c>
      <c r="F1576" s="16">
        <f>IFERROR(__xludf.DUMMYFUNCTION("""COMPUTED_VALUE"""),4.0)</f>
        <v>4</v>
      </c>
      <c r="G1576" s="16">
        <f>IFERROR(__xludf.DUMMYFUNCTION("""COMPUTED_VALUE"""),43.0)</f>
        <v>43</v>
      </c>
      <c r="H1576" s="16">
        <f>IFERROR(__xludf.DUMMYFUNCTION("""COMPUTED_VALUE"""),360.0)</f>
        <v>360</v>
      </c>
    </row>
    <row r="1577">
      <c r="A1577" s="16" t="str">
        <f>IFERROR(__xludf.DUMMYFUNCTION("""COMPUTED_VALUE"""),"Десерти")</f>
        <v>Десерти</v>
      </c>
      <c r="B1577" s="7" t="str">
        <f>IFERROR(__xludf.DUMMYFUNCTION("""COMPUTED_VALUE"""),"High Protein Ice cream salty caramel LIDL")</f>
        <v>High Protein Ice cream salty caramel LIDL</v>
      </c>
      <c r="C1577" s="12">
        <f>IFERROR(__xludf.DUMMYFUNCTION("""COMPUTED_VALUE"""),100.0)</f>
        <v>100</v>
      </c>
      <c r="D1577" s="7">
        <f>IFERROR(__xludf.DUMMYFUNCTION("""COMPUTED_VALUE"""),7.1)</f>
        <v>7.1</v>
      </c>
      <c r="E1577" s="16">
        <f>IFERROR(__xludf.DUMMYFUNCTION("""COMPUTED_VALUE"""),22.7)</f>
        <v>22.7</v>
      </c>
      <c r="F1577" s="16">
        <f>IFERROR(__xludf.DUMMYFUNCTION("""COMPUTED_VALUE"""),3.3)</f>
        <v>3.3</v>
      </c>
      <c r="G1577" s="16">
        <f>IFERROR(__xludf.DUMMYFUNCTION("""COMPUTED_VALUE"""),0.0)</f>
        <v>0</v>
      </c>
      <c r="H1577" s="16">
        <f>IFERROR(__xludf.DUMMYFUNCTION("""COMPUTED_VALUE"""),148.89999999999998)</f>
        <v>148.9</v>
      </c>
    </row>
    <row r="1578">
      <c r="A1578" s="16" t="str">
        <f>IFERROR(__xludf.DUMMYFUNCTION("""COMPUTED_VALUE"""),"Млечни")</f>
        <v>Млечни</v>
      </c>
      <c r="B1578" s="7" t="str">
        <f>IFERROR(__xludf.DUMMYFUNCTION("""COMPUTED_VALUE"""),"Саламурено сирене (натрошено) с повишено водно съдържание LIDL")</f>
        <v>Саламурено сирене (натрошено) с повишено водно съдържание LIDL</v>
      </c>
      <c r="C1578" s="12">
        <f>IFERROR(__xludf.DUMMYFUNCTION("""COMPUTED_VALUE"""),100.0)</f>
        <v>100</v>
      </c>
      <c r="D1578" s="7">
        <f>IFERROR(__xludf.DUMMYFUNCTION("""COMPUTED_VALUE"""),17.0)</f>
        <v>17</v>
      </c>
      <c r="E1578" s="16">
        <f>IFERROR(__xludf.DUMMYFUNCTION("""COMPUTED_VALUE"""),1.0)</f>
        <v>1</v>
      </c>
      <c r="F1578" s="16">
        <f>IFERROR(__xludf.DUMMYFUNCTION("""COMPUTED_VALUE"""),5.5)</f>
        <v>5.5</v>
      </c>
      <c r="G1578" s="16">
        <f>IFERROR(__xludf.DUMMYFUNCTION("""COMPUTED_VALUE"""),0.0)</f>
        <v>0</v>
      </c>
      <c r="H1578" s="16">
        <f>IFERROR(__xludf.DUMMYFUNCTION("""COMPUTED_VALUE"""),121.5)</f>
        <v>121.5</v>
      </c>
    </row>
    <row r="1579">
      <c r="A1579" s="16" t="str">
        <f>IFERROR(__xludf.DUMMYFUNCTION("""COMPUTED_VALUE"""),"Млечни")</f>
        <v>Млечни</v>
      </c>
      <c r="B1579" s="7" t="str">
        <f>IFERROR(__xludf.DUMMYFUNCTION("""COMPUTED_VALUE"""),"Kварк Zero 0%  кокос Exquisa (без захар)")</f>
        <v>Kварк Zero 0%  кокос Exquisa (без захар)</v>
      </c>
      <c r="C1579" s="12">
        <f>IFERROR(__xludf.DUMMYFUNCTION("""COMPUTED_VALUE"""),100.0)</f>
        <v>100</v>
      </c>
      <c r="D1579" s="7">
        <f>IFERROR(__xludf.DUMMYFUNCTION("""COMPUTED_VALUE"""),7.4)</f>
        <v>7.4</v>
      </c>
      <c r="E1579" s="16">
        <f>IFERROR(__xludf.DUMMYFUNCTION("""COMPUTED_VALUE"""),3.5)</f>
        <v>3.5</v>
      </c>
      <c r="F1579" s="16">
        <f>IFERROR(__xludf.DUMMYFUNCTION("""COMPUTED_VALUE"""),0.4)</f>
        <v>0.4</v>
      </c>
      <c r="G1579" s="16">
        <f>IFERROR(__xludf.DUMMYFUNCTION("""COMPUTED_VALUE"""),0.0)</f>
        <v>0</v>
      </c>
      <c r="H1579" s="16">
        <f>IFERROR(__xludf.DUMMYFUNCTION("""COMPUTED_VALUE"""),47.2)</f>
        <v>47.2</v>
      </c>
    </row>
    <row r="1580">
      <c r="A1580" s="16" t="str">
        <f>IFERROR(__xludf.DUMMYFUNCTION("""COMPUTED_VALUE"""),"Десерти")</f>
        <v>Десерти</v>
      </c>
      <c r="B1580" s="7" t="str">
        <f>IFERROR(__xludf.DUMMYFUNCTION("""COMPUTED_VALUE"""),"Бисквити LOTUS")</f>
        <v>Бисквити LOTUS</v>
      </c>
      <c r="C1580" s="12">
        <f>IFERROR(__xludf.DUMMYFUNCTION("""COMPUTED_VALUE"""),100.0)</f>
        <v>100</v>
      </c>
      <c r="D1580" s="7">
        <f>IFERROR(__xludf.DUMMYFUNCTION("""COMPUTED_VALUE"""),4.9)</f>
        <v>4.9</v>
      </c>
      <c r="E1580" s="16">
        <f>IFERROR(__xludf.DUMMYFUNCTION("""COMPUTED_VALUE"""),72.6)</f>
        <v>72.6</v>
      </c>
      <c r="F1580" s="16">
        <f>IFERROR(__xludf.DUMMYFUNCTION("""COMPUTED_VALUE"""),19.0)</f>
        <v>19</v>
      </c>
      <c r="G1580" s="16">
        <f>IFERROR(__xludf.DUMMYFUNCTION("""COMPUTED_VALUE"""),1.3)</f>
        <v>1.3</v>
      </c>
      <c r="H1580" s="16">
        <f>IFERROR(__xludf.DUMMYFUNCTION("""COMPUTED_VALUE"""),481.0)</f>
        <v>481</v>
      </c>
    </row>
    <row r="1581">
      <c r="A1581" s="16" t="str">
        <f>IFERROR(__xludf.DUMMYFUNCTION("""COMPUTED_VALUE"""),"Протеин на прах")</f>
        <v>Протеин на прах</v>
      </c>
      <c r="B1581" s="7" t="str">
        <f>IFERROR(__xludf.DUMMYFUNCTION("""COMPUTED_VALUE"""),"Протеин на прах ""SingleCelled"" ")</f>
        <v>Протеин на прах "SingleCelled" </v>
      </c>
      <c r="C1581" s="12">
        <f>IFERROR(__xludf.DUMMYFUNCTION("""COMPUTED_VALUE"""),100.0)</f>
        <v>100</v>
      </c>
      <c r="D1581" s="7">
        <f>IFERROR(__xludf.DUMMYFUNCTION("""COMPUTED_VALUE"""),66.0)</f>
        <v>66</v>
      </c>
      <c r="E1581" s="16">
        <f>IFERROR(__xludf.DUMMYFUNCTION("""COMPUTED_VALUE"""),20.0)</f>
        <v>20</v>
      </c>
      <c r="F1581" s="16">
        <f>IFERROR(__xludf.DUMMYFUNCTION("""COMPUTED_VALUE"""),5.0)</f>
        <v>5</v>
      </c>
      <c r="G1581" s="16">
        <f>IFERROR(__xludf.DUMMYFUNCTION("""COMPUTED_VALUE"""),1.0)</f>
        <v>1</v>
      </c>
      <c r="H1581" s="16">
        <f>IFERROR(__xludf.DUMMYFUNCTION("""COMPUTED_VALUE"""),481.0)</f>
        <v>481</v>
      </c>
    </row>
    <row r="1582">
      <c r="A1582" s="16" t="str">
        <f>IFERROR(__xludf.DUMMYFUNCTION("""COMPUTED_VALUE"""),"Месо")</f>
        <v>Месо</v>
      </c>
      <c r="B1582" s="7" t="str">
        <f>IFERROR(__xludf.DUMMYFUNCTION("""COMPUTED_VALUE"""),"Пилешки Гирос (замразен)")</f>
        <v>Пилешки Гирос (замразен)</v>
      </c>
      <c r="C1582" s="12">
        <f>IFERROR(__xludf.DUMMYFUNCTION("""COMPUTED_VALUE"""),100.0)</f>
        <v>100</v>
      </c>
      <c r="D1582" s="7">
        <f>IFERROR(__xludf.DUMMYFUNCTION("""COMPUTED_VALUE"""),25.0)</f>
        <v>25</v>
      </c>
      <c r="E1582" s="16">
        <f>IFERROR(__xludf.DUMMYFUNCTION("""COMPUTED_VALUE"""),2.0)</f>
        <v>2</v>
      </c>
      <c r="F1582" s="16">
        <f>IFERROR(__xludf.DUMMYFUNCTION("""COMPUTED_VALUE"""),10.0)</f>
        <v>10</v>
      </c>
      <c r="G1582" s="16">
        <f>IFERROR(__xludf.DUMMYFUNCTION("""COMPUTED_VALUE"""),0.0)</f>
        <v>0</v>
      </c>
      <c r="H1582" s="16">
        <f>IFERROR(__xludf.DUMMYFUNCTION("""COMPUTED_VALUE"""),198.0)</f>
        <v>198</v>
      </c>
    </row>
    <row r="1583">
      <c r="A1583" s="16" t="str">
        <f>IFERROR(__xludf.DUMMYFUNCTION("""COMPUTED_VALUE"""),"Месо")</f>
        <v>Месо</v>
      </c>
      <c r="B1583" s="7" t="str">
        <f>IFERROR(__xludf.DUMMYFUNCTION("""COMPUTED_VALUE"""),"Beef Jerky ""Shell""")</f>
        <v>Beef Jerky "Shell"</v>
      </c>
      <c r="C1583" s="12">
        <f>IFERROR(__xludf.DUMMYFUNCTION("""COMPUTED_VALUE"""),100.0)</f>
        <v>100</v>
      </c>
      <c r="D1583" s="7">
        <f>IFERROR(__xludf.DUMMYFUNCTION("""COMPUTED_VALUE"""),53.0)</f>
        <v>53</v>
      </c>
      <c r="E1583" s="16">
        <f>IFERROR(__xludf.DUMMYFUNCTION("""COMPUTED_VALUE"""),4.0)</f>
        <v>4</v>
      </c>
      <c r="F1583" s="16">
        <f>IFERROR(__xludf.DUMMYFUNCTION("""COMPUTED_VALUE"""),5.0)</f>
        <v>5</v>
      </c>
      <c r="G1583" s="16">
        <f>IFERROR(__xludf.DUMMYFUNCTION("""COMPUTED_VALUE"""),0.0)</f>
        <v>0</v>
      </c>
      <c r="H1583" s="16">
        <f>IFERROR(__xludf.DUMMYFUNCTION("""COMPUTED_VALUE"""),273.0)</f>
        <v>273</v>
      </c>
    </row>
    <row r="1584">
      <c r="A1584" s="16" t="str">
        <f>IFERROR(__xludf.DUMMYFUNCTION("""COMPUTED_VALUE"""),"Месо")</f>
        <v>Месо</v>
      </c>
      <c r="B1584" s="7" t="str">
        <f>IFERROR(__xludf.DUMMYFUNCTION("""COMPUTED_VALUE"""),"Шунка Шпортлер ""Lidl"" (сурово състояние)")</f>
        <v>Шунка Шпортлер "Lidl" (сурово състояние)</v>
      </c>
      <c r="C1584" s="12">
        <f>IFERROR(__xludf.DUMMYFUNCTION("""COMPUTED_VALUE"""),100.0)</f>
        <v>100</v>
      </c>
      <c r="D1584" s="7">
        <f>IFERROR(__xludf.DUMMYFUNCTION("""COMPUTED_VALUE"""),23.0)</f>
        <v>23</v>
      </c>
      <c r="E1584" s="16">
        <f>IFERROR(__xludf.DUMMYFUNCTION("""COMPUTED_VALUE"""),1.0)</f>
        <v>1</v>
      </c>
      <c r="F1584" s="16">
        <f>IFERROR(__xludf.DUMMYFUNCTION("""COMPUTED_VALUE"""),2.0)</f>
        <v>2</v>
      </c>
      <c r="G1584" s="16">
        <f>IFERROR(__xludf.DUMMYFUNCTION("""COMPUTED_VALUE"""),0.0)</f>
        <v>0</v>
      </c>
      <c r="H1584" s="16">
        <f>IFERROR(__xludf.DUMMYFUNCTION("""COMPUTED_VALUE"""),114.0)</f>
        <v>114</v>
      </c>
    </row>
    <row r="1585">
      <c r="A1585" s="16" t="str">
        <f>IFERROR(__xludf.DUMMYFUNCTION("""COMPUTED_VALUE"""),"Тестени изделия")</f>
        <v>Тестени изделия</v>
      </c>
      <c r="B1585" s="7" t="str">
        <f>IFERROR(__xludf.DUMMYFUNCTION("""COMPUTED_VALUE"""),"Fitnessbrot - пълнозърнест хляб с ръж, овес и пшенични кълнове")</f>
        <v>Fitnessbrot - пълнозърнест хляб с ръж, овес и пшенични кълнове</v>
      </c>
      <c r="C1585" s="12">
        <f>IFERROR(__xludf.DUMMYFUNCTION("""COMPUTED_VALUE"""),100.0)</f>
        <v>100</v>
      </c>
      <c r="D1585" s="7">
        <f>IFERROR(__xludf.DUMMYFUNCTION("""COMPUTED_VALUE"""),5.8)</f>
        <v>5.8</v>
      </c>
      <c r="E1585" s="16">
        <f>IFERROR(__xludf.DUMMYFUNCTION("""COMPUTED_VALUE"""),26.1)</f>
        <v>26.1</v>
      </c>
      <c r="F1585" s="16">
        <f>IFERROR(__xludf.DUMMYFUNCTION("""COMPUTED_VALUE"""),1.5)</f>
        <v>1.5</v>
      </c>
      <c r="G1585" s="16">
        <f>IFERROR(__xludf.DUMMYFUNCTION("""COMPUTED_VALUE"""),15.7)</f>
        <v>15.7</v>
      </c>
      <c r="H1585" s="16">
        <f>IFERROR(__xludf.DUMMYFUNCTION("""COMPUTED_VALUE"""),141.10000000000002)</f>
        <v>141.1</v>
      </c>
    </row>
    <row r="1586">
      <c r="A1586" s="16" t="str">
        <f>IFERROR(__xludf.DUMMYFUNCTION("""COMPUTED_VALUE"""),"Месо")</f>
        <v>Месо</v>
      </c>
      <c r="B1586" s="7" t="str">
        <f>IFERROR(__xludf.DUMMYFUNCTION("""COMPUTED_VALUE"""),"Свинско сърце (сурово състояние)")</f>
        <v>Свинско сърце (сурово състояние)</v>
      </c>
      <c r="C1586" s="12">
        <f>IFERROR(__xludf.DUMMYFUNCTION("""COMPUTED_VALUE"""),100.0)</f>
        <v>100</v>
      </c>
      <c r="D1586" s="7">
        <f>IFERROR(__xludf.DUMMYFUNCTION("""COMPUTED_VALUE"""),17.3)</f>
        <v>17.3</v>
      </c>
      <c r="E1586" s="16">
        <f>IFERROR(__xludf.DUMMYFUNCTION("""COMPUTED_VALUE"""),1.3)</f>
        <v>1.3</v>
      </c>
      <c r="F1586" s="16">
        <f>IFERROR(__xludf.DUMMYFUNCTION("""COMPUTED_VALUE"""),4.4)</f>
        <v>4.4</v>
      </c>
      <c r="G1586" s="16">
        <f>IFERROR(__xludf.DUMMYFUNCTION("""COMPUTED_VALUE"""),0.0)</f>
        <v>0</v>
      </c>
      <c r="H1586" s="16">
        <f>IFERROR(__xludf.DUMMYFUNCTION("""COMPUTED_VALUE"""),114.0)</f>
        <v>114</v>
      </c>
    </row>
    <row r="1587">
      <c r="A1587" s="16" t="str">
        <f>IFERROR(__xludf.DUMMYFUNCTION("""COMPUTED_VALUE"""),"Млечни")</f>
        <v>Млечни</v>
      </c>
      <c r="B1587" s="7" t="str">
        <f>IFERROR(__xludf.DUMMYFUNCTION("""COMPUTED_VALUE"""),"Натрошено Сирене Родопско чудо")</f>
        <v>Натрошено Сирене Родопско чудо</v>
      </c>
      <c r="C1587" s="12">
        <f>IFERROR(__xludf.DUMMYFUNCTION("""COMPUTED_VALUE"""),100.0)</f>
        <v>100</v>
      </c>
      <c r="D1587" s="7">
        <f>IFERROR(__xludf.DUMMYFUNCTION("""COMPUTED_VALUE"""),13.5)</f>
        <v>13.5</v>
      </c>
      <c r="E1587" s="16">
        <f>IFERROR(__xludf.DUMMYFUNCTION("""COMPUTED_VALUE"""),1.5)</f>
        <v>1.5</v>
      </c>
      <c r="F1587" s="16">
        <f>IFERROR(__xludf.DUMMYFUNCTION("""COMPUTED_VALUE"""),0.5)</f>
        <v>0.5</v>
      </c>
      <c r="G1587" s="16">
        <f>IFERROR(__xludf.DUMMYFUNCTION("""COMPUTED_VALUE"""),0.0)</f>
        <v>0</v>
      </c>
      <c r="H1587" s="16">
        <f>IFERROR(__xludf.DUMMYFUNCTION("""COMPUTED_VALUE"""),64.5)</f>
        <v>64.5</v>
      </c>
    </row>
    <row r="1588">
      <c r="A1588" s="16" t="str">
        <f>IFERROR(__xludf.DUMMYFUNCTION("""COMPUTED_VALUE"""),"Бобови храни")</f>
        <v>Бобови храни</v>
      </c>
      <c r="B1588" s="7" t="str">
        <f>IFERROR(__xludf.DUMMYFUNCTION("""COMPUTED_VALUE"""),"100% Био Боб Мунг")</f>
        <v>100% Био Боб Мунг</v>
      </c>
      <c r="C1588" s="12">
        <f>IFERROR(__xludf.DUMMYFUNCTION("""COMPUTED_VALUE"""),100.0)</f>
        <v>100</v>
      </c>
      <c r="D1588" s="7">
        <f>IFERROR(__xludf.DUMMYFUNCTION("""COMPUTED_VALUE"""),23.8)</f>
        <v>23.8</v>
      </c>
      <c r="E1588" s="16">
        <f>IFERROR(__xludf.DUMMYFUNCTION("""COMPUTED_VALUE"""),53.1)</f>
        <v>53.1</v>
      </c>
      <c r="F1588" s="16">
        <f>IFERROR(__xludf.DUMMYFUNCTION("""COMPUTED_VALUE"""),1.3)</f>
        <v>1.3</v>
      </c>
      <c r="G1588" s="16">
        <f>IFERROR(__xludf.DUMMYFUNCTION("""COMPUTED_VALUE"""),16.1)</f>
        <v>16.1</v>
      </c>
      <c r="H1588" s="16">
        <f>IFERROR(__xludf.DUMMYFUNCTION("""COMPUTED_VALUE"""),351.3)</f>
        <v>351.3</v>
      </c>
    </row>
    <row r="1589">
      <c r="A1589" s="16" t="str">
        <f>IFERROR(__xludf.DUMMYFUNCTION("""COMPUTED_VALUE"""),"Протеин на прах")</f>
        <v>Протеин на прах</v>
      </c>
      <c r="B1589" s="7" t="str">
        <f>IFERROR(__xludf.DUMMYFUNCTION("""COMPUTED_VALUE"""),"Протеин на прах ""IQ Nutrition""")</f>
        <v>Протеин на прах "IQ Nutrition"</v>
      </c>
      <c r="C1589" s="12">
        <f>IFERROR(__xludf.DUMMYFUNCTION("""COMPUTED_VALUE"""),100.0)</f>
        <v>100</v>
      </c>
      <c r="D1589" s="7">
        <f>IFERROR(__xludf.DUMMYFUNCTION("""COMPUTED_VALUE"""),70.0)</f>
        <v>70</v>
      </c>
      <c r="E1589" s="16">
        <f>IFERROR(__xludf.DUMMYFUNCTION("""COMPUTED_VALUE"""),5.0)</f>
        <v>5</v>
      </c>
      <c r="F1589" s="16">
        <f>IFERROR(__xludf.DUMMYFUNCTION("""COMPUTED_VALUE"""),1.0)</f>
        <v>1</v>
      </c>
      <c r="G1589" s="16">
        <f>IFERROR(__xludf.DUMMYFUNCTION("""COMPUTED_VALUE"""),0.0)</f>
        <v>0</v>
      </c>
      <c r="H1589" s="16">
        <f>IFERROR(__xludf.DUMMYFUNCTION("""COMPUTED_VALUE"""),351.3)</f>
        <v>351.3</v>
      </c>
    </row>
    <row r="1590">
      <c r="A1590" s="16" t="str">
        <f>IFERROR(__xludf.DUMMYFUNCTION("""COMPUTED_VALUE"""),"Месо")</f>
        <v>Месо</v>
      </c>
      <c r="B1590" s="7" t="str">
        <f>IFERROR(__xludf.DUMMYFUNCTION("""COMPUTED_VALUE"""),"Свински бут (сурово състояние)")</f>
        <v>Свински бут (сурово състояние)</v>
      </c>
      <c r="C1590" s="12">
        <f>IFERROR(__xludf.DUMMYFUNCTION("""COMPUTED_VALUE"""),100.0)</f>
        <v>100</v>
      </c>
      <c r="D1590" s="7">
        <f>IFERROR(__xludf.DUMMYFUNCTION("""COMPUTED_VALUE"""),17.43)</f>
        <v>17.43</v>
      </c>
      <c r="E1590" s="16">
        <f>IFERROR(__xludf.DUMMYFUNCTION("""COMPUTED_VALUE"""),0.0)</f>
        <v>0</v>
      </c>
      <c r="F1590" s="16">
        <f>IFERROR(__xludf.DUMMYFUNCTION("""COMPUTED_VALUE"""),18.87)</f>
        <v>18.87</v>
      </c>
      <c r="G1590" s="16">
        <f>IFERROR(__xludf.DUMMYFUNCTION("""COMPUTED_VALUE"""),0.0)</f>
        <v>0</v>
      </c>
      <c r="H1590" s="16">
        <f>IFERROR(__xludf.DUMMYFUNCTION("""COMPUTED_VALUE"""),239.55)</f>
        <v>239.55</v>
      </c>
    </row>
    <row r="1591">
      <c r="A1591" s="16" t="str">
        <f>IFERROR(__xludf.DUMMYFUNCTION("""COMPUTED_VALUE"""),"Протеин на прах")</f>
        <v>Протеин на прах</v>
      </c>
      <c r="B1591" s="7" t="str">
        <f>IFERROR(__xludf.DUMMYFUNCTION("""COMPUTED_VALUE"""),"Dymatize ISO 100 HYDROLYZED")</f>
        <v>Dymatize ISO 100 HYDROLYZED</v>
      </c>
      <c r="C1591" s="12">
        <f>IFERROR(__xludf.DUMMYFUNCTION("""COMPUTED_VALUE"""),100.0)</f>
        <v>100</v>
      </c>
      <c r="D1591" s="7">
        <f>IFERROR(__xludf.DUMMYFUNCTION("""COMPUTED_VALUE"""),78.0)</f>
        <v>78</v>
      </c>
      <c r="E1591" s="16">
        <f>IFERROR(__xludf.DUMMYFUNCTION("""COMPUTED_VALUE"""),3.3)</f>
        <v>3.3</v>
      </c>
      <c r="F1591" s="16">
        <f>IFERROR(__xludf.DUMMYFUNCTION("""COMPUTED_VALUE"""),2.1)</f>
        <v>2.1</v>
      </c>
      <c r="G1591" s="16">
        <f>IFERROR(__xludf.DUMMYFUNCTION("""COMPUTED_VALUE"""),0.0)</f>
        <v>0</v>
      </c>
      <c r="H1591" s="16">
        <f>IFERROR(__xludf.DUMMYFUNCTION("""COMPUTED_VALUE"""),586.0)</f>
        <v>586</v>
      </c>
    </row>
    <row r="1592">
      <c r="A1592" s="16" t="str">
        <f>IFERROR(__xludf.DUMMYFUNCTION("""COMPUTED_VALUE"""),"Десерти (всякакви видове)")</f>
        <v>Десерти (всякакви видове)</v>
      </c>
      <c r="B1592" s="7" t="str">
        <f>IFERROR(__xludf.DUMMYFUNCTION("""COMPUTED_VALUE"""),"Шоколад LINDT 70%")</f>
        <v>Шоколад LINDT 70%</v>
      </c>
      <c r="C1592" s="12">
        <f>IFERROR(__xludf.DUMMYFUNCTION("""COMPUTED_VALUE"""),100.0)</f>
        <v>100</v>
      </c>
      <c r="D1592" s="7">
        <f>IFERROR(__xludf.DUMMYFUNCTION("""COMPUTED_VALUE"""),9.5)</f>
        <v>9.5</v>
      </c>
      <c r="E1592" s="16">
        <f>IFERROR(__xludf.DUMMYFUNCTION("""COMPUTED_VALUE"""),34.0)</f>
        <v>34</v>
      </c>
      <c r="F1592" s="16">
        <f>IFERROR(__xludf.DUMMYFUNCTION("""COMPUTED_VALUE"""),41.0)</f>
        <v>41</v>
      </c>
      <c r="G1592" s="16">
        <f>IFERROR(__xludf.DUMMYFUNCTION("""COMPUTED_VALUE"""),0.0)</f>
        <v>0</v>
      </c>
      <c r="H1592" s="16">
        <f>IFERROR(__xludf.DUMMYFUNCTION("""COMPUTED_VALUE"""),543.0)</f>
        <v>543</v>
      </c>
    </row>
    <row r="1593">
      <c r="A1593" s="16" t="str">
        <f>IFERROR(__xludf.DUMMYFUNCTION("""COMPUTED_VALUE"""),"Десерти (всякакви видове)")</f>
        <v>Десерти (всякакви видове)</v>
      </c>
      <c r="B1593" s="7" t="str">
        <f>IFERROR(__xludf.DUMMYFUNCTION("""COMPUTED_VALUE"""),"Бисквити Hogarenas (овес и шоколад)")</f>
        <v>Бисквити Hogarenas (овес и шоколад)</v>
      </c>
      <c r="C1593" s="12">
        <f>IFERROR(__xludf.DUMMYFUNCTION("""COMPUTED_VALUE"""),100.0)</f>
        <v>100</v>
      </c>
      <c r="D1593" s="7">
        <f>IFERROR(__xludf.DUMMYFUNCTION("""COMPUTED_VALUE"""),8.5)</f>
        <v>8.5</v>
      </c>
      <c r="E1593" s="16">
        <f>IFERROR(__xludf.DUMMYFUNCTION("""COMPUTED_VALUE"""),60.0)</f>
        <v>60</v>
      </c>
      <c r="F1593" s="16">
        <f>IFERROR(__xludf.DUMMYFUNCTION("""COMPUTED_VALUE"""),18.0)</f>
        <v>18</v>
      </c>
      <c r="G1593" s="16">
        <f>IFERROR(__xludf.DUMMYFUNCTION("""COMPUTED_VALUE"""),7.3)</f>
        <v>7.3</v>
      </c>
      <c r="H1593" s="16">
        <f>IFERROR(__xludf.DUMMYFUNCTION("""COMPUTED_VALUE"""),436.0)</f>
        <v>436</v>
      </c>
    </row>
    <row r="1594">
      <c r="A1594" s="16" t="str">
        <f>IFERROR(__xludf.DUMMYFUNCTION("""COMPUTED_VALUE"""),"Месо")</f>
        <v>Месо</v>
      </c>
      <c r="B1594" s="7" t="str">
        <f>IFERROR(__xludf.DUMMYFUNCTION("""COMPUTED_VALUE"""),"Брезаола (сурово състояние)")</f>
        <v>Брезаола (сурово състояние)</v>
      </c>
      <c r="C1594" s="12">
        <f>IFERROR(__xludf.DUMMYFUNCTION("""COMPUTED_VALUE"""),100.0)</f>
        <v>100</v>
      </c>
      <c r="D1594" s="7">
        <f>IFERROR(__xludf.DUMMYFUNCTION("""COMPUTED_VALUE"""),34.0)</f>
        <v>34</v>
      </c>
      <c r="E1594" s="16">
        <f>IFERROR(__xludf.DUMMYFUNCTION("""COMPUTED_VALUE"""),0.4)</f>
        <v>0.4</v>
      </c>
      <c r="F1594" s="16">
        <f>IFERROR(__xludf.DUMMYFUNCTION("""COMPUTED_VALUE"""),2.0)</f>
        <v>2</v>
      </c>
      <c r="G1594" s="16">
        <f>IFERROR(__xludf.DUMMYFUNCTION("""COMPUTED_VALUE"""),0.0)</f>
        <v>0</v>
      </c>
      <c r="H1594" s="16">
        <f>IFERROR(__xludf.DUMMYFUNCTION("""COMPUTED_VALUE"""),155.6)</f>
        <v>155.6</v>
      </c>
    </row>
    <row r="1595">
      <c r="A1595" s="16" t="str">
        <f>IFERROR(__xludf.DUMMYFUNCTION("""COMPUTED_VALUE"""),"Зърнени храни")</f>
        <v>Зърнени храни</v>
      </c>
      <c r="B1595" s="7" t="str">
        <f>IFERROR(__xludf.DUMMYFUNCTION("""COMPUTED_VALUE"""),"Ориз басмати (сурово състояние)")</f>
        <v>Ориз басмати (сурово състояние)</v>
      </c>
      <c r="C1595" s="12">
        <f>IFERROR(__xludf.DUMMYFUNCTION("""COMPUTED_VALUE"""),100.0)</f>
        <v>100</v>
      </c>
      <c r="D1595" s="7">
        <f>IFERROR(__xludf.DUMMYFUNCTION("""COMPUTED_VALUE"""),8.4)</f>
        <v>8.4</v>
      </c>
      <c r="E1595" s="16">
        <f>IFERROR(__xludf.DUMMYFUNCTION("""COMPUTED_VALUE"""),77.0)</f>
        <v>77</v>
      </c>
      <c r="F1595" s="16">
        <f>IFERROR(__xludf.DUMMYFUNCTION("""COMPUTED_VALUE"""),1.3)</f>
        <v>1.3</v>
      </c>
      <c r="G1595" s="16">
        <f>IFERROR(__xludf.DUMMYFUNCTION("""COMPUTED_VALUE"""),0.9)</f>
        <v>0.9</v>
      </c>
      <c r="H1595" s="16">
        <f>IFERROR(__xludf.DUMMYFUNCTION("""COMPUTED_VALUE"""),353.3)</f>
        <v>353.3</v>
      </c>
    </row>
    <row r="1596">
      <c r="A1596" s="16" t="str">
        <f>IFERROR(__xludf.DUMMYFUNCTION("""COMPUTED_VALUE"""),"Десерти")</f>
        <v>Десерти</v>
      </c>
      <c r="B1596" s="7" t="str">
        <f>IFERROR(__xludf.DUMMYFUNCTION("""COMPUTED_VALUE"""),"Бисквити - Nellis")</f>
        <v>Бисквити - Nellis</v>
      </c>
      <c r="C1596" s="12">
        <f>IFERROR(__xludf.DUMMYFUNCTION("""COMPUTED_VALUE"""),100.0)</f>
        <v>100</v>
      </c>
      <c r="D1596" s="7">
        <f>IFERROR(__xludf.DUMMYFUNCTION("""COMPUTED_VALUE"""),6.3)</f>
        <v>6.3</v>
      </c>
      <c r="E1596" s="16">
        <f>IFERROR(__xludf.DUMMYFUNCTION("""COMPUTED_VALUE"""),67.9)</f>
        <v>67.9</v>
      </c>
      <c r="F1596" s="16">
        <f>IFERROR(__xludf.DUMMYFUNCTION("""COMPUTED_VALUE"""),15.4)</f>
        <v>15.4</v>
      </c>
      <c r="G1596" s="16"/>
      <c r="H1596" s="16">
        <f>IFERROR(__xludf.DUMMYFUNCTION("""COMPUTED_VALUE"""),435.4)</f>
        <v>435.4</v>
      </c>
    </row>
    <row r="1597">
      <c r="A1597" s="16" t="str">
        <f>IFERROR(__xludf.DUMMYFUNCTION("""COMPUTED_VALUE"""),"Млечни")</f>
        <v>Млечни</v>
      </c>
      <c r="B1597" s="7" t="str">
        <f>IFERROR(__xludf.DUMMYFUNCTION("""COMPUTED_VALUE"""),"Протеинов пудинг карамел (Mercadona)")</f>
        <v>Протеинов пудинг карамел (Mercadona)</v>
      </c>
      <c r="C1597" s="12">
        <f>IFERROR(__xludf.DUMMYFUNCTION("""COMPUTED_VALUE"""),100.0)</f>
        <v>100</v>
      </c>
      <c r="D1597" s="7">
        <f>IFERROR(__xludf.DUMMYFUNCTION("""COMPUTED_VALUE"""),10.0)</f>
        <v>10</v>
      </c>
      <c r="E1597" s="16">
        <f>IFERROR(__xludf.DUMMYFUNCTION("""COMPUTED_VALUE"""),5.8)</f>
        <v>5.8</v>
      </c>
      <c r="F1597" s="16">
        <f>IFERROR(__xludf.DUMMYFUNCTION("""COMPUTED_VALUE"""),1.5)</f>
        <v>1.5</v>
      </c>
      <c r="G1597" s="16">
        <f>IFERROR(__xludf.DUMMYFUNCTION("""COMPUTED_VALUE"""),0.0)</f>
        <v>0</v>
      </c>
      <c r="H1597" s="16">
        <f>IFERROR(__xludf.DUMMYFUNCTION("""COMPUTED_VALUE"""),76.7)</f>
        <v>76.7</v>
      </c>
    </row>
    <row r="1598">
      <c r="A1598" s="16" t="str">
        <f>IFERROR(__xludf.DUMMYFUNCTION("""COMPUTED_VALUE"""),"Тестени изделия")</f>
        <v>Тестени изделия</v>
      </c>
      <c r="B1598" s="7" t="str">
        <f>IFERROR(__xludf.DUMMYFUNCTION("""COMPUTED_VALUE"""),"Хляб ВИТА Класик")</f>
        <v>Хляб ВИТА Класик</v>
      </c>
      <c r="C1598" s="12">
        <f>IFERROR(__xludf.DUMMYFUNCTION("""COMPUTED_VALUE"""),100.0)</f>
        <v>100</v>
      </c>
      <c r="D1598" s="7">
        <f>IFERROR(__xludf.DUMMYFUNCTION("""COMPUTED_VALUE"""),9.0)</f>
        <v>9</v>
      </c>
      <c r="E1598" s="16">
        <f>IFERROR(__xludf.DUMMYFUNCTION("""COMPUTED_VALUE"""),39.0)</f>
        <v>39</v>
      </c>
      <c r="F1598" s="16">
        <f>IFERROR(__xludf.DUMMYFUNCTION("""COMPUTED_VALUE"""),1.4)</f>
        <v>1.4</v>
      </c>
      <c r="G1598" s="16">
        <f>IFERROR(__xludf.DUMMYFUNCTION("""COMPUTED_VALUE"""),8.0)</f>
        <v>8</v>
      </c>
      <c r="H1598" s="16">
        <f>IFERROR(__xludf.DUMMYFUNCTION("""COMPUTED_VALUE"""),204.6)</f>
        <v>204.6</v>
      </c>
    </row>
    <row r="1599">
      <c r="A1599" s="16" t="str">
        <f>IFERROR(__xludf.DUMMYFUNCTION("""COMPUTED_VALUE"""),"Месо")</f>
        <v>Месо</v>
      </c>
      <c r="B1599" s="7" t="str">
        <f>IFERROR(__xludf.DUMMYFUNCTION("""COMPUTED_VALUE"""),"Конска Пастърма УНИТЕМП")</f>
        <v>Конска Пастърма УНИТЕМП</v>
      </c>
      <c r="C1599" s="12">
        <f>IFERROR(__xludf.DUMMYFUNCTION("""COMPUTED_VALUE"""),100.0)</f>
        <v>100</v>
      </c>
      <c r="D1599" s="7">
        <f>IFERROR(__xludf.DUMMYFUNCTION("""COMPUTED_VALUE"""),21.4)</f>
        <v>21.4</v>
      </c>
      <c r="E1599" s="16">
        <f>IFERROR(__xludf.DUMMYFUNCTION("""COMPUTED_VALUE"""),0.8)</f>
        <v>0.8</v>
      </c>
      <c r="F1599" s="16">
        <f>IFERROR(__xludf.DUMMYFUNCTION("""COMPUTED_VALUE"""),2.5)</f>
        <v>2.5</v>
      </c>
      <c r="G1599" s="16">
        <f>IFERROR(__xludf.DUMMYFUNCTION("""COMPUTED_VALUE"""),0.0)</f>
        <v>0</v>
      </c>
      <c r="H1599" s="16">
        <f>IFERROR(__xludf.DUMMYFUNCTION("""COMPUTED_VALUE"""),111.3)</f>
        <v>111.3</v>
      </c>
    </row>
    <row r="1600">
      <c r="A1600" s="16" t="str">
        <f>IFERROR(__xludf.DUMMYFUNCTION("""COMPUTED_VALUE"""),"Ядки")</f>
        <v>Ядки</v>
      </c>
      <c r="B1600" s="7" t="str">
        <f>IFERROR(__xludf.DUMMYFUNCTION("""COMPUTED_VALUE"""),"ядки Детелина премиум макадамия сурова")</f>
        <v>ядки Детелина премиум макадамия сурова</v>
      </c>
      <c r="C1600" s="12">
        <f>IFERROR(__xludf.DUMMYFUNCTION("""COMPUTED_VALUE"""),100.0)</f>
        <v>100</v>
      </c>
      <c r="D1600" s="7">
        <f>IFERROR(__xludf.DUMMYFUNCTION("""COMPUTED_VALUE"""),8.1)</f>
        <v>8.1</v>
      </c>
      <c r="E1600" s="16">
        <f>IFERROR(__xludf.DUMMYFUNCTION("""COMPUTED_VALUE"""),13.0)</f>
        <v>13</v>
      </c>
      <c r="F1600" s="16">
        <f>IFERROR(__xludf.DUMMYFUNCTION("""COMPUTED_VALUE"""),76.0)</f>
        <v>76</v>
      </c>
      <c r="G1600" s="16">
        <f>IFERROR(__xludf.DUMMYFUNCTION("""COMPUTED_VALUE"""),0.0)</f>
        <v>0</v>
      </c>
      <c r="H1600" s="16">
        <f>IFERROR(__xludf.DUMMYFUNCTION("""COMPUTED_VALUE"""),768.4)</f>
        <v>768.4</v>
      </c>
    </row>
    <row r="1601">
      <c r="A1601" s="16" t="str">
        <f>IFERROR(__xludf.DUMMYFUNCTION("""COMPUTED_VALUE"""),"Зърнени храни")</f>
        <v>Зърнени храни</v>
      </c>
      <c r="B1601" s="7" t="str">
        <f>IFERROR(__xludf.DUMMYFUNCTION("""COMPUTED_VALUE"""),"100% Инстантизирани овесени ядки MyProtein")</f>
        <v>100% Инстантизирани овесени ядки MyProtein</v>
      </c>
      <c r="C1601" s="12">
        <f>IFERROR(__xludf.DUMMYFUNCTION("""COMPUTED_VALUE"""),100.0)</f>
        <v>100</v>
      </c>
      <c r="D1601" s="7">
        <f>IFERROR(__xludf.DUMMYFUNCTION("""COMPUTED_VALUE"""),10.0)</f>
        <v>10</v>
      </c>
      <c r="E1601" s="16">
        <f>IFERROR(__xludf.DUMMYFUNCTION("""COMPUTED_VALUE"""),69.0)</f>
        <v>69</v>
      </c>
      <c r="F1601" s="16">
        <f>IFERROR(__xludf.DUMMYFUNCTION("""COMPUTED_VALUE"""),7.0)</f>
        <v>7</v>
      </c>
      <c r="G1601" s="16">
        <f>IFERROR(__xludf.DUMMYFUNCTION("""COMPUTED_VALUE"""),0.0)</f>
        <v>0</v>
      </c>
      <c r="H1601" s="16">
        <f>IFERROR(__xludf.DUMMYFUNCTION("""COMPUTED_VALUE"""),379.0)</f>
        <v>379</v>
      </c>
    </row>
    <row r="1602">
      <c r="A1602" s="16" t="str">
        <f>IFERROR(__xludf.DUMMYFUNCTION("""COMPUTED_VALUE"""),"Протеин на прах")</f>
        <v>Протеин на прах</v>
      </c>
      <c r="B1602" s="7" t="str">
        <f>IFERROR(__xludf.DUMMYFUNCTION("""COMPUTED_VALUE"""),"100% Casein - Optimum Nutrition")</f>
        <v>100% Casein - Optimum Nutrition</v>
      </c>
      <c r="C1602" s="12">
        <f>IFERROR(__xludf.DUMMYFUNCTION("""COMPUTED_VALUE"""),100.0)</f>
        <v>100</v>
      </c>
      <c r="D1602" s="7">
        <f>IFERROR(__xludf.DUMMYFUNCTION("""COMPUTED_VALUE"""),72.0)</f>
        <v>72</v>
      </c>
      <c r="E1602" s="16">
        <f>IFERROR(__xludf.DUMMYFUNCTION("""COMPUTED_VALUE"""),9.0)</f>
        <v>9</v>
      </c>
      <c r="F1602" s="16">
        <f>IFERROR(__xludf.DUMMYFUNCTION("""COMPUTED_VALUE"""),3.0)</f>
        <v>3</v>
      </c>
      <c r="G1602" s="16">
        <f>IFERROR(__xludf.DUMMYFUNCTION("""COMPUTED_VALUE"""),3.0)</f>
        <v>3</v>
      </c>
      <c r="H1602" s="16">
        <f>IFERROR(__xludf.DUMMYFUNCTION("""COMPUTED_VALUE"""),351.0)</f>
        <v>351</v>
      </c>
    </row>
    <row r="1603">
      <c r="A1603" s="16" t="str">
        <f>IFERROR(__xludf.DUMMYFUNCTION("""COMPUTED_VALUE"""),"Млечни")</f>
        <v>Млечни</v>
      </c>
      <c r="B1603" s="7" t="str">
        <f>IFERROR(__xludf.DUMMYFUNCTION("""COMPUTED_VALUE"""),"YoPro Боровинка")</f>
        <v>YoPro Боровинка</v>
      </c>
      <c r="C1603" s="12">
        <f>IFERROR(__xludf.DUMMYFUNCTION("""COMPUTED_VALUE"""),100.0)</f>
        <v>100</v>
      </c>
      <c r="D1603" s="7">
        <f>IFERROR(__xludf.DUMMYFUNCTION("""COMPUTED_VALUE"""),10.3)</f>
        <v>10.3</v>
      </c>
      <c r="E1603" s="16">
        <f>IFERROR(__xludf.DUMMYFUNCTION("""COMPUTED_VALUE"""),3.4)</f>
        <v>3.4</v>
      </c>
      <c r="F1603" s="16">
        <f>IFERROR(__xludf.DUMMYFUNCTION("""COMPUTED_VALUE"""),0.1)</f>
        <v>0.1</v>
      </c>
      <c r="G1603" s="16">
        <f>IFERROR(__xludf.DUMMYFUNCTION("""COMPUTED_VALUE"""),0.0)</f>
        <v>0</v>
      </c>
      <c r="H1603" s="16">
        <f>IFERROR(__xludf.DUMMYFUNCTION("""COMPUTED_VALUE"""),351.0)</f>
        <v>351</v>
      </c>
    </row>
    <row r="1604">
      <c r="A1604" s="16" t="str">
        <f>IFERROR(__xludf.DUMMYFUNCTION("""COMPUTED_VALUE"""),"Млечни")</f>
        <v>Млечни</v>
      </c>
      <c r="B1604" s="7" t="str">
        <f>IFERROR(__xludf.DUMMYFUNCTION("""COMPUTED_VALUE"""),"Плодово протеиново кисело мляко (Mercadona)")</f>
        <v>Плодово протеиново кисело мляко (Mercadona)</v>
      </c>
      <c r="C1604" s="12">
        <f>IFERROR(__xludf.DUMMYFUNCTION("""COMPUTED_VALUE"""),100.0)</f>
        <v>100</v>
      </c>
      <c r="D1604" s="7">
        <f>IFERROR(__xludf.DUMMYFUNCTION("""COMPUTED_VALUE"""),8.3)</f>
        <v>8.3</v>
      </c>
      <c r="E1604" s="16">
        <f>IFERROR(__xludf.DUMMYFUNCTION("""COMPUTED_VALUE"""),5.8)</f>
        <v>5.8</v>
      </c>
      <c r="F1604" s="16">
        <f>IFERROR(__xludf.DUMMYFUNCTION("""COMPUTED_VALUE"""),0.1)</f>
        <v>0.1</v>
      </c>
      <c r="G1604" s="16">
        <f>IFERROR(__xludf.DUMMYFUNCTION("""COMPUTED_VALUE"""),0.0)</f>
        <v>0</v>
      </c>
      <c r="H1604" s="16">
        <f>IFERROR(__xludf.DUMMYFUNCTION("""COMPUTED_VALUE"""),57.300000000000004)</f>
        <v>57.3</v>
      </c>
    </row>
    <row r="1605">
      <c r="A1605" s="16" t="str">
        <f>IFERROR(__xludf.DUMMYFUNCTION("""COMPUTED_VALUE"""),"Месо")</f>
        <v>Месо</v>
      </c>
      <c r="B1605" s="7" t="str">
        <f>IFERROR(__xludf.DUMMYFUNCTION("""COMPUTED_VALUE"""),"Пуешка шунка (Mercadona)")</f>
        <v>Пуешка шунка (Mercadona)</v>
      </c>
      <c r="C1605" s="12">
        <f>IFERROR(__xludf.DUMMYFUNCTION("""COMPUTED_VALUE"""),100.0)</f>
        <v>100</v>
      </c>
      <c r="D1605" s="7">
        <f>IFERROR(__xludf.DUMMYFUNCTION("""COMPUTED_VALUE"""),17.8)</f>
        <v>17.8</v>
      </c>
      <c r="E1605" s="16">
        <f>IFERROR(__xludf.DUMMYFUNCTION("""COMPUTED_VALUE"""),0.6)</f>
        <v>0.6</v>
      </c>
      <c r="F1605" s="16">
        <f>IFERROR(__xludf.DUMMYFUNCTION("""COMPUTED_VALUE"""),0.5)</f>
        <v>0.5</v>
      </c>
      <c r="G1605" s="16">
        <f>IFERROR(__xludf.DUMMYFUNCTION("""COMPUTED_VALUE"""),0.0)</f>
        <v>0</v>
      </c>
      <c r="H1605" s="16">
        <f>IFERROR(__xludf.DUMMYFUNCTION("""COMPUTED_VALUE"""),78.10000000000001)</f>
        <v>78.1</v>
      </c>
    </row>
    <row r="1606">
      <c r="A1606" s="16" t="str">
        <f>IFERROR(__xludf.DUMMYFUNCTION("""COMPUTED_VALUE"""),"Тестени изделия")</f>
        <v>Тестени изделия</v>
      </c>
      <c r="B1606" s="7" t="str">
        <f>IFERROR(__xludf.DUMMYFUNCTION("""COMPUTED_VALUE"""),"Протеинова паста Kramas")</f>
        <v>Протеинова паста Kramas</v>
      </c>
      <c r="C1606" s="12">
        <f>IFERROR(__xludf.DUMMYFUNCTION("""COMPUTED_VALUE"""),100.0)</f>
        <v>100</v>
      </c>
      <c r="D1606" s="7">
        <f>IFERROR(__xludf.DUMMYFUNCTION("""COMPUTED_VALUE"""),40.0)</f>
        <v>40</v>
      </c>
      <c r="E1606" s="16">
        <f>IFERROR(__xludf.DUMMYFUNCTION("""COMPUTED_VALUE"""),45.5)</f>
        <v>45.5</v>
      </c>
      <c r="F1606" s="16">
        <f>IFERROR(__xludf.DUMMYFUNCTION("""COMPUTED_VALUE"""),1.3)</f>
        <v>1.3</v>
      </c>
      <c r="G1606" s="16">
        <f>IFERROR(__xludf.DUMMYFUNCTION("""COMPUTED_VALUE"""),0.0)</f>
        <v>0</v>
      </c>
      <c r="H1606" s="16">
        <f>IFERROR(__xludf.DUMMYFUNCTION("""COMPUTED_VALUE"""),353.7)</f>
        <v>353.7</v>
      </c>
    </row>
    <row r="1607">
      <c r="A1607" s="16" t="str">
        <f>IFERROR(__xludf.DUMMYFUNCTION("""COMPUTED_VALUE"""),"Шоколад")</f>
        <v>Шоколад</v>
      </c>
      <c r="B1607" s="7" t="str">
        <f>IFERROR(__xludf.DUMMYFUNCTION("""COMPUTED_VALUE"""),"Шоколад 85% (Mercadona)")</f>
        <v>Шоколад 85% (Mercadona)</v>
      </c>
      <c r="C1607" s="12">
        <f>IFERROR(__xludf.DUMMYFUNCTION("""COMPUTED_VALUE"""),100.0)</f>
        <v>100</v>
      </c>
      <c r="D1607" s="7">
        <f>IFERROR(__xludf.DUMMYFUNCTION("""COMPUTED_VALUE"""),12.0)</f>
        <v>12</v>
      </c>
      <c r="E1607" s="16">
        <f>IFERROR(__xludf.DUMMYFUNCTION("""COMPUTED_VALUE"""),22.0)</f>
        <v>22</v>
      </c>
      <c r="F1607" s="16">
        <f>IFERROR(__xludf.DUMMYFUNCTION("""COMPUTED_VALUE"""),46.0)</f>
        <v>46</v>
      </c>
      <c r="G1607" s="16">
        <f>IFERROR(__xludf.DUMMYFUNCTION("""COMPUTED_VALUE"""),0.0)</f>
        <v>0</v>
      </c>
      <c r="H1607" s="16">
        <f>IFERROR(__xludf.DUMMYFUNCTION("""COMPUTED_VALUE"""),550.0)</f>
        <v>550</v>
      </c>
    </row>
    <row r="1608">
      <c r="A1608" s="16" t="str">
        <f>IFERROR(__xludf.DUMMYFUNCTION("""COMPUTED_VALUE"""),"Зърнени храни")</f>
        <v>Зърнени храни</v>
      </c>
      <c r="B1608" s="7" t="str">
        <f>IFERROR(__xludf.DUMMYFUNCTION("""COMPUTED_VALUE"""),"Пшеничен Гриз - KRINA")</f>
        <v>Пшеничен Гриз - KRINA</v>
      </c>
      <c r="C1608" s="12">
        <f>IFERROR(__xludf.DUMMYFUNCTION("""COMPUTED_VALUE"""),100.0)</f>
        <v>100</v>
      </c>
      <c r="D1608" s="7">
        <f>IFERROR(__xludf.DUMMYFUNCTION("""COMPUTED_VALUE"""),13.0)</f>
        <v>13</v>
      </c>
      <c r="E1608" s="16">
        <f>IFERROR(__xludf.DUMMYFUNCTION("""COMPUTED_VALUE"""),73.0)</f>
        <v>73</v>
      </c>
      <c r="F1608" s="16">
        <f>IFERROR(__xludf.DUMMYFUNCTION("""COMPUTED_VALUE"""),1.1)</f>
        <v>1.1</v>
      </c>
      <c r="G1608" s="16">
        <f>IFERROR(__xludf.DUMMYFUNCTION("""COMPUTED_VALUE"""),3.9)</f>
        <v>3.9</v>
      </c>
      <c r="H1608" s="16">
        <f>IFERROR(__xludf.DUMMYFUNCTION("""COMPUTED_VALUE"""),353.9)</f>
        <v>353.9</v>
      </c>
    </row>
    <row r="1609">
      <c r="A1609" s="16" t="str">
        <f>IFERROR(__xludf.DUMMYFUNCTION("""COMPUTED_VALUE"""),"Ядкови масла")</f>
        <v>Ядкови масла</v>
      </c>
      <c r="B1609" s="7" t="str">
        <f>IFERROR(__xludf.DUMMYFUNCTION("""COMPUTED_VALUE"""),"Сусамов Тахан (течен)")</f>
        <v>Сусамов Тахан (течен)</v>
      </c>
      <c r="C1609" s="12">
        <f>IFERROR(__xludf.DUMMYFUNCTION("""COMPUTED_VALUE"""),100.0)</f>
        <v>100</v>
      </c>
      <c r="D1609" s="7">
        <f>IFERROR(__xludf.DUMMYFUNCTION("""COMPUTED_VALUE"""),22.8)</f>
        <v>22.8</v>
      </c>
      <c r="E1609" s="16">
        <f>IFERROR(__xludf.DUMMYFUNCTION("""COMPUTED_VALUE"""),7.4)</f>
        <v>7.4</v>
      </c>
      <c r="F1609" s="16">
        <f>IFERROR(__xludf.DUMMYFUNCTION("""COMPUTED_VALUE"""),56.0)</f>
        <v>56</v>
      </c>
      <c r="G1609" s="16">
        <f>IFERROR(__xludf.DUMMYFUNCTION("""COMPUTED_VALUE"""),0.0)</f>
        <v>0</v>
      </c>
      <c r="H1609" s="16">
        <f>IFERROR(__xludf.DUMMYFUNCTION("""COMPUTED_VALUE"""),624.8)</f>
        <v>624.8</v>
      </c>
    </row>
    <row r="1610">
      <c r="A1610" s="16" t="str">
        <f>IFERROR(__xludf.DUMMYFUNCTION("""COMPUTED_VALUE"""),"Млечни")</f>
        <v>Млечни</v>
      </c>
      <c r="B1610" s="7" t="str">
        <f>IFERROR(__xludf.DUMMYFUNCTION("""COMPUTED_VALUE"""),"Morbier/Морбие сирене")</f>
        <v>Morbier/Морбие сирене</v>
      </c>
      <c r="C1610" s="12">
        <f>IFERROR(__xludf.DUMMYFUNCTION("""COMPUTED_VALUE"""),100.0)</f>
        <v>100</v>
      </c>
      <c r="D1610" s="7">
        <f>IFERROR(__xludf.DUMMYFUNCTION("""COMPUTED_VALUE"""),23.0)</f>
        <v>23</v>
      </c>
      <c r="E1610" s="16">
        <f>IFERROR(__xludf.DUMMYFUNCTION("""COMPUTED_VALUE"""),3.0)</f>
        <v>3</v>
      </c>
      <c r="F1610" s="16">
        <f>IFERROR(__xludf.DUMMYFUNCTION("""COMPUTED_VALUE"""),29.0)</f>
        <v>29</v>
      </c>
      <c r="G1610" s="16">
        <f>IFERROR(__xludf.DUMMYFUNCTION("""COMPUTED_VALUE"""),0.0)</f>
        <v>0</v>
      </c>
      <c r="H1610" s="16">
        <f>IFERROR(__xludf.DUMMYFUNCTION("""COMPUTED_VALUE"""),365.0)</f>
        <v>365</v>
      </c>
    </row>
    <row r="1611">
      <c r="A1611" s="16" t="str">
        <f>IFERROR(__xludf.DUMMYFUNCTION("""COMPUTED_VALUE"""),"Месо")</f>
        <v>Месо</v>
      </c>
      <c r="B1611" s="7" t="str">
        <f>IFERROR(__xludf.DUMMYFUNCTION("""COMPUTED_VALUE"""),"Охл. Конско кюфте - Харманли")</f>
        <v>Охл. Конско кюфте - Харманли</v>
      </c>
      <c r="C1611" s="12">
        <f>IFERROR(__xludf.DUMMYFUNCTION("""COMPUTED_VALUE"""),100.0)</f>
        <v>100</v>
      </c>
      <c r="D1611" s="7">
        <f>IFERROR(__xludf.DUMMYFUNCTION("""COMPUTED_VALUE"""),14.76)</f>
        <v>14.76</v>
      </c>
      <c r="E1611" s="16">
        <f>IFERROR(__xludf.DUMMYFUNCTION("""COMPUTED_VALUE"""),1.88)</f>
        <v>1.88</v>
      </c>
      <c r="F1611" s="16">
        <f>IFERROR(__xludf.DUMMYFUNCTION("""COMPUTED_VALUE"""),4.95)</f>
        <v>4.95</v>
      </c>
      <c r="G1611" s="16">
        <f>IFERROR(__xludf.DUMMYFUNCTION("""COMPUTED_VALUE"""),0.0)</f>
        <v>0</v>
      </c>
      <c r="H1611" s="16">
        <f>IFERROR(__xludf.DUMMYFUNCTION("""COMPUTED_VALUE"""),111.11000000000001)</f>
        <v>111.11</v>
      </c>
    </row>
    <row r="1612">
      <c r="A1612" s="16" t="str">
        <f>IFERROR(__xludf.DUMMYFUNCTION("""COMPUTED_VALUE"""),"Млечни")</f>
        <v>Млечни</v>
      </c>
      <c r="B1612" s="7" t="str">
        <f>IFERROR(__xludf.DUMMYFUNCTION("""COMPUTED_VALUE"""),"краве сирене - LACRIMA")</f>
        <v>краве сирене - LACRIMA</v>
      </c>
      <c r="C1612" s="12">
        <f>IFERROR(__xludf.DUMMYFUNCTION("""COMPUTED_VALUE"""),100.0)</f>
        <v>100</v>
      </c>
      <c r="D1612" s="7">
        <f>IFERROR(__xludf.DUMMYFUNCTION("""COMPUTED_VALUE"""),16.0)</f>
        <v>16</v>
      </c>
      <c r="E1612" s="16">
        <f>IFERROR(__xludf.DUMMYFUNCTION("""COMPUTED_VALUE"""),0.5)</f>
        <v>0.5</v>
      </c>
      <c r="F1612" s="16">
        <f>IFERROR(__xludf.DUMMYFUNCTION("""COMPUTED_VALUE"""),21.0)</f>
        <v>21</v>
      </c>
      <c r="G1612" s="16">
        <f>IFERROR(__xludf.DUMMYFUNCTION("""COMPUTED_VALUE"""),0.0)</f>
        <v>0</v>
      </c>
      <c r="H1612" s="16">
        <f>IFERROR(__xludf.DUMMYFUNCTION("""COMPUTED_VALUE"""),255.0)</f>
        <v>255</v>
      </c>
    </row>
    <row r="1613">
      <c r="A1613" s="16" t="str">
        <f>IFERROR(__xludf.DUMMYFUNCTION("""COMPUTED_VALUE"""),"Млечни")</f>
        <v>Млечни</v>
      </c>
      <c r="B1613" s="7" t="str">
        <f>IFERROR(__xludf.DUMMYFUNCTION("""COMPUTED_VALUE"""),"Philadelphia/Филаделфия protein")</f>
        <v>Philadelphia/Филаделфия protein</v>
      </c>
      <c r="C1613" s="12">
        <f>IFERROR(__xludf.DUMMYFUNCTION("""COMPUTED_VALUE"""),100.0)</f>
        <v>100</v>
      </c>
      <c r="D1613" s="7">
        <f>IFERROR(__xludf.DUMMYFUNCTION("""COMPUTED_VALUE"""),11.0)</f>
        <v>11</v>
      </c>
      <c r="E1613" s="16">
        <f>IFERROR(__xludf.DUMMYFUNCTION("""COMPUTED_VALUE"""),4.9)</f>
        <v>4.9</v>
      </c>
      <c r="F1613" s="16">
        <f>IFERROR(__xludf.DUMMYFUNCTION("""COMPUTED_VALUE"""),2.5)</f>
        <v>2.5</v>
      </c>
      <c r="G1613" s="16">
        <f>IFERROR(__xludf.DUMMYFUNCTION("""COMPUTED_VALUE"""),0.4)</f>
        <v>0.4</v>
      </c>
      <c r="H1613" s="16">
        <f>IFERROR(__xludf.DUMMYFUNCTION("""COMPUTED_VALUE"""),86.1)</f>
        <v>86.1</v>
      </c>
    </row>
    <row r="1614">
      <c r="A1614" s="16" t="str">
        <f>IFERROR(__xludf.DUMMYFUNCTION("""COMPUTED_VALUE"""),"Тестени изделия")</f>
        <v>Тестени изделия</v>
      </c>
      <c r="B1614" s="7" t="str">
        <f>IFERROR(__xludf.DUMMYFUNCTION("""COMPUTED_VALUE"""),"Арменски тънък хляб (DINA) - Лаваш пълнозърнест")</f>
        <v>Арменски тънък хляб (DINA) - Лаваш пълнозърнест</v>
      </c>
      <c r="C1614" s="12">
        <f>IFERROR(__xludf.DUMMYFUNCTION("""COMPUTED_VALUE"""),100.0)</f>
        <v>100</v>
      </c>
      <c r="D1614" s="7">
        <f>IFERROR(__xludf.DUMMYFUNCTION("""COMPUTED_VALUE"""),10.9)</f>
        <v>10.9</v>
      </c>
      <c r="E1614" s="16">
        <f>IFERROR(__xludf.DUMMYFUNCTION("""COMPUTED_VALUE"""),46.1)</f>
        <v>46.1</v>
      </c>
      <c r="F1614" s="16">
        <f>IFERROR(__xludf.DUMMYFUNCTION("""COMPUTED_VALUE"""),1.7)</f>
        <v>1.7</v>
      </c>
      <c r="G1614" s="16">
        <f>IFERROR(__xludf.DUMMYFUNCTION("""COMPUTED_VALUE"""),0.0)</f>
        <v>0</v>
      </c>
      <c r="H1614" s="16">
        <f>IFERROR(__xludf.DUMMYFUNCTION("""COMPUTED_VALUE"""),243.3)</f>
        <v>243.3</v>
      </c>
    </row>
    <row r="1615">
      <c r="A1615" s="16" t="str">
        <f>IFERROR(__xludf.DUMMYFUNCTION("""COMPUTED_VALUE"""),"Тестени изделия")</f>
        <v>Тестени изделия</v>
      </c>
      <c r="B1615" s="7" t="str">
        <f>IFERROR(__xludf.DUMMYFUNCTION("""COMPUTED_VALUE"""),"Sinnak wraps - такос")</f>
        <v>Sinnak wraps - такос</v>
      </c>
      <c r="C1615" s="12">
        <f>IFERROR(__xludf.DUMMYFUNCTION("""COMPUTED_VALUE"""),100.0)</f>
        <v>100</v>
      </c>
      <c r="D1615" s="7">
        <f>IFERROR(__xludf.DUMMYFUNCTION("""COMPUTED_VALUE"""),7.7)</f>
        <v>7.7</v>
      </c>
      <c r="E1615" s="16">
        <f>IFERROR(__xludf.DUMMYFUNCTION("""COMPUTED_VALUE"""),55.0)</f>
        <v>55</v>
      </c>
      <c r="F1615" s="16">
        <f>IFERROR(__xludf.DUMMYFUNCTION("""COMPUTED_VALUE"""),6.0)</f>
        <v>6</v>
      </c>
      <c r="G1615" s="16">
        <f>IFERROR(__xludf.DUMMYFUNCTION("""COMPUTED_VALUE"""),3.9)</f>
        <v>3.9</v>
      </c>
      <c r="H1615" s="16">
        <f>IFERROR(__xludf.DUMMYFUNCTION("""COMPUTED_VALUE"""),304.8)</f>
        <v>304.8</v>
      </c>
    </row>
    <row r="1616">
      <c r="A1616" s="16" t="str">
        <f>IFERROR(__xludf.DUMMYFUNCTION("""COMPUTED_VALUE"""),"Месо")</f>
        <v>Месо</v>
      </c>
      <c r="B1616" s="7" t="str">
        <f>IFERROR(__xludf.DUMMYFUNCTION("""COMPUTED_VALUE"""),"Свинско Дърпано EL Tequito(Lidl)")</f>
        <v>Свинско Дърпано EL Tequito(Lidl)</v>
      </c>
      <c r="C1616" s="12">
        <f>IFERROR(__xludf.DUMMYFUNCTION("""COMPUTED_VALUE"""),100.0)</f>
        <v>100</v>
      </c>
      <c r="D1616" s="7">
        <f>IFERROR(__xludf.DUMMYFUNCTION("""COMPUTED_VALUE"""),18.5)</f>
        <v>18.5</v>
      </c>
      <c r="E1616" s="16">
        <f>IFERROR(__xludf.DUMMYFUNCTION("""COMPUTED_VALUE"""),1.2)</f>
        <v>1.2</v>
      </c>
      <c r="F1616" s="16">
        <f>IFERROR(__xludf.DUMMYFUNCTION("""COMPUTED_VALUE"""),4.5)</f>
        <v>4.5</v>
      </c>
      <c r="G1616" s="16">
        <f>IFERROR(__xludf.DUMMYFUNCTION("""COMPUTED_VALUE"""),0.0)</f>
        <v>0</v>
      </c>
      <c r="H1616" s="16">
        <f>IFERROR(__xludf.DUMMYFUNCTION("""COMPUTED_VALUE"""),119.3)</f>
        <v>119.3</v>
      </c>
    </row>
    <row r="1617">
      <c r="A1617" s="16" t="str">
        <f>IFERROR(__xludf.DUMMYFUNCTION("""COMPUTED_VALUE"""),"Месо")</f>
        <v>Месо</v>
      </c>
      <c r="B1617" s="7" t="str">
        <f>IFERROR(__xludf.DUMMYFUNCTION("""COMPUTED_VALUE"""),"Пилешки филета от гърди по тихуански(Lidl)")</f>
        <v>Пилешки филета от гърди по тихуански(Lidl)</v>
      </c>
      <c r="C1617" s="12">
        <f>IFERROR(__xludf.DUMMYFUNCTION("""COMPUTED_VALUE"""),100.0)</f>
        <v>100</v>
      </c>
      <c r="D1617" s="7">
        <f>IFERROR(__xludf.DUMMYFUNCTION("""COMPUTED_VALUE"""),20.7)</f>
        <v>20.7</v>
      </c>
      <c r="E1617" s="16">
        <f>IFERROR(__xludf.DUMMYFUNCTION("""COMPUTED_VALUE"""),2.1)</f>
        <v>2.1</v>
      </c>
      <c r="F1617" s="16">
        <f>IFERROR(__xludf.DUMMYFUNCTION("""COMPUTED_VALUE"""),4.3)</f>
        <v>4.3</v>
      </c>
      <c r="G1617" s="16">
        <f>IFERROR(__xludf.DUMMYFUNCTION("""COMPUTED_VALUE"""),0.0)</f>
        <v>0</v>
      </c>
      <c r="H1617" s="16">
        <f>IFERROR(__xludf.DUMMYFUNCTION("""COMPUTED_VALUE"""),129.9)</f>
        <v>129.9</v>
      </c>
    </row>
    <row r="1618">
      <c r="A1618" s="16" t="str">
        <f>IFERROR(__xludf.DUMMYFUNCTION("""COMPUTED_VALUE"""),"Протеинови барове")</f>
        <v>Протеинови барове</v>
      </c>
      <c r="B1618" s="7" t="str">
        <f>IFERROR(__xludf.DUMMYFUNCTION("""COMPUTED_VALUE"""),"XL Athletic Protein Bar - Шоколад с боровинка")</f>
        <v>XL Athletic Protein Bar - Шоколад с боровинка</v>
      </c>
      <c r="C1618" s="12">
        <f>IFERROR(__xludf.DUMMYFUNCTION("""COMPUTED_VALUE"""),100.0)</f>
        <v>100</v>
      </c>
      <c r="D1618" s="7">
        <f>IFERROR(__xludf.DUMMYFUNCTION("""COMPUTED_VALUE"""),30.0)</f>
        <v>30</v>
      </c>
      <c r="E1618" s="16">
        <f>IFERROR(__xludf.DUMMYFUNCTION("""COMPUTED_VALUE"""),20.0)</f>
        <v>20</v>
      </c>
      <c r="F1618" s="16">
        <f>IFERROR(__xludf.DUMMYFUNCTION("""COMPUTED_VALUE"""),8.0)</f>
        <v>8</v>
      </c>
      <c r="G1618" s="16">
        <f>IFERROR(__xludf.DUMMYFUNCTION("""COMPUTED_VALUE"""),10.0)</f>
        <v>10</v>
      </c>
      <c r="H1618" s="16">
        <f>IFERROR(__xludf.DUMMYFUNCTION("""COMPUTED_VALUE"""),272.0)</f>
        <v>272</v>
      </c>
    </row>
    <row r="1619">
      <c r="A1619" s="16" t="str">
        <f>IFERROR(__xludf.DUMMYFUNCTION("""COMPUTED_VALUE"""),"Риба")</f>
        <v>Риба</v>
      </c>
      <c r="B1619" s="7" t="str">
        <f>IFERROR(__xludf.DUMMYFUNCTION("""COMPUTED_VALUE"""),"Риба тон филе в чеснов сос")</f>
        <v>Риба тон филе в чеснов сос</v>
      </c>
      <c r="C1619" s="12">
        <f>IFERROR(__xludf.DUMMYFUNCTION("""COMPUTED_VALUE"""),100.0)</f>
        <v>100</v>
      </c>
      <c r="D1619" s="7">
        <f>IFERROR(__xludf.DUMMYFUNCTION("""COMPUTED_VALUE"""),20.0)</f>
        <v>20</v>
      </c>
      <c r="E1619" s="16">
        <f>IFERROR(__xludf.DUMMYFUNCTION("""COMPUTED_VALUE"""),1.0)</f>
        <v>1</v>
      </c>
      <c r="F1619" s="16">
        <f>IFERROR(__xludf.DUMMYFUNCTION("""COMPUTED_VALUE"""),10.0)</f>
        <v>10</v>
      </c>
      <c r="G1619" s="16">
        <f>IFERROR(__xludf.DUMMYFUNCTION("""COMPUTED_VALUE"""),0.0)</f>
        <v>0</v>
      </c>
      <c r="H1619" s="16">
        <f>IFERROR(__xludf.DUMMYFUNCTION("""COMPUTED_VALUE"""),174.0)</f>
        <v>174</v>
      </c>
    </row>
    <row r="1620">
      <c r="A1620" s="16" t="str">
        <f>IFERROR(__xludf.DUMMYFUNCTION("""COMPUTED_VALUE"""),"Тестени изделия")</f>
        <v>Тестени изделия</v>
      </c>
      <c r="B1620" s="7" t="str">
        <f>IFERROR(__xludf.DUMMYFUNCTION("""COMPUTED_VALUE"""),"Арабска питка Metro Chef")</f>
        <v>Арабска питка Metro Chef</v>
      </c>
      <c r="C1620" s="12">
        <f>IFERROR(__xludf.DUMMYFUNCTION("""COMPUTED_VALUE"""),100.0)</f>
        <v>100</v>
      </c>
      <c r="D1620" s="7">
        <f>IFERROR(__xludf.DUMMYFUNCTION("""COMPUTED_VALUE"""),9.0)</f>
        <v>9</v>
      </c>
      <c r="E1620" s="16">
        <f>IFERROR(__xludf.DUMMYFUNCTION("""COMPUTED_VALUE"""),57.0)</f>
        <v>57</v>
      </c>
      <c r="F1620" s="16">
        <f>IFERROR(__xludf.DUMMYFUNCTION("""COMPUTED_VALUE"""),2.0)</f>
        <v>2</v>
      </c>
      <c r="G1620" s="16">
        <f>IFERROR(__xludf.DUMMYFUNCTION("""COMPUTED_VALUE"""),0.0)</f>
        <v>0</v>
      </c>
      <c r="H1620" s="16">
        <f>IFERROR(__xludf.DUMMYFUNCTION("""COMPUTED_VALUE"""),282.0)</f>
        <v>282</v>
      </c>
    </row>
    <row r="1621">
      <c r="A1621" s="16" t="str">
        <f>IFERROR(__xludf.DUMMYFUNCTION("""COMPUTED_VALUE"""),"Месо")</f>
        <v>Месо</v>
      </c>
      <c r="B1621" s="7" t="str">
        <f>IFERROR(__xludf.DUMMYFUNCTION("""COMPUTED_VALUE"""),"Пушено свинско филе Meze")</f>
        <v>Пушено свинско филе Meze</v>
      </c>
      <c r="C1621" s="12">
        <f>IFERROR(__xludf.DUMMYFUNCTION("""COMPUTED_VALUE"""),100.0)</f>
        <v>100</v>
      </c>
      <c r="D1621" s="7">
        <f>IFERROR(__xludf.DUMMYFUNCTION("""COMPUTED_VALUE"""),15.6)</f>
        <v>15.6</v>
      </c>
      <c r="E1621" s="16">
        <f>IFERROR(__xludf.DUMMYFUNCTION("""COMPUTED_VALUE"""),1.75)</f>
        <v>1.75</v>
      </c>
      <c r="F1621" s="16">
        <f>IFERROR(__xludf.DUMMYFUNCTION("""COMPUTED_VALUE"""),1.72)</f>
        <v>1.72</v>
      </c>
      <c r="G1621" s="16">
        <f>IFERROR(__xludf.DUMMYFUNCTION("""COMPUTED_VALUE"""),0.0)</f>
        <v>0</v>
      </c>
      <c r="H1621" s="16">
        <f>IFERROR(__xludf.DUMMYFUNCTION("""COMPUTED_VALUE"""),84.88000000000001)</f>
        <v>84.88</v>
      </c>
    </row>
    <row r="1622">
      <c r="A1622" s="16" t="str">
        <f>IFERROR(__xludf.DUMMYFUNCTION("""COMPUTED_VALUE"""),"Месо")</f>
        <v>Месо</v>
      </c>
      <c r="B1622" s="7" t="str">
        <f>IFERROR(__xludf.DUMMYFUNCTION("""COMPUTED_VALUE"""),"Dulano - Пилешки гърди")</f>
        <v>Dulano - Пилешки гърди</v>
      </c>
      <c r="C1622" s="12">
        <f>IFERROR(__xludf.DUMMYFUNCTION("""COMPUTED_VALUE"""),100.0)</f>
        <v>100</v>
      </c>
      <c r="D1622" s="7">
        <f>IFERROR(__xludf.DUMMYFUNCTION("""COMPUTED_VALUE"""),20.0)</f>
        <v>20</v>
      </c>
      <c r="E1622" s="16">
        <f>IFERROR(__xludf.DUMMYFUNCTION("""COMPUTED_VALUE"""),1.5)</f>
        <v>1.5</v>
      </c>
      <c r="F1622" s="16">
        <f>IFERROR(__xludf.DUMMYFUNCTION("""COMPUTED_VALUE"""),2.0)</f>
        <v>2</v>
      </c>
      <c r="G1622" s="16">
        <f>IFERROR(__xludf.DUMMYFUNCTION("""COMPUTED_VALUE"""),0.0)</f>
        <v>0</v>
      </c>
      <c r="H1622" s="16">
        <f>IFERROR(__xludf.DUMMYFUNCTION("""COMPUTED_VALUE"""),84.88000000000001)</f>
        <v>84.88</v>
      </c>
    </row>
    <row r="1623">
      <c r="A1623" s="16" t="str">
        <f>IFERROR(__xludf.DUMMYFUNCTION("""COMPUTED_VALUE"""),"Тестени изделия")</f>
        <v>Тестени изделия</v>
      </c>
      <c r="B1623" s="7" t="str">
        <f>IFERROR(__xludf.DUMMYFUNCTION("""COMPUTED_VALUE"""),"SINNACK ТОРТИЛА С ПРОТЕИН")</f>
        <v>SINNACK ТОРТИЛА С ПРОТЕИН</v>
      </c>
      <c r="C1623" s="12">
        <f>IFERROR(__xludf.DUMMYFUNCTION("""COMPUTED_VALUE"""),100.0)</f>
        <v>100</v>
      </c>
      <c r="D1623" s="7">
        <f>IFERROR(__xludf.DUMMYFUNCTION("""COMPUTED_VALUE"""),22.0)</f>
        <v>22</v>
      </c>
      <c r="E1623" s="16">
        <f>IFERROR(__xludf.DUMMYFUNCTION("""COMPUTED_VALUE"""),35.0)</f>
        <v>35</v>
      </c>
      <c r="F1623" s="16">
        <f>IFERROR(__xludf.DUMMYFUNCTION("""COMPUTED_VALUE"""),8.4)</f>
        <v>8.4</v>
      </c>
      <c r="G1623" s="16">
        <f>IFERROR(__xludf.DUMMYFUNCTION("""COMPUTED_VALUE"""),0.0)</f>
        <v>0</v>
      </c>
      <c r="H1623" s="16">
        <f>IFERROR(__xludf.DUMMYFUNCTION("""COMPUTED_VALUE"""),84.88000000000001)</f>
        <v>84.88</v>
      </c>
    </row>
    <row r="1624">
      <c r="A1624" s="16" t="str">
        <f>IFERROR(__xludf.DUMMYFUNCTION("""COMPUTED_VALUE"""),"Млечни")</f>
        <v>Млечни</v>
      </c>
      <c r="B1624" s="7" t="str">
        <f>IFERROR(__xludf.DUMMYFUNCTION("""COMPUTED_VALUE"""),"Крема Сирене - Хелиос")</f>
        <v>Крема Сирене - Хелиос</v>
      </c>
      <c r="C1624" s="12">
        <f>IFERROR(__xludf.DUMMYFUNCTION("""COMPUTED_VALUE"""),100.0)</f>
        <v>100</v>
      </c>
      <c r="D1624" s="7">
        <f>IFERROR(__xludf.DUMMYFUNCTION("""COMPUTED_VALUE"""),15.0)</f>
        <v>15</v>
      </c>
      <c r="E1624" s="16">
        <f>IFERROR(__xludf.DUMMYFUNCTION("""COMPUTED_VALUE"""),2.0)</f>
        <v>2</v>
      </c>
      <c r="F1624" s="16">
        <f>IFERROR(__xludf.DUMMYFUNCTION("""COMPUTED_VALUE"""),15.0)</f>
        <v>15</v>
      </c>
      <c r="G1624" s="16">
        <f>IFERROR(__xludf.DUMMYFUNCTION("""COMPUTED_VALUE"""),0.0)</f>
        <v>0</v>
      </c>
      <c r="H1624" s="16">
        <f>IFERROR(__xludf.DUMMYFUNCTION("""COMPUTED_VALUE"""),203.0)</f>
        <v>203</v>
      </c>
    </row>
    <row r="1625">
      <c r="A1625" s="16" t="str">
        <f>IFERROR(__xludf.DUMMYFUNCTION("""COMPUTED_VALUE"""),"Тестени изделия")</f>
        <v>Тестени изделия</v>
      </c>
      <c r="B1625" s="7" t="str">
        <f>IFERROR(__xludf.DUMMYFUNCTION("""COMPUTED_VALUE"""),"Пшенична тортила - GRANDISSIMA")</f>
        <v>Пшенична тортила - GRANDISSIMA</v>
      </c>
      <c r="C1625" s="12">
        <f>IFERROR(__xludf.DUMMYFUNCTION("""COMPUTED_VALUE"""),100.0)</f>
        <v>100</v>
      </c>
      <c r="D1625" s="7">
        <f>IFERROR(__xludf.DUMMYFUNCTION("""COMPUTED_VALUE"""),9.7)</f>
        <v>9.7</v>
      </c>
      <c r="E1625" s="16">
        <f>IFERROR(__xludf.DUMMYFUNCTION("""COMPUTED_VALUE"""),55.1)</f>
        <v>55.1</v>
      </c>
      <c r="F1625" s="16">
        <f>IFERROR(__xludf.DUMMYFUNCTION("""COMPUTED_VALUE"""),8.8)</f>
        <v>8.8</v>
      </c>
      <c r="G1625" s="16">
        <f>IFERROR(__xludf.DUMMYFUNCTION("""COMPUTED_VALUE"""),3.1)</f>
        <v>3.1</v>
      </c>
      <c r="H1625" s="16">
        <f>IFERROR(__xludf.DUMMYFUNCTION("""COMPUTED_VALUE"""),338.4)</f>
        <v>338.4</v>
      </c>
    </row>
    <row r="1626">
      <c r="A1626" s="16" t="str">
        <f>IFERROR(__xludf.DUMMYFUNCTION("""COMPUTED_VALUE"""),"Сосове")</f>
        <v>Сосове</v>
      </c>
      <c r="B1626" s="7" t="str">
        <f>IFERROR(__xludf.DUMMYFUNCTION("""COMPUTED_VALUE"""),"Доматено пюре - Rosso Gargano")</f>
        <v>Доматено пюре - Rosso Gargano</v>
      </c>
      <c r="C1626" s="12">
        <f>IFERROR(__xludf.DUMMYFUNCTION("""COMPUTED_VALUE"""),100.0)</f>
        <v>100</v>
      </c>
      <c r="D1626" s="7">
        <f>IFERROR(__xludf.DUMMYFUNCTION("""COMPUTED_VALUE"""),2.3)</f>
        <v>2.3</v>
      </c>
      <c r="E1626" s="16">
        <f>IFERROR(__xludf.DUMMYFUNCTION("""COMPUTED_VALUE"""),5.1)</f>
        <v>5.1</v>
      </c>
      <c r="F1626" s="16">
        <f>IFERROR(__xludf.DUMMYFUNCTION("""COMPUTED_VALUE"""),0.4)</f>
        <v>0.4</v>
      </c>
      <c r="G1626" s="16">
        <f>IFERROR(__xludf.DUMMYFUNCTION("""COMPUTED_VALUE"""),2.4)</f>
        <v>2.4</v>
      </c>
      <c r="H1626" s="16">
        <f>IFERROR(__xludf.DUMMYFUNCTION("""COMPUTED_VALUE"""),33.199999999999996)</f>
        <v>33.2</v>
      </c>
    </row>
    <row r="1627">
      <c r="A1627" s="16" t="str">
        <f>IFERROR(__xludf.DUMMYFUNCTION("""COMPUTED_VALUE"""),"Протеин на прах")</f>
        <v>Протеин на прах</v>
      </c>
      <c r="B1627" s="7" t="str">
        <f>IFERROR(__xludf.DUMMYFUNCTION("""COMPUTED_VALUE"""),"AMIX Monster Beef Protein")</f>
        <v>AMIX Monster Beef Protein</v>
      </c>
      <c r="C1627" s="12">
        <f>IFERROR(__xludf.DUMMYFUNCTION("""COMPUTED_VALUE"""),100.0)</f>
        <v>100</v>
      </c>
      <c r="D1627" s="7">
        <f>IFERROR(__xludf.DUMMYFUNCTION("""COMPUTED_VALUE"""),90.0)</f>
        <v>90</v>
      </c>
      <c r="E1627" s="16">
        <f>IFERROR(__xludf.DUMMYFUNCTION("""COMPUTED_VALUE"""),2.0)</f>
        <v>2</v>
      </c>
      <c r="F1627" s="16">
        <f>IFERROR(__xludf.DUMMYFUNCTION("""COMPUTED_VALUE"""),1.0)</f>
        <v>1</v>
      </c>
      <c r="G1627" s="16">
        <f>IFERROR(__xludf.DUMMYFUNCTION("""COMPUTED_VALUE"""),0.0)</f>
        <v>0</v>
      </c>
      <c r="H1627" s="16">
        <f>IFERROR(__xludf.DUMMYFUNCTION("""COMPUTED_VALUE"""),377.0)</f>
        <v>377</v>
      </c>
    </row>
    <row r="1628">
      <c r="A1628" s="16" t="str">
        <f>IFERROR(__xludf.DUMMYFUNCTION("""COMPUTED_VALUE"""),"Млечни")</f>
        <v>Млечни</v>
      </c>
      <c r="B1628" s="7" t="str">
        <f>IFERROR(__xludf.DUMMYFUNCTION("""COMPUTED_VALUE"""),"Котидж сирене - MILRAM")</f>
        <v>Котидж сирене - MILRAM</v>
      </c>
      <c r="C1628" s="12">
        <f>IFERROR(__xludf.DUMMYFUNCTION("""COMPUTED_VALUE"""),100.0)</f>
        <v>100</v>
      </c>
      <c r="D1628" s="7">
        <f>IFERROR(__xludf.DUMMYFUNCTION("""COMPUTED_VALUE"""),11.8)</f>
        <v>11.8</v>
      </c>
      <c r="E1628" s="16">
        <f>IFERROR(__xludf.DUMMYFUNCTION("""COMPUTED_VALUE"""),2.8)</f>
        <v>2.8</v>
      </c>
      <c r="F1628" s="16">
        <f>IFERROR(__xludf.DUMMYFUNCTION("""COMPUTED_VALUE"""),3.5)</f>
        <v>3.5</v>
      </c>
      <c r="G1628" s="16">
        <f>IFERROR(__xludf.DUMMYFUNCTION("""COMPUTED_VALUE"""),0.0)</f>
        <v>0</v>
      </c>
      <c r="H1628" s="16">
        <f>IFERROR(__xludf.DUMMYFUNCTION("""COMPUTED_VALUE"""),89.9)</f>
        <v>89.9</v>
      </c>
    </row>
    <row r="1629">
      <c r="A1629" s="16"/>
      <c r="B1629" s="7"/>
      <c r="C1629" s="7"/>
      <c r="D1629" s="7"/>
      <c r="E1629" s="16"/>
      <c r="F1629" s="16"/>
      <c r="G1629" s="16"/>
      <c r="H1629" s="16"/>
    </row>
    <row r="1630">
      <c r="A1630" s="16"/>
      <c r="B1630" s="7"/>
      <c r="C1630" s="7"/>
      <c r="D1630" s="7"/>
      <c r="E1630" s="16"/>
      <c r="F1630" s="16"/>
      <c r="G1630" s="16"/>
      <c r="H1630" s="16"/>
    </row>
    <row r="1631">
      <c r="A1631" s="16"/>
      <c r="B1631" s="7"/>
      <c r="C1631" s="7"/>
      <c r="D1631" s="7"/>
      <c r="E1631" s="16"/>
      <c r="F1631" s="16"/>
      <c r="G1631" s="16"/>
      <c r="H1631" s="16"/>
    </row>
    <row r="1632">
      <c r="A1632" s="16"/>
      <c r="B1632" s="7"/>
      <c r="C1632" s="7"/>
      <c r="D1632" s="7"/>
      <c r="E1632" s="16"/>
      <c r="F1632" s="16"/>
      <c r="G1632" s="16"/>
      <c r="H1632" s="16"/>
    </row>
    <row r="1633">
      <c r="A1633" s="16"/>
      <c r="B1633" s="7"/>
      <c r="C1633" s="7"/>
      <c r="D1633" s="7"/>
      <c r="E1633" s="16"/>
      <c r="F1633" s="16"/>
      <c r="G1633" s="16"/>
      <c r="H1633" s="16"/>
    </row>
    <row r="1634">
      <c r="A1634" s="16"/>
      <c r="B1634" s="7"/>
      <c r="C1634" s="7"/>
      <c r="D1634" s="7"/>
      <c r="E1634" s="16"/>
      <c r="F1634" s="16"/>
      <c r="G1634" s="16"/>
      <c r="H1634" s="16"/>
    </row>
    <row r="1635">
      <c r="A1635" s="16"/>
      <c r="B1635" s="7"/>
      <c r="C1635" s="7"/>
      <c r="D1635" s="7"/>
      <c r="E1635" s="16"/>
      <c r="F1635" s="16"/>
      <c r="G1635" s="16"/>
      <c r="H1635" s="16"/>
    </row>
    <row r="1636">
      <c r="A1636" s="16"/>
      <c r="B1636" s="7"/>
      <c r="C1636" s="7"/>
      <c r="D1636" s="7"/>
      <c r="E1636" s="16"/>
      <c r="F1636" s="16"/>
      <c r="G1636" s="16"/>
      <c r="H1636" s="16"/>
    </row>
    <row r="1637">
      <c r="A1637" s="16"/>
      <c r="B1637" s="7"/>
      <c r="C1637" s="7"/>
      <c r="D1637" s="7"/>
      <c r="E1637" s="16"/>
      <c r="F1637" s="16"/>
      <c r="G1637" s="16"/>
      <c r="H1637" s="16"/>
    </row>
    <row r="1638">
      <c r="A1638" s="16"/>
      <c r="B1638" s="7"/>
      <c r="C1638" s="7"/>
      <c r="D1638" s="7"/>
      <c r="E1638" s="16"/>
      <c r="F1638" s="16"/>
      <c r="G1638" s="16"/>
      <c r="H1638" s="16"/>
    </row>
    <row r="1639">
      <c r="A1639" s="16"/>
      <c r="B1639" s="7"/>
      <c r="C1639" s="7"/>
      <c r="D1639" s="7"/>
      <c r="E1639" s="16"/>
      <c r="F1639" s="16"/>
      <c r="G1639" s="16"/>
      <c r="H1639" s="16"/>
    </row>
    <row r="1640">
      <c r="A1640" s="16"/>
      <c r="B1640" s="7"/>
      <c r="C1640" s="7"/>
      <c r="D1640" s="7"/>
      <c r="E1640" s="16"/>
      <c r="F1640" s="16"/>
      <c r="G1640" s="16"/>
      <c r="H1640" s="16"/>
    </row>
    <row r="1641">
      <c r="A1641" s="16"/>
      <c r="B1641" s="7"/>
      <c r="C1641" s="7"/>
      <c r="D1641" s="7"/>
      <c r="E1641" s="16"/>
      <c r="F1641" s="16"/>
      <c r="G1641" s="16"/>
      <c r="H1641" s="16"/>
    </row>
    <row r="1642">
      <c r="A1642" s="16"/>
      <c r="B1642" s="7"/>
      <c r="C1642" s="7"/>
      <c r="D1642" s="7"/>
      <c r="E1642" s="16"/>
      <c r="F1642" s="16"/>
      <c r="G1642" s="16"/>
      <c r="H1642" s="16"/>
    </row>
    <row r="1643">
      <c r="A1643" s="16"/>
      <c r="B1643" s="7"/>
      <c r="C1643" s="7"/>
      <c r="D1643" s="7"/>
      <c r="E1643" s="16"/>
      <c r="F1643" s="16"/>
      <c r="G1643" s="16"/>
      <c r="H1643" s="16"/>
    </row>
    <row r="1644">
      <c r="A1644" s="16"/>
      <c r="B1644" s="7"/>
      <c r="C1644" s="7"/>
      <c r="D1644" s="7"/>
      <c r="E1644" s="16"/>
      <c r="F1644" s="16"/>
      <c r="G1644" s="16"/>
      <c r="H1644" s="16"/>
    </row>
    <row r="1645">
      <c r="A1645" s="16"/>
      <c r="B1645" s="7"/>
      <c r="C1645" s="7"/>
      <c r="D1645" s="7"/>
      <c r="E1645" s="16"/>
      <c r="F1645" s="16"/>
      <c r="G1645" s="16"/>
      <c r="H1645" s="16"/>
    </row>
    <row r="1646">
      <c r="A1646" s="16"/>
      <c r="B1646" s="7"/>
      <c r="C1646" s="7"/>
      <c r="D1646" s="7"/>
      <c r="E1646" s="16"/>
      <c r="F1646" s="16"/>
      <c r="G1646" s="16"/>
      <c r="H1646" s="16"/>
    </row>
    <row r="1647">
      <c r="A1647" s="16"/>
      <c r="B1647" s="7"/>
      <c r="C1647" s="7"/>
      <c r="D1647" s="7"/>
      <c r="E1647" s="16"/>
      <c r="F1647" s="16"/>
      <c r="G1647" s="16"/>
      <c r="H1647" s="16"/>
    </row>
    <row r="1648">
      <c r="A1648" s="16"/>
      <c r="B1648" s="7"/>
      <c r="C1648" s="7"/>
      <c r="D1648" s="7"/>
      <c r="E1648" s="16"/>
      <c r="F1648" s="16"/>
      <c r="G1648" s="16"/>
      <c r="H1648" s="16"/>
    </row>
    <row r="1649">
      <c r="A1649" s="16"/>
      <c r="B1649" s="7"/>
      <c r="C1649" s="7"/>
      <c r="D1649" s="7"/>
      <c r="E1649" s="16"/>
      <c r="F1649" s="16"/>
      <c r="G1649" s="16"/>
      <c r="H1649" s="16"/>
    </row>
    <row r="1650">
      <c r="A1650" s="16"/>
      <c r="B1650" s="7"/>
      <c r="C1650" s="7"/>
      <c r="D1650" s="7"/>
      <c r="E1650" s="16"/>
      <c r="F1650" s="16"/>
      <c r="G1650" s="16"/>
      <c r="H1650" s="16"/>
    </row>
    <row r="1651">
      <c r="A1651" s="16"/>
      <c r="B1651" s="7"/>
      <c r="C1651" s="7"/>
      <c r="D1651" s="7"/>
      <c r="E1651" s="16"/>
      <c r="F1651" s="16"/>
      <c r="G1651" s="16"/>
      <c r="H1651" s="16"/>
    </row>
    <row r="1652">
      <c r="A1652" s="16"/>
      <c r="B1652" s="7"/>
      <c r="C1652" s="7"/>
      <c r="D1652" s="7"/>
      <c r="E1652" s="16"/>
      <c r="F1652" s="16"/>
      <c r="G1652" s="16"/>
      <c r="H1652" s="16"/>
    </row>
    <row r="1653">
      <c r="A1653" s="16"/>
      <c r="B1653" s="7"/>
      <c r="C1653" s="7"/>
      <c r="D1653" s="7"/>
      <c r="E1653" s="16"/>
      <c r="F1653" s="16"/>
      <c r="G1653" s="16"/>
      <c r="H1653" s="16"/>
    </row>
    <row r="1654">
      <c r="A1654" s="16"/>
      <c r="B1654" s="7"/>
      <c r="C1654" s="7"/>
      <c r="D1654" s="7"/>
      <c r="E1654" s="16"/>
      <c r="F1654" s="16"/>
      <c r="G1654" s="16"/>
      <c r="H1654" s="16"/>
    </row>
    <row r="1655">
      <c r="A1655" s="16"/>
      <c r="B1655" s="7"/>
      <c r="C1655" s="7"/>
      <c r="D1655" s="7"/>
      <c r="E1655" s="16"/>
      <c r="F1655" s="16"/>
      <c r="G1655" s="16"/>
      <c r="H1655" s="16"/>
    </row>
    <row r="1656">
      <c r="A1656" s="16"/>
      <c r="B1656" s="7"/>
      <c r="C1656" s="7"/>
      <c r="D1656" s="7"/>
      <c r="E1656" s="16"/>
      <c r="F1656" s="16"/>
      <c r="G1656" s="16"/>
      <c r="H1656" s="16"/>
    </row>
    <row r="1657">
      <c r="A1657" s="16"/>
      <c r="B1657" s="7"/>
      <c r="C1657" s="7"/>
      <c r="D1657" s="7"/>
      <c r="E1657" s="16"/>
      <c r="F1657" s="16"/>
      <c r="G1657" s="16"/>
      <c r="H1657" s="16"/>
    </row>
    <row r="1658">
      <c r="A1658" s="16"/>
      <c r="B1658" s="7"/>
      <c r="C1658" s="7"/>
      <c r="D1658" s="7"/>
      <c r="E1658" s="16"/>
      <c r="F1658" s="16"/>
      <c r="G1658" s="16"/>
      <c r="H1658" s="16"/>
    </row>
    <row r="1659">
      <c r="A1659" s="16"/>
      <c r="B1659" s="7"/>
      <c r="C1659" s="7"/>
      <c r="D1659" s="7"/>
      <c r="E1659" s="16"/>
      <c r="F1659" s="16"/>
      <c r="G1659" s="16"/>
      <c r="H1659" s="16"/>
    </row>
    <row r="1660">
      <c r="A1660" s="16"/>
      <c r="B1660" s="7"/>
      <c r="C1660" s="7"/>
      <c r="D1660" s="7"/>
      <c r="E1660" s="16"/>
      <c r="F1660" s="16"/>
      <c r="G1660" s="16"/>
      <c r="H1660" s="16"/>
    </row>
    <row r="1661">
      <c r="A1661" s="16"/>
      <c r="B1661" s="7"/>
      <c r="C1661" s="7"/>
      <c r="D1661" s="7"/>
      <c r="E1661" s="16"/>
      <c r="F1661" s="16"/>
      <c r="G1661" s="16"/>
      <c r="H1661" s="16"/>
    </row>
    <row r="1662">
      <c r="A1662" s="16"/>
      <c r="B1662" s="7"/>
      <c r="C1662" s="7"/>
      <c r="D1662" s="7"/>
      <c r="E1662" s="16"/>
      <c r="F1662" s="16"/>
      <c r="G1662" s="16"/>
      <c r="H1662" s="16"/>
    </row>
    <row r="1663">
      <c r="A1663" s="16"/>
      <c r="B1663" s="7"/>
      <c r="C1663" s="7"/>
      <c r="D1663" s="7"/>
      <c r="E1663" s="16"/>
      <c r="F1663" s="16"/>
      <c r="G1663" s="16"/>
      <c r="H1663" s="16"/>
    </row>
    <row r="1664">
      <c r="A1664" s="16"/>
      <c r="B1664" s="7"/>
      <c r="C1664" s="7"/>
      <c r="D1664" s="7"/>
      <c r="E1664" s="16"/>
      <c r="F1664" s="16"/>
      <c r="G1664" s="16"/>
      <c r="H1664" s="16"/>
    </row>
    <row r="1665">
      <c r="A1665" s="16"/>
      <c r="B1665" s="7"/>
      <c r="C1665" s="7"/>
      <c r="D1665" s="7"/>
      <c r="E1665" s="16"/>
      <c r="F1665" s="16"/>
      <c r="G1665" s="16"/>
      <c r="H1665" s="16"/>
    </row>
    <row r="1666">
      <c r="A1666" s="16"/>
      <c r="B1666" s="7"/>
      <c r="C1666" s="7"/>
      <c r="D1666" s="7"/>
      <c r="E1666" s="16"/>
      <c r="F1666" s="16"/>
      <c r="G1666" s="16"/>
      <c r="H1666" s="16"/>
    </row>
    <row r="1667">
      <c r="A1667" s="16"/>
      <c r="B1667" s="7"/>
      <c r="C1667" s="7"/>
      <c r="D1667" s="7"/>
      <c r="E1667" s="16"/>
      <c r="F1667" s="16"/>
      <c r="G1667" s="16"/>
      <c r="H1667" s="16"/>
    </row>
    <row r="1668">
      <c r="A1668" s="16"/>
      <c r="B1668" s="7"/>
      <c r="C1668" s="7"/>
      <c r="D1668" s="7"/>
      <c r="E1668" s="16"/>
      <c r="F1668" s="16"/>
      <c r="G1668" s="16"/>
      <c r="H1668" s="16"/>
    </row>
    <row r="1669">
      <c r="A1669" s="16"/>
      <c r="B1669" s="7"/>
      <c r="C1669" s="7"/>
      <c r="D1669" s="7"/>
      <c r="E1669" s="16"/>
      <c r="F1669" s="16"/>
      <c r="G1669" s="16"/>
      <c r="H1669" s="16"/>
    </row>
    <row r="1670">
      <c r="A1670" s="16"/>
      <c r="B1670" s="7"/>
      <c r="C1670" s="7"/>
      <c r="D1670" s="7"/>
      <c r="E1670" s="16"/>
      <c r="F1670" s="16"/>
      <c r="G1670" s="16"/>
      <c r="H1670" s="16"/>
    </row>
    <row r="1671">
      <c r="A1671" s="16"/>
      <c r="B1671" s="7"/>
      <c r="C1671" s="7"/>
      <c r="D1671" s="7"/>
      <c r="E1671" s="16"/>
      <c r="F1671" s="16"/>
      <c r="G1671" s="16"/>
      <c r="H1671" s="16"/>
    </row>
    <row r="1672">
      <c r="A1672" s="16"/>
      <c r="B1672" s="7"/>
      <c r="C1672" s="7"/>
      <c r="D1672" s="7"/>
      <c r="E1672" s="16"/>
      <c r="F1672" s="16"/>
      <c r="G1672" s="16"/>
      <c r="H1672" s="16"/>
    </row>
    <row r="1673">
      <c r="A1673" s="16"/>
      <c r="B1673" s="7"/>
      <c r="C1673" s="7"/>
      <c r="D1673" s="7"/>
      <c r="E1673" s="16"/>
      <c r="F1673" s="16"/>
      <c r="G1673" s="16"/>
      <c r="H1673" s="16"/>
    </row>
    <row r="1674">
      <c r="A1674" s="16"/>
      <c r="B1674" s="7"/>
      <c r="C1674" s="7"/>
      <c r="D1674" s="7"/>
      <c r="E1674" s="16"/>
      <c r="F1674" s="16"/>
      <c r="G1674" s="16"/>
      <c r="H1674" s="16"/>
    </row>
    <row r="1675">
      <c r="A1675" s="16"/>
      <c r="B1675" s="7"/>
      <c r="C1675" s="7"/>
      <c r="D1675" s="7"/>
      <c r="E1675" s="16"/>
      <c r="F1675" s="16"/>
      <c r="G1675" s="16"/>
      <c r="H1675" s="16"/>
    </row>
    <row r="1676">
      <c r="A1676" s="16"/>
      <c r="B1676" s="7"/>
      <c r="C1676" s="7"/>
      <c r="D1676" s="7"/>
      <c r="E1676" s="16"/>
      <c r="F1676" s="16"/>
      <c r="G1676" s="16"/>
      <c r="H1676" s="16"/>
    </row>
    <row r="1677">
      <c r="A1677" s="16"/>
      <c r="B1677" s="7"/>
      <c r="C1677" s="7"/>
      <c r="D1677" s="7"/>
      <c r="E1677" s="16"/>
      <c r="F1677" s="16"/>
      <c r="G1677" s="16"/>
      <c r="H1677" s="16"/>
    </row>
    <row r="1678">
      <c r="A1678" s="16"/>
      <c r="B1678" s="7"/>
      <c r="C1678" s="7"/>
      <c r="D1678" s="7"/>
      <c r="E1678" s="16"/>
      <c r="F1678" s="16"/>
      <c r="G1678" s="16"/>
      <c r="H1678" s="16"/>
    </row>
    <row r="1679">
      <c r="A1679" s="16"/>
      <c r="B1679" s="7"/>
      <c r="C1679" s="7"/>
      <c r="D1679" s="7"/>
      <c r="E1679" s="16"/>
      <c r="F1679" s="16"/>
      <c r="G1679" s="16"/>
      <c r="H1679" s="16"/>
    </row>
    <row r="1680">
      <c r="A1680" s="16"/>
      <c r="B1680" s="7"/>
      <c r="C1680" s="7"/>
      <c r="D1680" s="7"/>
      <c r="E1680" s="16"/>
      <c r="F1680" s="16"/>
      <c r="G1680" s="16"/>
      <c r="H1680" s="16"/>
    </row>
    <row r="1681">
      <c r="A1681" s="16"/>
      <c r="B1681" s="7"/>
      <c r="C1681" s="7"/>
      <c r="D1681" s="7"/>
      <c r="E1681" s="16"/>
      <c r="F1681" s="16"/>
      <c r="G1681" s="16"/>
      <c r="H1681" s="16"/>
    </row>
    <row r="1682">
      <c r="A1682" s="16"/>
      <c r="B1682" s="7"/>
      <c r="C1682" s="7"/>
      <c r="D1682" s="7"/>
      <c r="E1682" s="16"/>
      <c r="F1682" s="16"/>
      <c r="G1682" s="16"/>
      <c r="H1682" s="16"/>
    </row>
    <row r="1683">
      <c r="A1683" s="16"/>
      <c r="B1683" s="7"/>
      <c r="C1683" s="7"/>
      <c r="D1683" s="7"/>
      <c r="E1683" s="16"/>
      <c r="F1683" s="16"/>
      <c r="G1683" s="16"/>
      <c r="H1683" s="16"/>
    </row>
    <row r="1684">
      <c r="A1684" s="16"/>
      <c r="B1684" s="7"/>
      <c r="C1684" s="7"/>
      <c r="D1684" s="7"/>
      <c r="E1684" s="16"/>
      <c r="F1684" s="16"/>
      <c r="G1684" s="16"/>
      <c r="H1684" s="16"/>
    </row>
    <row r="1685">
      <c r="A1685" s="16"/>
      <c r="B1685" s="7"/>
      <c r="C1685" s="7"/>
      <c r="D1685" s="7"/>
      <c r="E1685" s="16"/>
      <c r="F1685" s="16"/>
      <c r="G1685" s="16"/>
      <c r="H1685" s="16"/>
    </row>
    <row r="1686">
      <c r="A1686" s="16"/>
      <c r="B1686" s="7"/>
      <c r="C1686" s="7"/>
      <c r="D1686" s="7"/>
      <c r="E1686" s="16"/>
      <c r="F1686" s="16"/>
      <c r="G1686" s="16"/>
      <c r="H1686" s="16"/>
    </row>
    <row r="1687">
      <c r="A1687" s="16"/>
      <c r="B1687" s="7"/>
      <c r="C1687" s="7"/>
      <c r="D1687" s="7"/>
      <c r="E1687" s="16"/>
      <c r="F1687" s="16"/>
      <c r="G1687" s="16"/>
      <c r="H1687" s="16"/>
    </row>
    <row r="1688">
      <c r="A1688" s="16"/>
      <c r="B1688" s="7"/>
      <c r="C1688" s="7"/>
      <c r="D1688" s="7"/>
      <c r="E1688" s="16"/>
      <c r="F1688" s="16"/>
      <c r="G1688" s="16"/>
      <c r="H1688" s="16"/>
    </row>
    <row r="1689">
      <c r="A1689" s="16"/>
      <c r="B1689" s="7"/>
      <c r="C1689" s="7"/>
      <c r="D1689" s="7"/>
      <c r="E1689" s="16"/>
      <c r="F1689" s="16"/>
      <c r="G1689" s="16"/>
      <c r="H1689" s="16"/>
    </row>
    <row r="1690">
      <c r="A1690" s="16"/>
      <c r="B1690" s="7"/>
      <c r="C1690" s="7"/>
      <c r="D1690" s="7"/>
      <c r="E1690" s="16"/>
      <c r="F1690" s="16"/>
      <c r="G1690" s="16"/>
      <c r="H1690" s="16"/>
    </row>
    <row r="1691">
      <c r="A1691" s="16"/>
      <c r="B1691" s="7"/>
      <c r="C1691" s="7"/>
      <c r="D1691" s="7"/>
      <c r="E1691" s="16"/>
      <c r="F1691" s="16"/>
      <c r="G1691" s="16"/>
      <c r="H1691" s="16"/>
    </row>
    <row r="1692">
      <c r="A1692" s="16"/>
      <c r="B1692" s="7"/>
      <c r="C1692" s="7"/>
      <c r="D1692" s="7"/>
      <c r="E1692" s="16"/>
      <c r="F1692" s="16"/>
      <c r="G1692" s="16"/>
      <c r="H1692" s="16"/>
    </row>
    <row r="1693">
      <c r="A1693" s="16"/>
      <c r="B1693" s="7"/>
      <c r="C1693" s="7"/>
      <c r="D1693" s="7"/>
      <c r="E1693" s="16"/>
      <c r="F1693" s="16"/>
      <c r="G1693" s="16"/>
      <c r="H1693" s="16"/>
    </row>
    <row r="1694">
      <c r="A1694" s="16"/>
      <c r="B1694" s="7"/>
      <c r="C1694" s="7"/>
      <c r="D1694" s="7"/>
      <c r="E1694" s="16"/>
      <c r="F1694" s="16"/>
      <c r="G1694" s="16"/>
      <c r="H1694" s="16"/>
    </row>
    <row r="1695">
      <c r="A1695" s="16"/>
      <c r="B1695" s="7"/>
      <c r="C1695" s="7"/>
      <c r="D1695" s="7"/>
      <c r="E1695" s="16"/>
      <c r="F1695" s="16"/>
      <c r="G1695" s="16"/>
      <c r="H1695" s="16"/>
    </row>
    <row r="1696">
      <c r="A1696" s="16"/>
      <c r="B1696" s="7"/>
      <c r="C1696" s="7"/>
      <c r="D1696" s="7"/>
      <c r="E1696" s="16"/>
      <c r="F1696" s="16"/>
      <c r="G1696" s="16"/>
      <c r="H1696" s="16"/>
    </row>
    <row r="1697">
      <c r="A1697" s="16"/>
      <c r="B1697" s="7"/>
      <c r="C1697" s="7"/>
      <c r="D1697" s="7"/>
      <c r="E1697" s="16"/>
      <c r="F1697" s="16"/>
      <c r="G1697" s="16"/>
      <c r="H1697" s="16"/>
    </row>
    <row r="1698">
      <c r="A1698" s="16"/>
      <c r="B1698" s="7"/>
      <c r="C1698" s="7"/>
      <c r="D1698" s="7"/>
      <c r="E1698" s="16"/>
      <c r="F1698" s="16"/>
      <c r="G1698" s="16"/>
      <c r="H1698" s="16"/>
    </row>
    <row r="1699">
      <c r="A1699" s="16"/>
      <c r="B1699" s="7"/>
      <c r="C1699" s="7"/>
      <c r="D1699" s="7"/>
      <c r="E1699" s="16"/>
      <c r="F1699" s="16"/>
      <c r="G1699" s="16"/>
      <c r="H1699" s="16"/>
    </row>
    <row r="1700">
      <c r="A1700" s="16"/>
      <c r="B1700" s="7"/>
      <c r="C1700" s="7"/>
      <c r="D1700" s="7"/>
      <c r="E1700" s="16"/>
      <c r="F1700" s="16"/>
      <c r="G1700" s="16"/>
      <c r="H1700" s="16"/>
    </row>
    <row r="1701">
      <c r="A1701" s="16"/>
      <c r="B1701" s="7"/>
      <c r="C1701" s="7"/>
      <c r="D1701" s="7"/>
      <c r="E1701" s="16"/>
      <c r="F1701" s="16"/>
      <c r="G1701" s="16"/>
      <c r="H1701" s="16"/>
    </row>
    <row r="1702">
      <c r="A1702" s="16"/>
      <c r="B1702" s="7"/>
      <c r="C1702" s="7"/>
      <c r="D1702" s="7"/>
      <c r="E1702" s="16"/>
      <c r="F1702" s="16"/>
      <c r="G1702" s="16"/>
      <c r="H1702" s="16"/>
    </row>
    <row r="1703">
      <c r="A1703" s="16"/>
      <c r="B1703" s="7"/>
      <c r="C1703" s="7"/>
      <c r="D1703" s="7"/>
      <c r="E1703" s="16"/>
      <c r="F1703" s="16"/>
      <c r="G1703" s="16"/>
      <c r="H1703" s="16"/>
    </row>
    <row r="1704">
      <c r="A1704" s="16"/>
      <c r="B1704" s="7"/>
      <c r="C1704" s="7"/>
      <c r="D1704" s="7"/>
      <c r="E1704" s="16"/>
      <c r="F1704" s="16"/>
      <c r="G1704" s="16"/>
      <c r="H1704" s="16"/>
    </row>
    <row r="1705">
      <c r="A1705" s="16"/>
      <c r="B1705" s="7"/>
      <c r="C1705" s="7"/>
      <c r="D1705" s="7"/>
      <c r="E1705" s="16"/>
      <c r="F1705" s="16"/>
      <c r="G1705" s="16"/>
      <c r="H1705" s="16"/>
    </row>
    <row r="1706">
      <c r="A1706" s="16"/>
      <c r="B1706" s="7"/>
      <c r="C1706" s="7"/>
      <c r="D1706" s="7"/>
      <c r="E1706" s="16"/>
      <c r="F1706" s="16"/>
      <c r="G1706" s="16"/>
      <c r="H1706" s="16"/>
    </row>
    <row r="1707">
      <c r="A1707" s="16"/>
      <c r="B1707" s="7"/>
      <c r="C1707" s="7"/>
      <c r="D1707" s="7"/>
      <c r="E1707" s="16"/>
      <c r="F1707" s="16"/>
      <c r="G1707" s="16"/>
      <c r="H1707" s="16"/>
    </row>
    <row r="1708">
      <c r="A1708" s="16"/>
      <c r="B1708" s="7"/>
      <c r="C1708" s="7"/>
      <c r="D1708" s="7"/>
      <c r="E1708" s="16"/>
      <c r="F1708" s="16"/>
      <c r="G1708" s="16"/>
      <c r="H1708" s="16"/>
    </row>
    <row r="1709">
      <c r="A1709" s="16"/>
      <c r="B1709" s="7"/>
      <c r="C1709" s="7"/>
      <c r="D1709" s="7"/>
      <c r="E1709" s="16"/>
      <c r="F1709" s="16"/>
      <c r="G1709" s="16"/>
      <c r="H1709" s="16"/>
    </row>
    <row r="1710">
      <c r="A1710" s="16"/>
      <c r="B1710" s="7"/>
      <c r="C1710" s="7"/>
      <c r="D1710" s="7"/>
      <c r="E1710" s="16"/>
      <c r="F1710" s="16"/>
      <c r="G1710" s="16"/>
      <c r="H1710" s="16"/>
    </row>
    <row r="1711">
      <c r="A1711" s="16"/>
      <c r="B1711" s="7"/>
      <c r="C1711" s="7"/>
      <c r="D1711" s="7"/>
      <c r="E1711" s="16"/>
      <c r="F1711" s="16"/>
      <c r="G1711" s="16"/>
      <c r="H1711" s="16"/>
    </row>
    <row r="1712">
      <c r="A1712" s="16"/>
      <c r="B1712" s="7"/>
      <c r="C1712" s="7"/>
      <c r="D1712" s="7"/>
      <c r="E1712" s="16"/>
      <c r="F1712" s="16"/>
      <c r="G1712" s="16"/>
      <c r="H1712" s="16"/>
    </row>
    <row r="1713">
      <c r="A1713" s="16"/>
      <c r="B1713" s="7"/>
      <c r="C1713" s="7"/>
      <c r="D1713" s="7"/>
      <c r="E1713" s="16"/>
      <c r="F1713" s="16"/>
      <c r="G1713" s="16"/>
      <c r="H1713" s="16"/>
    </row>
    <row r="1714">
      <c r="A1714" s="16"/>
      <c r="B1714" s="7"/>
      <c r="C1714" s="7"/>
      <c r="D1714" s="7"/>
      <c r="E1714" s="16"/>
      <c r="F1714" s="16"/>
      <c r="G1714" s="16"/>
      <c r="H1714" s="16"/>
    </row>
    <row r="1715">
      <c r="A1715" s="16"/>
      <c r="B1715" s="7"/>
      <c r="C1715" s="7"/>
      <c r="D1715" s="7"/>
      <c r="E1715" s="16"/>
      <c r="F1715" s="16"/>
      <c r="G1715" s="16"/>
      <c r="H1715" s="16"/>
    </row>
    <row r="1716">
      <c r="A1716" s="16"/>
      <c r="B1716" s="7"/>
      <c r="C1716" s="7"/>
      <c r="D1716" s="7"/>
      <c r="E1716" s="16"/>
      <c r="F1716" s="16"/>
      <c r="G1716" s="16"/>
      <c r="H1716" s="16"/>
    </row>
    <row r="1717">
      <c r="A1717" s="16"/>
      <c r="B1717" s="7"/>
      <c r="C1717" s="7"/>
      <c r="D1717" s="7"/>
      <c r="E1717" s="16"/>
      <c r="F1717" s="16"/>
      <c r="G1717" s="16"/>
      <c r="H1717" s="16"/>
    </row>
    <row r="1718">
      <c r="A1718" s="16"/>
      <c r="B1718" s="7"/>
      <c r="C1718" s="7"/>
      <c r="D1718" s="7"/>
      <c r="E1718" s="16"/>
      <c r="F1718" s="16"/>
      <c r="G1718" s="16"/>
      <c r="H1718" s="16"/>
    </row>
    <row r="1719">
      <c r="A1719" s="16"/>
      <c r="B1719" s="7"/>
      <c r="C1719" s="7"/>
      <c r="D1719" s="7"/>
      <c r="E1719" s="16"/>
      <c r="F1719" s="16"/>
      <c r="G1719" s="16"/>
      <c r="H1719" s="16"/>
    </row>
    <row r="1720">
      <c r="A1720" s="16"/>
      <c r="B1720" s="7"/>
      <c r="C1720" s="7"/>
      <c r="D1720" s="7"/>
      <c r="E1720" s="16"/>
      <c r="F1720" s="16"/>
      <c r="G1720" s="16"/>
      <c r="H1720" s="16"/>
    </row>
    <row r="1721">
      <c r="A1721" s="16"/>
      <c r="B1721" s="7"/>
      <c r="C1721" s="7"/>
      <c r="D1721" s="7"/>
      <c r="E1721" s="16"/>
      <c r="F1721" s="16"/>
      <c r="G1721" s="16"/>
      <c r="H1721" s="16"/>
    </row>
    <row r="1722">
      <c r="A1722" s="16"/>
      <c r="B1722" s="7"/>
      <c r="C1722" s="7"/>
      <c r="D1722" s="7"/>
      <c r="E1722" s="16"/>
      <c r="F1722" s="16"/>
      <c r="G1722" s="16"/>
      <c r="H1722" s="16"/>
    </row>
    <row r="1723">
      <c r="A1723" s="16"/>
      <c r="B1723" s="7"/>
      <c r="C1723" s="7"/>
      <c r="D1723" s="7"/>
      <c r="E1723" s="16"/>
      <c r="F1723" s="16"/>
      <c r="G1723" s="16"/>
      <c r="H1723" s="16"/>
    </row>
    <row r="1724">
      <c r="A1724" s="16"/>
      <c r="B1724" s="7"/>
      <c r="C1724" s="7"/>
      <c r="D1724" s="7"/>
      <c r="E1724" s="16"/>
      <c r="F1724" s="16"/>
      <c r="G1724" s="16"/>
      <c r="H1724" s="16"/>
    </row>
    <row r="1725">
      <c r="A1725" s="16"/>
      <c r="B1725" s="7"/>
      <c r="C1725" s="7"/>
      <c r="D1725" s="7"/>
      <c r="E1725" s="16"/>
      <c r="F1725" s="16"/>
      <c r="G1725" s="16"/>
      <c r="H1725" s="16"/>
    </row>
    <row r="1726">
      <c r="A1726" s="16"/>
      <c r="B1726" s="7"/>
      <c r="C1726" s="7"/>
      <c r="D1726" s="7"/>
      <c r="E1726" s="16"/>
      <c r="F1726" s="16"/>
      <c r="G1726" s="16"/>
      <c r="H1726" s="16"/>
    </row>
    <row r="1727">
      <c r="A1727" s="16"/>
      <c r="B1727" s="7"/>
      <c r="C1727" s="7"/>
      <c r="D1727" s="7"/>
      <c r="E1727" s="16"/>
      <c r="F1727" s="16"/>
      <c r="G1727" s="16"/>
      <c r="H1727" s="16"/>
    </row>
    <row r="1728">
      <c r="A1728" s="16"/>
      <c r="B1728" s="7"/>
      <c r="C1728" s="7"/>
      <c r="D1728" s="7"/>
      <c r="E1728" s="16"/>
      <c r="F1728" s="16"/>
      <c r="G1728" s="16"/>
      <c r="H1728" s="16"/>
    </row>
    <row r="1729">
      <c r="A1729" s="16"/>
      <c r="B1729" s="7"/>
      <c r="C1729" s="7"/>
      <c r="D1729" s="7"/>
      <c r="E1729" s="16"/>
      <c r="F1729" s="16"/>
      <c r="G1729" s="16"/>
      <c r="H1729" s="16"/>
    </row>
    <row r="1730">
      <c r="A1730" s="16"/>
      <c r="B1730" s="7"/>
      <c r="C1730" s="7"/>
      <c r="D1730" s="7"/>
      <c r="E1730" s="16"/>
      <c r="F1730" s="16"/>
      <c r="G1730" s="16"/>
      <c r="H1730" s="16"/>
    </row>
    <row r="1731">
      <c r="A1731" s="16"/>
      <c r="B1731" s="7"/>
      <c r="C1731" s="7"/>
      <c r="D1731" s="7"/>
      <c r="E1731" s="16"/>
      <c r="F1731" s="16"/>
      <c r="G1731" s="16"/>
      <c r="H1731" s="16"/>
    </row>
    <row r="1732">
      <c r="A1732" s="16"/>
      <c r="B1732" s="7"/>
      <c r="C1732" s="7"/>
      <c r="D1732" s="7"/>
      <c r="E1732" s="16"/>
      <c r="F1732" s="16"/>
      <c r="G1732" s="16"/>
      <c r="H1732" s="16"/>
    </row>
    <row r="1733">
      <c r="A1733" s="16"/>
      <c r="B1733" s="7"/>
      <c r="C1733" s="7"/>
      <c r="D1733" s="7"/>
      <c r="E1733" s="16"/>
      <c r="F1733" s="16"/>
      <c r="G1733" s="16"/>
      <c r="H1733" s="16"/>
    </row>
    <row r="1734">
      <c r="A1734" s="16"/>
      <c r="B1734" s="7"/>
      <c r="C1734" s="7"/>
      <c r="D1734" s="7"/>
      <c r="E1734" s="16"/>
      <c r="F1734" s="16"/>
      <c r="G1734" s="16"/>
      <c r="H1734" s="16"/>
    </row>
    <row r="1735">
      <c r="A1735" s="16"/>
      <c r="B1735" s="7"/>
      <c r="C1735" s="7"/>
      <c r="D1735" s="7"/>
      <c r="E1735" s="16"/>
      <c r="F1735" s="16"/>
      <c r="G1735" s="16"/>
      <c r="H1735" s="16"/>
    </row>
    <row r="1736">
      <c r="A1736" s="16"/>
      <c r="B1736" s="7"/>
      <c r="C1736" s="7"/>
      <c r="D1736" s="7"/>
      <c r="E1736" s="16"/>
      <c r="F1736" s="16"/>
      <c r="G1736" s="16"/>
      <c r="H1736" s="16"/>
    </row>
    <row r="1737">
      <c r="A1737" s="16"/>
      <c r="B1737" s="7"/>
      <c r="C1737" s="7"/>
      <c r="D1737" s="7"/>
      <c r="E1737" s="16"/>
      <c r="F1737" s="16"/>
      <c r="G1737" s="16"/>
      <c r="H1737" s="16"/>
    </row>
    <row r="1738">
      <c r="A1738" s="16"/>
      <c r="B1738" s="7"/>
      <c r="C1738" s="7"/>
      <c r="D1738" s="7"/>
      <c r="E1738" s="16"/>
      <c r="F1738" s="16"/>
      <c r="G1738" s="16"/>
      <c r="H1738" s="16"/>
    </row>
    <row r="1739">
      <c r="A1739" s="16"/>
      <c r="B1739" s="7"/>
      <c r="C1739" s="7"/>
      <c r="D1739" s="7"/>
      <c r="E1739" s="16"/>
      <c r="F1739" s="16"/>
      <c r="G1739" s="16"/>
      <c r="H1739" s="16"/>
    </row>
    <row r="1740">
      <c r="A1740" s="16"/>
      <c r="B1740" s="7"/>
      <c r="C1740" s="7"/>
      <c r="D1740" s="7"/>
      <c r="E1740" s="16"/>
      <c r="F1740" s="16"/>
      <c r="G1740" s="16"/>
      <c r="H1740" s="16"/>
    </row>
    <row r="1741">
      <c r="A1741" s="16"/>
      <c r="B1741" s="7"/>
      <c r="C1741" s="7"/>
      <c r="D1741" s="7"/>
      <c r="E1741" s="16"/>
      <c r="F1741" s="16"/>
      <c r="G1741" s="16"/>
      <c r="H1741" s="16"/>
    </row>
    <row r="1742">
      <c r="A1742" s="16"/>
      <c r="B1742" s="7"/>
      <c r="C1742" s="7"/>
      <c r="D1742" s="7"/>
      <c r="E1742" s="16"/>
      <c r="F1742" s="16"/>
      <c r="G1742" s="16"/>
      <c r="H1742" s="16"/>
    </row>
    <row r="1743">
      <c r="A1743" s="16"/>
      <c r="B1743" s="7"/>
      <c r="C1743" s="7"/>
      <c r="D1743" s="7"/>
      <c r="E1743" s="16"/>
      <c r="F1743" s="16"/>
      <c r="G1743" s="16"/>
      <c r="H1743" s="16"/>
    </row>
    <row r="1744">
      <c r="A1744" s="16"/>
      <c r="B1744" s="7"/>
      <c r="C1744" s="7"/>
      <c r="D1744" s="7"/>
      <c r="E1744" s="16"/>
      <c r="F1744" s="16"/>
      <c r="G1744" s="16"/>
      <c r="H1744" s="16"/>
    </row>
    <row r="1745">
      <c r="A1745" s="16"/>
      <c r="B1745" s="7"/>
      <c r="C1745" s="7"/>
      <c r="D1745" s="7"/>
      <c r="E1745" s="16"/>
      <c r="F1745" s="16"/>
      <c r="G1745" s="16"/>
      <c r="H1745" s="16"/>
    </row>
    <row r="1746">
      <c r="A1746" s="16"/>
      <c r="B1746" s="7"/>
      <c r="C1746" s="7"/>
      <c r="D1746" s="7"/>
      <c r="E1746" s="16"/>
      <c r="F1746" s="16"/>
      <c r="G1746" s="16"/>
      <c r="H1746" s="16"/>
    </row>
    <row r="1747">
      <c r="A1747" s="16"/>
      <c r="B1747" s="7"/>
      <c r="C1747" s="7"/>
      <c r="D1747" s="7"/>
      <c r="E1747" s="16"/>
      <c r="F1747" s="16"/>
      <c r="G1747" s="16"/>
      <c r="H1747" s="16"/>
    </row>
    <row r="1748">
      <c r="A1748" s="16"/>
      <c r="B1748" s="7"/>
      <c r="C1748" s="7"/>
      <c r="D1748" s="7"/>
      <c r="E1748" s="16"/>
      <c r="F1748" s="16"/>
      <c r="G1748" s="16"/>
      <c r="H1748" s="16"/>
    </row>
    <row r="1749">
      <c r="A1749" s="16"/>
      <c r="B1749" s="7"/>
      <c r="C1749" s="7"/>
      <c r="D1749" s="7"/>
      <c r="E1749" s="16"/>
      <c r="F1749" s="16"/>
      <c r="G1749" s="16"/>
      <c r="H1749" s="16"/>
    </row>
    <row r="1750">
      <c r="A1750" s="16"/>
      <c r="B1750" s="7"/>
      <c r="C1750" s="7"/>
      <c r="D1750" s="7"/>
      <c r="E1750" s="16"/>
      <c r="F1750" s="16"/>
      <c r="G1750" s="16"/>
      <c r="H1750" s="16"/>
    </row>
    <row r="1751">
      <c r="A1751" s="16"/>
      <c r="B1751" s="7"/>
      <c r="C1751" s="7"/>
      <c r="D1751" s="7"/>
      <c r="E1751" s="16"/>
      <c r="F1751" s="16"/>
      <c r="G1751" s="16"/>
      <c r="H1751" s="16"/>
    </row>
    <row r="1752">
      <c r="A1752" s="16"/>
      <c r="B1752" s="7"/>
      <c r="C1752" s="7"/>
      <c r="D1752" s="7"/>
      <c r="E1752" s="16"/>
      <c r="F1752" s="16"/>
      <c r="G1752" s="16"/>
      <c r="H1752" s="16"/>
    </row>
    <row r="1753">
      <c r="A1753" s="16"/>
      <c r="B1753" s="7"/>
      <c r="C1753" s="7"/>
      <c r="D1753" s="7"/>
      <c r="E1753" s="16"/>
      <c r="F1753" s="16"/>
      <c r="G1753" s="16"/>
      <c r="H1753" s="16"/>
    </row>
    <row r="1754">
      <c r="A1754" s="16"/>
      <c r="B1754" s="7"/>
      <c r="C1754" s="7"/>
      <c r="D1754" s="7"/>
      <c r="E1754" s="16"/>
      <c r="F1754" s="16"/>
      <c r="G1754" s="16"/>
      <c r="H1754" s="16"/>
    </row>
    <row r="1755">
      <c r="A1755" s="16"/>
      <c r="B1755" s="7"/>
      <c r="C1755" s="7"/>
      <c r="D1755" s="7"/>
      <c r="E1755" s="16"/>
      <c r="F1755" s="16"/>
      <c r="G1755" s="16"/>
      <c r="H1755" s="16"/>
    </row>
    <row r="1756">
      <c r="A1756" s="16"/>
      <c r="B1756" s="7"/>
      <c r="C1756" s="7"/>
      <c r="D1756" s="7"/>
      <c r="E1756" s="16"/>
      <c r="F1756" s="16"/>
      <c r="G1756" s="16"/>
      <c r="H1756" s="16"/>
    </row>
    <row r="1757">
      <c r="A1757" s="16"/>
      <c r="B1757" s="7"/>
      <c r="C1757" s="7"/>
      <c r="D1757" s="7"/>
      <c r="E1757" s="16"/>
      <c r="F1757" s="16"/>
      <c r="G1757" s="16"/>
      <c r="H1757" s="16"/>
    </row>
    <row r="1758">
      <c r="A1758" s="16"/>
      <c r="B1758" s="7"/>
      <c r="C1758" s="7"/>
      <c r="D1758" s="7"/>
      <c r="E1758" s="16"/>
      <c r="F1758" s="16"/>
      <c r="G1758" s="16"/>
      <c r="H1758" s="16"/>
    </row>
    <row r="1759">
      <c r="A1759" s="16"/>
      <c r="B1759" s="7"/>
      <c r="C1759" s="7"/>
      <c r="D1759" s="7"/>
      <c r="E1759" s="16"/>
      <c r="F1759" s="16"/>
      <c r="G1759" s="16"/>
      <c r="H1759" s="16"/>
    </row>
    <row r="1760">
      <c r="A1760" s="16"/>
      <c r="B1760" s="7"/>
      <c r="C1760" s="7"/>
      <c r="D1760" s="7"/>
      <c r="E1760" s="16"/>
      <c r="F1760" s="16"/>
      <c r="G1760" s="16"/>
      <c r="H1760" s="16"/>
    </row>
    <row r="1761">
      <c r="A1761" s="16"/>
      <c r="B1761" s="7"/>
      <c r="C1761" s="7"/>
      <c r="D1761" s="7"/>
      <c r="E1761" s="16"/>
      <c r="F1761" s="16"/>
      <c r="G1761" s="16"/>
      <c r="H1761" s="16"/>
    </row>
    <row r="1762">
      <c r="A1762" s="16"/>
      <c r="B1762" s="7"/>
      <c r="C1762" s="7"/>
      <c r="D1762" s="7"/>
      <c r="E1762" s="16"/>
      <c r="F1762" s="16"/>
      <c r="G1762" s="16"/>
      <c r="H1762" s="16"/>
    </row>
    <row r="1763">
      <c r="A1763" s="16"/>
      <c r="B1763" s="7"/>
      <c r="C1763" s="7"/>
      <c r="D1763" s="7"/>
      <c r="E1763" s="16"/>
      <c r="F1763" s="16"/>
      <c r="G1763" s="16"/>
      <c r="H1763" s="16"/>
    </row>
    <row r="1764">
      <c r="A1764" s="16"/>
      <c r="B1764" s="7"/>
      <c r="C1764" s="7"/>
      <c r="D1764" s="7"/>
      <c r="E1764" s="16"/>
      <c r="F1764" s="16"/>
      <c r="G1764" s="16"/>
      <c r="H1764" s="16"/>
    </row>
    <row r="1765">
      <c r="A1765" s="16"/>
      <c r="B1765" s="7"/>
      <c r="C1765" s="7"/>
      <c r="D1765" s="7"/>
      <c r="E1765" s="16"/>
      <c r="F1765" s="16"/>
      <c r="G1765" s="16"/>
      <c r="H1765" s="16"/>
    </row>
    <row r="1766">
      <c r="A1766" s="16"/>
      <c r="B1766" s="7"/>
      <c r="C1766" s="7"/>
      <c r="D1766" s="7"/>
      <c r="E1766" s="16"/>
      <c r="F1766" s="16"/>
      <c r="G1766" s="16"/>
      <c r="H1766" s="16"/>
    </row>
    <row r="1767">
      <c r="A1767" s="16"/>
      <c r="B1767" s="7"/>
      <c r="C1767" s="7"/>
      <c r="D1767" s="7"/>
      <c r="E1767" s="16"/>
      <c r="F1767" s="16"/>
      <c r="G1767" s="16"/>
      <c r="H1767" s="16"/>
    </row>
    <row r="1768">
      <c r="A1768" s="16"/>
      <c r="B1768" s="7"/>
      <c r="C1768" s="7"/>
      <c r="D1768" s="7"/>
      <c r="E1768" s="16"/>
      <c r="F1768" s="16"/>
      <c r="G1768" s="16"/>
      <c r="H1768" s="16"/>
    </row>
    <row r="1769">
      <c r="A1769" s="16"/>
      <c r="B1769" s="7"/>
      <c r="C1769" s="7"/>
      <c r="D1769" s="7"/>
      <c r="E1769" s="16"/>
      <c r="F1769" s="16"/>
      <c r="G1769" s="16"/>
      <c r="H1769" s="16"/>
    </row>
    <row r="1770">
      <c r="A1770" s="16"/>
      <c r="B1770" s="7"/>
      <c r="C1770" s="7"/>
      <c r="D1770" s="7"/>
      <c r="E1770" s="16"/>
      <c r="F1770" s="16"/>
      <c r="G1770" s="16"/>
      <c r="H1770" s="16"/>
    </row>
    <row r="1771">
      <c r="A1771" s="16"/>
      <c r="B1771" s="7"/>
      <c r="C1771" s="7"/>
      <c r="D1771" s="7"/>
      <c r="E1771" s="16"/>
      <c r="F1771" s="16"/>
      <c r="G1771" s="16"/>
      <c r="H1771" s="16"/>
    </row>
    <row r="1772">
      <c r="A1772" s="16"/>
      <c r="B1772" s="7"/>
      <c r="C1772" s="7"/>
      <c r="D1772" s="7"/>
      <c r="E1772" s="16"/>
      <c r="F1772" s="16"/>
      <c r="G1772" s="16"/>
      <c r="H1772" s="16"/>
    </row>
    <row r="1773">
      <c r="A1773" s="16"/>
      <c r="B1773" s="7"/>
      <c r="C1773" s="7"/>
      <c r="D1773" s="7"/>
      <c r="E1773" s="16"/>
      <c r="F1773" s="16"/>
      <c r="G1773" s="16"/>
      <c r="H1773" s="16"/>
    </row>
    <row r="1774">
      <c r="A1774" s="16"/>
      <c r="B1774" s="7"/>
      <c r="C1774" s="7"/>
      <c r="D1774" s="7"/>
      <c r="E1774" s="16"/>
      <c r="F1774" s="16"/>
      <c r="G1774" s="16"/>
      <c r="H1774" s="16"/>
    </row>
    <row r="1775">
      <c r="A1775" s="16"/>
      <c r="B1775" s="7"/>
      <c r="C1775" s="7"/>
      <c r="D1775" s="7"/>
      <c r="E1775" s="16"/>
      <c r="F1775" s="16"/>
      <c r="G1775" s="16"/>
      <c r="H1775" s="16"/>
    </row>
    <row r="1776">
      <c r="A1776" s="16"/>
      <c r="B1776" s="7"/>
      <c r="C1776" s="7"/>
      <c r="D1776" s="7"/>
      <c r="E1776" s="16"/>
      <c r="F1776" s="16"/>
      <c r="G1776" s="16"/>
      <c r="H1776" s="16"/>
    </row>
    <row r="1777">
      <c r="A1777" s="16"/>
      <c r="B1777" s="7"/>
      <c r="C1777" s="7"/>
      <c r="D1777" s="7"/>
      <c r="E1777" s="16"/>
      <c r="F1777" s="16"/>
      <c r="G1777" s="16"/>
      <c r="H1777" s="16"/>
    </row>
    <row r="1778">
      <c r="A1778" s="16"/>
      <c r="B1778" s="7"/>
      <c r="C1778" s="7"/>
      <c r="D1778" s="7"/>
      <c r="E1778" s="16"/>
      <c r="F1778" s="16"/>
      <c r="G1778" s="16"/>
      <c r="H1778" s="16"/>
    </row>
    <row r="1779">
      <c r="A1779" s="16"/>
      <c r="B1779" s="7"/>
      <c r="C1779" s="7"/>
      <c r="D1779" s="7"/>
      <c r="E1779" s="16"/>
      <c r="F1779" s="16"/>
      <c r="G1779" s="16"/>
      <c r="H1779" s="16"/>
    </row>
    <row r="1780">
      <c r="A1780" s="16"/>
      <c r="B1780" s="7"/>
      <c r="C1780" s="7"/>
      <c r="D1780" s="7"/>
      <c r="E1780" s="16"/>
      <c r="F1780" s="16"/>
      <c r="G1780" s="16"/>
      <c r="H1780" s="16"/>
    </row>
    <row r="1781">
      <c r="A1781" s="16"/>
      <c r="B1781" s="7"/>
      <c r="C1781" s="7"/>
      <c r="D1781" s="7"/>
      <c r="E1781" s="16"/>
      <c r="F1781" s="16"/>
      <c r="G1781" s="16"/>
      <c r="H1781" s="16"/>
    </row>
    <row r="1782">
      <c r="A1782" s="16"/>
      <c r="B1782" s="7"/>
      <c r="C1782" s="7"/>
      <c r="D1782" s="7"/>
      <c r="E1782" s="16"/>
      <c r="F1782" s="16"/>
      <c r="G1782" s="16"/>
      <c r="H1782" s="16"/>
    </row>
    <row r="1783">
      <c r="A1783" s="16"/>
      <c r="B1783" s="7"/>
      <c r="C1783" s="7"/>
      <c r="D1783" s="7"/>
      <c r="E1783" s="16"/>
      <c r="F1783" s="16"/>
      <c r="G1783" s="16"/>
      <c r="H1783" s="16"/>
    </row>
    <row r="1784">
      <c r="A1784" s="16"/>
      <c r="B1784" s="7"/>
      <c r="C1784" s="7"/>
      <c r="D1784" s="7"/>
      <c r="E1784" s="16"/>
      <c r="F1784" s="16"/>
      <c r="G1784" s="16"/>
      <c r="H1784" s="16"/>
    </row>
    <row r="1785">
      <c r="A1785" s="16"/>
      <c r="B1785" s="7"/>
      <c r="C1785" s="7"/>
      <c r="D1785" s="7"/>
      <c r="E1785" s="16"/>
      <c r="F1785" s="16"/>
      <c r="G1785" s="16"/>
      <c r="H1785" s="16"/>
    </row>
    <row r="1786">
      <c r="A1786" s="16"/>
      <c r="B1786" s="7"/>
      <c r="C1786" s="7"/>
      <c r="D1786" s="7"/>
      <c r="E1786" s="16"/>
      <c r="F1786" s="16"/>
      <c r="G1786" s="16"/>
      <c r="H1786" s="16"/>
    </row>
    <row r="1787">
      <c r="A1787" s="16"/>
      <c r="B1787" s="7"/>
      <c r="C1787" s="7"/>
      <c r="D1787" s="7"/>
      <c r="E1787" s="16"/>
      <c r="F1787" s="16"/>
      <c r="G1787" s="16"/>
      <c r="H1787" s="16"/>
    </row>
    <row r="1788">
      <c r="A1788" s="16"/>
      <c r="B1788" s="7"/>
      <c r="C1788" s="7"/>
      <c r="D1788" s="7"/>
      <c r="E1788" s="16"/>
      <c r="F1788" s="16"/>
      <c r="G1788" s="16"/>
      <c r="H1788" s="16"/>
    </row>
    <row r="1789">
      <c r="A1789" s="16"/>
      <c r="B1789" s="7"/>
      <c r="C1789" s="7"/>
      <c r="D1789" s="7"/>
      <c r="E1789" s="16"/>
      <c r="F1789" s="16"/>
      <c r="G1789" s="16"/>
      <c r="H1789" s="16"/>
    </row>
    <row r="1790">
      <c r="A1790" s="16"/>
      <c r="B1790" s="7"/>
      <c r="C1790" s="7"/>
      <c r="D1790" s="7"/>
      <c r="E1790" s="16"/>
      <c r="F1790" s="16"/>
      <c r="G1790" s="16"/>
      <c r="H1790" s="16"/>
    </row>
    <row r="1791">
      <c r="A1791" s="16"/>
      <c r="B1791" s="7"/>
      <c r="C1791" s="7"/>
      <c r="D1791" s="7"/>
      <c r="E1791" s="16"/>
      <c r="F1791" s="16"/>
      <c r="G1791" s="16"/>
      <c r="H1791" s="16"/>
    </row>
    <row r="1792">
      <c r="A1792" s="16"/>
      <c r="B1792" s="7"/>
      <c r="C1792" s="7"/>
      <c r="D1792" s="7"/>
      <c r="E1792" s="16"/>
      <c r="F1792" s="16"/>
      <c r="G1792" s="16"/>
      <c r="H1792" s="16"/>
    </row>
    <row r="1793">
      <c r="A1793" s="16"/>
      <c r="B1793" s="7"/>
      <c r="C1793" s="7"/>
      <c r="D1793" s="7"/>
      <c r="E1793" s="16"/>
      <c r="F1793" s="16"/>
      <c r="G1793" s="16"/>
      <c r="H1793" s="16"/>
    </row>
    <row r="1794">
      <c r="A1794" s="16"/>
      <c r="B1794" s="7"/>
      <c r="C1794" s="7"/>
      <c r="D1794" s="7"/>
      <c r="E1794" s="16"/>
      <c r="F1794" s="16"/>
      <c r="G1794" s="16"/>
      <c r="H1794" s="16"/>
    </row>
    <row r="1795">
      <c r="A1795" s="16"/>
      <c r="B1795" s="7"/>
      <c r="C1795" s="7"/>
      <c r="D1795" s="7"/>
      <c r="E1795" s="16"/>
      <c r="F1795" s="16"/>
      <c r="G1795" s="16"/>
      <c r="H1795" s="16"/>
    </row>
    <row r="1796">
      <c r="A1796" s="16"/>
      <c r="B1796" s="7"/>
      <c r="C1796" s="7"/>
      <c r="D1796" s="7"/>
      <c r="E1796" s="16"/>
      <c r="F1796" s="16"/>
      <c r="G1796" s="16"/>
      <c r="H1796" s="16"/>
    </row>
    <row r="1797">
      <c r="A1797" s="16"/>
      <c r="B1797" s="7"/>
      <c r="C1797" s="7"/>
      <c r="D1797" s="7"/>
      <c r="E1797" s="16"/>
      <c r="F1797" s="16"/>
      <c r="G1797" s="16"/>
      <c r="H1797" s="16"/>
    </row>
    <row r="1798">
      <c r="A1798" s="16"/>
      <c r="B1798" s="7"/>
      <c r="C1798" s="7"/>
      <c r="D1798" s="7"/>
      <c r="E1798" s="16"/>
      <c r="F1798" s="16"/>
      <c r="G1798" s="16"/>
      <c r="H1798" s="16"/>
    </row>
    <row r="1799">
      <c r="A1799" s="16"/>
      <c r="B1799" s="7"/>
      <c r="C1799" s="7"/>
      <c r="D1799" s="7"/>
      <c r="E1799" s="16"/>
      <c r="F1799" s="16"/>
      <c r="G1799" s="16"/>
      <c r="H1799" s="16"/>
    </row>
    <row r="1800">
      <c r="A1800" s="16"/>
      <c r="B1800" s="7"/>
      <c r="C1800" s="7"/>
      <c r="D1800" s="7"/>
      <c r="E1800" s="16"/>
      <c r="F1800" s="16"/>
      <c r="G1800" s="16"/>
      <c r="H1800" s="16"/>
    </row>
    <row r="1801">
      <c r="A1801" s="16"/>
      <c r="B1801" s="7"/>
      <c r="C1801" s="7"/>
      <c r="D1801" s="7"/>
      <c r="E1801" s="16"/>
      <c r="F1801" s="16"/>
      <c r="G1801" s="16"/>
      <c r="H1801" s="16"/>
    </row>
    <row r="1802">
      <c r="A1802" s="16"/>
      <c r="B1802" s="7"/>
      <c r="C1802" s="7"/>
      <c r="D1802" s="7"/>
      <c r="E1802" s="16"/>
      <c r="F1802" s="16"/>
      <c r="G1802" s="16"/>
      <c r="H1802" s="16"/>
    </row>
    <row r="1803">
      <c r="A1803" s="16"/>
      <c r="B1803" s="7"/>
      <c r="C1803" s="7"/>
      <c r="D1803" s="7"/>
      <c r="E1803" s="16"/>
      <c r="F1803" s="16"/>
      <c r="G1803" s="16"/>
      <c r="H1803" s="16"/>
    </row>
    <row r="1804">
      <c r="A1804" s="16"/>
      <c r="B1804" s="7"/>
      <c r="C1804" s="7"/>
      <c r="D1804" s="7"/>
      <c r="E1804" s="16"/>
      <c r="F1804" s="16"/>
      <c r="G1804" s="16"/>
      <c r="H1804" s="16"/>
    </row>
    <row r="1805">
      <c r="A1805" s="16"/>
      <c r="B1805" s="7"/>
      <c r="C1805" s="7"/>
      <c r="D1805" s="7"/>
      <c r="E1805" s="16"/>
      <c r="F1805" s="16"/>
      <c r="G1805" s="16"/>
      <c r="H1805" s="16"/>
    </row>
    <row r="1806">
      <c r="A1806" s="16"/>
      <c r="B1806" s="7"/>
      <c r="C1806" s="7"/>
      <c r="D1806" s="7"/>
      <c r="E1806" s="16"/>
      <c r="F1806" s="16"/>
      <c r="G1806" s="16"/>
      <c r="H1806" s="16"/>
    </row>
    <row r="1807">
      <c r="A1807" s="16"/>
      <c r="B1807" s="7"/>
      <c r="C1807" s="7"/>
      <c r="D1807" s="7"/>
      <c r="E1807" s="16"/>
      <c r="F1807" s="16"/>
      <c r="G1807" s="16"/>
      <c r="H1807" s="16"/>
    </row>
    <row r="1808">
      <c r="A1808" s="16"/>
      <c r="B1808" s="7"/>
      <c r="C1808" s="7"/>
      <c r="D1808" s="7"/>
      <c r="E1808" s="16"/>
      <c r="F1808" s="16"/>
      <c r="G1808" s="16"/>
      <c r="H1808" s="16"/>
    </row>
    <row r="1809">
      <c r="A1809" s="16"/>
      <c r="B1809" s="7"/>
      <c r="C1809" s="7"/>
      <c r="D1809" s="7"/>
      <c r="E1809" s="16"/>
      <c r="F1809" s="16"/>
      <c r="G1809" s="16"/>
      <c r="H1809" s="16"/>
    </row>
    <row r="1810">
      <c r="A1810" s="16"/>
      <c r="B1810" s="7"/>
      <c r="C1810" s="7"/>
      <c r="D1810" s="7"/>
      <c r="E1810" s="16"/>
      <c r="F1810" s="16"/>
      <c r="G1810" s="16"/>
      <c r="H1810" s="16"/>
    </row>
    <row r="1811">
      <c r="A1811" s="16"/>
      <c r="B1811" s="7"/>
      <c r="C1811" s="7"/>
      <c r="D1811" s="7"/>
      <c r="E1811" s="16"/>
      <c r="F1811" s="16"/>
      <c r="G1811" s="16"/>
      <c r="H1811" s="16"/>
    </row>
    <row r="1812">
      <c r="A1812" s="16"/>
      <c r="B1812" s="7"/>
      <c r="C1812" s="7"/>
      <c r="D1812" s="7"/>
      <c r="E1812" s="16"/>
      <c r="F1812" s="16"/>
      <c r="G1812" s="16"/>
      <c r="H1812" s="16"/>
    </row>
    <row r="1813">
      <c r="A1813" s="16"/>
      <c r="B1813" s="7"/>
      <c r="C1813" s="7"/>
      <c r="D1813" s="7"/>
      <c r="E1813" s="16"/>
      <c r="F1813" s="16"/>
      <c r="G1813" s="16"/>
      <c r="H1813" s="16"/>
    </row>
    <row r="1814">
      <c r="A1814" s="16"/>
      <c r="B1814" s="7"/>
      <c r="C1814" s="7"/>
      <c r="D1814" s="7"/>
      <c r="E1814" s="16"/>
      <c r="F1814" s="16"/>
      <c r="G1814" s="16"/>
      <c r="H1814" s="16"/>
    </row>
    <row r="1815">
      <c r="A1815" s="16"/>
      <c r="B1815" s="7"/>
      <c r="C1815" s="7"/>
      <c r="D1815" s="7"/>
      <c r="E1815" s="16"/>
      <c r="F1815" s="16"/>
      <c r="G1815" s="16"/>
      <c r="H1815" s="16"/>
    </row>
    <row r="1816">
      <c r="A1816" s="16"/>
      <c r="B1816" s="7"/>
      <c r="C1816" s="7"/>
      <c r="D1816" s="7"/>
      <c r="E1816" s="16"/>
      <c r="F1816" s="16"/>
      <c r="G1816" s="16"/>
      <c r="H1816" s="16"/>
    </row>
    <row r="1817">
      <c r="A1817" s="16"/>
      <c r="B1817" s="7"/>
      <c r="C1817" s="7"/>
      <c r="D1817" s="7"/>
      <c r="E1817" s="16"/>
      <c r="F1817" s="16"/>
      <c r="G1817" s="16"/>
      <c r="H1817" s="16"/>
    </row>
    <row r="1818">
      <c r="A1818" s="16"/>
      <c r="B1818" s="7"/>
      <c r="C1818" s="7"/>
      <c r="D1818" s="7"/>
      <c r="E1818" s="16"/>
      <c r="F1818" s="16"/>
      <c r="G1818" s="16"/>
      <c r="H1818" s="16"/>
    </row>
    <row r="1819">
      <c r="A1819" s="16"/>
      <c r="B1819" s="7"/>
      <c r="C1819" s="7"/>
      <c r="D1819" s="7"/>
      <c r="E1819" s="16"/>
      <c r="F1819" s="16"/>
      <c r="G1819" s="16"/>
      <c r="H1819" s="16"/>
    </row>
    <row r="1820">
      <c r="A1820" s="16"/>
      <c r="B1820" s="7"/>
      <c r="C1820" s="7"/>
      <c r="D1820" s="7"/>
      <c r="E1820" s="16"/>
      <c r="F1820" s="16"/>
      <c r="G1820" s="16"/>
      <c r="H1820" s="16"/>
    </row>
    <row r="1821">
      <c r="A1821" s="16"/>
      <c r="B1821" s="7"/>
      <c r="C1821" s="7"/>
      <c r="D1821" s="7"/>
      <c r="E1821" s="16"/>
      <c r="F1821" s="16"/>
      <c r="G1821" s="16"/>
      <c r="H1821" s="16"/>
    </row>
    <row r="1822">
      <c r="A1822" s="16"/>
      <c r="B1822" s="7"/>
      <c r="C1822" s="7"/>
      <c r="D1822" s="7"/>
      <c r="E1822" s="16"/>
      <c r="F1822" s="16"/>
      <c r="G1822" s="16"/>
      <c r="H1822" s="16"/>
    </row>
    <row r="1823">
      <c r="A1823" s="16"/>
      <c r="B1823" s="7"/>
      <c r="C1823" s="7"/>
      <c r="D1823" s="7"/>
      <c r="E1823" s="16"/>
      <c r="F1823" s="16"/>
      <c r="G1823" s="16"/>
      <c r="H1823" s="16"/>
    </row>
    <row r="1824">
      <c r="A1824" s="16"/>
      <c r="B1824" s="7"/>
      <c r="C1824" s="7"/>
      <c r="D1824" s="7"/>
      <c r="E1824" s="16"/>
      <c r="F1824" s="16"/>
      <c r="G1824" s="16"/>
      <c r="H1824" s="16"/>
    </row>
    <row r="1825">
      <c r="A1825" s="16"/>
      <c r="B1825" s="7"/>
      <c r="C1825" s="7"/>
      <c r="D1825" s="7"/>
      <c r="E1825" s="16"/>
      <c r="F1825" s="16"/>
      <c r="G1825" s="16"/>
      <c r="H1825" s="16"/>
    </row>
    <row r="1826">
      <c r="A1826" s="16"/>
      <c r="B1826" s="7"/>
      <c r="C1826" s="7"/>
      <c r="D1826" s="7"/>
      <c r="E1826" s="16"/>
      <c r="F1826" s="16"/>
      <c r="G1826" s="16"/>
      <c r="H1826" s="16"/>
    </row>
    <row r="1827">
      <c r="A1827" s="16"/>
      <c r="B1827" s="7"/>
      <c r="C1827" s="7"/>
      <c r="D1827" s="7"/>
      <c r="E1827" s="16"/>
      <c r="F1827" s="16"/>
      <c r="G1827" s="16"/>
      <c r="H1827" s="16"/>
    </row>
    <row r="1828">
      <c r="A1828" s="16"/>
      <c r="B1828" s="7"/>
      <c r="C1828" s="7"/>
      <c r="D1828" s="7"/>
      <c r="E1828" s="16"/>
      <c r="F1828" s="16"/>
      <c r="G1828" s="16"/>
      <c r="H1828" s="16"/>
    </row>
    <row r="1829">
      <c r="A1829" s="16"/>
      <c r="B1829" s="7"/>
      <c r="C1829" s="7"/>
      <c r="D1829" s="7"/>
      <c r="E1829" s="16"/>
      <c r="F1829" s="16"/>
      <c r="G1829" s="16"/>
      <c r="H1829" s="16"/>
    </row>
    <row r="1830">
      <c r="A1830" s="16"/>
      <c r="B1830" s="7"/>
      <c r="C1830" s="7"/>
      <c r="D1830" s="7"/>
      <c r="E1830" s="16"/>
      <c r="F1830" s="16"/>
      <c r="G1830" s="16"/>
      <c r="H1830" s="16"/>
    </row>
    <row r="1831">
      <c r="A1831" s="16"/>
      <c r="B1831" s="7"/>
      <c r="C1831" s="7"/>
      <c r="D1831" s="7"/>
      <c r="E1831" s="16"/>
      <c r="F1831" s="16"/>
      <c r="G1831" s="16"/>
      <c r="H1831" s="16"/>
    </row>
    <row r="1832">
      <c r="A1832" s="16"/>
      <c r="B1832" s="7"/>
      <c r="C1832" s="7"/>
      <c r="D1832" s="7"/>
      <c r="E1832" s="16"/>
      <c r="F1832" s="16"/>
      <c r="G1832" s="16"/>
      <c r="H1832" s="16"/>
    </row>
    <row r="1833">
      <c r="A1833" s="16"/>
      <c r="B1833" s="7"/>
      <c r="C1833" s="7"/>
      <c r="D1833" s="7"/>
      <c r="E1833" s="16"/>
      <c r="F1833" s="16"/>
      <c r="G1833" s="16"/>
      <c r="H1833" s="16"/>
    </row>
    <row r="1834">
      <c r="A1834" s="16"/>
      <c r="B1834" s="7"/>
      <c r="C1834" s="7"/>
      <c r="D1834" s="7"/>
      <c r="E1834" s="16"/>
      <c r="F1834" s="16"/>
      <c r="G1834" s="16"/>
      <c r="H1834" s="16"/>
    </row>
    <row r="1835">
      <c r="A1835" s="16"/>
      <c r="B1835" s="7"/>
      <c r="C1835" s="7"/>
      <c r="D1835" s="7"/>
      <c r="E1835" s="16"/>
      <c r="F1835" s="16"/>
      <c r="G1835" s="16"/>
      <c r="H1835" s="16"/>
    </row>
    <row r="1836">
      <c r="A1836" s="16"/>
      <c r="B1836" s="7"/>
      <c r="C1836" s="7"/>
      <c r="D1836" s="7"/>
      <c r="E1836" s="16"/>
      <c r="F1836" s="16"/>
      <c r="G1836" s="16"/>
      <c r="H1836" s="16"/>
    </row>
    <row r="1837">
      <c r="A1837" s="16"/>
      <c r="B1837" s="7"/>
      <c r="C1837" s="7"/>
      <c r="D1837" s="7"/>
      <c r="E1837" s="16"/>
      <c r="F1837" s="16"/>
      <c r="G1837" s="16"/>
      <c r="H1837" s="16"/>
    </row>
    <row r="1838">
      <c r="A1838" s="16"/>
      <c r="B1838" s="7"/>
      <c r="C1838" s="7"/>
      <c r="D1838" s="7"/>
      <c r="E1838" s="16"/>
      <c r="F1838" s="16"/>
      <c r="G1838" s="16"/>
      <c r="H1838" s="16"/>
    </row>
    <row r="1839">
      <c r="A1839" s="16"/>
      <c r="B1839" s="7"/>
      <c r="C1839" s="7"/>
      <c r="D1839" s="7"/>
      <c r="E1839" s="16"/>
      <c r="F1839" s="16"/>
      <c r="G1839" s="16"/>
      <c r="H1839" s="16"/>
    </row>
    <row r="1840">
      <c r="A1840" s="16"/>
      <c r="B1840" s="7"/>
      <c r="C1840" s="7"/>
      <c r="D1840" s="7"/>
      <c r="E1840" s="16"/>
      <c r="F1840" s="16"/>
      <c r="G1840" s="16"/>
      <c r="H1840" s="16"/>
    </row>
    <row r="1841">
      <c r="A1841" s="16"/>
      <c r="B1841" s="7"/>
      <c r="C1841" s="7"/>
      <c r="D1841" s="7"/>
      <c r="E1841" s="16"/>
      <c r="F1841" s="16"/>
      <c r="G1841" s="16"/>
      <c r="H1841" s="16"/>
    </row>
    <row r="1842">
      <c r="A1842" s="16"/>
      <c r="B1842" s="7"/>
      <c r="C1842" s="7"/>
      <c r="D1842" s="7"/>
      <c r="E1842" s="16"/>
      <c r="F1842" s="16"/>
      <c r="G1842" s="16"/>
      <c r="H1842" s="16"/>
    </row>
    <row r="1843">
      <c r="A1843" s="16"/>
      <c r="B1843" s="7"/>
      <c r="C1843" s="7"/>
      <c r="D1843" s="7"/>
      <c r="E1843" s="16"/>
      <c r="F1843" s="16"/>
      <c r="G1843" s="16"/>
      <c r="H1843" s="16"/>
    </row>
    <row r="1844">
      <c r="A1844" s="16"/>
      <c r="B1844" s="7"/>
      <c r="C1844" s="7"/>
      <c r="D1844" s="7"/>
      <c r="E1844" s="16"/>
      <c r="F1844" s="16"/>
      <c r="G1844" s="16"/>
      <c r="H1844" s="16"/>
    </row>
    <row r="1845">
      <c r="A1845" s="16"/>
      <c r="B1845" s="7"/>
      <c r="C1845" s="7"/>
      <c r="D1845" s="7"/>
      <c r="E1845" s="16"/>
      <c r="F1845" s="16"/>
      <c r="G1845" s="16"/>
      <c r="H1845" s="16"/>
    </row>
    <row r="1846">
      <c r="A1846" s="16"/>
      <c r="B1846" s="7"/>
      <c r="C1846" s="7"/>
      <c r="D1846" s="7"/>
      <c r="E1846" s="16"/>
      <c r="F1846" s="16"/>
      <c r="G1846" s="16"/>
      <c r="H1846" s="16"/>
    </row>
    <row r="1847">
      <c r="A1847" s="16"/>
      <c r="B1847" s="7"/>
      <c r="C1847" s="7"/>
      <c r="D1847" s="7"/>
      <c r="E1847" s="16"/>
      <c r="F1847" s="16"/>
      <c r="G1847" s="16"/>
      <c r="H1847" s="16"/>
    </row>
    <row r="1848">
      <c r="A1848" s="16"/>
      <c r="B1848" s="7"/>
      <c r="C1848" s="7"/>
      <c r="D1848" s="7"/>
      <c r="E1848" s="16"/>
      <c r="F1848" s="16"/>
      <c r="G1848" s="16"/>
      <c r="H1848" s="16"/>
    </row>
    <row r="1849">
      <c r="A1849" s="16"/>
      <c r="B1849" s="7"/>
      <c r="C1849" s="7"/>
      <c r="D1849" s="7"/>
      <c r="E1849" s="16"/>
      <c r="F1849" s="16"/>
      <c r="G1849" s="16"/>
      <c r="H1849" s="16"/>
    </row>
    <row r="1850">
      <c r="A1850" s="16"/>
      <c r="B1850" s="7"/>
      <c r="C1850" s="7"/>
      <c r="D1850" s="7"/>
      <c r="E1850" s="16"/>
      <c r="F1850" s="16"/>
      <c r="G1850" s="16"/>
      <c r="H1850" s="16"/>
    </row>
    <row r="1851">
      <c r="A1851" s="16"/>
      <c r="B1851" s="7"/>
      <c r="C1851" s="7"/>
      <c r="D1851" s="7"/>
      <c r="E1851" s="16"/>
      <c r="F1851" s="16"/>
      <c r="G1851" s="16"/>
      <c r="H1851" s="16"/>
    </row>
    <row r="1852">
      <c r="A1852" s="16"/>
      <c r="B1852" s="7"/>
      <c r="C1852" s="7"/>
      <c r="D1852" s="7"/>
      <c r="E1852" s="16"/>
      <c r="F1852" s="16"/>
      <c r="G1852" s="16"/>
      <c r="H1852" s="16"/>
    </row>
    <row r="1853">
      <c r="A1853" s="16"/>
      <c r="B1853" s="7"/>
      <c r="C1853" s="7"/>
      <c r="D1853" s="7"/>
      <c r="E1853" s="16"/>
      <c r="F1853" s="16"/>
      <c r="G1853" s="16"/>
      <c r="H1853" s="16"/>
    </row>
    <row r="1854">
      <c r="A1854" s="16"/>
      <c r="B1854" s="7"/>
      <c r="C1854" s="7"/>
      <c r="D1854" s="7"/>
      <c r="E1854" s="16"/>
      <c r="F1854" s="16"/>
      <c r="G1854" s="16"/>
      <c r="H1854" s="16"/>
    </row>
    <row r="1855">
      <c r="A1855" s="16"/>
      <c r="B1855" s="7"/>
      <c r="C1855" s="7"/>
      <c r="D1855" s="7"/>
      <c r="E1855" s="16"/>
      <c r="F1855" s="16"/>
      <c r="G1855" s="16"/>
      <c r="H1855" s="16"/>
    </row>
    <row r="1856">
      <c r="A1856" s="16"/>
      <c r="B1856" s="7"/>
      <c r="C1856" s="7"/>
      <c r="D1856" s="7"/>
      <c r="E1856" s="16"/>
      <c r="F1856" s="16"/>
      <c r="G1856" s="16"/>
      <c r="H1856" s="16"/>
    </row>
    <row r="1857">
      <c r="A1857" s="16"/>
      <c r="B1857" s="7"/>
      <c r="C1857" s="7"/>
      <c r="D1857" s="7"/>
      <c r="E1857" s="16"/>
      <c r="F1857" s="16"/>
      <c r="G1857" s="16"/>
      <c r="H1857" s="16"/>
    </row>
    <row r="1858">
      <c r="A1858" s="16"/>
      <c r="B1858" s="7"/>
      <c r="C1858" s="7"/>
      <c r="D1858" s="7"/>
      <c r="E1858" s="16"/>
      <c r="F1858" s="16"/>
      <c r="G1858" s="16"/>
      <c r="H1858" s="16"/>
    </row>
    <row r="1859">
      <c r="A1859" s="16"/>
      <c r="B1859" s="7"/>
      <c r="C1859" s="7"/>
      <c r="D1859" s="7"/>
      <c r="E1859" s="16"/>
      <c r="F1859" s="16"/>
      <c r="G1859" s="16"/>
      <c r="H1859" s="16"/>
    </row>
    <row r="1860">
      <c r="A1860" s="16"/>
      <c r="B1860" s="7"/>
      <c r="C1860" s="7"/>
      <c r="D1860" s="7"/>
      <c r="E1860" s="16"/>
      <c r="F1860" s="16"/>
      <c r="G1860" s="16"/>
      <c r="H1860" s="16"/>
    </row>
    <row r="1861">
      <c r="A1861" s="16"/>
      <c r="B1861" s="7"/>
      <c r="C1861" s="7"/>
      <c r="D1861" s="7"/>
      <c r="E1861" s="16"/>
      <c r="F1861" s="16"/>
      <c r="G1861" s="16"/>
      <c r="H1861" s="16"/>
    </row>
    <row r="1862">
      <c r="A1862" s="16"/>
      <c r="B1862" s="7"/>
      <c r="C1862" s="7"/>
      <c r="D1862" s="7"/>
      <c r="E1862" s="16"/>
      <c r="F1862" s="16"/>
      <c r="G1862" s="16"/>
      <c r="H1862" s="16"/>
    </row>
    <row r="1863">
      <c r="A1863" s="16"/>
      <c r="B1863" s="7"/>
      <c r="C1863" s="7"/>
      <c r="D1863" s="7"/>
      <c r="E1863" s="16"/>
      <c r="F1863" s="16"/>
      <c r="G1863" s="16"/>
      <c r="H1863" s="16"/>
    </row>
    <row r="1864">
      <c r="A1864" s="16"/>
      <c r="B1864" s="7"/>
      <c r="C1864" s="7"/>
      <c r="D1864" s="7"/>
      <c r="E1864" s="16"/>
      <c r="F1864" s="16"/>
      <c r="G1864" s="16"/>
      <c r="H1864" s="16"/>
    </row>
    <row r="1865">
      <c r="A1865" s="16"/>
      <c r="B1865" s="7"/>
      <c r="C1865" s="7"/>
      <c r="D1865" s="7"/>
      <c r="E1865" s="16"/>
      <c r="F1865" s="16"/>
      <c r="G1865" s="16"/>
      <c r="H1865" s="16"/>
    </row>
    <row r="1866">
      <c r="A1866" s="16"/>
      <c r="B1866" s="7"/>
      <c r="C1866" s="7"/>
      <c r="D1866" s="7"/>
      <c r="E1866" s="16"/>
      <c r="F1866" s="16"/>
      <c r="G1866" s="16"/>
      <c r="H1866" s="16"/>
    </row>
    <row r="1867">
      <c r="A1867" s="16"/>
      <c r="B1867" s="7"/>
      <c r="C1867" s="7"/>
      <c r="D1867" s="7"/>
      <c r="E1867" s="16"/>
      <c r="F1867" s="16"/>
      <c r="G1867" s="16"/>
      <c r="H1867" s="16"/>
    </row>
    <row r="1868">
      <c r="A1868" s="16"/>
      <c r="B1868" s="7"/>
      <c r="C1868" s="7"/>
      <c r="D1868" s="7"/>
      <c r="E1868" s="16"/>
      <c r="F1868" s="16"/>
      <c r="G1868" s="16"/>
      <c r="H1868" s="16"/>
    </row>
    <row r="1869">
      <c r="A1869" s="16"/>
      <c r="B1869" s="7"/>
      <c r="C1869" s="7"/>
      <c r="D1869" s="7"/>
      <c r="E1869" s="16"/>
      <c r="F1869" s="16"/>
      <c r="G1869" s="16"/>
      <c r="H1869" s="16"/>
    </row>
    <row r="1870">
      <c r="A1870" s="16"/>
      <c r="B1870" s="7"/>
      <c r="C1870" s="7"/>
      <c r="D1870" s="7"/>
      <c r="E1870" s="16"/>
      <c r="F1870" s="16"/>
      <c r="G1870" s="16"/>
      <c r="H1870" s="16"/>
    </row>
    <row r="1871">
      <c r="A1871" s="16"/>
      <c r="B1871" s="7"/>
      <c r="C1871" s="7"/>
      <c r="D1871" s="7"/>
      <c r="E1871" s="16"/>
      <c r="F1871" s="16"/>
      <c r="G1871" s="16"/>
      <c r="H1871" s="16"/>
    </row>
    <row r="1872">
      <c r="A1872" s="16"/>
      <c r="B1872" s="7"/>
      <c r="C1872" s="7"/>
      <c r="D1872" s="7"/>
      <c r="E1872" s="16"/>
      <c r="F1872" s="16"/>
      <c r="G1872" s="16"/>
      <c r="H1872" s="16"/>
    </row>
    <row r="1873">
      <c r="A1873" s="16"/>
      <c r="B1873" s="7"/>
      <c r="C1873" s="7"/>
      <c r="D1873" s="7"/>
      <c r="E1873" s="16"/>
      <c r="F1873" s="16"/>
      <c r="G1873" s="16"/>
      <c r="H1873" s="16"/>
    </row>
    <row r="1874">
      <c r="A1874" s="16"/>
      <c r="B1874" s="7"/>
      <c r="C1874" s="7"/>
      <c r="D1874" s="7"/>
      <c r="E1874" s="16"/>
      <c r="F1874" s="16"/>
      <c r="G1874" s="16"/>
      <c r="H1874" s="16"/>
    </row>
    <row r="1875">
      <c r="A1875" s="16"/>
      <c r="B1875" s="7"/>
      <c r="C1875" s="7"/>
      <c r="D1875" s="7"/>
      <c r="E1875" s="16"/>
      <c r="F1875" s="16"/>
      <c r="G1875" s="16"/>
      <c r="H1875" s="16"/>
    </row>
    <row r="1876">
      <c r="A1876" s="16"/>
      <c r="B1876" s="7"/>
      <c r="C1876" s="7"/>
      <c r="D1876" s="7"/>
      <c r="E1876" s="16"/>
      <c r="F1876" s="16"/>
      <c r="G1876" s="16"/>
      <c r="H1876" s="16"/>
    </row>
    <row r="1877">
      <c r="A1877" s="16"/>
      <c r="B1877" s="7"/>
      <c r="C1877" s="7"/>
      <c r="D1877" s="7"/>
      <c r="E1877" s="16"/>
      <c r="F1877" s="16"/>
      <c r="G1877" s="16"/>
      <c r="H1877" s="16"/>
    </row>
    <row r="1878">
      <c r="A1878" s="16"/>
      <c r="B1878" s="7"/>
      <c r="C1878" s="7"/>
      <c r="D1878" s="7"/>
      <c r="E1878" s="16"/>
      <c r="F1878" s="16"/>
      <c r="G1878" s="16"/>
      <c r="H1878" s="16"/>
    </row>
    <row r="1879">
      <c r="A1879" s="16"/>
      <c r="B1879" s="7"/>
      <c r="C1879" s="7"/>
      <c r="D1879" s="7"/>
      <c r="E1879" s="16"/>
      <c r="F1879" s="16"/>
      <c r="G1879" s="16"/>
      <c r="H1879" s="16"/>
    </row>
    <row r="1880">
      <c r="A1880" s="16"/>
      <c r="B1880" s="7"/>
      <c r="C1880" s="7"/>
      <c r="D1880" s="7"/>
      <c r="E1880" s="16"/>
      <c r="F1880" s="16"/>
      <c r="G1880" s="16"/>
      <c r="H1880" s="16"/>
    </row>
    <row r="1881">
      <c r="A1881" s="16"/>
      <c r="B1881" s="7"/>
      <c r="C1881" s="7"/>
      <c r="D1881" s="7"/>
      <c r="E1881" s="16"/>
      <c r="F1881" s="16"/>
      <c r="G1881" s="16"/>
      <c r="H1881" s="16"/>
    </row>
    <row r="1882">
      <c r="A1882" s="16"/>
      <c r="B1882" s="7"/>
      <c r="C1882" s="7"/>
      <c r="D1882" s="7"/>
      <c r="E1882" s="16"/>
      <c r="F1882" s="16"/>
      <c r="G1882" s="16"/>
      <c r="H1882" s="16"/>
    </row>
    <row r="1883">
      <c r="A1883" s="16"/>
      <c r="B1883" s="7"/>
      <c r="C1883" s="7"/>
      <c r="D1883" s="7"/>
      <c r="E1883" s="16"/>
      <c r="F1883" s="16"/>
      <c r="G1883" s="16"/>
      <c r="H1883" s="16"/>
    </row>
    <row r="1884">
      <c r="A1884" s="16"/>
      <c r="B1884" s="7"/>
      <c r="C1884" s="7"/>
      <c r="D1884" s="7"/>
      <c r="E1884" s="16"/>
      <c r="F1884" s="16"/>
      <c r="G1884" s="16"/>
      <c r="H1884" s="16"/>
    </row>
    <row r="1885">
      <c r="A1885" s="16"/>
      <c r="B1885" s="7"/>
      <c r="C1885" s="7"/>
      <c r="D1885" s="7"/>
      <c r="E1885" s="16"/>
      <c r="F1885" s="16"/>
      <c r="G1885" s="16"/>
      <c r="H1885" s="16"/>
    </row>
    <row r="1886">
      <c r="A1886" s="16"/>
      <c r="B1886" s="7"/>
      <c r="C1886" s="7"/>
      <c r="D1886" s="7"/>
      <c r="E1886" s="16"/>
      <c r="F1886" s="16"/>
      <c r="G1886" s="16"/>
      <c r="H1886" s="16"/>
    </row>
    <row r="1887">
      <c r="A1887" s="16"/>
      <c r="B1887" s="7"/>
      <c r="C1887" s="7"/>
      <c r="D1887" s="7"/>
      <c r="E1887" s="16"/>
      <c r="F1887" s="16"/>
      <c r="G1887" s="16"/>
      <c r="H1887" s="16"/>
    </row>
    <row r="1888">
      <c r="A1888" s="16"/>
      <c r="B1888" s="7"/>
      <c r="C1888" s="7"/>
      <c r="D1888" s="7"/>
      <c r="E1888" s="16"/>
      <c r="F1888" s="16"/>
      <c r="G1888" s="16"/>
      <c r="H1888" s="16"/>
    </row>
    <row r="1889">
      <c r="A1889" s="16"/>
      <c r="B1889" s="7"/>
      <c r="C1889" s="7"/>
      <c r="D1889" s="7"/>
      <c r="E1889" s="16"/>
      <c r="F1889" s="16"/>
      <c r="G1889" s="16"/>
      <c r="H1889" s="16"/>
    </row>
    <row r="1890">
      <c r="A1890" s="16"/>
      <c r="B1890" s="7"/>
      <c r="C1890" s="7"/>
      <c r="D1890" s="7"/>
      <c r="E1890" s="16"/>
      <c r="F1890" s="16"/>
      <c r="G1890" s="16"/>
      <c r="H1890" s="16"/>
    </row>
    <row r="1891">
      <c r="A1891" s="16"/>
      <c r="B1891" s="7"/>
      <c r="C1891" s="7"/>
      <c r="D1891" s="7"/>
      <c r="E1891" s="16"/>
      <c r="F1891" s="16"/>
      <c r="G1891" s="16"/>
      <c r="H1891" s="16"/>
    </row>
    <row r="1892">
      <c r="A1892" s="16"/>
      <c r="B1892" s="7"/>
      <c r="C1892" s="7"/>
      <c r="D1892" s="7"/>
      <c r="E1892" s="16"/>
      <c r="F1892" s="16"/>
      <c r="G1892" s="16"/>
      <c r="H1892" s="16"/>
    </row>
    <row r="1893">
      <c r="A1893" s="16"/>
      <c r="B1893" s="7"/>
      <c r="C1893" s="7"/>
      <c r="D1893" s="7"/>
      <c r="E1893" s="16"/>
      <c r="F1893" s="16"/>
      <c r="G1893" s="16"/>
      <c r="H1893" s="16"/>
    </row>
    <row r="1894">
      <c r="A1894" s="16"/>
      <c r="B1894" s="7"/>
      <c r="C1894" s="7"/>
      <c r="D1894" s="7"/>
      <c r="E1894" s="16"/>
      <c r="F1894" s="16"/>
      <c r="G1894" s="16"/>
      <c r="H1894" s="16"/>
    </row>
    <row r="1895">
      <c r="A1895" s="16"/>
      <c r="B1895" s="7"/>
      <c r="C1895" s="7"/>
      <c r="D1895" s="7"/>
      <c r="E1895" s="16"/>
      <c r="F1895" s="16"/>
      <c r="G1895" s="16"/>
      <c r="H1895" s="16"/>
    </row>
    <row r="1896">
      <c r="A1896" s="16"/>
      <c r="B1896" s="7"/>
      <c r="C1896" s="7"/>
      <c r="D1896" s="7"/>
      <c r="E1896" s="16"/>
      <c r="F1896" s="16"/>
      <c r="G1896" s="16"/>
      <c r="H1896" s="16"/>
    </row>
    <row r="1897">
      <c r="A1897" s="16"/>
      <c r="B1897" s="7"/>
      <c r="C1897" s="7"/>
      <c r="D1897" s="7"/>
      <c r="E1897" s="16"/>
      <c r="F1897" s="16"/>
      <c r="G1897" s="16"/>
      <c r="H1897" s="16"/>
    </row>
    <row r="1898">
      <c r="A1898" s="16"/>
      <c r="B1898" s="7"/>
      <c r="C1898" s="7"/>
      <c r="D1898" s="7"/>
      <c r="E1898" s="16"/>
      <c r="F1898" s="16"/>
      <c r="G1898" s="16"/>
      <c r="H1898" s="16"/>
    </row>
    <row r="1899">
      <c r="A1899" s="16"/>
      <c r="B1899" s="7"/>
      <c r="C1899" s="7"/>
      <c r="D1899" s="7"/>
      <c r="E1899" s="16"/>
      <c r="F1899" s="16"/>
      <c r="G1899" s="16"/>
      <c r="H1899" s="16"/>
    </row>
    <row r="1900">
      <c r="A1900" s="16"/>
      <c r="B1900" s="7"/>
      <c r="C1900" s="7"/>
      <c r="D1900" s="7"/>
      <c r="E1900" s="16"/>
      <c r="F1900" s="16"/>
      <c r="G1900" s="16"/>
      <c r="H1900" s="16"/>
    </row>
    <row r="1901">
      <c r="A1901" s="16"/>
      <c r="B1901" s="7"/>
      <c r="C1901" s="7"/>
      <c r="D1901" s="7"/>
      <c r="E1901" s="16"/>
      <c r="F1901" s="16"/>
      <c r="G1901" s="16"/>
      <c r="H1901" s="16"/>
    </row>
    <row r="1902">
      <c r="A1902" s="16"/>
      <c r="B1902" s="7"/>
      <c r="C1902" s="7"/>
      <c r="D1902" s="7"/>
      <c r="E1902" s="16"/>
      <c r="F1902" s="16"/>
      <c r="G1902" s="16"/>
      <c r="H1902" s="16"/>
    </row>
    <row r="1903">
      <c r="A1903" s="16"/>
      <c r="B1903" s="7"/>
      <c r="C1903" s="7"/>
      <c r="D1903" s="7"/>
      <c r="E1903" s="16"/>
      <c r="F1903" s="16"/>
      <c r="G1903" s="16"/>
      <c r="H1903" s="16"/>
    </row>
    <row r="1904">
      <c r="A1904" s="16"/>
      <c r="B1904" s="7"/>
      <c r="C1904" s="7"/>
      <c r="D1904" s="7"/>
      <c r="E1904" s="16"/>
      <c r="F1904" s="16"/>
      <c r="G1904" s="16"/>
      <c r="H1904" s="16"/>
    </row>
    <row r="1905">
      <c r="A1905" s="16"/>
      <c r="B1905" s="7"/>
      <c r="C1905" s="7"/>
      <c r="D1905" s="7"/>
      <c r="E1905" s="16"/>
      <c r="F1905" s="16"/>
      <c r="G1905" s="16"/>
      <c r="H1905" s="16"/>
    </row>
    <row r="1906">
      <c r="A1906" s="16"/>
      <c r="B1906" s="7"/>
      <c r="C1906" s="7"/>
      <c r="D1906" s="7"/>
      <c r="E1906" s="16"/>
      <c r="F1906" s="16"/>
      <c r="G1906" s="16"/>
      <c r="H1906" s="16"/>
    </row>
    <row r="1907">
      <c r="A1907" s="16"/>
      <c r="B1907" s="7"/>
      <c r="C1907" s="7"/>
      <c r="D1907" s="7"/>
      <c r="E1907" s="16"/>
      <c r="F1907" s="16"/>
      <c r="G1907" s="16"/>
      <c r="H1907" s="16"/>
    </row>
    <row r="1908">
      <c r="A1908" s="16"/>
      <c r="B1908" s="7"/>
      <c r="C1908" s="7"/>
      <c r="D1908" s="7"/>
      <c r="E1908" s="16"/>
      <c r="F1908" s="16"/>
      <c r="G1908" s="16"/>
      <c r="H1908" s="16"/>
    </row>
    <row r="1909">
      <c r="A1909" s="16"/>
      <c r="B1909" s="7"/>
      <c r="C1909" s="7"/>
      <c r="D1909" s="7"/>
      <c r="E1909" s="16"/>
      <c r="F1909" s="16"/>
      <c r="G1909" s="16"/>
      <c r="H1909" s="16"/>
    </row>
    <row r="1910">
      <c r="A1910" s="16"/>
      <c r="B1910" s="7"/>
      <c r="C1910" s="7"/>
      <c r="D1910" s="7"/>
      <c r="E1910" s="16"/>
      <c r="F1910" s="16"/>
      <c r="G1910" s="16"/>
      <c r="H1910" s="16"/>
    </row>
    <row r="1911">
      <c r="A1911" s="16"/>
      <c r="B1911" s="7"/>
      <c r="C1911" s="7"/>
      <c r="D1911" s="7"/>
      <c r="E1911" s="16"/>
      <c r="F1911" s="16"/>
      <c r="G1911" s="16"/>
      <c r="H1911" s="16"/>
    </row>
    <row r="1912">
      <c r="A1912" s="16"/>
      <c r="B1912" s="7"/>
      <c r="C1912" s="7"/>
      <c r="D1912" s="7"/>
      <c r="E1912" s="16"/>
      <c r="F1912" s="16"/>
      <c r="G1912" s="16"/>
      <c r="H1912" s="16"/>
    </row>
    <row r="1913">
      <c r="A1913" s="16"/>
      <c r="B1913" s="7"/>
      <c r="C1913" s="7"/>
      <c r="D1913" s="7"/>
      <c r="E1913" s="16"/>
      <c r="F1913" s="16"/>
      <c r="G1913" s="16"/>
      <c r="H1913" s="16"/>
    </row>
    <row r="1914">
      <c r="A1914" s="16"/>
      <c r="B1914" s="7"/>
      <c r="C1914" s="7"/>
      <c r="D1914" s="7"/>
      <c r="E1914" s="16"/>
      <c r="F1914" s="16"/>
      <c r="G1914" s="16"/>
      <c r="H1914" s="16"/>
    </row>
    <row r="1915">
      <c r="A1915" s="16"/>
      <c r="B1915" s="7"/>
      <c r="C1915" s="7"/>
      <c r="D1915" s="7"/>
      <c r="E1915" s="16"/>
      <c r="F1915" s="16"/>
      <c r="G1915" s="16"/>
      <c r="H1915" s="16"/>
    </row>
    <row r="1916">
      <c r="A1916" s="16"/>
      <c r="B1916" s="7"/>
      <c r="C1916" s="7"/>
      <c r="D1916" s="7"/>
      <c r="E1916" s="16"/>
      <c r="F1916" s="16"/>
      <c r="G1916" s="16"/>
      <c r="H1916" s="16"/>
    </row>
    <row r="1917">
      <c r="A1917" s="16"/>
      <c r="B1917" s="7"/>
      <c r="C1917" s="7"/>
      <c r="D1917" s="7"/>
      <c r="E1917" s="16"/>
      <c r="F1917" s="16"/>
      <c r="G1917" s="16"/>
      <c r="H1917" s="16"/>
    </row>
    <row r="1918">
      <c r="A1918" s="16"/>
      <c r="B1918" s="7"/>
      <c r="C1918" s="7"/>
      <c r="D1918" s="7"/>
      <c r="E1918" s="16"/>
      <c r="F1918" s="16"/>
      <c r="G1918" s="16"/>
      <c r="H1918" s="16"/>
    </row>
    <row r="1919">
      <c r="A1919" s="16"/>
      <c r="B1919" s="7"/>
      <c r="C1919" s="7"/>
      <c r="D1919" s="7"/>
      <c r="E1919" s="16"/>
      <c r="F1919" s="16"/>
      <c r="G1919" s="16"/>
      <c r="H1919" s="16"/>
    </row>
    <row r="1920">
      <c r="A1920" s="16"/>
      <c r="B1920" s="7"/>
      <c r="C1920" s="7"/>
      <c r="D1920" s="7"/>
      <c r="E1920" s="16"/>
      <c r="F1920" s="16"/>
      <c r="G1920" s="16"/>
      <c r="H1920" s="16"/>
    </row>
    <row r="1921">
      <c r="A1921" s="16"/>
      <c r="B1921" s="7"/>
      <c r="C1921" s="7"/>
      <c r="D1921" s="7"/>
      <c r="E1921" s="16"/>
      <c r="F1921" s="16"/>
      <c r="G1921" s="16"/>
      <c r="H1921" s="16"/>
    </row>
    <row r="1922">
      <c r="A1922" s="16"/>
      <c r="B1922" s="7"/>
      <c r="C1922" s="7"/>
      <c r="D1922" s="7"/>
      <c r="E1922" s="16"/>
      <c r="F1922" s="16"/>
      <c r="G1922" s="16"/>
      <c r="H1922" s="16"/>
    </row>
    <row r="1923">
      <c r="A1923" s="16"/>
      <c r="B1923" s="7"/>
      <c r="C1923" s="7"/>
      <c r="D1923" s="7"/>
      <c r="E1923" s="16"/>
      <c r="F1923" s="16"/>
      <c r="G1923" s="16"/>
      <c r="H1923" s="16"/>
    </row>
    <row r="1924">
      <c r="A1924" s="16"/>
      <c r="B1924" s="7"/>
      <c r="C1924" s="7"/>
      <c r="D1924" s="7"/>
      <c r="E1924" s="16"/>
      <c r="F1924" s="16"/>
      <c r="G1924" s="16"/>
      <c r="H1924" s="16"/>
    </row>
    <row r="1925">
      <c r="A1925" s="16"/>
      <c r="B1925" s="7"/>
      <c r="C1925" s="7"/>
      <c r="D1925" s="7"/>
      <c r="E1925" s="16"/>
      <c r="F1925" s="16"/>
      <c r="G1925" s="16"/>
      <c r="H1925" s="16"/>
    </row>
    <row r="1926">
      <c r="A1926" s="16"/>
      <c r="B1926" s="7"/>
      <c r="C1926" s="7"/>
      <c r="D1926" s="7"/>
      <c r="E1926" s="16"/>
      <c r="F1926" s="16"/>
      <c r="G1926" s="16"/>
      <c r="H1926" s="16"/>
    </row>
    <row r="1927">
      <c r="A1927" s="16"/>
      <c r="B1927" s="7"/>
      <c r="C1927" s="7"/>
      <c r="D1927" s="7"/>
      <c r="E1927" s="16"/>
      <c r="F1927" s="16"/>
      <c r="G1927" s="16"/>
      <c r="H1927" s="16"/>
    </row>
    <row r="1928">
      <c r="A1928" s="16"/>
      <c r="B1928" s="7"/>
      <c r="C1928" s="7"/>
      <c r="D1928" s="7"/>
      <c r="E1928" s="16"/>
      <c r="F1928" s="16"/>
      <c r="G1928" s="16"/>
      <c r="H1928" s="16"/>
    </row>
    <row r="1929">
      <c r="A1929" s="16"/>
      <c r="B1929" s="7"/>
      <c r="C1929" s="7"/>
      <c r="D1929" s="7"/>
      <c r="E1929" s="16"/>
      <c r="F1929" s="16"/>
      <c r="G1929" s="16"/>
      <c r="H1929" s="16"/>
    </row>
    <row r="1930">
      <c r="A1930" s="16"/>
      <c r="B1930" s="7"/>
      <c r="C1930" s="7"/>
      <c r="D1930" s="7"/>
      <c r="E1930" s="16"/>
      <c r="F1930" s="16"/>
      <c r="G1930" s="16"/>
      <c r="H1930" s="16"/>
    </row>
    <row r="1931">
      <c r="A1931" s="16"/>
      <c r="B1931" s="7"/>
      <c r="C1931" s="7"/>
      <c r="D1931" s="7"/>
      <c r="E1931" s="16"/>
      <c r="F1931" s="16"/>
      <c r="G1931" s="16"/>
      <c r="H1931" s="16"/>
    </row>
    <row r="1932">
      <c r="A1932" s="16"/>
      <c r="B1932" s="7"/>
      <c r="C1932" s="7"/>
      <c r="D1932" s="7"/>
      <c r="E1932" s="16"/>
      <c r="F1932" s="16"/>
      <c r="G1932" s="16"/>
      <c r="H1932" s="16"/>
    </row>
    <row r="1933">
      <c r="A1933" s="16"/>
      <c r="B1933" s="7"/>
      <c r="C1933" s="7"/>
      <c r="D1933" s="7"/>
      <c r="E1933" s="16"/>
      <c r="F1933" s="16"/>
      <c r="G1933" s="16"/>
      <c r="H1933" s="16"/>
    </row>
    <row r="1934">
      <c r="A1934" s="16"/>
      <c r="B1934" s="7"/>
      <c r="C1934" s="7"/>
      <c r="D1934" s="7"/>
      <c r="E1934" s="16"/>
      <c r="F1934" s="16"/>
      <c r="G1934" s="16"/>
      <c r="H1934" s="16"/>
    </row>
    <row r="1935">
      <c r="A1935" s="16"/>
      <c r="B1935" s="7"/>
      <c r="C1935" s="7"/>
      <c r="D1935" s="7"/>
      <c r="E1935" s="16"/>
      <c r="F1935" s="16"/>
      <c r="G1935" s="16"/>
      <c r="H1935" s="16"/>
    </row>
    <row r="1936">
      <c r="A1936" s="16"/>
      <c r="B1936" s="7"/>
      <c r="C1936" s="7"/>
      <c r="D1936" s="7"/>
      <c r="E1936" s="16"/>
      <c r="F1936" s="16"/>
      <c r="G1936" s="16"/>
      <c r="H1936" s="16"/>
    </row>
    <row r="1937">
      <c r="A1937" s="16"/>
      <c r="B1937" s="7"/>
      <c r="C1937" s="7"/>
      <c r="D1937" s="7"/>
      <c r="E1937" s="16"/>
      <c r="F1937" s="16"/>
      <c r="G1937" s="16"/>
      <c r="H1937" s="16"/>
    </row>
    <row r="1938">
      <c r="A1938" s="16"/>
      <c r="B1938" s="7"/>
      <c r="C1938" s="7"/>
      <c r="D1938" s="7"/>
      <c r="E1938" s="16"/>
      <c r="F1938" s="16"/>
      <c r="G1938" s="16"/>
      <c r="H1938" s="16"/>
    </row>
    <row r="1939">
      <c r="A1939" s="16"/>
      <c r="B1939" s="7"/>
      <c r="C1939" s="7"/>
      <c r="D1939" s="7"/>
      <c r="E1939" s="16"/>
      <c r="F1939" s="16"/>
      <c r="G1939" s="16"/>
      <c r="H1939" s="16"/>
    </row>
    <row r="1940">
      <c r="A1940" s="16"/>
      <c r="B1940" s="7"/>
      <c r="C1940" s="7"/>
      <c r="D1940" s="7"/>
      <c r="E1940" s="16"/>
      <c r="F1940" s="16"/>
      <c r="G1940" s="16"/>
      <c r="H1940" s="16"/>
    </row>
    <row r="1941">
      <c r="A1941" s="16"/>
      <c r="B1941" s="7"/>
      <c r="C1941" s="7"/>
      <c r="D1941" s="7"/>
      <c r="E1941" s="16"/>
      <c r="F1941" s="16"/>
      <c r="G1941" s="16"/>
      <c r="H1941" s="16"/>
    </row>
    <row r="1942">
      <c r="A1942" s="16"/>
      <c r="B1942" s="7"/>
      <c r="C1942" s="7"/>
      <c r="D1942" s="7"/>
      <c r="E1942" s="16"/>
      <c r="F1942" s="16"/>
      <c r="G1942" s="16"/>
      <c r="H1942" s="16"/>
    </row>
    <row r="1943">
      <c r="A1943" s="16"/>
      <c r="B1943" s="7"/>
      <c r="C1943" s="7"/>
      <c r="D1943" s="7"/>
      <c r="E1943" s="16"/>
      <c r="F1943" s="16"/>
      <c r="G1943" s="16"/>
      <c r="H1943" s="16"/>
    </row>
    <row r="1944">
      <c r="A1944" s="16"/>
      <c r="B1944" s="7"/>
      <c r="C1944" s="7"/>
      <c r="D1944" s="7"/>
      <c r="E1944" s="16"/>
      <c r="F1944" s="16"/>
      <c r="G1944" s="16"/>
      <c r="H1944" s="16"/>
    </row>
    <row r="1945">
      <c r="A1945" s="16"/>
      <c r="B1945" s="7"/>
      <c r="C1945" s="7"/>
      <c r="D1945" s="7"/>
      <c r="E1945" s="16"/>
      <c r="F1945" s="16"/>
      <c r="G1945" s="16"/>
      <c r="H1945" s="16"/>
    </row>
    <row r="1946">
      <c r="A1946" s="16"/>
      <c r="B1946" s="7"/>
      <c r="C1946" s="7"/>
      <c r="D1946" s="7"/>
      <c r="E1946" s="16"/>
      <c r="F1946" s="16"/>
      <c r="G1946" s="16"/>
      <c r="H1946" s="16"/>
    </row>
    <row r="1947">
      <c r="A1947" s="16"/>
      <c r="B1947" s="7"/>
      <c r="C1947" s="7"/>
      <c r="D1947" s="7"/>
      <c r="E1947" s="16"/>
      <c r="F1947" s="16"/>
      <c r="G1947" s="16"/>
      <c r="H1947" s="16"/>
    </row>
    <row r="1948">
      <c r="A1948" s="16"/>
      <c r="B1948" s="7"/>
      <c r="C1948" s="7"/>
      <c r="D1948" s="7"/>
      <c r="E1948" s="16"/>
      <c r="F1948" s="16"/>
      <c r="G1948" s="16"/>
      <c r="H1948" s="16"/>
    </row>
    <row r="1949">
      <c r="A1949" s="16"/>
      <c r="B1949" s="7"/>
      <c r="C1949" s="7"/>
      <c r="D1949" s="7"/>
      <c r="E1949" s="16"/>
      <c r="F1949" s="16"/>
      <c r="G1949" s="16"/>
      <c r="H1949" s="16"/>
    </row>
    <row r="1950">
      <c r="A1950" s="16"/>
      <c r="B1950" s="7"/>
      <c r="C1950" s="7"/>
      <c r="D1950" s="7"/>
      <c r="E1950" s="16"/>
      <c r="F1950" s="16"/>
      <c r="G1950" s="16"/>
      <c r="H1950" s="16"/>
    </row>
    <row r="1951">
      <c r="A1951" s="16"/>
      <c r="B1951" s="7"/>
      <c r="C1951" s="7"/>
      <c r="D1951" s="7"/>
      <c r="E1951" s="16"/>
      <c r="F1951" s="16"/>
      <c r="G1951" s="16"/>
      <c r="H1951" s="16"/>
    </row>
    <row r="1952">
      <c r="A1952" s="16"/>
      <c r="B1952" s="7"/>
      <c r="C1952" s="7"/>
      <c r="D1952" s="7"/>
      <c r="E1952" s="16"/>
      <c r="F1952" s="16"/>
      <c r="G1952" s="16"/>
      <c r="H1952" s="16"/>
    </row>
    <row r="1953">
      <c r="A1953" s="16"/>
      <c r="B1953" s="7"/>
      <c r="C1953" s="7"/>
      <c r="D1953" s="7"/>
      <c r="E1953" s="16"/>
      <c r="F1953" s="16"/>
      <c r="G1953" s="16"/>
      <c r="H1953" s="16"/>
    </row>
    <row r="1954">
      <c r="A1954" s="16"/>
      <c r="B1954" s="7"/>
      <c r="C1954" s="7"/>
      <c r="D1954" s="7"/>
      <c r="E1954" s="16"/>
      <c r="F1954" s="16"/>
      <c r="G1954" s="16"/>
      <c r="H1954" s="16"/>
    </row>
    <row r="1955">
      <c r="A1955" s="16"/>
      <c r="B1955" s="7"/>
      <c r="C1955" s="7"/>
      <c r="D1955" s="7"/>
      <c r="E1955" s="16"/>
      <c r="F1955" s="16"/>
      <c r="G1955" s="16"/>
      <c r="H1955" s="16"/>
    </row>
    <row r="1956">
      <c r="A1956" s="16"/>
      <c r="B1956" s="7"/>
      <c r="C1956" s="7"/>
      <c r="D1956" s="7"/>
      <c r="E1956" s="16"/>
      <c r="F1956" s="16"/>
      <c r="G1956" s="16"/>
      <c r="H1956" s="16"/>
    </row>
    <row r="1957">
      <c r="A1957" s="16"/>
      <c r="B1957" s="7"/>
      <c r="C1957" s="7"/>
      <c r="D1957" s="7"/>
      <c r="E1957" s="16"/>
      <c r="F1957" s="16"/>
      <c r="G1957" s="16"/>
      <c r="H1957" s="16"/>
    </row>
    <row r="1958">
      <c r="A1958" s="16"/>
      <c r="B1958" s="7"/>
      <c r="C1958" s="7"/>
      <c r="D1958" s="7"/>
      <c r="E1958" s="16"/>
      <c r="F1958" s="16"/>
      <c r="G1958" s="16"/>
      <c r="H1958" s="16"/>
    </row>
    <row r="1959">
      <c r="A1959" s="16"/>
      <c r="B1959" s="7"/>
      <c r="C1959" s="7"/>
      <c r="D1959" s="7"/>
      <c r="E1959" s="16"/>
      <c r="F1959" s="16"/>
      <c r="G1959" s="16"/>
      <c r="H1959" s="16"/>
    </row>
    <row r="1960">
      <c r="A1960" s="16"/>
      <c r="B1960" s="7"/>
      <c r="C1960" s="7"/>
      <c r="D1960" s="7"/>
      <c r="E1960" s="16"/>
      <c r="F1960" s="16"/>
      <c r="G1960" s="16"/>
      <c r="H1960" s="16"/>
    </row>
    <row r="1961">
      <c r="A1961" s="16"/>
      <c r="B1961" s="7"/>
      <c r="C1961" s="7"/>
      <c r="D1961" s="7"/>
      <c r="E1961" s="16"/>
      <c r="F1961" s="16"/>
      <c r="G1961" s="16"/>
      <c r="H1961" s="16"/>
    </row>
    <row r="1962">
      <c r="A1962" s="16"/>
      <c r="B1962" s="7"/>
      <c r="C1962" s="7"/>
      <c r="D1962" s="7"/>
      <c r="E1962" s="16"/>
      <c r="F1962" s="16"/>
      <c r="G1962" s="16"/>
      <c r="H1962" s="16"/>
    </row>
    <row r="1963">
      <c r="A1963" s="16"/>
      <c r="B1963" s="7"/>
      <c r="C1963" s="7"/>
      <c r="D1963" s="7"/>
      <c r="E1963" s="16"/>
      <c r="F1963" s="16"/>
      <c r="G1963" s="16"/>
      <c r="H1963" s="16"/>
    </row>
    <row r="1964">
      <c r="A1964" s="16"/>
      <c r="B1964" s="7"/>
      <c r="C1964" s="7"/>
      <c r="D1964" s="7"/>
      <c r="E1964" s="16"/>
      <c r="F1964" s="16"/>
      <c r="G1964" s="16"/>
      <c r="H1964" s="16"/>
    </row>
    <row r="1965">
      <c r="A1965" s="16"/>
      <c r="B1965" s="7"/>
      <c r="C1965" s="7"/>
      <c r="D1965" s="7"/>
      <c r="E1965" s="16"/>
      <c r="F1965" s="16"/>
      <c r="G1965" s="16"/>
      <c r="H1965" s="16"/>
    </row>
    <row r="1966">
      <c r="A1966" s="16"/>
      <c r="B1966" s="7"/>
      <c r="C1966" s="7"/>
      <c r="D1966" s="7"/>
      <c r="E1966" s="16"/>
      <c r="F1966" s="16"/>
      <c r="G1966" s="16"/>
      <c r="H1966" s="16"/>
    </row>
    <row r="1967">
      <c r="A1967" s="16"/>
      <c r="B1967" s="7"/>
      <c r="C1967" s="7"/>
      <c r="D1967" s="7"/>
      <c r="E1967" s="16"/>
      <c r="F1967" s="16"/>
      <c r="G1967" s="16"/>
      <c r="H1967" s="16"/>
    </row>
    <row r="1968">
      <c r="A1968" s="16"/>
      <c r="B1968" s="7"/>
      <c r="C1968" s="7"/>
      <c r="D1968" s="7"/>
      <c r="E1968" s="16"/>
      <c r="F1968" s="16"/>
      <c r="G1968" s="16"/>
      <c r="H1968" s="16"/>
    </row>
    <row r="1969">
      <c r="A1969" s="16"/>
      <c r="B1969" s="7"/>
      <c r="C1969" s="7"/>
      <c r="D1969" s="7"/>
      <c r="E1969" s="16"/>
      <c r="F1969" s="16"/>
      <c r="G1969" s="16"/>
      <c r="H1969" s="16"/>
    </row>
    <row r="1970">
      <c r="A1970" s="16"/>
      <c r="B1970" s="7"/>
      <c r="C1970" s="7"/>
      <c r="D1970" s="7"/>
      <c r="E1970" s="16"/>
      <c r="F1970" s="16"/>
      <c r="G1970" s="16"/>
      <c r="H1970" s="16"/>
    </row>
    <row r="1971">
      <c r="A1971" s="16"/>
      <c r="B1971" s="7"/>
      <c r="C1971" s="7"/>
      <c r="D1971" s="7"/>
      <c r="E1971" s="16"/>
      <c r="F1971" s="16"/>
      <c r="G1971" s="16"/>
      <c r="H1971" s="16"/>
    </row>
    <row r="1972">
      <c r="A1972" s="16"/>
      <c r="B1972" s="7"/>
      <c r="C1972" s="7"/>
      <c r="D1972" s="7"/>
      <c r="E1972" s="16"/>
      <c r="F1972" s="16"/>
      <c r="G1972" s="16"/>
      <c r="H1972" s="16"/>
    </row>
    <row r="1973">
      <c r="A1973" s="16"/>
      <c r="B1973" s="7"/>
      <c r="C1973" s="7"/>
      <c r="D1973" s="7"/>
      <c r="E1973" s="16"/>
      <c r="F1973" s="16"/>
      <c r="G1973" s="16"/>
      <c r="H1973" s="16"/>
    </row>
    <row r="1974">
      <c r="A1974" s="16"/>
      <c r="B1974" s="7"/>
      <c r="C1974" s="7"/>
      <c r="D1974" s="7"/>
      <c r="E1974" s="16"/>
      <c r="F1974" s="16"/>
      <c r="G1974" s="16"/>
      <c r="H1974" s="16"/>
    </row>
    <row r="1975">
      <c r="A1975" s="16"/>
      <c r="B1975" s="7"/>
      <c r="C1975" s="7"/>
      <c r="D1975" s="7"/>
      <c r="E1975" s="16"/>
      <c r="F1975" s="16"/>
      <c r="G1975" s="16"/>
      <c r="H1975" s="16"/>
    </row>
    <row r="1976">
      <c r="A1976" s="16"/>
      <c r="B1976" s="7"/>
      <c r="C1976" s="7"/>
      <c r="D1976" s="7"/>
      <c r="E1976" s="16"/>
      <c r="F1976" s="16"/>
      <c r="G1976" s="16"/>
      <c r="H1976" s="16"/>
    </row>
    <row r="1977">
      <c r="A1977" s="16"/>
      <c r="B1977" s="7"/>
      <c r="C1977" s="7"/>
      <c r="D1977" s="7"/>
      <c r="E1977" s="16"/>
      <c r="F1977" s="16"/>
      <c r="G1977" s="16"/>
      <c r="H1977" s="16"/>
    </row>
    <row r="1978">
      <c r="A1978" s="16"/>
      <c r="B1978" s="7"/>
      <c r="C1978" s="7"/>
      <c r="D1978" s="7"/>
      <c r="E1978" s="16"/>
      <c r="F1978" s="16"/>
      <c r="G1978" s="16"/>
      <c r="H1978" s="16"/>
    </row>
    <row r="1979">
      <c r="A1979" s="16"/>
      <c r="B1979" s="7"/>
      <c r="C1979" s="7"/>
      <c r="D1979" s="7"/>
      <c r="E1979" s="16"/>
      <c r="F1979" s="16"/>
      <c r="G1979" s="16"/>
      <c r="H1979" s="16"/>
    </row>
    <row r="1980">
      <c r="A1980" s="16"/>
      <c r="B1980" s="7"/>
      <c r="C1980" s="7"/>
      <c r="D1980" s="7"/>
      <c r="E1980" s="16"/>
      <c r="F1980" s="16"/>
      <c r="G1980" s="16"/>
      <c r="H1980" s="16"/>
    </row>
    <row r="1981">
      <c r="A1981" s="16"/>
      <c r="B1981" s="7"/>
      <c r="C1981" s="7"/>
      <c r="D1981" s="7"/>
      <c r="E1981" s="16"/>
      <c r="F1981" s="16"/>
      <c r="G1981" s="16"/>
      <c r="H1981" s="16"/>
    </row>
    <row r="1982">
      <c r="A1982" s="16"/>
      <c r="B1982" s="7"/>
      <c r="C1982" s="7"/>
      <c r="D1982" s="7"/>
      <c r="E1982" s="16"/>
      <c r="F1982" s="16"/>
      <c r="G1982" s="16"/>
      <c r="H1982" s="16"/>
    </row>
    <row r="1983">
      <c r="A1983" s="16"/>
      <c r="B1983" s="7"/>
      <c r="C1983" s="7"/>
      <c r="D1983" s="7"/>
      <c r="E1983" s="16"/>
      <c r="F1983" s="16"/>
      <c r="G1983" s="16"/>
      <c r="H1983" s="16"/>
    </row>
    <row r="1984">
      <c r="A1984" s="16"/>
      <c r="B1984" s="7"/>
      <c r="C1984" s="7"/>
      <c r="D1984" s="7"/>
      <c r="E1984" s="16"/>
      <c r="F1984" s="16"/>
      <c r="G1984" s="16"/>
      <c r="H1984" s="16"/>
    </row>
    <row r="1985">
      <c r="A1985" s="16"/>
      <c r="B1985" s="7"/>
      <c r="C1985" s="7"/>
      <c r="D1985" s="7"/>
      <c r="E1985" s="16"/>
      <c r="F1985" s="16"/>
      <c r="G1985" s="16"/>
      <c r="H1985" s="16"/>
    </row>
    <row r="1986">
      <c r="A1986" s="16"/>
      <c r="B1986" s="7"/>
      <c r="C1986" s="7"/>
      <c r="D1986" s="7"/>
      <c r="E1986" s="16"/>
      <c r="F1986" s="16"/>
      <c r="G1986" s="16"/>
      <c r="H1986" s="16"/>
    </row>
    <row r="1987">
      <c r="A1987" s="16"/>
      <c r="B1987" s="7"/>
      <c r="C1987" s="7"/>
      <c r="D1987" s="7"/>
      <c r="E1987" s="16"/>
      <c r="F1987" s="16"/>
      <c r="G1987" s="16"/>
      <c r="H1987" s="16"/>
    </row>
    <row r="1988">
      <c r="A1988" s="16"/>
      <c r="B1988" s="7"/>
      <c r="C1988" s="7"/>
      <c r="D1988" s="7"/>
      <c r="E1988" s="16"/>
      <c r="F1988" s="16"/>
      <c r="G1988" s="16"/>
      <c r="H1988" s="16"/>
    </row>
    <row r="1989">
      <c r="A1989" s="16"/>
      <c r="B1989" s="7"/>
      <c r="C1989" s="7"/>
      <c r="D1989" s="7"/>
      <c r="E1989" s="16"/>
      <c r="F1989" s="16"/>
      <c r="G1989" s="16"/>
      <c r="H1989" s="16"/>
    </row>
    <row r="1990">
      <c r="A1990" s="16"/>
      <c r="B1990" s="7"/>
      <c r="C1990" s="7"/>
      <c r="D1990" s="7"/>
      <c r="E1990" s="16"/>
      <c r="F1990" s="16"/>
      <c r="G1990" s="16"/>
      <c r="H1990" s="16"/>
    </row>
    <row r="1991">
      <c r="A1991" s="16"/>
      <c r="B1991" s="7"/>
      <c r="C1991" s="7"/>
      <c r="D1991" s="7"/>
      <c r="E1991" s="16"/>
      <c r="F1991" s="16"/>
      <c r="G1991" s="16"/>
      <c r="H1991" s="16"/>
    </row>
    <row r="1992">
      <c r="A1992" s="16"/>
      <c r="B1992" s="7"/>
      <c r="C1992" s="7"/>
      <c r="D1992" s="7"/>
      <c r="E1992" s="16"/>
      <c r="F1992" s="16"/>
      <c r="G1992" s="16"/>
      <c r="H1992" s="16"/>
    </row>
    <row r="1993">
      <c r="A1993" s="16"/>
      <c r="B1993" s="7"/>
      <c r="C1993" s="7"/>
      <c r="D1993" s="7"/>
      <c r="E1993" s="16"/>
      <c r="F1993" s="16"/>
      <c r="G1993" s="16"/>
      <c r="H1993" s="16"/>
    </row>
    <row r="1994">
      <c r="A1994" s="16"/>
      <c r="B1994" s="7"/>
      <c r="C1994" s="7"/>
      <c r="D1994" s="7"/>
      <c r="E1994" s="16"/>
      <c r="F1994" s="16"/>
      <c r="G1994" s="16"/>
      <c r="H1994" s="16"/>
    </row>
    <row r="1995">
      <c r="A1995" s="16"/>
      <c r="B1995" s="7"/>
      <c r="C1995" s="7"/>
      <c r="D1995" s="7"/>
      <c r="E1995" s="16"/>
      <c r="F1995" s="16"/>
      <c r="G1995" s="16"/>
      <c r="H1995" s="16"/>
    </row>
    <row r="1996">
      <c r="A1996" s="16"/>
      <c r="B1996" s="7"/>
      <c r="C1996" s="7"/>
      <c r="D1996" s="7"/>
      <c r="E1996" s="16"/>
      <c r="F1996" s="16"/>
      <c r="G1996" s="16"/>
      <c r="H1996" s="16"/>
    </row>
    <row r="1997">
      <c r="A1997" s="16"/>
      <c r="B1997" s="7"/>
      <c r="C1997" s="7"/>
      <c r="D1997" s="7"/>
      <c r="E1997" s="16"/>
      <c r="F1997" s="16"/>
      <c r="G1997" s="16"/>
      <c r="H1997" s="16"/>
    </row>
    <row r="1998">
      <c r="A1998" s="16"/>
      <c r="B1998" s="7"/>
      <c r="C1998" s="7"/>
      <c r="D1998" s="7"/>
      <c r="E1998" s="16"/>
      <c r="F1998" s="16"/>
      <c r="G1998" s="16"/>
      <c r="H1998" s="16"/>
    </row>
    <row r="1999">
      <c r="A1999" s="16"/>
      <c r="B1999" s="7"/>
      <c r="C1999" s="7"/>
      <c r="D1999" s="7"/>
      <c r="E1999" s="16"/>
      <c r="F1999" s="16"/>
      <c r="G1999" s="16"/>
      <c r="H1999" s="1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9.63"/>
    <col customWidth="1" min="2" max="2" width="20.0"/>
    <col customWidth="1" min="3" max="3" width="18.5"/>
    <col customWidth="1" min="4" max="4" width="27.63"/>
    <col customWidth="1" min="5" max="5" width="22.5"/>
    <col customWidth="1" min="6" max="6" width="18.75"/>
    <col customWidth="1" min="7" max="7" width="28.63"/>
    <col customWidth="1" min="8" max="8" width="18.25"/>
    <col customWidth="1" min="13" max="13" width="24.13"/>
  </cols>
  <sheetData>
    <row r="1">
      <c r="A1" s="25"/>
      <c r="B1" s="25"/>
      <c r="C1" s="26"/>
      <c r="D1" s="27"/>
      <c r="E1" s="25"/>
      <c r="F1" s="25"/>
      <c r="G1" s="25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</row>
    <row r="2">
      <c r="A2" s="25"/>
      <c r="B2" s="25"/>
      <c r="C2" s="26"/>
      <c r="D2" s="27"/>
      <c r="E2" s="25"/>
      <c r="F2" s="25"/>
      <c r="G2" s="25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</row>
    <row r="3">
      <c r="A3" s="25"/>
      <c r="B3" s="25"/>
      <c r="C3" s="26"/>
      <c r="D3" s="25"/>
      <c r="E3" s="25"/>
      <c r="F3" s="28"/>
      <c r="G3" s="25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</row>
    <row r="4">
      <c r="A4" s="25"/>
      <c r="B4" s="25"/>
      <c r="C4" s="26"/>
      <c r="D4" s="25"/>
      <c r="E4" s="25"/>
      <c r="F4" s="25"/>
      <c r="G4" s="27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</row>
    <row r="5">
      <c r="A5" s="25"/>
      <c r="B5" s="25"/>
      <c r="C5" s="26"/>
      <c r="D5" s="25"/>
      <c r="E5" s="25"/>
      <c r="F5" s="25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</row>
    <row r="6">
      <c r="A6" s="25"/>
      <c r="B6" s="25"/>
      <c r="C6" s="26"/>
      <c r="D6" s="25"/>
      <c r="E6" s="28"/>
      <c r="F6" s="25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</row>
    <row r="7">
      <c r="A7" s="25"/>
      <c r="B7" s="25"/>
      <c r="C7" s="26"/>
      <c r="D7" s="25"/>
      <c r="E7" s="28"/>
      <c r="F7" s="25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</row>
    <row r="8">
      <c r="A8" s="25"/>
      <c r="B8" s="25"/>
      <c r="C8" s="26"/>
      <c r="D8" s="25"/>
      <c r="E8" s="28"/>
      <c r="F8" s="25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</row>
    <row r="9">
      <c r="A9" s="25"/>
      <c r="B9" s="25"/>
      <c r="C9" s="26"/>
      <c r="D9" s="25"/>
      <c r="E9" s="28"/>
      <c r="F9" s="25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</row>
    <row r="10">
      <c r="A10" s="25"/>
      <c r="B10" s="25"/>
      <c r="C10" s="26"/>
      <c r="D10" s="25"/>
      <c r="E10" s="28"/>
      <c r="F10" s="25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</row>
    <row r="11">
      <c r="A11" s="25"/>
      <c r="B11" s="25"/>
      <c r="C11" s="26"/>
      <c r="D11" s="25"/>
      <c r="E11" s="28"/>
      <c r="F11" s="25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</row>
    <row r="12">
      <c r="A12" s="25"/>
      <c r="B12" s="25"/>
      <c r="C12" s="26"/>
      <c r="D12" s="25"/>
      <c r="E12" s="28"/>
      <c r="F12" s="25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</row>
    <row r="13">
      <c r="A13" s="25"/>
      <c r="B13" s="25"/>
      <c r="C13" s="26"/>
      <c r="D13" s="25"/>
      <c r="E13" s="28"/>
      <c r="F13" s="25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</row>
    <row r="14">
      <c r="A14" s="25"/>
      <c r="B14" s="25"/>
      <c r="C14" s="26"/>
      <c r="D14" s="25"/>
      <c r="E14" s="28"/>
      <c r="F14" s="25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</row>
    <row r="15">
      <c r="A15" s="25"/>
      <c r="B15" s="25"/>
      <c r="C15" s="26"/>
      <c r="D15" s="25"/>
      <c r="E15" s="28"/>
      <c r="F15" s="25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</row>
    <row r="16">
      <c r="A16" s="25"/>
      <c r="B16" s="25"/>
      <c r="C16" s="26"/>
      <c r="D16" s="25"/>
      <c r="E16" s="28"/>
      <c r="F16" s="25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</row>
    <row r="17">
      <c r="A17" s="25"/>
      <c r="B17" s="25"/>
      <c r="C17" s="26"/>
      <c r="D17" s="25"/>
      <c r="E17" s="28"/>
      <c r="F17" s="25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</row>
    <row r="18">
      <c r="A18" s="25"/>
      <c r="B18" s="25"/>
      <c r="C18" s="26"/>
      <c r="D18" s="25"/>
      <c r="E18" s="28"/>
      <c r="F18" s="25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</row>
    <row r="19">
      <c r="A19" s="25"/>
      <c r="B19" s="25"/>
      <c r="C19" s="29"/>
      <c r="D19" s="25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</row>
    <row r="20">
      <c r="A20" s="28"/>
      <c r="B20" s="28"/>
      <c r="C20" s="29"/>
      <c r="D20" s="25"/>
      <c r="E20" s="25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</row>
    <row r="21">
      <c r="A21" s="28"/>
      <c r="B21" s="28"/>
      <c r="C21" s="28"/>
      <c r="D21" s="25"/>
      <c r="E21" s="25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</row>
    <row r="22"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</row>
    <row r="23" ht="48.75" customHeight="1"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</row>
    <row r="24"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</row>
    <row r="25">
      <c r="A25" s="28"/>
      <c r="B25" s="28"/>
      <c r="C25" s="28"/>
      <c r="D25" s="25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</row>
    <row r="26">
      <c r="A26" s="28"/>
      <c r="B26" s="28"/>
      <c r="C26" s="28"/>
      <c r="D26" s="25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</row>
    <row r="27">
      <c r="A27" s="28"/>
      <c r="B27" s="28"/>
      <c r="C27" s="28"/>
      <c r="D27" s="25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</row>
    <row r="28">
      <c r="A28" s="28"/>
      <c r="B28" s="28"/>
      <c r="C28" s="28"/>
      <c r="D28" s="25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</row>
    <row r="29">
      <c r="A29" s="28"/>
      <c r="B29" s="28"/>
      <c r="C29" s="28"/>
      <c r="D29" s="25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</row>
    <row r="30">
      <c r="A30" s="28"/>
      <c r="B30" s="28"/>
      <c r="C30" s="28"/>
      <c r="D30" s="25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</row>
    <row r="31">
      <c r="A31" s="28"/>
      <c r="B31" s="28"/>
      <c r="C31" s="28"/>
      <c r="D31" s="25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</row>
    <row r="32">
      <c r="A32" s="28"/>
      <c r="B32" s="28"/>
      <c r="C32" s="28"/>
      <c r="D32" s="25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</row>
    <row r="33">
      <c r="A33" s="28"/>
      <c r="B33" s="28"/>
      <c r="C33" s="28"/>
      <c r="D33" s="25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</row>
    <row r="34">
      <c r="A34" s="28"/>
      <c r="B34" s="28"/>
      <c r="C34" s="28"/>
      <c r="D34" s="25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</row>
    <row r="35">
      <c r="A35" s="28"/>
      <c r="B35" s="28"/>
      <c r="C35" s="28"/>
      <c r="D35" s="25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</row>
    <row r="36">
      <c r="A36" s="28"/>
      <c r="B36" s="28"/>
      <c r="C36" s="28"/>
      <c r="D36" s="25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</row>
    <row r="37">
      <c r="A37" s="28"/>
      <c r="B37" s="28"/>
      <c r="C37" s="28"/>
      <c r="D37" s="25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</row>
    <row r="38">
      <c r="A38" s="28"/>
      <c r="B38" s="28"/>
      <c r="C38" s="28"/>
      <c r="D38" s="25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</row>
    <row r="39">
      <c r="A39" s="28"/>
      <c r="B39" s="28"/>
      <c r="C39" s="28"/>
      <c r="D39" s="25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</row>
    <row r="40">
      <c r="A40" s="28"/>
      <c r="B40" s="28"/>
      <c r="C40" s="28"/>
      <c r="D40" s="25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</row>
    <row r="41">
      <c r="A41" s="28"/>
      <c r="B41" s="28"/>
      <c r="C41" s="28"/>
      <c r="D41" s="25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</row>
    <row r="42">
      <c r="A42" s="28"/>
      <c r="B42" s="28"/>
      <c r="C42" s="28"/>
      <c r="D42" s="25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</row>
  </sheetData>
  <mergeCells count="1">
    <mergeCell ref="G4:G5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 outlineLevelRow="1"/>
  <cols>
    <col customWidth="1" min="1" max="1" width="32.88"/>
    <col customWidth="1" min="2" max="2" width="20.38"/>
    <col customWidth="1" min="3" max="3" width="12.63"/>
    <col customWidth="1" min="5" max="5" width="15.63"/>
    <col customWidth="1" min="9" max="9" width="4.38"/>
    <col customWidth="1" min="10" max="10" width="14.88"/>
    <col customWidth="1" min="11" max="11" width="11.5"/>
    <col customWidth="1" min="12" max="12" width="7.75"/>
    <col customWidth="1" min="13" max="13" width="6.13"/>
    <col customWidth="1" hidden="1" min="14" max="14" width="7.5"/>
    <col customWidth="1" hidden="1" min="15" max="15" width="7.38"/>
    <col hidden="1" min="16" max="17" width="12.63"/>
    <col customWidth="1" hidden="1" min="18" max="18" width="10.88"/>
    <col hidden="1" min="19" max="28" width="12.63"/>
  </cols>
  <sheetData>
    <row r="1">
      <c r="A1" s="30" t="s">
        <v>12</v>
      </c>
      <c r="B1" s="31"/>
      <c r="C1" s="31"/>
      <c r="D1" s="31"/>
      <c r="E1" s="31"/>
      <c r="F1" s="31"/>
      <c r="G1" s="31"/>
      <c r="H1" s="32"/>
      <c r="I1" s="33"/>
      <c r="J1" s="34" t="s">
        <v>13</v>
      </c>
      <c r="K1" s="35"/>
      <c r="L1" s="35"/>
      <c r="M1" s="36"/>
      <c r="N1" s="33"/>
      <c r="O1" s="37"/>
      <c r="T1" s="38"/>
      <c r="U1" s="38"/>
      <c r="V1" s="38"/>
      <c r="W1" s="38"/>
      <c r="X1" s="38"/>
      <c r="Y1" s="38"/>
      <c r="Z1" s="38"/>
      <c r="AA1" s="38"/>
    </row>
    <row r="2">
      <c r="A2" s="39"/>
      <c r="H2" s="40"/>
      <c r="I2" s="33"/>
      <c r="J2" s="41">
        <v>935.0</v>
      </c>
      <c r="K2" s="42"/>
      <c r="L2" s="42"/>
      <c r="M2" s="43"/>
      <c r="N2" s="33"/>
      <c r="O2" s="37"/>
      <c r="T2" s="38"/>
      <c r="U2" s="38"/>
      <c r="V2" s="38"/>
      <c r="W2" s="38"/>
      <c r="X2" s="38"/>
      <c r="Y2" s="38"/>
      <c r="Z2" s="38"/>
      <c r="AA2" s="38"/>
    </row>
    <row r="3">
      <c r="A3" s="44"/>
      <c r="B3" s="45"/>
      <c r="C3" s="45"/>
      <c r="D3" s="46" t="s">
        <v>14</v>
      </c>
      <c r="E3" s="46"/>
      <c r="F3" s="46"/>
      <c r="G3" s="46"/>
      <c r="H3" s="47"/>
      <c r="I3" s="33"/>
      <c r="J3" s="34" t="s">
        <v>15</v>
      </c>
      <c r="K3" s="35"/>
      <c r="L3" s="35"/>
      <c r="M3" s="36"/>
      <c r="N3" s="33"/>
      <c r="O3" s="37"/>
      <c r="T3" s="38"/>
      <c r="U3" s="38"/>
      <c r="V3" s="38"/>
      <c r="W3" s="38"/>
      <c r="X3" s="38"/>
      <c r="Y3" s="38"/>
      <c r="Z3" s="38"/>
      <c r="AA3" s="38"/>
    </row>
    <row r="4">
      <c r="A4" s="48" t="s">
        <v>9</v>
      </c>
      <c r="B4" s="45"/>
      <c r="C4" s="45"/>
      <c r="D4" s="46" t="s">
        <v>16</v>
      </c>
      <c r="E4" s="46"/>
      <c r="F4" s="46"/>
      <c r="G4" s="46"/>
      <c r="H4" s="47"/>
      <c r="I4" s="33"/>
      <c r="J4" s="49">
        <v>935.0</v>
      </c>
      <c r="K4" s="45"/>
      <c r="L4" s="45"/>
      <c r="M4" s="50"/>
      <c r="N4" s="33"/>
      <c r="O4" s="37"/>
      <c r="T4" s="38"/>
      <c r="U4" s="38"/>
      <c r="V4" s="38"/>
      <c r="W4" s="38"/>
      <c r="X4" s="38"/>
      <c r="Y4" s="38"/>
      <c r="Z4" s="38"/>
      <c r="AA4" s="38"/>
    </row>
    <row r="5" ht="11.25" customHeight="1">
      <c r="A5" s="51"/>
      <c r="B5" s="51"/>
      <c r="C5" s="51"/>
      <c r="D5" s="51"/>
      <c r="E5" s="51"/>
      <c r="F5" s="51"/>
      <c r="G5" s="51"/>
      <c r="H5" s="51"/>
      <c r="I5" s="33"/>
      <c r="J5" s="51"/>
      <c r="K5" s="51"/>
      <c r="L5" s="51"/>
      <c r="M5" s="51"/>
      <c r="N5" s="33"/>
      <c r="O5" s="37"/>
      <c r="T5" s="38"/>
      <c r="U5" s="38"/>
      <c r="V5" s="38"/>
      <c r="W5" s="38"/>
      <c r="X5" s="38"/>
      <c r="Y5" s="38"/>
      <c r="Z5" s="38"/>
      <c r="AA5" s="38"/>
    </row>
    <row r="6" ht="31.5" customHeight="1">
      <c r="A6" s="34" t="s">
        <v>0</v>
      </c>
      <c r="B6" s="52" t="s">
        <v>17</v>
      </c>
      <c r="C6" s="53" t="s">
        <v>18</v>
      </c>
      <c r="D6" s="54" t="s">
        <v>19</v>
      </c>
      <c r="E6" s="54" t="s">
        <v>20</v>
      </c>
      <c r="F6" s="54" t="s">
        <v>21</v>
      </c>
      <c r="G6" s="54" t="s">
        <v>22</v>
      </c>
      <c r="H6" s="55" t="s">
        <v>7</v>
      </c>
      <c r="I6" s="56"/>
      <c r="J6" s="57"/>
      <c r="K6" s="57"/>
      <c r="L6" s="57"/>
      <c r="M6" s="57"/>
      <c r="N6" s="58"/>
      <c r="O6" s="59" t="s">
        <v>23</v>
      </c>
      <c r="P6" s="57"/>
      <c r="Q6" s="57"/>
      <c r="T6" s="60"/>
      <c r="U6" s="60"/>
      <c r="V6" s="60"/>
      <c r="W6" s="60"/>
      <c r="X6" s="60"/>
      <c r="Y6" s="60"/>
      <c r="Z6" s="60"/>
      <c r="AA6" s="60"/>
    </row>
    <row r="7">
      <c r="A7" s="61" t="s">
        <v>24</v>
      </c>
      <c r="B7" s="62" t="s">
        <v>25</v>
      </c>
      <c r="C7" s="63">
        <v>30.0</v>
      </c>
      <c r="D7" s="64">
        <f>IF(ISNA(($C7/100)*VLOOKUP($B7,DB,3,FALSE)),"",($C7/100)*VLOOKUP($B7,DB,3,FALSE))</f>
        <v>0.75</v>
      </c>
      <c r="E7" s="64">
        <f>IF(ISNA(($C7/100)*VLOOKUP($B7,DB,4,FALSE)),"",($C7/100)*VLOOKUP($B7,DB,4,FALSE))</f>
        <v>5.04</v>
      </c>
      <c r="F7" s="64">
        <f>IF(ISNA(($C7/100)*VLOOKUP($B7,DB,5,FALSE)),"",($C7/100)*VLOOKUP($B7,DB,5,FALSE))</f>
        <v>0.03</v>
      </c>
      <c r="G7" s="64">
        <f>IF(ISNA(($C7/100)*VLOOKUP($B7,DB,6,FALSE)),"",($C7/100)*VLOOKUP($B7,DB,6,FALSE))</f>
        <v>0</v>
      </c>
      <c r="H7" s="65">
        <f t="shared" ref="H7:H25" si="1">IF(ISERROR(ROUNDUP((D7+E7)*4+F7*9,0)),"",ROUNDUP((D7+E7)*4+F7*9,0))</f>
        <v>24</v>
      </c>
      <c r="I7" s="56"/>
      <c r="J7" s="57"/>
      <c r="K7" s="57"/>
      <c r="L7" s="57"/>
      <c r="M7" s="57"/>
      <c r="N7" s="66"/>
      <c r="O7" s="67">
        <f>100/J4</f>
        <v>0.1069518717</v>
      </c>
      <c r="P7" s="57"/>
      <c r="Q7" s="57"/>
      <c r="T7" s="68"/>
      <c r="U7" s="68"/>
      <c r="V7" s="68"/>
      <c r="W7" s="68"/>
      <c r="X7" s="68"/>
      <c r="Y7" s="68"/>
      <c r="Z7" s="68"/>
      <c r="AA7" s="68"/>
    </row>
    <row r="8">
      <c r="A8" s="61" t="s">
        <v>24</v>
      </c>
      <c r="B8" s="69" t="s">
        <v>26</v>
      </c>
      <c r="C8" s="63">
        <v>20.0</v>
      </c>
      <c r="D8" s="64">
        <f>IF(ISNA(($C8/100)*VLOOKUP($B8,DB,3,FALSE)),"",($C8/100)*VLOOKUP($B8,DB,3,FALSE))</f>
        <v>1.28</v>
      </c>
      <c r="E8" s="64">
        <f>IF(ISNA(($C8/100)*VLOOKUP($B8,DB,4,FALSE)),"",($C8/100)*VLOOKUP($B8,DB,4,FALSE))</f>
        <v>6.6</v>
      </c>
      <c r="F8" s="64">
        <f>IF(ISNA(($C8/100)*VLOOKUP($B8,DB,5,FALSE)),"",($C8/100)*VLOOKUP($B8,DB,5,FALSE))</f>
        <v>0.1</v>
      </c>
      <c r="G8" s="64">
        <f>IF(ISNA(($C8/100)*VLOOKUP($B8,DB,6,FALSE)),"",($C8/100)*VLOOKUP($B8,DB,6,FALSE))</f>
        <v>0.42</v>
      </c>
      <c r="H8" s="65">
        <f t="shared" si="1"/>
        <v>33</v>
      </c>
      <c r="I8" s="56"/>
      <c r="J8" s="57"/>
      <c r="K8" s="57"/>
      <c r="L8" s="57"/>
      <c r="M8" s="57"/>
      <c r="N8" s="66"/>
      <c r="O8" s="70"/>
      <c r="P8" s="70"/>
      <c r="Q8" s="70"/>
      <c r="R8" s="71"/>
      <c r="S8" s="38"/>
      <c r="T8" s="68"/>
      <c r="U8" s="68"/>
      <c r="V8" s="68"/>
      <c r="W8" s="68"/>
      <c r="X8" s="68"/>
      <c r="Y8" s="68"/>
      <c r="Z8" s="68"/>
      <c r="AA8" s="68"/>
    </row>
    <row r="9">
      <c r="A9" s="61" t="s">
        <v>27</v>
      </c>
      <c r="B9" s="69" t="s">
        <v>28</v>
      </c>
      <c r="C9" s="63">
        <v>800.0</v>
      </c>
      <c r="D9" s="64">
        <f>IF(ISNA(($C9/100)*VLOOKUP($B9,DB,3,FALSE)),"",($C9/100)*VLOOKUP($B9,DB,3,FALSE))</f>
        <v>18.4</v>
      </c>
      <c r="E9" s="64">
        <f>IF(ISNA(($C9/100)*VLOOKUP($B9,DB,4,FALSE)),"",($C9/100)*VLOOKUP($B9,DB,4,FALSE))</f>
        <v>40.8</v>
      </c>
      <c r="F9" s="64">
        <f>IF(ISNA(($C9/100)*VLOOKUP($B9,DB,5,FALSE)),"",($C9/100)*VLOOKUP($B9,DB,5,FALSE))</f>
        <v>3.2</v>
      </c>
      <c r="G9" s="64">
        <f>IF(ISNA(($C9/100)*VLOOKUP($B9,DB,6,FALSE)),"",($C9/100)*VLOOKUP($B9,DB,6,FALSE))</f>
        <v>19.2</v>
      </c>
      <c r="H9" s="65">
        <f t="shared" si="1"/>
        <v>266</v>
      </c>
      <c r="I9" s="56"/>
      <c r="J9" s="57"/>
      <c r="K9" s="57"/>
      <c r="L9" s="57"/>
      <c r="M9" s="57"/>
      <c r="N9" s="72"/>
      <c r="O9" s="70"/>
      <c r="P9" s="70"/>
      <c r="Q9" s="70"/>
      <c r="R9" s="71"/>
      <c r="S9" s="38"/>
      <c r="T9" s="68"/>
      <c r="U9" s="68"/>
      <c r="V9" s="68"/>
      <c r="W9" s="68"/>
      <c r="X9" s="68"/>
      <c r="Y9" s="68"/>
      <c r="Z9" s="68"/>
      <c r="AA9" s="68"/>
    </row>
    <row r="10">
      <c r="A10" s="61" t="s">
        <v>29</v>
      </c>
      <c r="B10" s="69" t="s">
        <v>30</v>
      </c>
      <c r="C10" s="63">
        <v>485.0</v>
      </c>
      <c r="D10" s="64">
        <f>IF(ISNA(($C10/100)*VLOOKUP($B10,DB,3,FALSE)),"",($C10/100)*VLOOKUP($B10,DB,3,FALSE))</f>
        <v>71.586</v>
      </c>
      <c r="E10" s="64">
        <f>IF(ISNA(($C10/100)*VLOOKUP($B10,DB,4,FALSE)),"",($C10/100)*VLOOKUP($B10,DB,4,FALSE))</f>
        <v>9.118</v>
      </c>
      <c r="F10" s="64">
        <f>IF(ISNA(($C10/100)*VLOOKUP($B10,DB,5,FALSE)),"",($C10/100)*VLOOKUP($B10,DB,5,FALSE))</f>
        <v>24.0075</v>
      </c>
      <c r="G10" s="64">
        <f>IF(ISNA(($C10/100)*VLOOKUP($B10,DB,6,FALSE)),"",($C10/100)*VLOOKUP($B10,DB,6,FALSE))</f>
        <v>0</v>
      </c>
      <c r="H10" s="65">
        <f t="shared" si="1"/>
        <v>539</v>
      </c>
      <c r="I10" s="56"/>
      <c r="J10" s="57"/>
      <c r="K10" s="57"/>
      <c r="L10" s="57"/>
      <c r="M10" s="57"/>
      <c r="N10" s="73"/>
      <c r="O10" s="73"/>
      <c r="P10" s="58"/>
      <c r="Q10" s="58"/>
      <c r="R10" s="38"/>
      <c r="S10" s="38"/>
      <c r="T10" s="68"/>
      <c r="U10" s="68"/>
      <c r="V10" s="68"/>
      <c r="W10" s="68"/>
      <c r="X10" s="68"/>
      <c r="Y10" s="68"/>
      <c r="Z10" s="68"/>
      <c r="AA10" s="68"/>
    </row>
    <row r="11">
      <c r="A11" s="61"/>
      <c r="B11" s="69"/>
      <c r="C11" s="63"/>
      <c r="D11" s="64" t="str">
        <f>IF(ISNA(($C11/100)*VLOOKUP($B11,DB,3,FALSE)),"",($C11/100)*VLOOKUP($B11,DB,3,FALSE))</f>
        <v/>
      </c>
      <c r="E11" s="64" t="str">
        <f>IF(ISNA(($C11/100)*VLOOKUP($B11,DB,4,FALSE)),"",($C11/100)*VLOOKUP($B11,DB,4,FALSE))</f>
        <v/>
      </c>
      <c r="F11" s="64" t="str">
        <f>IF(ISNA(($C11/100)*VLOOKUP($B11,DB,5,FALSE)),"",($C11/100)*VLOOKUP($B11,DB,5,FALSE))</f>
        <v/>
      </c>
      <c r="G11" s="64" t="str">
        <f>IF(ISNA(($C11/100)*VLOOKUP($B11,DB,6,FALSE)),"",($C11/100)*VLOOKUP($B11,DB,6,FALSE))</f>
        <v/>
      </c>
      <c r="H11" s="65">
        <f t="shared" si="1"/>
        <v>0</v>
      </c>
      <c r="J11" s="57"/>
      <c r="K11" s="57"/>
      <c r="L11" s="57"/>
      <c r="M11" s="57"/>
      <c r="N11" s="57"/>
      <c r="O11" s="74"/>
      <c r="P11" s="74"/>
      <c r="Q11" s="74"/>
      <c r="R11" s="38"/>
      <c r="S11" s="38"/>
      <c r="T11" s="68"/>
      <c r="U11" s="68"/>
      <c r="V11" s="68"/>
      <c r="W11" s="68"/>
      <c r="X11" s="68"/>
      <c r="Y11" s="68"/>
      <c r="Z11" s="68"/>
      <c r="AA11" s="68"/>
    </row>
    <row r="12">
      <c r="A12" s="61"/>
      <c r="B12" s="69"/>
      <c r="C12" s="63"/>
      <c r="D12" s="64" t="str">
        <f>IF(ISNA(($C12/100)*VLOOKUP($B12,DB,3,FALSE)),"",($C12/100)*VLOOKUP($B12,DB,3,FALSE))</f>
        <v/>
      </c>
      <c r="E12" s="64" t="str">
        <f>IF(ISNA(($C12/100)*VLOOKUP($B12,DB,4,FALSE)),"",($C12/100)*VLOOKUP($B12,DB,4,FALSE))</f>
        <v/>
      </c>
      <c r="F12" s="64" t="str">
        <f>IF(ISNA(($C12/100)*VLOOKUP($B12,DB,5,FALSE)),"",($C12/100)*VLOOKUP($B12,DB,5,FALSE))</f>
        <v/>
      </c>
      <c r="G12" s="64" t="str">
        <f>IF(ISNA(($C12/100)*VLOOKUP($B12,DB,6,FALSE)),"",($C12/100)*VLOOKUP($B12,DB,6,FALSE))</f>
        <v/>
      </c>
      <c r="H12" s="65">
        <f t="shared" si="1"/>
        <v>0</v>
      </c>
      <c r="I12" s="56"/>
      <c r="J12" s="57"/>
      <c r="K12" s="57"/>
      <c r="L12" s="57"/>
      <c r="M12" s="57"/>
      <c r="N12" s="57"/>
      <c r="O12" s="73"/>
      <c r="P12" s="58"/>
      <c r="Q12" s="58"/>
      <c r="R12" s="38"/>
      <c r="S12" s="38"/>
      <c r="T12" s="68"/>
      <c r="U12" s="68"/>
      <c r="V12" s="68"/>
      <c r="W12" s="68"/>
      <c r="X12" s="68"/>
      <c r="Y12" s="68"/>
      <c r="Z12" s="68"/>
      <c r="AA12" s="68"/>
    </row>
    <row r="13">
      <c r="A13" s="61"/>
      <c r="B13" s="69"/>
      <c r="C13" s="63"/>
      <c r="D13" s="64" t="str">
        <f>IF(ISNA(($C13/100)*VLOOKUP($B13,DB,3,FALSE)),"",($C13/100)*VLOOKUP($B13,DB,3,FALSE))</f>
        <v/>
      </c>
      <c r="E13" s="64" t="str">
        <f>IF(ISNA(($C13/100)*VLOOKUP($B13,DB,4,FALSE)),"",($C13/100)*VLOOKUP($B13,DB,4,FALSE))</f>
        <v/>
      </c>
      <c r="F13" s="64" t="str">
        <f>IF(ISNA(($C13/100)*VLOOKUP($B13,DB,5,FALSE)),"",($C13/100)*VLOOKUP($B13,DB,5,FALSE))</f>
        <v/>
      </c>
      <c r="G13" s="64" t="str">
        <f>IF(ISNA(($C13/100)*VLOOKUP($B13,DB,6,FALSE)),"",($C13/100)*VLOOKUP($B13,DB,6,FALSE))</f>
        <v/>
      </c>
      <c r="H13" s="65">
        <f t="shared" si="1"/>
        <v>0</v>
      </c>
      <c r="I13" s="56"/>
      <c r="J13" s="57"/>
      <c r="K13" s="57"/>
      <c r="L13" s="57"/>
      <c r="M13" s="57"/>
      <c r="N13" s="75"/>
      <c r="O13" s="75"/>
      <c r="P13" s="76"/>
      <c r="Q13" s="76"/>
      <c r="R13" s="77"/>
      <c r="S13" s="78"/>
      <c r="T13" s="78"/>
      <c r="U13" s="68"/>
      <c r="V13" s="68"/>
      <c r="W13" s="68"/>
      <c r="X13" s="68"/>
      <c r="Y13" s="68"/>
      <c r="Z13" s="68"/>
      <c r="AA13" s="68"/>
    </row>
    <row r="14">
      <c r="A14" s="61"/>
      <c r="B14" s="69"/>
      <c r="C14" s="63"/>
      <c r="D14" s="64" t="str">
        <f>IF(ISNA(($C14/100)*VLOOKUP($B14,DB,3,FALSE)),"",($C14/100)*VLOOKUP($B14,DB,3,FALSE))</f>
        <v/>
      </c>
      <c r="E14" s="64" t="str">
        <f>IF(ISNA(($C14/100)*VLOOKUP($B14,DB,4,FALSE)),"",($C14/100)*VLOOKUP($B14,DB,4,FALSE))</f>
        <v/>
      </c>
      <c r="F14" s="64" t="str">
        <f>IF(ISNA(($C14/100)*VLOOKUP($B14,DB,5,FALSE)),"",($C14/100)*VLOOKUP($B14,DB,5,FALSE))</f>
        <v/>
      </c>
      <c r="G14" s="64" t="str">
        <f>IF(ISNA(($C14/100)*VLOOKUP($B14,DB,6,FALSE)),"",($C14/100)*VLOOKUP($B14,DB,6,FALSE))</f>
        <v/>
      </c>
      <c r="H14" s="65">
        <f t="shared" si="1"/>
        <v>0</v>
      </c>
      <c r="I14" s="56"/>
      <c r="J14" s="79"/>
      <c r="K14" s="79"/>
      <c r="L14" s="79"/>
      <c r="M14" s="79"/>
      <c r="N14" s="80"/>
      <c r="O14" s="81"/>
      <c r="P14" s="81"/>
      <c r="Q14" s="81"/>
      <c r="R14" s="82"/>
      <c r="S14" s="82"/>
      <c r="T14" s="82"/>
      <c r="U14" s="83"/>
      <c r="V14" s="83"/>
      <c r="W14" s="83"/>
      <c r="X14" s="68"/>
      <c r="Y14" s="68"/>
      <c r="Z14" s="68"/>
      <c r="AA14" s="68"/>
    </row>
    <row r="15">
      <c r="A15" s="61"/>
      <c r="B15" s="69"/>
      <c r="C15" s="63"/>
      <c r="D15" s="64" t="str">
        <f>IF(ISNA(($C15/100)*VLOOKUP($B15,DB,3,FALSE)),"",($C15/100)*VLOOKUP($B15,DB,3,FALSE))</f>
        <v/>
      </c>
      <c r="E15" s="64" t="str">
        <f>IF(ISNA(($C15/100)*VLOOKUP($B15,DB,4,FALSE)),"",($C15/100)*VLOOKUP($B15,DB,4,FALSE))</f>
        <v/>
      </c>
      <c r="F15" s="64" t="str">
        <f>IF(ISNA(($C15/100)*VLOOKUP($B15,DB,5,FALSE)),"",($C15/100)*VLOOKUP($B15,DB,5,FALSE))</f>
        <v/>
      </c>
      <c r="G15" s="64" t="str">
        <f>IF(ISNA(($C15/100)*VLOOKUP($B15,DB,6,FALSE)),"",($C15/100)*VLOOKUP($B15,DB,6,FALSE))</f>
        <v/>
      </c>
      <c r="H15" s="65">
        <f t="shared" si="1"/>
        <v>0</v>
      </c>
      <c r="I15" s="56"/>
      <c r="J15" s="57"/>
      <c r="K15" s="57"/>
      <c r="L15" s="57"/>
      <c r="M15" s="57"/>
      <c r="N15" s="57"/>
      <c r="O15" s="84"/>
      <c r="P15" s="84"/>
      <c r="Q15" s="84"/>
      <c r="R15" s="68"/>
      <c r="S15" s="68"/>
      <c r="T15" s="68"/>
      <c r="U15" s="68"/>
      <c r="V15" s="68"/>
      <c r="W15" s="68"/>
      <c r="X15" s="68"/>
      <c r="Y15" s="68"/>
      <c r="Z15" s="68"/>
      <c r="AA15" s="68"/>
    </row>
    <row r="16" outlineLevel="1">
      <c r="A16" s="61"/>
      <c r="B16" s="69"/>
      <c r="C16" s="63"/>
      <c r="D16" s="64" t="str">
        <f>IF(ISNA(($C16/100)*VLOOKUP($B16,DB,3,FALSE)),"",($C16/100)*VLOOKUP($B16,DB,3,FALSE))</f>
        <v/>
      </c>
      <c r="E16" s="64" t="str">
        <f>IF(ISNA(($C16/100)*VLOOKUP($B16,DB,4,FALSE)),"",($C16/100)*VLOOKUP($B16,DB,4,FALSE))</f>
        <v/>
      </c>
      <c r="F16" s="64" t="str">
        <f>IF(ISNA(($C16/100)*VLOOKUP($B16,DB,5,FALSE)),"",($C16/100)*VLOOKUP($B16,DB,5,FALSE))</f>
        <v/>
      </c>
      <c r="G16" s="64" t="str">
        <f>IF(ISNA(($C16/100)*VLOOKUP($B16,DB,6,FALSE)),"",($C16/100)*VLOOKUP($B16,DB,6,FALSE))</f>
        <v/>
      </c>
      <c r="H16" s="65">
        <f t="shared" si="1"/>
        <v>0</v>
      </c>
      <c r="I16" s="56"/>
      <c r="J16" s="57"/>
      <c r="K16" s="57"/>
      <c r="L16" s="57"/>
      <c r="M16" s="57"/>
      <c r="N16" s="57"/>
      <c r="O16" s="84"/>
      <c r="P16" s="84"/>
      <c r="Q16" s="84"/>
      <c r="R16" s="68"/>
      <c r="S16" s="68"/>
      <c r="T16" s="68"/>
      <c r="U16" s="68"/>
      <c r="V16" s="68"/>
      <c r="W16" s="68"/>
      <c r="X16" s="68"/>
      <c r="Y16" s="68"/>
      <c r="Z16" s="68"/>
      <c r="AA16" s="68"/>
    </row>
    <row r="17" outlineLevel="1">
      <c r="A17" s="61"/>
      <c r="B17" s="69"/>
      <c r="C17" s="63"/>
      <c r="D17" s="64" t="str">
        <f>IF(ISNA(($C17/100)*VLOOKUP($B17,DB,3,FALSE)),"",($C17/100)*VLOOKUP($B17,DB,3,FALSE))</f>
        <v/>
      </c>
      <c r="E17" s="64" t="str">
        <f>IF(ISNA(($C17/100)*VLOOKUP($B17,DB,4,FALSE)),"",($C17/100)*VLOOKUP($B17,DB,4,FALSE))</f>
        <v/>
      </c>
      <c r="F17" s="64" t="str">
        <f>IF(ISNA(($C17/100)*VLOOKUP($B17,DB,5,FALSE)),"",($C17/100)*VLOOKUP($B17,DB,5,FALSE))</f>
        <v/>
      </c>
      <c r="G17" s="64" t="str">
        <f>IF(ISNA(($C17/100)*VLOOKUP($B17,DB,6,FALSE)),"",($C17/100)*VLOOKUP($B17,DB,6,FALSE))</f>
        <v/>
      </c>
      <c r="H17" s="65">
        <f t="shared" si="1"/>
        <v>0</v>
      </c>
      <c r="I17" s="56"/>
      <c r="J17" s="57"/>
      <c r="K17" s="57"/>
      <c r="L17" s="57"/>
      <c r="M17" s="57"/>
      <c r="N17" s="57"/>
      <c r="O17" s="84"/>
      <c r="P17" s="84"/>
      <c r="Q17" s="84"/>
      <c r="R17" s="68"/>
      <c r="S17" s="68"/>
      <c r="T17" s="68"/>
      <c r="U17" s="68"/>
      <c r="V17" s="68"/>
      <c r="W17" s="68"/>
      <c r="X17" s="68"/>
      <c r="Y17" s="68"/>
      <c r="Z17" s="68"/>
      <c r="AA17" s="68"/>
    </row>
    <row r="18" outlineLevel="1">
      <c r="A18" s="61"/>
      <c r="B18" s="69"/>
      <c r="C18" s="63"/>
      <c r="D18" s="64" t="str">
        <f>IF(ISNA(($C18/100)*VLOOKUP($B18,DB,3,FALSE)),"",($C18/100)*VLOOKUP($B18,DB,3,FALSE))</f>
        <v/>
      </c>
      <c r="E18" s="64" t="str">
        <f>IF(ISNA(($C18/100)*VLOOKUP($B18,DB,4,FALSE)),"",($C18/100)*VLOOKUP($B18,DB,4,FALSE))</f>
        <v/>
      </c>
      <c r="F18" s="64" t="str">
        <f>IF(ISNA(($C18/100)*VLOOKUP($B18,DB,5,FALSE)),"",($C18/100)*VLOOKUP($B18,DB,5,FALSE))</f>
        <v/>
      </c>
      <c r="G18" s="64" t="str">
        <f>IF(ISNA(($C18/100)*VLOOKUP($B18,DB,6,FALSE)),"",($C18/100)*VLOOKUP($B18,DB,6,FALSE))</f>
        <v/>
      </c>
      <c r="H18" s="65">
        <f t="shared" si="1"/>
        <v>0</v>
      </c>
      <c r="I18" s="60"/>
      <c r="J18" s="57"/>
      <c r="K18" s="57"/>
      <c r="L18" s="57"/>
      <c r="M18" s="57"/>
      <c r="N18" s="57"/>
      <c r="O18" s="84"/>
      <c r="P18" s="84"/>
      <c r="Q18" s="84"/>
      <c r="R18" s="68"/>
      <c r="S18" s="68"/>
      <c r="T18" s="68"/>
      <c r="U18" s="68"/>
      <c r="V18" s="68"/>
      <c r="W18" s="68"/>
      <c r="X18" s="68"/>
      <c r="Y18" s="68"/>
      <c r="Z18" s="68"/>
      <c r="AA18" s="68"/>
    </row>
    <row r="19" outlineLevel="1">
      <c r="A19" s="61"/>
      <c r="B19" s="69"/>
      <c r="C19" s="63"/>
      <c r="D19" s="64" t="str">
        <f>IF(ISNA(($C19/100)*VLOOKUP($B19,DB,3,FALSE)),"",($C19/100)*VLOOKUP($B19,DB,3,FALSE))</f>
        <v/>
      </c>
      <c r="E19" s="64" t="str">
        <f>IF(ISNA(($C19/100)*VLOOKUP($B19,DB,4,FALSE)),"",($C19/100)*VLOOKUP($B19,DB,4,FALSE))</f>
        <v/>
      </c>
      <c r="F19" s="64" t="str">
        <f>IF(ISNA(($C19/100)*VLOOKUP($B19,DB,5,FALSE)),"",($C19/100)*VLOOKUP($B19,DB,5,FALSE))</f>
        <v/>
      </c>
      <c r="G19" s="64" t="str">
        <f>IF(ISNA(($C19/100)*VLOOKUP($B19,DB,6,FALSE)),"",($C19/100)*VLOOKUP($B19,DB,6,FALSE))</f>
        <v/>
      </c>
      <c r="H19" s="65">
        <f t="shared" si="1"/>
        <v>0</v>
      </c>
      <c r="I19" s="56"/>
      <c r="J19" s="76"/>
      <c r="K19" s="76"/>
      <c r="L19" s="76"/>
      <c r="M19" s="76"/>
      <c r="N19" s="76"/>
      <c r="O19" s="84"/>
      <c r="P19" s="84"/>
      <c r="Q19" s="84"/>
      <c r="R19" s="68"/>
      <c r="S19" s="68"/>
      <c r="T19" s="68"/>
      <c r="U19" s="68"/>
      <c r="V19" s="68"/>
      <c r="W19" s="68"/>
      <c r="X19" s="68"/>
      <c r="Y19" s="68"/>
      <c r="Z19" s="68"/>
      <c r="AA19" s="68"/>
    </row>
    <row r="20" outlineLevel="1">
      <c r="A20" s="61"/>
      <c r="B20" s="69"/>
      <c r="C20" s="63"/>
      <c r="D20" s="64" t="str">
        <f>IF(ISNA(($C20/100)*VLOOKUP($B20,DB,3,FALSE)),"",($C20/100)*VLOOKUP($B20,DB,3,FALSE))</f>
        <v/>
      </c>
      <c r="E20" s="64" t="str">
        <f>IF(ISNA(($C20/100)*VLOOKUP($B20,DB,4,FALSE)),"",($C20/100)*VLOOKUP($B20,DB,4,FALSE))</f>
        <v/>
      </c>
      <c r="F20" s="64" t="str">
        <f>IF(ISNA(($C20/100)*VLOOKUP($B20,DB,5,FALSE)),"",($C20/100)*VLOOKUP($B20,DB,5,FALSE))</f>
        <v/>
      </c>
      <c r="G20" s="64" t="str">
        <f>IF(ISNA(($C20/100)*VLOOKUP($B20,DB,6,FALSE)),"",($C20/100)*VLOOKUP($B20,DB,6,FALSE))</f>
        <v/>
      </c>
      <c r="H20" s="65">
        <f t="shared" si="1"/>
        <v>0</v>
      </c>
      <c r="I20" s="56"/>
      <c r="J20" s="57"/>
      <c r="K20" s="57"/>
      <c r="L20" s="57"/>
      <c r="M20" s="57"/>
      <c r="N20" s="57"/>
      <c r="O20" s="84"/>
      <c r="P20" s="84"/>
      <c r="Q20" s="84"/>
      <c r="R20" s="68"/>
      <c r="S20" s="68"/>
      <c r="T20" s="68"/>
      <c r="U20" s="68"/>
      <c r="V20" s="68"/>
      <c r="W20" s="68"/>
      <c r="X20" s="68"/>
      <c r="Y20" s="68"/>
      <c r="Z20" s="68"/>
      <c r="AA20" s="68"/>
    </row>
    <row r="21" outlineLevel="1">
      <c r="A21" s="61"/>
      <c r="B21" s="69"/>
      <c r="C21" s="63"/>
      <c r="D21" s="64" t="str">
        <f>IF(ISNA(($C21/100)*VLOOKUP($B21,DB,3,FALSE)),"",($C21/100)*VLOOKUP($B21,DB,3,FALSE))</f>
        <v/>
      </c>
      <c r="E21" s="64" t="str">
        <f>IF(ISNA(($C21/100)*VLOOKUP($B21,DB,4,FALSE)),"",($C21/100)*VLOOKUP($B21,DB,4,FALSE))</f>
        <v/>
      </c>
      <c r="F21" s="64" t="str">
        <f>IF(ISNA(($C21/100)*VLOOKUP($B21,DB,5,FALSE)),"",($C21/100)*VLOOKUP($B21,DB,5,FALSE))</f>
        <v/>
      </c>
      <c r="G21" s="64" t="str">
        <f>IF(ISNA(($C21/100)*VLOOKUP($B21,DB,6,FALSE)),"",($C21/100)*VLOOKUP($B21,DB,6,FALSE))</f>
        <v/>
      </c>
      <c r="H21" s="65">
        <f t="shared" si="1"/>
        <v>0</v>
      </c>
      <c r="I21" s="60"/>
      <c r="J21" s="57"/>
      <c r="K21" s="57"/>
      <c r="L21" s="57"/>
      <c r="M21" s="57"/>
      <c r="N21" s="57"/>
      <c r="O21" s="76"/>
      <c r="P21" s="76"/>
      <c r="Q21" s="76"/>
      <c r="R21" s="68"/>
      <c r="S21" s="68"/>
      <c r="T21" s="68"/>
      <c r="U21" s="68"/>
      <c r="V21" s="68"/>
      <c r="W21" s="68"/>
      <c r="X21" s="68"/>
      <c r="Y21" s="68"/>
      <c r="Z21" s="68"/>
      <c r="AA21" s="68"/>
    </row>
    <row r="22" outlineLevel="1">
      <c r="A22" s="61"/>
      <c r="B22" s="69"/>
      <c r="C22" s="63"/>
      <c r="D22" s="64" t="str">
        <f>IF(ISNA(($C22/100)*VLOOKUP($B22,DB,3,FALSE)),"",($C22/100)*VLOOKUP($B22,DB,3,FALSE))</f>
        <v/>
      </c>
      <c r="E22" s="64" t="str">
        <f>IF(ISNA(($C22/100)*VLOOKUP($B22,DB,4,FALSE)),"",($C22/100)*VLOOKUP($B22,DB,4,FALSE))</f>
        <v/>
      </c>
      <c r="F22" s="64" t="str">
        <f>IF(ISNA(($C22/100)*VLOOKUP($B22,DB,5,FALSE)),"",($C22/100)*VLOOKUP($B22,DB,5,FALSE))</f>
        <v/>
      </c>
      <c r="G22" s="64" t="str">
        <f>IF(ISNA(($C22/100)*VLOOKUP($B22,DB,6,FALSE)),"",($C22/100)*VLOOKUP($B22,DB,6,FALSE))</f>
        <v/>
      </c>
      <c r="H22" s="65">
        <f t="shared" si="1"/>
        <v>0</v>
      </c>
      <c r="I22" s="60"/>
      <c r="J22" s="85"/>
      <c r="K22" s="86"/>
      <c r="R22" s="68"/>
      <c r="S22" s="68"/>
      <c r="T22" s="68"/>
      <c r="U22" s="68"/>
      <c r="V22" s="68"/>
      <c r="W22" s="68"/>
      <c r="X22" s="68"/>
      <c r="Y22" s="68"/>
      <c r="Z22" s="68"/>
      <c r="AA22" s="68"/>
    </row>
    <row r="23" outlineLevel="1">
      <c r="A23" s="61"/>
      <c r="B23" s="69"/>
      <c r="C23" s="63"/>
      <c r="D23" s="64" t="str">
        <f>IF(ISNA(($C23/100)*VLOOKUP($B23,DB,3,FALSE)),"",($C23/100)*VLOOKUP($B23,DB,3,FALSE))</f>
        <v/>
      </c>
      <c r="E23" s="64" t="str">
        <f>IF(ISNA(($C23/100)*VLOOKUP($B23,DB,4,FALSE)),"",($C23/100)*VLOOKUP($B23,DB,4,FALSE))</f>
        <v/>
      </c>
      <c r="F23" s="64" t="str">
        <f>IF(ISNA(($C23/100)*VLOOKUP($B23,DB,5,FALSE)),"",($C23/100)*VLOOKUP($B23,DB,5,FALSE))</f>
        <v/>
      </c>
      <c r="G23" s="64" t="str">
        <f>IF(ISNA(($C23/100)*VLOOKUP($B23,DB,6,FALSE)),"",($C23/100)*VLOOKUP($B23,DB,6,FALSE))</f>
        <v/>
      </c>
      <c r="H23" s="65">
        <f t="shared" si="1"/>
        <v>0</v>
      </c>
      <c r="I23" s="60"/>
      <c r="J23" s="84"/>
      <c r="K23" s="84"/>
      <c r="L23" s="84"/>
      <c r="M23" s="84"/>
      <c r="N23" s="84"/>
      <c r="O23" s="84"/>
      <c r="P23" s="84"/>
      <c r="Q23" s="84"/>
      <c r="R23" s="68"/>
      <c r="S23" s="68"/>
      <c r="T23" s="68"/>
      <c r="U23" s="68"/>
      <c r="V23" s="68"/>
      <c r="W23" s="68"/>
      <c r="X23" s="68"/>
      <c r="Y23" s="68"/>
      <c r="Z23" s="68"/>
      <c r="AA23" s="68"/>
    </row>
    <row r="24" outlineLevel="1">
      <c r="A24" s="61"/>
      <c r="B24" s="69"/>
      <c r="C24" s="63"/>
      <c r="D24" s="64" t="str">
        <f>IF(ISNA(($C24/100)*VLOOKUP($B24,DB,3,FALSE)),"",($C24/100)*VLOOKUP($B24,DB,3,FALSE))</f>
        <v/>
      </c>
      <c r="E24" s="64" t="str">
        <f>IF(ISNA(($C24/100)*VLOOKUP($B24,DB,4,FALSE)),"",($C24/100)*VLOOKUP($B24,DB,4,FALSE))</f>
        <v/>
      </c>
      <c r="F24" s="64" t="str">
        <f>IF(ISNA(($C24/100)*VLOOKUP($B24,DB,5,FALSE)),"",($C24/100)*VLOOKUP($B24,DB,5,FALSE))</f>
        <v/>
      </c>
      <c r="G24" s="64" t="str">
        <f>IF(ISNA(($C24/100)*VLOOKUP($B24,DB,6,FALSE)),"",($C24/100)*VLOOKUP($B24,DB,6,FALSE))</f>
        <v/>
      </c>
      <c r="H24" s="65">
        <f t="shared" si="1"/>
        <v>0</v>
      </c>
      <c r="I24" s="60"/>
      <c r="J24" s="84"/>
      <c r="K24" s="84"/>
      <c r="L24" s="84"/>
      <c r="M24" s="84"/>
      <c r="N24" s="84"/>
      <c r="O24" s="84"/>
      <c r="P24" s="84"/>
      <c r="Q24" s="84"/>
      <c r="R24" s="68"/>
      <c r="S24" s="68"/>
      <c r="T24" s="68"/>
      <c r="U24" s="68"/>
      <c r="V24" s="68"/>
      <c r="W24" s="68"/>
      <c r="X24" s="68"/>
      <c r="Y24" s="68"/>
      <c r="Z24" s="68"/>
      <c r="AA24" s="68"/>
    </row>
    <row r="25" outlineLevel="1">
      <c r="A25" s="87" t="s">
        <v>31</v>
      </c>
      <c r="B25" s="88"/>
      <c r="C25" s="89"/>
      <c r="D25" s="90"/>
      <c r="E25" s="90"/>
      <c r="F25" s="90"/>
      <c r="G25" s="90"/>
      <c r="H25" s="91">
        <f t="shared" si="1"/>
        <v>0</v>
      </c>
      <c r="I25" s="77"/>
      <c r="J25" s="76"/>
      <c r="K25" s="76"/>
      <c r="L25" s="76"/>
      <c r="M25" s="76"/>
      <c r="N25" s="76"/>
      <c r="O25" s="76"/>
      <c r="P25" s="76"/>
      <c r="Q25" s="76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ht="12.75" customHeight="1">
      <c r="A26" s="92"/>
      <c r="B26" s="92"/>
      <c r="C26" s="92"/>
      <c r="D26" s="93"/>
      <c r="E26" s="93"/>
      <c r="F26" s="93"/>
      <c r="G26" s="93"/>
      <c r="H26" s="93"/>
      <c r="I26" s="38"/>
      <c r="J26" s="58"/>
      <c r="K26" s="58"/>
      <c r="L26" s="58"/>
      <c r="M26" s="58"/>
      <c r="N26" s="58"/>
      <c r="O26" s="58"/>
      <c r="P26" s="58"/>
      <c r="Q26" s="58"/>
      <c r="R26" s="38"/>
      <c r="S26" s="38"/>
      <c r="T26" s="38"/>
      <c r="U26" s="38"/>
      <c r="V26" s="38"/>
      <c r="W26" s="38"/>
      <c r="X26" s="38"/>
      <c r="Y26" s="38"/>
      <c r="Z26" s="38"/>
      <c r="AA26" s="38"/>
    </row>
    <row r="27">
      <c r="A27" s="94" t="s">
        <v>32</v>
      </c>
      <c r="B27" s="35"/>
      <c r="C27" s="95"/>
      <c r="D27" s="96" t="s">
        <v>19</v>
      </c>
      <c r="E27" s="96" t="s">
        <v>20</v>
      </c>
      <c r="F27" s="96" t="s">
        <v>21</v>
      </c>
      <c r="G27" s="96" t="s">
        <v>22</v>
      </c>
      <c r="H27" s="97" t="s">
        <v>7</v>
      </c>
      <c r="I27" s="68"/>
      <c r="J27" s="84"/>
      <c r="K27" s="84"/>
      <c r="L27" s="84"/>
      <c r="M27" s="84"/>
      <c r="N27" s="84"/>
      <c r="O27" s="84"/>
      <c r="P27" s="84"/>
      <c r="Q27" s="84"/>
      <c r="R27" s="68"/>
      <c r="S27" s="68"/>
      <c r="T27" s="68"/>
      <c r="U27" s="68"/>
      <c r="V27" s="68"/>
      <c r="W27" s="68"/>
      <c r="X27" s="68"/>
      <c r="Y27" s="68"/>
      <c r="Z27" s="68"/>
      <c r="AA27" s="68"/>
    </row>
    <row r="28" ht="32.25" hidden="1" customHeight="1">
      <c r="A28" s="98" t="s">
        <v>33</v>
      </c>
      <c r="B28" s="99"/>
      <c r="C28" s="100">
        <f>SUM(C7:C25)</f>
        <v>1335</v>
      </c>
      <c r="D28" s="101">
        <f t="shared" ref="D28:G28" si="2">ROUNDUP(SUM(D7:D25),0)</f>
        <v>93</v>
      </c>
      <c r="E28" s="102">
        <f t="shared" si="2"/>
        <v>62</v>
      </c>
      <c r="F28" s="102">
        <f t="shared" si="2"/>
        <v>28</v>
      </c>
      <c r="G28" s="102">
        <f t="shared" si="2"/>
        <v>20</v>
      </c>
      <c r="H28" s="103">
        <f>SUM(H7:H25)</f>
        <v>862</v>
      </c>
      <c r="I28" s="60"/>
      <c r="J28" s="84"/>
      <c r="K28" s="84"/>
      <c r="L28" s="84"/>
      <c r="M28" s="84"/>
      <c r="N28" s="84"/>
      <c r="O28" s="84"/>
      <c r="P28" s="84"/>
      <c r="Q28" s="84"/>
      <c r="R28" s="68"/>
      <c r="S28" s="68"/>
      <c r="T28" s="68"/>
      <c r="U28" s="68"/>
      <c r="V28" s="68"/>
      <c r="W28" s="68"/>
      <c r="X28" s="68"/>
      <c r="Y28" s="68"/>
      <c r="Z28" s="68"/>
      <c r="AA28" s="68"/>
    </row>
    <row r="29" ht="21.75" customHeight="1">
      <c r="A29" s="104" t="s">
        <v>34</v>
      </c>
      <c r="B29" s="105"/>
      <c r="C29" s="105"/>
      <c r="D29" s="105"/>
      <c r="E29" s="105"/>
      <c r="F29" s="105"/>
      <c r="G29" s="105"/>
      <c r="H29" s="106"/>
      <c r="I29" s="107"/>
      <c r="J29" s="84"/>
      <c r="K29" s="84"/>
      <c r="L29" s="84"/>
      <c r="M29" s="84"/>
      <c r="N29" s="84"/>
      <c r="O29" s="84"/>
      <c r="P29" s="84"/>
      <c r="Q29" s="84"/>
      <c r="R29" s="68"/>
      <c r="S29" s="68"/>
      <c r="T29" s="68"/>
      <c r="U29" s="68"/>
      <c r="V29" s="68"/>
      <c r="W29" s="68"/>
      <c r="X29" s="68"/>
      <c r="Y29" s="68"/>
      <c r="Z29" s="68"/>
      <c r="AA29" s="68"/>
    </row>
    <row r="30" ht="32.25" customHeight="1">
      <c r="A30" s="108" t="s">
        <v>35</v>
      </c>
      <c r="B30" s="109"/>
      <c r="C30" s="110">
        <v>1.0</v>
      </c>
      <c r="D30" s="110">
        <f>ROUND(O7*D28,2)</f>
        <v>9.95</v>
      </c>
      <c r="E30" s="111">
        <f>ROUND(O7*E28,2)</f>
        <v>6.63</v>
      </c>
      <c r="F30" s="111">
        <f>ROUND(O7*F28,2)</f>
        <v>2.99</v>
      </c>
      <c r="G30" s="111">
        <f>ROUND(O7*G28,2)</f>
        <v>2.14</v>
      </c>
      <c r="H30" s="112">
        <f>O7*H28</f>
        <v>92.19251337</v>
      </c>
      <c r="I30" s="60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</row>
    <row r="31" ht="21.75" customHeight="1">
      <c r="A31" s="104" t="str">
        <f>concatenate(N31," ",O31," ",P31)</f>
        <v>За порция (от 5 броя равни порции)</v>
      </c>
      <c r="B31" s="105"/>
      <c r="C31" s="105"/>
      <c r="D31" s="105"/>
      <c r="E31" s="105"/>
      <c r="F31" s="105"/>
      <c r="G31" s="105"/>
      <c r="H31" s="106"/>
      <c r="I31" s="60"/>
      <c r="J31" s="68"/>
      <c r="K31" s="68"/>
      <c r="L31" s="68"/>
      <c r="M31" s="68"/>
      <c r="N31" s="113" t="s">
        <v>36</v>
      </c>
      <c r="O31" s="114">
        <f>B32</f>
        <v>5</v>
      </c>
      <c r="P31" s="114" t="s">
        <v>37</v>
      </c>
      <c r="Q31" s="115"/>
      <c r="R31" s="68"/>
      <c r="S31" s="68"/>
      <c r="T31" s="68"/>
      <c r="U31" s="68"/>
      <c r="V31" s="68"/>
      <c r="W31" s="68"/>
      <c r="X31" s="68"/>
      <c r="Y31" s="68"/>
      <c r="Z31" s="68"/>
      <c r="AA31" s="68"/>
    </row>
    <row r="32" ht="32.25" customHeight="1">
      <c r="A32" s="108" t="s">
        <v>38</v>
      </c>
      <c r="B32" s="116">
        <v>5.0</v>
      </c>
      <c r="C32" s="117">
        <f>J4/$B$32/100</f>
        <v>1.87</v>
      </c>
      <c r="D32" s="110">
        <f t="shared" ref="D32:H32" si="3">$C$32*D30</f>
        <v>18.6065</v>
      </c>
      <c r="E32" s="111">
        <f t="shared" si="3"/>
        <v>12.3981</v>
      </c>
      <c r="F32" s="111">
        <f t="shared" si="3"/>
        <v>5.5913</v>
      </c>
      <c r="G32" s="111">
        <f t="shared" si="3"/>
        <v>4.0018</v>
      </c>
      <c r="H32" s="112">
        <f t="shared" si="3"/>
        <v>172.4</v>
      </c>
      <c r="I32" s="60"/>
      <c r="J32" s="68"/>
      <c r="K32" s="68"/>
      <c r="L32" s="68"/>
      <c r="M32" s="68"/>
      <c r="N32" s="68"/>
      <c r="O32" s="68"/>
      <c r="P32" s="68"/>
      <c r="Q32" s="115"/>
      <c r="R32" s="68"/>
      <c r="S32" s="68"/>
      <c r="T32" s="68"/>
      <c r="U32" s="68"/>
      <c r="V32" s="68"/>
      <c r="W32" s="68"/>
      <c r="X32" s="68"/>
      <c r="Y32" s="68"/>
      <c r="Z32" s="68"/>
      <c r="AA32" s="68"/>
    </row>
    <row r="33" ht="21.75" customHeight="1">
      <c r="A33" s="104" t="str">
        <f>concatenate(N33," ",O33," ",P33)</f>
        <v>За порция от  200 грама сготвено ястие</v>
      </c>
      <c r="B33" s="105"/>
      <c r="C33" s="105"/>
      <c r="D33" s="105"/>
      <c r="E33" s="105"/>
      <c r="F33" s="105"/>
      <c r="G33" s="105"/>
      <c r="H33" s="106"/>
      <c r="I33" s="60"/>
      <c r="J33" s="68"/>
      <c r="K33" s="68"/>
      <c r="L33" s="68"/>
      <c r="M33" s="68"/>
      <c r="N33" s="113" t="s">
        <v>39</v>
      </c>
      <c r="O33" s="68">
        <f>B34</f>
        <v>200</v>
      </c>
      <c r="P33" s="118" t="s">
        <v>40</v>
      </c>
      <c r="Q33" s="115"/>
      <c r="R33" s="68"/>
      <c r="S33" s="68"/>
      <c r="T33" s="68"/>
      <c r="U33" s="68"/>
      <c r="V33" s="68"/>
      <c r="W33" s="68"/>
      <c r="X33" s="68"/>
      <c r="Y33" s="68"/>
      <c r="Z33" s="68"/>
      <c r="AA33" s="68"/>
    </row>
    <row r="34" ht="32.25" customHeight="1">
      <c r="A34" s="119" t="s">
        <v>41</v>
      </c>
      <c r="B34" s="120">
        <v>200.0</v>
      </c>
      <c r="C34" s="121">
        <f>B34/100</f>
        <v>2</v>
      </c>
      <c r="D34" s="122">
        <f t="shared" ref="D34:H34" si="4">D30*$C$34</f>
        <v>19.9</v>
      </c>
      <c r="E34" s="123">
        <f t="shared" si="4"/>
        <v>13.26</v>
      </c>
      <c r="F34" s="123">
        <f t="shared" si="4"/>
        <v>5.98</v>
      </c>
      <c r="G34" s="123">
        <f t="shared" si="4"/>
        <v>4.28</v>
      </c>
      <c r="H34" s="124">
        <f t="shared" si="4"/>
        <v>184.3850267</v>
      </c>
      <c r="I34" s="60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</row>
    <row r="35" ht="11.25" customHeight="1">
      <c r="A35" s="125"/>
      <c r="B35" s="38"/>
      <c r="C35" s="38"/>
      <c r="D35" s="38"/>
      <c r="E35" s="38"/>
      <c r="F35" s="38"/>
      <c r="G35" s="68"/>
      <c r="H35" s="68"/>
      <c r="I35" s="60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</row>
    <row r="36" ht="11.25" customHeight="1">
      <c r="A36" s="125"/>
      <c r="B36" s="38"/>
      <c r="C36" s="38"/>
      <c r="D36" s="38"/>
      <c r="E36" s="38"/>
      <c r="F36" s="38"/>
      <c r="G36" s="78"/>
      <c r="H36" s="78"/>
      <c r="I36" s="60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</row>
    <row r="37">
      <c r="A37" s="126" t="s">
        <v>42</v>
      </c>
      <c r="B37" s="31"/>
      <c r="C37" s="31"/>
      <c r="D37" s="31"/>
      <c r="E37" s="31"/>
      <c r="F37" s="31"/>
      <c r="G37" s="31"/>
      <c r="H37" s="32"/>
      <c r="I37" s="60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</row>
    <row r="38">
      <c r="A38" s="127" t="s">
        <v>43</v>
      </c>
      <c r="B38" s="128"/>
      <c r="C38" s="128"/>
      <c r="D38" s="128"/>
      <c r="E38" s="128"/>
      <c r="F38" s="128"/>
      <c r="G38" s="128"/>
      <c r="H38" s="129"/>
      <c r="I38" s="60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</row>
    <row r="39">
      <c r="A39" s="127" t="s">
        <v>44</v>
      </c>
      <c r="B39" s="128"/>
      <c r="C39" s="128"/>
      <c r="D39" s="128"/>
      <c r="E39" s="128"/>
      <c r="F39" s="128"/>
      <c r="G39" s="128"/>
      <c r="H39" s="129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</row>
    <row r="40">
      <c r="A40" s="130"/>
      <c r="B40" s="128"/>
      <c r="C40" s="128"/>
      <c r="D40" s="128"/>
      <c r="E40" s="128"/>
      <c r="F40" s="128"/>
      <c r="G40" s="128"/>
      <c r="H40" s="129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</row>
    <row r="41">
      <c r="A41" s="130"/>
      <c r="B41" s="128"/>
      <c r="C41" s="128"/>
      <c r="D41" s="128"/>
      <c r="E41" s="128"/>
      <c r="F41" s="128"/>
      <c r="G41" s="128"/>
      <c r="H41" s="129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</row>
    <row r="42">
      <c r="A42" s="130"/>
      <c r="B42" s="128"/>
      <c r="C42" s="128"/>
      <c r="D42" s="128"/>
      <c r="E42" s="128"/>
      <c r="F42" s="128"/>
      <c r="G42" s="128"/>
      <c r="H42" s="129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</row>
    <row r="43">
      <c r="A43" s="130"/>
      <c r="B43" s="128"/>
      <c r="C43" s="128"/>
      <c r="D43" s="128"/>
      <c r="E43" s="128"/>
      <c r="F43" s="128"/>
      <c r="G43" s="128"/>
      <c r="H43" s="129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</row>
    <row r="44">
      <c r="A44" s="130"/>
      <c r="B44" s="128"/>
      <c r="C44" s="128"/>
      <c r="D44" s="128"/>
      <c r="E44" s="128"/>
      <c r="F44" s="128"/>
      <c r="G44" s="128"/>
      <c r="H44" s="129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</row>
    <row r="45">
      <c r="A45" s="130"/>
      <c r="B45" s="128"/>
      <c r="C45" s="128"/>
      <c r="D45" s="128"/>
      <c r="E45" s="128"/>
      <c r="F45" s="128"/>
      <c r="G45" s="128"/>
      <c r="H45" s="129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</row>
    <row r="46">
      <c r="A46" s="130"/>
      <c r="B46" s="128"/>
      <c r="C46" s="128"/>
      <c r="D46" s="128"/>
      <c r="E46" s="128"/>
      <c r="F46" s="128"/>
      <c r="G46" s="128"/>
      <c r="H46" s="129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</row>
    <row r="47">
      <c r="A47" s="130"/>
      <c r="B47" s="128"/>
      <c r="C47" s="128"/>
      <c r="D47" s="128"/>
      <c r="E47" s="128"/>
      <c r="F47" s="128"/>
      <c r="G47" s="128"/>
      <c r="H47" s="129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</row>
    <row r="48">
      <c r="A48" s="131"/>
      <c r="B48" s="132"/>
      <c r="C48" s="132"/>
      <c r="D48" s="132"/>
      <c r="E48" s="132"/>
      <c r="F48" s="132"/>
      <c r="G48" s="132"/>
      <c r="H48" s="133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</row>
    <row r="49" hidden="1">
      <c r="A49" s="134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</row>
    <row r="50" hidden="1">
      <c r="A50" s="134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</row>
    <row r="51" hidden="1">
      <c r="A51" s="134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</row>
    <row r="52" hidden="1">
      <c r="A52" s="134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</row>
    <row r="53" hidden="1">
      <c r="A53" s="134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</row>
    <row r="54" hidden="1">
      <c r="A54" s="134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</row>
    <row r="55" hidden="1">
      <c r="A55" s="134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</row>
    <row r="56" hidden="1">
      <c r="A56" s="134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</row>
    <row r="57" hidden="1">
      <c r="A57" s="134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</row>
    <row r="58" hidden="1">
      <c r="A58" s="134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</row>
    <row r="59" hidden="1">
      <c r="A59" s="134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</row>
    <row r="60" hidden="1">
      <c r="A60" s="134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</row>
    <row r="61" hidden="1">
      <c r="A61" s="134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</row>
    <row r="62" hidden="1">
      <c r="A62" s="134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</row>
    <row r="63" hidden="1">
      <c r="A63" s="134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</row>
    <row r="64" hidden="1">
      <c r="A64" s="134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</row>
    <row r="65" hidden="1">
      <c r="A65" s="134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</row>
    <row r="66" hidden="1">
      <c r="A66" s="134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</row>
    <row r="67" hidden="1">
      <c r="A67" s="134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</row>
    <row r="68" hidden="1">
      <c r="A68" s="134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</row>
    <row r="69" hidden="1">
      <c r="A69" s="134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</row>
    <row r="70" hidden="1">
      <c r="A70" s="134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</row>
    <row r="71" hidden="1">
      <c r="A71" s="134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</row>
    <row r="72" hidden="1">
      <c r="A72" s="134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</row>
    <row r="73" hidden="1">
      <c r="A73" s="134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</row>
    <row r="74" hidden="1">
      <c r="A74" s="134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</row>
    <row r="75" hidden="1">
      <c r="A75" s="134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</row>
    <row r="76" hidden="1">
      <c r="A76" s="134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</row>
    <row r="77" hidden="1">
      <c r="A77" s="134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</row>
    <row r="78" hidden="1">
      <c r="A78" s="134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</row>
    <row r="79" hidden="1">
      <c r="A79" s="134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</row>
    <row r="80" hidden="1">
      <c r="A80" s="134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</row>
    <row r="81" hidden="1">
      <c r="A81" s="134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</row>
    <row r="82" hidden="1">
      <c r="A82" s="134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</row>
    <row r="83" hidden="1">
      <c r="A83" s="134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</row>
    <row r="84" hidden="1">
      <c r="A84" s="134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</row>
    <row r="85" hidden="1">
      <c r="A85" s="134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</row>
    <row r="86" hidden="1">
      <c r="A86" s="134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</row>
    <row r="87" hidden="1">
      <c r="A87" s="134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</row>
    <row r="88" hidden="1">
      <c r="A88" s="134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</row>
    <row r="89" hidden="1">
      <c r="A89" s="134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</row>
    <row r="90" hidden="1">
      <c r="A90" s="134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</row>
    <row r="91" hidden="1">
      <c r="A91" s="134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</row>
    <row r="92" hidden="1">
      <c r="A92" s="134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</row>
    <row r="93" hidden="1">
      <c r="A93" s="134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</row>
    <row r="94" hidden="1">
      <c r="A94" s="134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</row>
    <row r="95" hidden="1">
      <c r="A95" s="134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</row>
    <row r="96" hidden="1">
      <c r="A96" s="134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</row>
    <row r="97" hidden="1">
      <c r="A97" s="134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</row>
    <row r="98" hidden="1">
      <c r="A98" s="134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</row>
    <row r="99" hidden="1">
      <c r="A99" s="134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</row>
    <row r="100" hidden="1">
      <c r="A100" s="134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</row>
    <row r="101" hidden="1">
      <c r="A101" s="134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</row>
    <row r="102" hidden="1">
      <c r="A102" s="134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</row>
    <row r="103" hidden="1">
      <c r="A103" s="134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</row>
    <row r="104" hidden="1">
      <c r="A104" s="134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</row>
    <row r="105" hidden="1">
      <c r="A105" s="134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</row>
    <row r="106" hidden="1">
      <c r="A106" s="134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</row>
    <row r="107" hidden="1">
      <c r="A107" s="134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</row>
    <row r="108" hidden="1">
      <c r="A108" s="134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</row>
    <row r="109" hidden="1">
      <c r="A109" s="134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</row>
    <row r="110" hidden="1">
      <c r="A110" s="134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</row>
    <row r="111" hidden="1">
      <c r="A111" s="134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</row>
    <row r="112" hidden="1">
      <c r="A112" s="134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</row>
    <row r="113" hidden="1">
      <c r="A113" s="134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</row>
    <row r="114" hidden="1">
      <c r="A114" s="134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</row>
    <row r="115" hidden="1">
      <c r="A115" s="134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</row>
    <row r="116" hidden="1">
      <c r="A116" s="134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</row>
    <row r="117" hidden="1">
      <c r="A117" s="134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</row>
    <row r="118" hidden="1">
      <c r="A118" s="134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</row>
    <row r="119" hidden="1">
      <c r="A119" s="134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</row>
    <row r="120" hidden="1">
      <c r="A120" s="134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</row>
    <row r="121" hidden="1">
      <c r="A121" s="134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</row>
    <row r="122" hidden="1">
      <c r="A122" s="134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</row>
    <row r="123" hidden="1">
      <c r="A123" s="134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</row>
    <row r="124" hidden="1">
      <c r="A124" s="134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</row>
    <row r="125" hidden="1">
      <c r="A125" s="134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</row>
    <row r="126" hidden="1">
      <c r="A126" s="134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</row>
    <row r="127" hidden="1">
      <c r="A127" s="134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</row>
    <row r="128" hidden="1">
      <c r="A128" s="134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</row>
    <row r="129" hidden="1">
      <c r="A129" s="134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</row>
    <row r="130" hidden="1">
      <c r="A130" s="134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</row>
    <row r="131" hidden="1">
      <c r="A131" s="134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</row>
    <row r="132" hidden="1">
      <c r="A132" s="134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</row>
    <row r="133" hidden="1">
      <c r="A133" s="134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</row>
    <row r="134" hidden="1">
      <c r="A134" s="134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</row>
    <row r="135" hidden="1">
      <c r="A135" s="134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</row>
    <row r="136" hidden="1">
      <c r="A136" s="134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</row>
    <row r="137" hidden="1">
      <c r="A137" s="134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</row>
    <row r="138" hidden="1">
      <c r="A138" s="134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</row>
    <row r="139" hidden="1">
      <c r="A139" s="134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</row>
    <row r="140" hidden="1">
      <c r="A140" s="134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</row>
    <row r="141" hidden="1">
      <c r="A141" s="134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</row>
    <row r="142" hidden="1">
      <c r="A142" s="134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</row>
    <row r="143" hidden="1">
      <c r="A143" s="134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</row>
    <row r="144" hidden="1">
      <c r="A144" s="134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</row>
    <row r="145" hidden="1">
      <c r="A145" s="134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</row>
    <row r="146" hidden="1">
      <c r="A146" s="134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</row>
    <row r="147" hidden="1">
      <c r="A147" s="134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</row>
    <row r="148" hidden="1">
      <c r="A148" s="134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</row>
    <row r="149" hidden="1">
      <c r="A149" s="134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</row>
    <row r="150" hidden="1">
      <c r="A150" s="134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</row>
    <row r="151" hidden="1">
      <c r="A151" s="134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</row>
    <row r="152" hidden="1">
      <c r="A152" s="134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</row>
    <row r="153" hidden="1">
      <c r="A153" s="134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</row>
    <row r="154" hidden="1">
      <c r="A154" s="134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</row>
    <row r="155" hidden="1">
      <c r="A155" s="134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</row>
    <row r="156" hidden="1">
      <c r="A156" s="134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</row>
    <row r="157" hidden="1">
      <c r="A157" s="134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</row>
    <row r="158" hidden="1">
      <c r="A158" s="134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</row>
    <row r="159" hidden="1">
      <c r="A159" s="134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</row>
    <row r="160" hidden="1">
      <c r="A160" s="134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</row>
    <row r="161" hidden="1">
      <c r="A161" s="134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</row>
    <row r="162" hidden="1">
      <c r="A162" s="134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</row>
    <row r="163" hidden="1">
      <c r="A163" s="134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</row>
    <row r="164" hidden="1">
      <c r="A164" s="134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</row>
    <row r="165" hidden="1">
      <c r="A165" s="134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</row>
    <row r="166" hidden="1">
      <c r="A166" s="134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</row>
    <row r="167" hidden="1">
      <c r="A167" s="134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</row>
    <row r="168" hidden="1">
      <c r="A168" s="134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</row>
    <row r="169" hidden="1">
      <c r="A169" s="134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</row>
    <row r="170" hidden="1">
      <c r="A170" s="134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</row>
    <row r="171" hidden="1">
      <c r="A171" s="134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</row>
    <row r="172" hidden="1">
      <c r="A172" s="134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</row>
    <row r="173" hidden="1">
      <c r="A173" s="134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</row>
    <row r="174" hidden="1">
      <c r="A174" s="134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</row>
    <row r="175" hidden="1">
      <c r="A175" s="134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</row>
    <row r="176" hidden="1">
      <c r="A176" s="134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</row>
    <row r="177" hidden="1">
      <c r="A177" s="134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</row>
    <row r="178" hidden="1">
      <c r="A178" s="134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</row>
    <row r="179" hidden="1">
      <c r="A179" s="134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</row>
    <row r="180" hidden="1">
      <c r="A180" s="134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</row>
    <row r="181" hidden="1">
      <c r="A181" s="134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</row>
    <row r="182" hidden="1">
      <c r="A182" s="134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</row>
    <row r="183" hidden="1">
      <c r="A183" s="134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</row>
    <row r="184" hidden="1">
      <c r="A184" s="134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</row>
    <row r="185" hidden="1">
      <c r="A185" s="134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</row>
    <row r="186" hidden="1">
      <c r="A186" s="134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</row>
    <row r="187" hidden="1">
      <c r="A187" s="134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</row>
    <row r="188" hidden="1">
      <c r="A188" s="134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</row>
    <row r="189" hidden="1">
      <c r="A189" s="134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</row>
    <row r="190" hidden="1">
      <c r="A190" s="134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</row>
    <row r="191" hidden="1">
      <c r="A191" s="134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</row>
    <row r="192" hidden="1">
      <c r="A192" s="134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</row>
    <row r="193" hidden="1">
      <c r="A193" s="134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</row>
    <row r="194" hidden="1">
      <c r="A194" s="134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</row>
    <row r="195" hidden="1">
      <c r="A195" s="134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</row>
    <row r="196" hidden="1">
      <c r="A196" s="134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</row>
    <row r="197" hidden="1">
      <c r="A197" s="134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</row>
    <row r="198" hidden="1">
      <c r="A198" s="134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</row>
    <row r="199" hidden="1">
      <c r="A199" s="134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</row>
    <row r="200" hidden="1">
      <c r="A200" s="134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</row>
    <row r="201" hidden="1">
      <c r="A201" s="134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</row>
    <row r="202" hidden="1">
      <c r="A202" s="134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</row>
    <row r="203" hidden="1">
      <c r="A203" s="134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</row>
    <row r="204" hidden="1">
      <c r="A204" s="134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</row>
    <row r="205" hidden="1">
      <c r="A205" s="134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</row>
    <row r="206" hidden="1">
      <c r="A206" s="134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</row>
    <row r="207" hidden="1">
      <c r="A207" s="134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</row>
    <row r="208" hidden="1">
      <c r="A208" s="134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</row>
    <row r="209" hidden="1">
      <c r="A209" s="134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</row>
    <row r="210" hidden="1">
      <c r="A210" s="134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</row>
    <row r="211" hidden="1">
      <c r="A211" s="134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</row>
    <row r="212" hidden="1">
      <c r="A212" s="134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</row>
    <row r="213" hidden="1">
      <c r="A213" s="134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</row>
    <row r="214" hidden="1">
      <c r="A214" s="134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</row>
    <row r="215" hidden="1">
      <c r="A215" s="134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</row>
    <row r="216" hidden="1">
      <c r="A216" s="134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</row>
    <row r="217" hidden="1">
      <c r="A217" s="134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</row>
    <row r="218" hidden="1">
      <c r="A218" s="134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</row>
    <row r="219" hidden="1">
      <c r="A219" s="134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</row>
    <row r="220" hidden="1">
      <c r="A220" s="134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</row>
    <row r="221" hidden="1">
      <c r="A221" s="134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</row>
    <row r="222" hidden="1">
      <c r="A222" s="134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</row>
    <row r="223" hidden="1">
      <c r="A223" s="134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</row>
    <row r="224" hidden="1">
      <c r="A224" s="134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</row>
    <row r="225" hidden="1">
      <c r="A225" s="134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</row>
    <row r="226" hidden="1">
      <c r="A226" s="134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</row>
    <row r="227" hidden="1">
      <c r="A227" s="134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</row>
    <row r="228" hidden="1">
      <c r="A228" s="134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8"/>
    </row>
    <row r="229" hidden="1">
      <c r="A229" s="134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</row>
    <row r="230" hidden="1">
      <c r="A230" s="134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8"/>
    </row>
    <row r="231" hidden="1">
      <c r="A231" s="134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8"/>
    </row>
    <row r="232" hidden="1">
      <c r="A232" s="134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</row>
    <row r="233" hidden="1">
      <c r="A233" s="134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</row>
    <row r="234" hidden="1">
      <c r="A234" s="134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8"/>
    </row>
    <row r="235" hidden="1">
      <c r="A235" s="134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8"/>
    </row>
    <row r="236" hidden="1">
      <c r="A236" s="134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</row>
    <row r="237" hidden="1">
      <c r="A237" s="134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8"/>
    </row>
    <row r="238" hidden="1">
      <c r="A238" s="134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8"/>
    </row>
    <row r="239" hidden="1">
      <c r="A239" s="134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8"/>
    </row>
    <row r="240" hidden="1">
      <c r="A240" s="134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8"/>
    </row>
    <row r="241" hidden="1">
      <c r="A241" s="134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8"/>
    </row>
    <row r="242" hidden="1">
      <c r="A242" s="134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8"/>
    </row>
    <row r="243" hidden="1">
      <c r="A243" s="134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8"/>
    </row>
    <row r="244" hidden="1">
      <c r="A244" s="134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8"/>
    </row>
    <row r="245" hidden="1">
      <c r="A245" s="134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8"/>
    </row>
    <row r="246" hidden="1">
      <c r="A246" s="134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8"/>
    </row>
    <row r="247" hidden="1">
      <c r="A247" s="134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8"/>
    </row>
    <row r="248" hidden="1">
      <c r="A248" s="134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8"/>
    </row>
    <row r="249" hidden="1">
      <c r="A249" s="134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</row>
    <row r="250" hidden="1">
      <c r="A250" s="134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</row>
    <row r="251" hidden="1">
      <c r="A251" s="134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8"/>
    </row>
    <row r="252" hidden="1">
      <c r="A252" s="134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8"/>
    </row>
    <row r="253" hidden="1">
      <c r="A253" s="134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8"/>
    </row>
    <row r="254" hidden="1">
      <c r="A254" s="134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</row>
    <row r="255" hidden="1">
      <c r="A255" s="134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</row>
    <row r="256" hidden="1">
      <c r="A256" s="134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8"/>
    </row>
    <row r="257" hidden="1">
      <c r="A257" s="134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8"/>
    </row>
    <row r="258" hidden="1">
      <c r="A258" s="134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</row>
    <row r="259" hidden="1">
      <c r="A259" s="134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</row>
    <row r="260" hidden="1">
      <c r="A260" s="134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8"/>
    </row>
    <row r="261" hidden="1">
      <c r="A261" s="134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</row>
    <row r="262" hidden="1">
      <c r="A262" s="134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</row>
    <row r="263" hidden="1">
      <c r="A263" s="134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</row>
    <row r="264" hidden="1">
      <c r="A264" s="134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</row>
    <row r="265" hidden="1">
      <c r="A265" s="134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8"/>
    </row>
    <row r="266" hidden="1">
      <c r="A266" s="134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8"/>
    </row>
    <row r="267" hidden="1">
      <c r="A267" s="134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</row>
    <row r="268" hidden="1">
      <c r="A268" s="134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8"/>
    </row>
    <row r="269" hidden="1">
      <c r="A269" s="134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8"/>
    </row>
    <row r="270" hidden="1">
      <c r="A270" s="134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8"/>
    </row>
    <row r="271" hidden="1">
      <c r="A271" s="134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</row>
    <row r="272" hidden="1">
      <c r="A272" s="134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8"/>
    </row>
    <row r="273" hidden="1">
      <c r="A273" s="134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8"/>
    </row>
    <row r="274" hidden="1">
      <c r="A274" s="134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</row>
    <row r="275" hidden="1">
      <c r="A275" s="134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</row>
    <row r="276" hidden="1">
      <c r="A276" s="134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</row>
    <row r="277" hidden="1">
      <c r="A277" s="134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</row>
    <row r="278" hidden="1">
      <c r="A278" s="134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</row>
    <row r="279" hidden="1">
      <c r="A279" s="134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</row>
    <row r="280" hidden="1">
      <c r="A280" s="134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</row>
    <row r="281" hidden="1">
      <c r="A281" s="134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</row>
    <row r="282" hidden="1">
      <c r="A282" s="134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</row>
    <row r="283" hidden="1">
      <c r="A283" s="134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</row>
    <row r="284" hidden="1">
      <c r="A284" s="134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</row>
    <row r="285" hidden="1">
      <c r="A285" s="134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</row>
    <row r="286" hidden="1">
      <c r="A286" s="134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</row>
    <row r="287" hidden="1">
      <c r="A287" s="134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</row>
    <row r="288" hidden="1">
      <c r="A288" s="134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</row>
    <row r="289" hidden="1">
      <c r="A289" s="134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</row>
    <row r="290" hidden="1">
      <c r="A290" s="134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</row>
    <row r="291" hidden="1">
      <c r="A291" s="134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8"/>
    </row>
    <row r="292" hidden="1">
      <c r="A292" s="134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8"/>
    </row>
    <row r="293" hidden="1">
      <c r="A293" s="134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</row>
    <row r="294" hidden="1">
      <c r="A294" s="134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</row>
    <row r="295" hidden="1">
      <c r="A295" s="134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</row>
    <row r="296" hidden="1">
      <c r="A296" s="134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</row>
    <row r="297" hidden="1">
      <c r="A297" s="134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8"/>
    </row>
    <row r="298" hidden="1">
      <c r="A298" s="134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</row>
    <row r="299" hidden="1">
      <c r="A299" s="134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</row>
    <row r="300" hidden="1">
      <c r="A300" s="134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</row>
    <row r="301" hidden="1">
      <c r="A301" s="134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</row>
    <row r="302" hidden="1">
      <c r="A302" s="134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</row>
    <row r="303" hidden="1">
      <c r="A303" s="134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</row>
    <row r="304" hidden="1">
      <c r="A304" s="134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</row>
    <row r="305" hidden="1">
      <c r="A305" s="134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</row>
    <row r="306" hidden="1">
      <c r="A306" s="134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8"/>
    </row>
    <row r="307" hidden="1">
      <c r="A307" s="134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</row>
    <row r="308" hidden="1">
      <c r="A308" s="134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</row>
    <row r="309" hidden="1">
      <c r="A309" s="134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</row>
    <row r="310" hidden="1">
      <c r="A310" s="134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</row>
    <row r="311" hidden="1">
      <c r="A311" s="134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</row>
    <row r="312" hidden="1">
      <c r="A312" s="134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</row>
    <row r="313" hidden="1">
      <c r="A313" s="134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</row>
    <row r="314" hidden="1">
      <c r="A314" s="134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</row>
    <row r="315" hidden="1">
      <c r="A315" s="134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</row>
    <row r="316" hidden="1">
      <c r="A316" s="134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</row>
    <row r="317" hidden="1">
      <c r="A317" s="134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</row>
    <row r="318" hidden="1">
      <c r="A318" s="134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</row>
    <row r="319" hidden="1">
      <c r="A319" s="134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</row>
    <row r="320" hidden="1">
      <c r="A320" s="134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</row>
    <row r="321" hidden="1">
      <c r="A321" s="134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</row>
    <row r="322" hidden="1">
      <c r="A322" s="134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</row>
    <row r="323" hidden="1">
      <c r="A323" s="134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</row>
    <row r="324" hidden="1">
      <c r="A324" s="134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</row>
    <row r="325" hidden="1">
      <c r="A325" s="134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</row>
    <row r="326" hidden="1">
      <c r="A326" s="134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</row>
    <row r="327" hidden="1">
      <c r="A327" s="134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</row>
    <row r="328" hidden="1">
      <c r="A328" s="134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</row>
    <row r="329" hidden="1">
      <c r="A329" s="134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</row>
    <row r="330" hidden="1">
      <c r="A330" s="134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</row>
    <row r="331" hidden="1">
      <c r="A331" s="134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</row>
    <row r="332" hidden="1">
      <c r="A332" s="134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</row>
    <row r="333" hidden="1">
      <c r="A333" s="134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</row>
    <row r="334" hidden="1">
      <c r="A334" s="134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</row>
    <row r="335" hidden="1">
      <c r="A335" s="134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</row>
    <row r="336" hidden="1">
      <c r="A336" s="134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</row>
    <row r="337" hidden="1">
      <c r="A337" s="134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</row>
    <row r="338" hidden="1">
      <c r="A338" s="134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</row>
    <row r="339" hidden="1">
      <c r="A339" s="134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</row>
    <row r="340" hidden="1">
      <c r="A340" s="134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</row>
    <row r="341" hidden="1">
      <c r="A341" s="134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</row>
    <row r="342" hidden="1">
      <c r="A342" s="134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</row>
    <row r="343" hidden="1">
      <c r="A343" s="134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</row>
    <row r="344" hidden="1">
      <c r="A344" s="134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</row>
    <row r="345" hidden="1">
      <c r="A345" s="134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</row>
    <row r="346" hidden="1">
      <c r="A346" s="134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</row>
    <row r="347" hidden="1">
      <c r="A347" s="134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</row>
    <row r="348" hidden="1">
      <c r="A348" s="134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</row>
    <row r="349" hidden="1">
      <c r="A349" s="134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</row>
    <row r="350" hidden="1">
      <c r="A350" s="134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</row>
    <row r="351" hidden="1">
      <c r="A351" s="134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</row>
    <row r="352" hidden="1">
      <c r="A352" s="134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</row>
    <row r="353" hidden="1">
      <c r="A353" s="134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</row>
    <row r="354" hidden="1">
      <c r="A354" s="134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</row>
    <row r="355" hidden="1">
      <c r="A355" s="134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</row>
    <row r="356" hidden="1">
      <c r="A356" s="134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</row>
    <row r="357" hidden="1">
      <c r="A357" s="134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</row>
    <row r="358" hidden="1">
      <c r="A358" s="134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</row>
    <row r="359" hidden="1">
      <c r="A359" s="134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</row>
    <row r="360" hidden="1">
      <c r="A360" s="134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</row>
    <row r="361" hidden="1">
      <c r="A361" s="134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</row>
    <row r="362" hidden="1">
      <c r="A362" s="134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</row>
    <row r="363" hidden="1">
      <c r="A363" s="134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</row>
    <row r="364" hidden="1">
      <c r="A364" s="134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</row>
    <row r="365" hidden="1">
      <c r="A365" s="134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</row>
    <row r="366" hidden="1">
      <c r="A366" s="134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</row>
    <row r="367" hidden="1">
      <c r="A367" s="134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</row>
    <row r="368" hidden="1">
      <c r="A368" s="134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</row>
    <row r="369" hidden="1">
      <c r="A369" s="134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</row>
    <row r="370" hidden="1">
      <c r="A370" s="134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</row>
    <row r="371" hidden="1">
      <c r="A371" s="134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</row>
    <row r="372" hidden="1">
      <c r="A372" s="134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</row>
    <row r="373" hidden="1">
      <c r="A373" s="134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</row>
    <row r="374" hidden="1">
      <c r="A374" s="134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</row>
    <row r="375" hidden="1">
      <c r="A375" s="134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</row>
    <row r="376" hidden="1">
      <c r="A376" s="134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</row>
    <row r="377" hidden="1">
      <c r="A377" s="134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</row>
    <row r="378" hidden="1">
      <c r="A378" s="134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</row>
    <row r="379" hidden="1">
      <c r="A379" s="134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</row>
    <row r="380" hidden="1">
      <c r="A380" s="134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</row>
    <row r="381" hidden="1">
      <c r="A381" s="134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</row>
    <row r="382" hidden="1">
      <c r="A382" s="134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</row>
    <row r="383" hidden="1">
      <c r="A383" s="134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</row>
    <row r="384" hidden="1">
      <c r="A384" s="134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</row>
    <row r="385" hidden="1">
      <c r="A385" s="134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</row>
    <row r="386" hidden="1">
      <c r="A386" s="134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</row>
    <row r="387" hidden="1">
      <c r="A387" s="134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</row>
    <row r="388" hidden="1">
      <c r="A388" s="134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</row>
    <row r="389" hidden="1">
      <c r="A389" s="134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</row>
    <row r="390" hidden="1">
      <c r="A390" s="134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</row>
    <row r="391" hidden="1">
      <c r="A391" s="134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</row>
    <row r="392" hidden="1">
      <c r="A392" s="134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</row>
    <row r="393" hidden="1">
      <c r="A393" s="134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</row>
    <row r="394" hidden="1">
      <c r="A394" s="134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</row>
    <row r="395" hidden="1">
      <c r="A395" s="134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</row>
    <row r="396" hidden="1">
      <c r="A396" s="134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</row>
    <row r="397" hidden="1">
      <c r="A397" s="134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</row>
    <row r="398" hidden="1">
      <c r="A398" s="134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</row>
    <row r="399" hidden="1">
      <c r="A399" s="134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</row>
    <row r="400" hidden="1">
      <c r="A400" s="134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</row>
    <row r="401" hidden="1">
      <c r="A401" s="134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</row>
    <row r="402" hidden="1">
      <c r="A402" s="134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</row>
    <row r="403" hidden="1">
      <c r="A403" s="134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</row>
    <row r="404" hidden="1">
      <c r="A404" s="134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</row>
    <row r="405" hidden="1">
      <c r="A405" s="134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</row>
    <row r="406" hidden="1">
      <c r="A406" s="134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</row>
    <row r="407" hidden="1">
      <c r="A407" s="134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</row>
    <row r="408" hidden="1">
      <c r="A408" s="134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</row>
    <row r="409" hidden="1">
      <c r="A409" s="134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</row>
    <row r="410" hidden="1">
      <c r="A410" s="134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</row>
    <row r="411" hidden="1">
      <c r="A411" s="134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</row>
    <row r="412" hidden="1">
      <c r="A412" s="134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</row>
    <row r="413" hidden="1">
      <c r="A413" s="134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</row>
    <row r="414" hidden="1">
      <c r="A414" s="134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</row>
    <row r="415" hidden="1">
      <c r="A415" s="134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</row>
    <row r="416" hidden="1">
      <c r="A416" s="134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</row>
    <row r="417" hidden="1">
      <c r="A417" s="134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</row>
    <row r="418" hidden="1">
      <c r="A418" s="134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</row>
    <row r="419" hidden="1">
      <c r="A419" s="134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</row>
    <row r="420" hidden="1">
      <c r="A420" s="134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</row>
    <row r="421" hidden="1">
      <c r="A421" s="134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</row>
    <row r="422" hidden="1">
      <c r="A422" s="134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</row>
    <row r="423" hidden="1">
      <c r="A423" s="134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</row>
    <row r="424" hidden="1">
      <c r="A424" s="134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</row>
    <row r="425" hidden="1">
      <c r="A425" s="134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</row>
    <row r="426" hidden="1">
      <c r="A426" s="134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</row>
    <row r="427" hidden="1">
      <c r="A427" s="134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</row>
    <row r="428" hidden="1">
      <c r="A428" s="134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</row>
    <row r="429" hidden="1">
      <c r="A429" s="134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</row>
    <row r="430" hidden="1">
      <c r="A430" s="134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</row>
    <row r="431" hidden="1">
      <c r="A431" s="134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</row>
    <row r="432" hidden="1">
      <c r="A432" s="134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</row>
    <row r="433" hidden="1">
      <c r="A433" s="134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</row>
    <row r="434" hidden="1">
      <c r="A434" s="134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</row>
    <row r="435" hidden="1">
      <c r="A435" s="134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</row>
    <row r="436" hidden="1">
      <c r="A436" s="134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</row>
    <row r="437" hidden="1">
      <c r="A437" s="134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</row>
    <row r="438" hidden="1">
      <c r="A438" s="134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</row>
    <row r="439" hidden="1">
      <c r="A439" s="134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</row>
    <row r="440" hidden="1">
      <c r="A440" s="134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</row>
    <row r="441" hidden="1">
      <c r="A441" s="134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</row>
    <row r="442" hidden="1">
      <c r="A442" s="134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</row>
    <row r="443" hidden="1">
      <c r="A443" s="134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</row>
    <row r="444" hidden="1">
      <c r="A444" s="134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</row>
    <row r="445" hidden="1">
      <c r="A445" s="134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</row>
    <row r="446" hidden="1">
      <c r="A446" s="134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</row>
    <row r="447" hidden="1">
      <c r="A447" s="134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</row>
    <row r="448" hidden="1">
      <c r="A448" s="134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</row>
    <row r="449" hidden="1">
      <c r="A449" s="134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</row>
    <row r="450" hidden="1">
      <c r="A450" s="134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</row>
    <row r="451" hidden="1">
      <c r="A451" s="134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</row>
    <row r="452" hidden="1">
      <c r="A452" s="134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</row>
    <row r="453" hidden="1">
      <c r="A453" s="134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</row>
    <row r="454" hidden="1">
      <c r="A454" s="134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</row>
    <row r="455" hidden="1">
      <c r="A455" s="134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</row>
    <row r="456" hidden="1">
      <c r="A456" s="134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</row>
    <row r="457" hidden="1">
      <c r="A457" s="134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</row>
    <row r="458" hidden="1">
      <c r="A458" s="134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</row>
    <row r="459" hidden="1">
      <c r="A459" s="134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</row>
    <row r="460" hidden="1">
      <c r="A460" s="134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</row>
    <row r="461" hidden="1">
      <c r="A461" s="134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</row>
    <row r="462" hidden="1">
      <c r="A462" s="134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</row>
    <row r="463" hidden="1">
      <c r="A463" s="134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</row>
    <row r="464" hidden="1">
      <c r="A464" s="134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</row>
    <row r="465" hidden="1">
      <c r="A465" s="134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</row>
    <row r="466" hidden="1">
      <c r="A466" s="134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</row>
    <row r="467" hidden="1">
      <c r="A467" s="134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</row>
    <row r="468" hidden="1">
      <c r="A468" s="134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</row>
    <row r="469" hidden="1">
      <c r="A469" s="134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</row>
    <row r="470" hidden="1">
      <c r="A470" s="134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</row>
    <row r="471" hidden="1">
      <c r="A471" s="134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</row>
    <row r="472" hidden="1">
      <c r="A472" s="134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</row>
    <row r="473" hidden="1">
      <c r="A473" s="134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</row>
    <row r="474" hidden="1">
      <c r="A474" s="134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</row>
    <row r="475" hidden="1">
      <c r="A475" s="134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</row>
    <row r="476" hidden="1">
      <c r="A476" s="134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</row>
    <row r="477" hidden="1">
      <c r="A477" s="134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</row>
    <row r="478" hidden="1">
      <c r="A478" s="134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</row>
    <row r="479" hidden="1">
      <c r="A479" s="134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</row>
    <row r="480" hidden="1">
      <c r="A480" s="134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</row>
    <row r="481" hidden="1">
      <c r="A481" s="134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</row>
    <row r="482" hidden="1">
      <c r="A482" s="134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</row>
    <row r="483" hidden="1">
      <c r="A483" s="134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</row>
    <row r="484" hidden="1">
      <c r="A484" s="134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</row>
    <row r="485" hidden="1">
      <c r="A485" s="134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</row>
    <row r="486" hidden="1">
      <c r="A486" s="134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</row>
    <row r="487" hidden="1">
      <c r="A487" s="134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</row>
    <row r="488" hidden="1">
      <c r="A488" s="134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</row>
    <row r="489" hidden="1">
      <c r="A489" s="134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</row>
    <row r="490" hidden="1">
      <c r="A490" s="134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</row>
    <row r="491" hidden="1">
      <c r="A491" s="134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</row>
    <row r="492" hidden="1">
      <c r="A492" s="134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</row>
    <row r="493" hidden="1">
      <c r="A493" s="134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</row>
    <row r="494" hidden="1">
      <c r="A494" s="134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</row>
    <row r="495" hidden="1">
      <c r="A495" s="134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</row>
    <row r="496" hidden="1">
      <c r="A496" s="134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</row>
    <row r="497" hidden="1">
      <c r="A497" s="134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</row>
    <row r="498" hidden="1">
      <c r="A498" s="134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</row>
    <row r="499" hidden="1">
      <c r="A499" s="134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</row>
    <row r="500" hidden="1">
      <c r="A500" s="134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</row>
    <row r="501" hidden="1">
      <c r="A501" s="134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</row>
    <row r="502" hidden="1">
      <c r="A502" s="134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</row>
    <row r="503" hidden="1">
      <c r="A503" s="134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</row>
    <row r="504" hidden="1">
      <c r="A504" s="134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</row>
    <row r="505" hidden="1">
      <c r="A505" s="134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</row>
    <row r="506" hidden="1">
      <c r="A506" s="134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</row>
    <row r="507" hidden="1">
      <c r="A507" s="134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</row>
    <row r="508" hidden="1">
      <c r="A508" s="134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</row>
    <row r="509" hidden="1">
      <c r="A509" s="134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</row>
    <row r="510" hidden="1">
      <c r="A510" s="134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</row>
    <row r="511" hidden="1">
      <c r="A511" s="134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</row>
    <row r="512" hidden="1">
      <c r="A512" s="134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</row>
    <row r="513" hidden="1">
      <c r="A513" s="134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</row>
    <row r="514" hidden="1">
      <c r="A514" s="134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</row>
    <row r="515" hidden="1">
      <c r="A515" s="134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</row>
    <row r="516" hidden="1">
      <c r="A516" s="134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</row>
    <row r="517" hidden="1">
      <c r="A517" s="134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</row>
    <row r="518" hidden="1">
      <c r="A518" s="134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</row>
    <row r="519" hidden="1">
      <c r="A519" s="134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</row>
    <row r="520" hidden="1">
      <c r="A520" s="134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</row>
    <row r="521" hidden="1">
      <c r="A521" s="134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</row>
    <row r="522" hidden="1">
      <c r="A522" s="134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</row>
    <row r="523" hidden="1">
      <c r="A523" s="134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</row>
    <row r="524" hidden="1">
      <c r="A524" s="134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</row>
    <row r="525" hidden="1">
      <c r="A525" s="134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</row>
    <row r="526" hidden="1">
      <c r="A526" s="134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</row>
    <row r="527" hidden="1">
      <c r="A527" s="134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</row>
    <row r="528" hidden="1">
      <c r="A528" s="134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</row>
    <row r="529" hidden="1">
      <c r="A529" s="134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</row>
    <row r="530" hidden="1">
      <c r="A530" s="134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</row>
    <row r="531" hidden="1">
      <c r="A531" s="134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</row>
    <row r="532" hidden="1">
      <c r="A532" s="134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</row>
    <row r="533" hidden="1">
      <c r="A533" s="134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</row>
    <row r="534" hidden="1">
      <c r="A534" s="134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</row>
    <row r="535" hidden="1">
      <c r="A535" s="134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</row>
    <row r="536" hidden="1">
      <c r="A536" s="134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</row>
    <row r="537" hidden="1">
      <c r="A537" s="134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</row>
    <row r="538" hidden="1">
      <c r="A538" s="134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</row>
    <row r="539" hidden="1">
      <c r="A539" s="134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</row>
    <row r="540" hidden="1">
      <c r="A540" s="134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</row>
    <row r="541" hidden="1">
      <c r="A541" s="134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</row>
    <row r="542" hidden="1">
      <c r="A542" s="134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</row>
    <row r="543" hidden="1">
      <c r="A543" s="134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</row>
    <row r="544" hidden="1">
      <c r="A544" s="134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</row>
    <row r="545" hidden="1">
      <c r="A545" s="134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</row>
    <row r="546" hidden="1">
      <c r="A546" s="134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</row>
    <row r="547" hidden="1">
      <c r="A547" s="134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</row>
    <row r="548" hidden="1">
      <c r="A548" s="134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</row>
    <row r="549" hidden="1">
      <c r="A549" s="134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</row>
    <row r="550" hidden="1">
      <c r="A550" s="134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</row>
    <row r="551" hidden="1">
      <c r="A551" s="134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</row>
    <row r="552" hidden="1">
      <c r="A552" s="134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</row>
    <row r="553" hidden="1">
      <c r="A553" s="134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</row>
    <row r="554" hidden="1">
      <c r="A554" s="134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</row>
    <row r="555" hidden="1">
      <c r="A555" s="134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</row>
    <row r="556" hidden="1">
      <c r="A556" s="134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</row>
    <row r="557" hidden="1">
      <c r="A557" s="134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</row>
    <row r="558" hidden="1">
      <c r="A558" s="134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</row>
    <row r="559" hidden="1">
      <c r="A559" s="134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</row>
    <row r="560" hidden="1">
      <c r="A560" s="134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</row>
    <row r="561" hidden="1">
      <c r="A561" s="134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</row>
    <row r="562" hidden="1">
      <c r="A562" s="134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</row>
    <row r="563" hidden="1">
      <c r="A563" s="134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</row>
    <row r="564" hidden="1">
      <c r="A564" s="134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</row>
    <row r="565" hidden="1">
      <c r="A565" s="134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</row>
    <row r="566" hidden="1">
      <c r="A566" s="134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</row>
    <row r="567" hidden="1">
      <c r="A567" s="134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</row>
    <row r="568" hidden="1">
      <c r="A568" s="134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</row>
    <row r="569" hidden="1">
      <c r="A569" s="134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</row>
    <row r="570" hidden="1">
      <c r="A570" s="134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</row>
    <row r="571" hidden="1">
      <c r="A571" s="134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</row>
    <row r="572" hidden="1">
      <c r="A572" s="134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</row>
    <row r="573" hidden="1">
      <c r="A573" s="134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</row>
    <row r="574" hidden="1">
      <c r="A574" s="134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</row>
    <row r="575" hidden="1">
      <c r="A575" s="134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</row>
    <row r="576" hidden="1">
      <c r="A576" s="134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</row>
    <row r="577" hidden="1">
      <c r="A577" s="134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</row>
    <row r="578" hidden="1">
      <c r="A578" s="134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</row>
    <row r="579" hidden="1">
      <c r="A579" s="134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</row>
    <row r="580" hidden="1">
      <c r="A580" s="134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</row>
    <row r="581" hidden="1">
      <c r="A581" s="134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</row>
    <row r="582" hidden="1">
      <c r="A582" s="134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</row>
    <row r="583" hidden="1">
      <c r="A583" s="134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</row>
    <row r="584" hidden="1">
      <c r="A584" s="134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</row>
    <row r="585" hidden="1">
      <c r="A585" s="134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</row>
    <row r="586" hidden="1">
      <c r="A586" s="134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</row>
    <row r="587" hidden="1">
      <c r="A587" s="134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</row>
    <row r="588" hidden="1">
      <c r="A588" s="134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</row>
    <row r="589" hidden="1">
      <c r="A589" s="134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</row>
    <row r="590" hidden="1">
      <c r="A590" s="134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</row>
    <row r="591" hidden="1">
      <c r="A591" s="134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</row>
    <row r="592" hidden="1">
      <c r="A592" s="134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</row>
    <row r="593" hidden="1">
      <c r="A593" s="134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</row>
    <row r="594" hidden="1">
      <c r="A594" s="134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</row>
    <row r="595" hidden="1">
      <c r="A595" s="134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</row>
    <row r="596" hidden="1">
      <c r="A596" s="134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</row>
    <row r="597" hidden="1">
      <c r="A597" s="134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</row>
    <row r="598" hidden="1">
      <c r="A598" s="134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</row>
    <row r="599" hidden="1">
      <c r="A599" s="134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</row>
    <row r="600" hidden="1">
      <c r="A600" s="134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</row>
    <row r="601" hidden="1">
      <c r="A601" s="134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</row>
    <row r="602" hidden="1">
      <c r="A602" s="134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</row>
    <row r="603" hidden="1">
      <c r="A603" s="134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</row>
    <row r="604" hidden="1">
      <c r="A604" s="134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</row>
    <row r="605" hidden="1">
      <c r="A605" s="134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</row>
    <row r="606" hidden="1">
      <c r="A606" s="134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</row>
    <row r="607" hidden="1">
      <c r="A607" s="134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</row>
    <row r="608" hidden="1">
      <c r="A608" s="134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</row>
    <row r="609" hidden="1">
      <c r="A609" s="134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</row>
    <row r="610" hidden="1">
      <c r="A610" s="134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</row>
    <row r="611" hidden="1">
      <c r="A611" s="134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</row>
    <row r="612" hidden="1">
      <c r="A612" s="134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</row>
    <row r="613" hidden="1">
      <c r="A613" s="134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</row>
    <row r="614" hidden="1">
      <c r="A614" s="134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</row>
    <row r="615" hidden="1">
      <c r="A615" s="134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</row>
    <row r="616" hidden="1">
      <c r="A616" s="134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</row>
    <row r="617" hidden="1">
      <c r="A617" s="134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</row>
    <row r="618" hidden="1">
      <c r="A618" s="134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</row>
    <row r="619" hidden="1">
      <c r="A619" s="134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</row>
    <row r="620" hidden="1">
      <c r="A620" s="134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</row>
    <row r="621" hidden="1">
      <c r="A621" s="134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</row>
    <row r="622" hidden="1">
      <c r="A622" s="134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</row>
    <row r="623" hidden="1">
      <c r="A623" s="134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</row>
    <row r="624" hidden="1">
      <c r="A624" s="134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</row>
    <row r="625" hidden="1">
      <c r="A625" s="134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</row>
    <row r="626" hidden="1">
      <c r="A626" s="134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</row>
    <row r="627" hidden="1">
      <c r="A627" s="134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</row>
    <row r="628" hidden="1">
      <c r="A628" s="134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</row>
    <row r="629" hidden="1">
      <c r="A629" s="134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</row>
    <row r="630" hidden="1">
      <c r="A630" s="134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</row>
    <row r="631" hidden="1">
      <c r="A631" s="134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</row>
    <row r="632" hidden="1">
      <c r="A632" s="134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</row>
    <row r="633" hidden="1">
      <c r="A633" s="134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</row>
    <row r="634" hidden="1">
      <c r="A634" s="134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</row>
    <row r="635" hidden="1">
      <c r="A635" s="134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</row>
    <row r="636" hidden="1">
      <c r="A636" s="134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</row>
    <row r="637" hidden="1">
      <c r="A637" s="134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</row>
    <row r="638" hidden="1">
      <c r="A638" s="134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</row>
    <row r="639" hidden="1">
      <c r="A639" s="134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</row>
    <row r="640" hidden="1">
      <c r="A640" s="134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</row>
    <row r="641" hidden="1">
      <c r="A641" s="134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</row>
    <row r="642" hidden="1">
      <c r="A642" s="134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</row>
    <row r="643" hidden="1">
      <c r="A643" s="134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</row>
    <row r="644" hidden="1">
      <c r="A644" s="134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</row>
    <row r="645" hidden="1">
      <c r="A645" s="134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</row>
    <row r="646" hidden="1">
      <c r="A646" s="134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</row>
    <row r="647" hidden="1">
      <c r="A647" s="134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</row>
    <row r="648" hidden="1">
      <c r="A648" s="134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</row>
    <row r="649" hidden="1">
      <c r="A649" s="134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</row>
    <row r="650" hidden="1">
      <c r="A650" s="134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</row>
    <row r="651" hidden="1">
      <c r="A651" s="134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</row>
    <row r="652" hidden="1">
      <c r="A652" s="134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</row>
    <row r="653" hidden="1">
      <c r="A653" s="134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</row>
    <row r="654" hidden="1">
      <c r="A654" s="134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</row>
    <row r="655" hidden="1">
      <c r="A655" s="134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</row>
    <row r="656" hidden="1">
      <c r="A656" s="134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</row>
    <row r="657" hidden="1">
      <c r="A657" s="134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</row>
    <row r="658" hidden="1">
      <c r="A658" s="134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</row>
    <row r="659" hidden="1">
      <c r="A659" s="134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</row>
    <row r="660" hidden="1">
      <c r="A660" s="134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</row>
    <row r="661" hidden="1">
      <c r="A661" s="134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</row>
    <row r="662" hidden="1">
      <c r="A662" s="134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</row>
    <row r="663" hidden="1">
      <c r="A663" s="134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</row>
    <row r="664" hidden="1">
      <c r="A664" s="134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</row>
    <row r="665" hidden="1">
      <c r="A665" s="134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</row>
    <row r="666" hidden="1">
      <c r="A666" s="134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</row>
    <row r="667" hidden="1">
      <c r="A667" s="134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</row>
    <row r="668" hidden="1">
      <c r="A668" s="134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</row>
    <row r="669" hidden="1">
      <c r="A669" s="134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</row>
    <row r="670" hidden="1">
      <c r="A670" s="134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</row>
    <row r="671" hidden="1">
      <c r="A671" s="134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</row>
    <row r="672" hidden="1">
      <c r="A672" s="134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</row>
    <row r="673" hidden="1">
      <c r="A673" s="134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</row>
    <row r="674" hidden="1">
      <c r="A674" s="134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</row>
    <row r="675" hidden="1">
      <c r="A675" s="134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</row>
    <row r="676" hidden="1">
      <c r="A676" s="134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</row>
    <row r="677" hidden="1">
      <c r="A677" s="134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</row>
    <row r="678" hidden="1">
      <c r="A678" s="134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</row>
    <row r="679" hidden="1">
      <c r="A679" s="134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</row>
    <row r="680" hidden="1">
      <c r="A680" s="134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</row>
    <row r="681" hidden="1">
      <c r="A681" s="134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</row>
    <row r="682" hidden="1">
      <c r="A682" s="134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</row>
    <row r="683" hidden="1">
      <c r="A683" s="134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</row>
    <row r="684" hidden="1">
      <c r="A684" s="134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</row>
    <row r="685" hidden="1">
      <c r="A685" s="134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</row>
    <row r="686" hidden="1">
      <c r="A686" s="134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</row>
    <row r="687" hidden="1">
      <c r="A687" s="134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</row>
    <row r="688" hidden="1">
      <c r="A688" s="134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</row>
    <row r="689" hidden="1">
      <c r="A689" s="134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</row>
    <row r="690" hidden="1">
      <c r="A690" s="134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</row>
    <row r="691" hidden="1">
      <c r="A691" s="134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</row>
    <row r="692" hidden="1">
      <c r="A692" s="134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</row>
    <row r="693" hidden="1">
      <c r="A693" s="134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</row>
    <row r="694" hidden="1">
      <c r="A694" s="134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</row>
    <row r="695" hidden="1">
      <c r="A695" s="134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</row>
    <row r="696" hidden="1">
      <c r="A696" s="134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</row>
    <row r="697" hidden="1">
      <c r="A697" s="134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</row>
    <row r="698" hidden="1">
      <c r="A698" s="134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</row>
    <row r="699" hidden="1">
      <c r="A699" s="134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</row>
    <row r="700" hidden="1">
      <c r="A700" s="134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</row>
    <row r="701" hidden="1">
      <c r="A701" s="134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</row>
    <row r="702" hidden="1">
      <c r="A702" s="134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</row>
    <row r="703" hidden="1">
      <c r="A703" s="134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</row>
    <row r="704" hidden="1">
      <c r="A704" s="134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</row>
    <row r="705" hidden="1">
      <c r="A705" s="134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</row>
    <row r="706" hidden="1">
      <c r="A706" s="134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</row>
    <row r="707" hidden="1">
      <c r="A707" s="134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</row>
    <row r="708" hidden="1">
      <c r="A708" s="134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</row>
    <row r="709" hidden="1">
      <c r="A709" s="134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</row>
    <row r="710" hidden="1">
      <c r="A710" s="134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</row>
    <row r="711" hidden="1">
      <c r="A711" s="134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</row>
    <row r="712" hidden="1">
      <c r="A712" s="134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</row>
    <row r="713" hidden="1">
      <c r="A713" s="134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</row>
    <row r="714" hidden="1">
      <c r="A714" s="134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</row>
    <row r="715" hidden="1">
      <c r="A715" s="134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</row>
    <row r="716" hidden="1">
      <c r="A716" s="134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</row>
    <row r="717" hidden="1">
      <c r="A717" s="134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</row>
    <row r="718" hidden="1">
      <c r="A718" s="134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</row>
    <row r="719" hidden="1">
      <c r="A719" s="134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</row>
    <row r="720" hidden="1">
      <c r="A720" s="134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</row>
    <row r="721" hidden="1">
      <c r="A721" s="134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</row>
    <row r="722" hidden="1">
      <c r="A722" s="134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</row>
    <row r="723" hidden="1">
      <c r="A723" s="134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</row>
    <row r="724" hidden="1">
      <c r="A724" s="134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</row>
    <row r="725" hidden="1">
      <c r="A725" s="134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</row>
    <row r="726" hidden="1">
      <c r="A726" s="134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</row>
    <row r="727" hidden="1">
      <c r="A727" s="134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</row>
    <row r="728" hidden="1">
      <c r="A728" s="134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</row>
    <row r="729" hidden="1">
      <c r="A729" s="134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</row>
    <row r="730" hidden="1">
      <c r="A730" s="134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</row>
    <row r="731" hidden="1">
      <c r="A731" s="134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</row>
    <row r="732" hidden="1">
      <c r="A732" s="134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</row>
    <row r="733" hidden="1">
      <c r="A733" s="134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</row>
    <row r="734" hidden="1">
      <c r="A734" s="134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</row>
    <row r="735" hidden="1">
      <c r="A735" s="134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</row>
    <row r="736" hidden="1">
      <c r="A736" s="134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</row>
    <row r="737" hidden="1">
      <c r="A737" s="134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</row>
    <row r="738" hidden="1">
      <c r="A738" s="134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</row>
    <row r="739" hidden="1">
      <c r="A739" s="134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</row>
    <row r="740" hidden="1">
      <c r="A740" s="134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</row>
    <row r="741" hidden="1">
      <c r="A741" s="134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</row>
    <row r="742" hidden="1">
      <c r="A742" s="134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</row>
    <row r="743" hidden="1">
      <c r="A743" s="134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</row>
    <row r="744" hidden="1">
      <c r="A744" s="134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</row>
    <row r="745" hidden="1">
      <c r="A745" s="134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</row>
    <row r="746" hidden="1">
      <c r="A746" s="134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</row>
    <row r="747" hidden="1">
      <c r="A747" s="134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</row>
    <row r="748" hidden="1">
      <c r="A748" s="134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</row>
    <row r="749" hidden="1">
      <c r="A749" s="134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</row>
    <row r="750" hidden="1">
      <c r="A750" s="134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</row>
    <row r="751" hidden="1">
      <c r="A751" s="134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</row>
    <row r="752" hidden="1">
      <c r="A752" s="134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</row>
    <row r="753" hidden="1">
      <c r="A753" s="134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</row>
    <row r="754" hidden="1">
      <c r="A754" s="134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</row>
    <row r="755" hidden="1">
      <c r="A755" s="134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</row>
    <row r="756" hidden="1">
      <c r="A756" s="134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</row>
    <row r="757" hidden="1">
      <c r="A757" s="134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</row>
    <row r="758" hidden="1">
      <c r="A758" s="134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</row>
    <row r="759" hidden="1">
      <c r="A759" s="134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</row>
    <row r="760" hidden="1">
      <c r="A760" s="134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</row>
    <row r="761" hidden="1">
      <c r="A761" s="134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</row>
    <row r="762" hidden="1">
      <c r="A762" s="134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</row>
    <row r="763" hidden="1">
      <c r="A763" s="134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</row>
    <row r="764" hidden="1">
      <c r="A764" s="134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</row>
    <row r="765" hidden="1">
      <c r="A765" s="134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</row>
    <row r="766" hidden="1">
      <c r="A766" s="134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</row>
    <row r="767" hidden="1">
      <c r="A767" s="134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</row>
    <row r="768" hidden="1">
      <c r="A768" s="134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</row>
    <row r="769" hidden="1">
      <c r="A769" s="134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</row>
    <row r="770" hidden="1">
      <c r="A770" s="134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</row>
    <row r="771" hidden="1">
      <c r="A771" s="134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</row>
    <row r="772" hidden="1">
      <c r="A772" s="134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</row>
    <row r="773" hidden="1">
      <c r="A773" s="134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</row>
    <row r="774" hidden="1">
      <c r="A774" s="134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</row>
    <row r="775" hidden="1">
      <c r="A775" s="134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</row>
    <row r="776" hidden="1">
      <c r="A776" s="134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</row>
    <row r="777" hidden="1">
      <c r="A777" s="134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</row>
    <row r="778" hidden="1">
      <c r="A778" s="134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</row>
    <row r="779" hidden="1">
      <c r="A779" s="134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</row>
    <row r="780" hidden="1">
      <c r="A780" s="134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</row>
    <row r="781" hidden="1">
      <c r="A781" s="134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</row>
    <row r="782" hidden="1">
      <c r="A782" s="134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</row>
    <row r="783" hidden="1">
      <c r="A783" s="134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</row>
    <row r="784" hidden="1">
      <c r="A784" s="134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</row>
    <row r="785" hidden="1">
      <c r="A785" s="134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</row>
    <row r="786" hidden="1">
      <c r="A786" s="134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</row>
    <row r="787" hidden="1">
      <c r="A787" s="134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</row>
    <row r="788" hidden="1">
      <c r="A788" s="134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</row>
    <row r="789" hidden="1">
      <c r="A789" s="134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</row>
    <row r="790" hidden="1">
      <c r="A790" s="134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</row>
    <row r="791" hidden="1">
      <c r="A791" s="134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</row>
    <row r="792" hidden="1">
      <c r="A792" s="134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</row>
    <row r="793" hidden="1">
      <c r="A793" s="134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</row>
    <row r="794" hidden="1">
      <c r="A794" s="134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</row>
    <row r="795" hidden="1">
      <c r="A795" s="134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</row>
    <row r="796" hidden="1">
      <c r="A796" s="134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</row>
    <row r="797" hidden="1">
      <c r="A797" s="134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</row>
    <row r="798" hidden="1">
      <c r="A798" s="134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</row>
    <row r="799" hidden="1">
      <c r="A799" s="134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</row>
    <row r="800" hidden="1">
      <c r="A800" s="134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</row>
    <row r="801" hidden="1">
      <c r="A801" s="134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</row>
    <row r="802" hidden="1">
      <c r="A802" s="134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</row>
    <row r="803" hidden="1">
      <c r="A803" s="134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</row>
    <row r="804" hidden="1">
      <c r="A804" s="134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</row>
    <row r="805" hidden="1">
      <c r="A805" s="134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</row>
    <row r="806" hidden="1">
      <c r="A806" s="134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</row>
    <row r="807" hidden="1">
      <c r="A807" s="134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</row>
    <row r="808" hidden="1">
      <c r="A808" s="134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</row>
    <row r="809" hidden="1">
      <c r="A809" s="134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</row>
    <row r="810" hidden="1">
      <c r="A810" s="134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</row>
    <row r="811" hidden="1">
      <c r="A811" s="134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</row>
    <row r="812" hidden="1">
      <c r="A812" s="134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</row>
    <row r="813" hidden="1">
      <c r="A813" s="134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</row>
    <row r="814" hidden="1">
      <c r="A814" s="134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</row>
    <row r="815" hidden="1">
      <c r="A815" s="134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</row>
    <row r="816" hidden="1">
      <c r="A816" s="134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</row>
    <row r="817" hidden="1">
      <c r="A817" s="134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</row>
    <row r="818" hidden="1">
      <c r="A818" s="134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</row>
    <row r="819" hidden="1">
      <c r="A819" s="134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</row>
    <row r="820" hidden="1">
      <c r="A820" s="134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</row>
    <row r="821" hidden="1">
      <c r="A821" s="134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</row>
    <row r="822" hidden="1">
      <c r="A822" s="134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</row>
    <row r="823" hidden="1">
      <c r="A823" s="134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</row>
    <row r="824" hidden="1">
      <c r="A824" s="134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</row>
    <row r="825" hidden="1">
      <c r="A825" s="134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</row>
    <row r="826" hidden="1">
      <c r="A826" s="134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</row>
    <row r="827" hidden="1">
      <c r="A827" s="134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</row>
    <row r="828" hidden="1">
      <c r="A828" s="134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</row>
    <row r="829" hidden="1">
      <c r="A829" s="134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</row>
    <row r="830" hidden="1">
      <c r="A830" s="134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</row>
    <row r="831" hidden="1">
      <c r="A831" s="134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</row>
    <row r="832" hidden="1">
      <c r="A832" s="134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</row>
    <row r="833" hidden="1">
      <c r="A833" s="134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</row>
    <row r="834" hidden="1">
      <c r="A834" s="134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</row>
    <row r="835" hidden="1">
      <c r="A835" s="134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</row>
    <row r="836" hidden="1">
      <c r="A836" s="134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</row>
    <row r="837" hidden="1">
      <c r="A837" s="134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</row>
    <row r="838" hidden="1">
      <c r="A838" s="134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</row>
    <row r="839" hidden="1">
      <c r="A839" s="134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</row>
    <row r="840" hidden="1">
      <c r="A840" s="134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</row>
    <row r="841" hidden="1">
      <c r="A841" s="134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</row>
    <row r="842" hidden="1">
      <c r="A842" s="134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</row>
    <row r="843" hidden="1">
      <c r="A843" s="134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</row>
    <row r="844" hidden="1">
      <c r="A844" s="134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</row>
    <row r="845" hidden="1">
      <c r="A845" s="134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</row>
    <row r="846" hidden="1">
      <c r="A846" s="134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</row>
    <row r="847" hidden="1">
      <c r="A847" s="134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</row>
    <row r="848" hidden="1">
      <c r="A848" s="134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</row>
    <row r="849" hidden="1">
      <c r="A849" s="134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</row>
    <row r="850" hidden="1">
      <c r="A850" s="134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</row>
    <row r="851" hidden="1">
      <c r="A851" s="134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</row>
    <row r="852" hidden="1">
      <c r="A852" s="134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</row>
    <row r="853" hidden="1">
      <c r="A853" s="134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</row>
    <row r="854" hidden="1">
      <c r="A854" s="134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</row>
    <row r="855" hidden="1">
      <c r="A855" s="134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</row>
    <row r="856" hidden="1">
      <c r="A856" s="134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</row>
    <row r="857" hidden="1">
      <c r="A857" s="134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</row>
    <row r="858" hidden="1">
      <c r="A858" s="134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</row>
    <row r="859" hidden="1">
      <c r="A859" s="134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</row>
    <row r="860" hidden="1">
      <c r="A860" s="134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</row>
    <row r="861" hidden="1">
      <c r="A861" s="134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</row>
    <row r="862" hidden="1">
      <c r="A862" s="134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</row>
    <row r="863" hidden="1">
      <c r="A863" s="134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</row>
    <row r="864" hidden="1">
      <c r="A864" s="134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</row>
    <row r="865" hidden="1">
      <c r="A865" s="134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</row>
    <row r="866" hidden="1">
      <c r="A866" s="134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</row>
    <row r="867" hidden="1">
      <c r="A867" s="134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</row>
    <row r="868" hidden="1">
      <c r="A868" s="134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</row>
    <row r="869" hidden="1">
      <c r="A869" s="134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</row>
    <row r="870" hidden="1">
      <c r="A870" s="134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</row>
    <row r="871" hidden="1">
      <c r="A871" s="134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</row>
    <row r="872" hidden="1">
      <c r="A872" s="134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</row>
    <row r="873" hidden="1">
      <c r="A873" s="134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</row>
    <row r="874" hidden="1">
      <c r="A874" s="134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</row>
    <row r="875" hidden="1">
      <c r="A875" s="134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</row>
    <row r="876" hidden="1">
      <c r="A876" s="134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</row>
    <row r="877" hidden="1">
      <c r="A877" s="134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</row>
    <row r="878" hidden="1">
      <c r="A878" s="134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</row>
    <row r="879" hidden="1">
      <c r="A879" s="134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</row>
    <row r="880" hidden="1">
      <c r="A880" s="134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</row>
    <row r="881" hidden="1">
      <c r="A881" s="134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</row>
    <row r="882" hidden="1">
      <c r="A882" s="134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</row>
    <row r="883" hidden="1">
      <c r="A883" s="134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</row>
    <row r="884" hidden="1">
      <c r="A884" s="134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</row>
    <row r="885" hidden="1">
      <c r="A885" s="134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</row>
    <row r="886" hidden="1">
      <c r="A886" s="134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</row>
    <row r="887" hidden="1">
      <c r="A887" s="134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</row>
    <row r="888" hidden="1">
      <c r="A888" s="134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</row>
    <row r="889" hidden="1">
      <c r="A889" s="134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</row>
    <row r="890" hidden="1">
      <c r="A890" s="134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</row>
    <row r="891" hidden="1">
      <c r="A891" s="134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</row>
    <row r="892" hidden="1">
      <c r="A892" s="134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</row>
    <row r="893" hidden="1">
      <c r="A893" s="134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</row>
    <row r="894" hidden="1">
      <c r="A894" s="134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</row>
    <row r="895" hidden="1">
      <c r="A895" s="134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</row>
    <row r="896" hidden="1">
      <c r="A896" s="134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</row>
    <row r="897" hidden="1">
      <c r="A897" s="134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</row>
    <row r="898" hidden="1">
      <c r="A898" s="134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</row>
    <row r="899" hidden="1">
      <c r="A899" s="134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</row>
    <row r="900" hidden="1">
      <c r="A900" s="134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</row>
    <row r="901" hidden="1">
      <c r="A901" s="134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</row>
    <row r="902" hidden="1">
      <c r="A902" s="134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</row>
    <row r="903" hidden="1">
      <c r="A903" s="134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</row>
    <row r="904" hidden="1">
      <c r="A904" s="134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</row>
    <row r="905" hidden="1">
      <c r="A905" s="134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</row>
    <row r="906" hidden="1">
      <c r="A906" s="134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</row>
    <row r="907" hidden="1">
      <c r="A907" s="134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</row>
    <row r="908" hidden="1">
      <c r="A908" s="134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</row>
    <row r="909" hidden="1">
      <c r="A909" s="134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</row>
    <row r="910" hidden="1">
      <c r="A910" s="134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</row>
    <row r="911" hidden="1">
      <c r="A911" s="134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</row>
    <row r="912" hidden="1">
      <c r="A912" s="134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</row>
    <row r="913" hidden="1">
      <c r="A913" s="134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</row>
    <row r="914" hidden="1">
      <c r="A914" s="134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</row>
    <row r="915" hidden="1">
      <c r="A915" s="134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</row>
    <row r="916" hidden="1">
      <c r="A916" s="134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</row>
    <row r="917" hidden="1">
      <c r="A917" s="134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</row>
    <row r="918" hidden="1">
      <c r="A918" s="134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</row>
    <row r="919" hidden="1">
      <c r="A919" s="134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</row>
    <row r="920" hidden="1">
      <c r="A920" s="134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</row>
    <row r="921" hidden="1">
      <c r="A921" s="134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</row>
    <row r="922" hidden="1">
      <c r="A922" s="134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</row>
    <row r="923" hidden="1">
      <c r="A923" s="134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</row>
    <row r="924" hidden="1">
      <c r="A924" s="134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</row>
    <row r="925" hidden="1">
      <c r="A925" s="134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</row>
    <row r="926" hidden="1">
      <c r="A926" s="134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</row>
    <row r="927" hidden="1">
      <c r="A927" s="134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</row>
    <row r="928" hidden="1">
      <c r="A928" s="134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</row>
    <row r="929" hidden="1">
      <c r="A929" s="134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</row>
    <row r="930" hidden="1">
      <c r="A930" s="134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</row>
    <row r="931" hidden="1">
      <c r="A931" s="134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</row>
    <row r="932" hidden="1">
      <c r="A932" s="134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</row>
    <row r="933" hidden="1">
      <c r="A933" s="134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</row>
    <row r="934" hidden="1">
      <c r="A934" s="134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</row>
    <row r="935" hidden="1">
      <c r="A935" s="134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</row>
    <row r="936" hidden="1">
      <c r="A936" s="134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</row>
    <row r="937" hidden="1">
      <c r="A937" s="134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</row>
    <row r="938" hidden="1">
      <c r="A938" s="134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</row>
    <row r="939" hidden="1">
      <c r="A939" s="134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</row>
    <row r="940" hidden="1">
      <c r="A940" s="134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</row>
    <row r="941" hidden="1">
      <c r="A941" s="134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</row>
    <row r="942" hidden="1">
      <c r="A942" s="134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</row>
    <row r="943" hidden="1">
      <c r="A943" s="134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</row>
    <row r="944" hidden="1">
      <c r="A944" s="134"/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</row>
    <row r="945" hidden="1">
      <c r="A945" s="134"/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</row>
    <row r="946" hidden="1">
      <c r="A946" s="134"/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</row>
    <row r="947" hidden="1">
      <c r="A947" s="134"/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</row>
    <row r="948" hidden="1">
      <c r="A948" s="134"/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</row>
    <row r="949" hidden="1">
      <c r="A949" s="134"/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</row>
    <row r="950" hidden="1">
      <c r="A950" s="134"/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</row>
    <row r="951" hidden="1">
      <c r="A951" s="134"/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</row>
    <row r="952" hidden="1">
      <c r="A952" s="134"/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</row>
    <row r="953" hidden="1">
      <c r="A953" s="134"/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</row>
    <row r="954" hidden="1">
      <c r="A954" s="134"/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</row>
    <row r="955" hidden="1">
      <c r="A955" s="134"/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</row>
    <row r="956" hidden="1">
      <c r="A956" s="134"/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</row>
    <row r="957" hidden="1">
      <c r="A957" s="134"/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</row>
    <row r="958" hidden="1">
      <c r="A958" s="134"/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</row>
    <row r="959" hidden="1">
      <c r="A959" s="134"/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</row>
    <row r="960" hidden="1">
      <c r="A960" s="134"/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</row>
    <row r="961" hidden="1">
      <c r="A961" s="134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</row>
    <row r="962" hidden="1">
      <c r="A962" s="134"/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</row>
    <row r="963" hidden="1">
      <c r="A963" s="134"/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</row>
    <row r="964" hidden="1">
      <c r="A964" s="134"/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</row>
    <row r="965" hidden="1">
      <c r="A965" s="134"/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</row>
    <row r="966" hidden="1">
      <c r="A966" s="134"/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</row>
    <row r="967" hidden="1">
      <c r="A967" s="134"/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</row>
    <row r="968" hidden="1">
      <c r="A968" s="134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</row>
    <row r="969" hidden="1">
      <c r="A969" s="134"/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</row>
    <row r="970" hidden="1">
      <c r="A970" s="134"/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</row>
    <row r="971" hidden="1">
      <c r="A971" s="134"/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</row>
    <row r="972" hidden="1">
      <c r="A972" s="134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</row>
    <row r="973" hidden="1">
      <c r="A973" s="134"/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</row>
    <row r="974" hidden="1">
      <c r="A974" s="134"/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</row>
    <row r="975" hidden="1">
      <c r="A975" s="134"/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</row>
    <row r="976" hidden="1">
      <c r="A976" s="134"/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</row>
    <row r="977" hidden="1">
      <c r="A977" s="134"/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</row>
    <row r="978" hidden="1">
      <c r="A978" s="134"/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</row>
    <row r="979" hidden="1">
      <c r="A979" s="134"/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</row>
    <row r="980" hidden="1">
      <c r="A980" s="134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</row>
    <row r="981" hidden="1">
      <c r="A981" s="134"/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</row>
    <row r="982" hidden="1">
      <c r="A982" s="134"/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</row>
    <row r="983" hidden="1">
      <c r="A983" s="134"/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</row>
    <row r="984" hidden="1">
      <c r="A984" s="134"/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</row>
    <row r="985" hidden="1">
      <c r="A985" s="134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</row>
    <row r="986" hidden="1">
      <c r="A986" s="134"/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</row>
    <row r="987" hidden="1">
      <c r="A987" s="134"/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</row>
    <row r="988" hidden="1">
      <c r="A988" s="134"/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</row>
    <row r="989" hidden="1">
      <c r="A989" s="134"/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</row>
    <row r="990" hidden="1">
      <c r="A990" s="134"/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</row>
    <row r="991" hidden="1">
      <c r="A991" s="134"/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</row>
    <row r="992" hidden="1">
      <c r="A992" s="134"/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</row>
    <row r="993" hidden="1">
      <c r="A993" s="134"/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</row>
    <row r="994" hidden="1">
      <c r="A994" s="134"/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</row>
    <row r="995" hidden="1">
      <c r="A995" s="134"/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</row>
    <row r="996" hidden="1">
      <c r="A996" s="134"/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</row>
    <row r="997" hidden="1">
      <c r="A997" s="134"/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</row>
    <row r="998" hidden="1">
      <c r="A998" s="134"/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</row>
    <row r="999" hidden="1">
      <c r="A999" s="134"/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</row>
    <row r="1000" hidden="1">
      <c r="A1000" s="134"/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</row>
    <row r="1001" hidden="1">
      <c r="A1001" s="134"/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8"/>
      <c r="P1001" s="68"/>
      <c r="Q1001" s="68"/>
      <c r="R1001" s="68"/>
      <c r="S1001" s="68"/>
      <c r="T1001" s="68"/>
      <c r="U1001" s="68"/>
      <c r="V1001" s="68"/>
      <c r="W1001" s="68"/>
      <c r="X1001" s="68"/>
      <c r="Y1001" s="68"/>
      <c r="Z1001" s="68"/>
      <c r="AA1001" s="68"/>
    </row>
    <row r="1002" hidden="1">
      <c r="A1002" s="134"/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8"/>
      <c r="P1002" s="68"/>
      <c r="Q1002" s="68"/>
      <c r="R1002" s="68"/>
      <c r="S1002" s="68"/>
      <c r="T1002" s="68"/>
      <c r="U1002" s="68"/>
      <c r="V1002" s="68"/>
      <c r="W1002" s="68"/>
      <c r="X1002" s="68"/>
      <c r="Y1002" s="68"/>
      <c r="Z1002" s="68"/>
      <c r="AA1002" s="68"/>
    </row>
    <row r="1003" hidden="1">
      <c r="A1003" s="134"/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8"/>
      <c r="P1003" s="68"/>
      <c r="Q1003" s="68"/>
      <c r="R1003" s="68"/>
      <c r="S1003" s="68"/>
      <c r="T1003" s="68"/>
      <c r="U1003" s="68"/>
      <c r="V1003" s="68"/>
      <c r="W1003" s="68"/>
      <c r="X1003" s="68"/>
      <c r="Y1003" s="68"/>
      <c r="Z1003" s="68"/>
      <c r="AA1003" s="68"/>
    </row>
    <row r="1004" hidden="1">
      <c r="A1004" s="134"/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8"/>
      <c r="P1004" s="68"/>
      <c r="Q1004" s="68"/>
      <c r="R1004" s="68"/>
      <c r="S1004" s="68"/>
      <c r="T1004" s="68"/>
      <c r="U1004" s="68"/>
      <c r="V1004" s="68"/>
      <c r="W1004" s="68"/>
      <c r="X1004" s="68"/>
      <c r="Y1004" s="68"/>
      <c r="Z1004" s="68"/>
      <c r="AA1004" s="68"/>
    </row>
    <row r="1005" hidden="1">
      <c r="A1005" s="134"/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8"/>
      <c r="P1005" s="68"/>
      <c r="Q1005" s="68"/>
      <c r="R1005" s="68"/>
      <c r="S1005" s="68"/>
      <c r="T1005" s="68"/>
      <c r="U1005" s="68"/>
      <c r="V1005" s="68"/>
      <c r="W1005" s="68"/>
      <c r="X1005" s="68"/>
      <c r="Y1005" s="68"/>
      <c r="Z1005" s="68"/>
      <c r="AA1005" s="68"/>
    </row>
    <row r="1006" hidden="1">
      <c r="A1006" s="134"/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8"/>
      <c r="P1006" s="68"/>
      <c r="Q1006" s="68"/>
      <c r="R1006" s="68"/>
      <c r="S1006" s="68"/>
      <c r="T1006" s="68"/>
      <c r="U1006" s="68"/>
      <c r="V1006" s="68"/>
      <c r="W1006" s="68"/>
      <c r="X1006" s="68"/>
      <c r="Y1006" s="68"/>
      <c r="Z1006" s="68"/>
      <c r="AA1006" s="68"/>
    </row>
    <row r="1007" hidden="1">
      <c r="A1007" s="134"/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8"/>
      <c r="P1007" s="68"/>
      <c r="Q1007" s="68"/>
      <c r="R1007" s="68"/>
      <c r="S1007" s="68"/>
      <c r="T1007" s="68"/>
      <c r="U1007" s="68"/>
      <c r="V1007" s="68"/>
      <c r="W1007" s="68"/>
      <c r="X1007" s="68"/>
      <c r="Y1007" s="68"/>
      <c r="Z1007" s="68"/>
      <c r="AA1007" s="68"/>
    </row>
    <row r="1008" hidden="1">
      <c r="A1008" s="134"/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8"/>
      <c r="P1008" s="68"/>
      <c r="Q1008" s="68"/>
      <c r="R1008" s="68"/>
      <c r="S1008" s="68"/>
      <c r="T1008" s="68"/>
      <c r="U1008" s="68"/>
      <c r="V1008" s="68"/>
      <c r="W1008" s="68"/>
      <c r="X1008" s="68"/>
      <c r="Y1008" s="68"/>
      <c r="Z1008" s="68"/>
      <c r="AA1008" s="68"/>
    </row>
    <row r="1009" hidden="1">
      <c r="A1009" s="134"/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8"/>
      <c r="P1009" s="68"/>
      <c r="Q1009" s="68"/>
      <c r="R1009" s="68"/>
      <c r="S1009" s="68"/>
      <c r="T1009" s="68"/>
      <c r="U1009" s="68"/>
      <c r="V1009" s="68"/>
      <c r="W1009" s="68"/>
      <c r="X1009" s="68"/>
      <c r="Y1009" s="68"/>
      <c r="Z1009" s="68"/>
      <c r="AA1009" s="68"/>
    </row>
    <row r="1010" hidden="1">
      <c r="A1010" s="134"/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8"/>
      <c r="P1010" s="68"/>
      <c r="Q1010" s="68"/>
      <c r="R1010" s="68"/>
      <c r="S1010" s="68"/>
      <c r="T1010" s="68"/>
      <c r="U1010" s="68"/>
      <c r="V1010" s="68"/>
      <c r="W1010" s="68"/>
      <c r="X1010" s="68"/>
      <c r="Y1010" s="68"/>
      <c r="Z1010" s="68"/>
      <c r="AA1010" s="68"/>
    </row>
    <row r="1011" hidden="1">
      <c r="A1011" s="134"/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8"/>
      <c r="P1011" s="68"/>
      <c r="Q1011" s="68"/>
      <c r="R1011" s="68"/>
      <c r="S1011" s="68"/>
      <c r="T1011" s="68"/>
      <c r="U1011" s="68"/>
      <c r="V1011" s="68"/>
      <c r="W1011" s="68"/>
      <c r="X1011" s="68"/>
      <c r="Y1011" s="68"/>
      <c r="Z1011" s="68"/>
      <c r="AA1011" s="68"/>
    </row>
    <row r="1012" hidden="1">
      <c r="A1012" s="134"/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8"/>
      <c r="P1012" s="68"/>
      <c r="Q1012" s="68"/>
      <c r="R1012" s="68"/>
      <c r="S1012" s="68"/>
      <c r="T1012" s="68"/>
      <c r="U1012" s="68"/>
      <c r="V1012" s="68"/>
      <c r="W1012" s="68"/>
      <c r="X1012" s="68"/>
      <c r="Y1012" s="68"/>
      <c r="Z1012" s="68"/>
      <c r="AA1012" s="68"/>
    </row>
    <row r="1013" hidden="1">
      <c r="A1013" s="134"/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8"/>
      <c r="P1013" s="68"/>
      <c r="Q1013" s="68"/>
      <c r="R1013" s="68"/>
      <c r="S1013" s="68"/>
      <c r="T1013" s="68"/>
      <c r="U1013" s="68"/>
      <c r="V1013" s="68"/>
      <c r="W1013" s="68"/>
      <c r="X1013" s="68"/>
      <c r="Y1013" s="68"/>
      <c r="Z1013" s="68"/>
      <c r="AA1013" s="68"/>
    </row>
    <row r="1014" hidden="1">
      <c r="A1014" s="134"/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8"/>
      <c r="P1014" s="68"/>
      <c r="Q1014" s="68"/>
      <c r="R1014" s="68"/>
      <c r="S1014" s="68"/>
      <c r="T1014" s="68"/>
      <c r="U1014" s="68"/>
      <c r="V1014" s="68"/>
      <c r="W1014" s="68"/>
      <c r="X1014" s="68"/>
      <c r="Y1014" s="68"/>
      <c r="Z1014" s="68"/>
      <c r="AA1014" s="68"/>
    </row>
    <row r="1015" hidden="1">
      <c r="A1015" s="134"/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8"/>
      <c r="P1015" s="68"/>
      <c r="Q1015" s="68"/>
      <c r="R1015" s="68"/>
      <c r="S1015" s="68"/>
      <c r="T1015" s="68"/>
      <c r="U1015" s="68"/>
      <c r="V1015" s="68"/>
      <c r="W1015" s="68"/>
      <c r="X1015" s="68"/>
      <c r="Y1015" s="68"/>
      <c r="Z1015" s="68"/>
      <c r="AA1015" s="68"/>
    </row>
    <row r="1016" hidden="1">
      <c r="A1016" s="134"/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8"/>
      <c r="P1016" s="68"/>
      <c r="Q1016" s="68"/>
      <c r="R1016" s="68"/>
      <c r="S1016" s="68"/>
      <c r="T1016" s="68"/>
      <c r="U1016" s="68"/>
      <c r="V1016" s="68"/>
      <c r="W1016" s="68"/>
      <c r="X1016" s="68"/>
      <c r="Y1016" s="68"/>
      <c r="Z1016" s="68"/>
      <c r="AA1016" s="68"/>
    </row>
    <row r="1017" hidden="1">
      <c r="A1017" s="134"/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8"/>
      <c r="P1017" s="68"/>
      <c r="Q1017" s="68"/>
      <c r="R1017" s="68"/>
      <c r="S1017" s="68"/>
      <c r="T1017" s="68"/>
      <c r="U1017" s="68"/>
      <c r="V1017" s="68"/>
      <c r="W1017" s="68"/>
      <c r="X1017" s="68"/>
      <c r="Y1017" s="68"/>
      <c r="Z1017" s="68"/>
      <c r="AA1017" s="68"/>
    </row>
    <row r="1018" hidden="1">
      <c r="A1018" s="134"/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8"/>
      <c r="P1018" s="68"/>
      <c r="Q1018" s="68"/>
      <c r="R1018" s="68"/>
      <c r="S1018" s="68"/>
      <c r="T1018" s="68"/>
      <c r="U1018" s="68"/>
      <c r="V1018" s="68"/>
      <c r="W1018" s="68"/>
      <c r="X1018" s="68"/>
      <c r="Y1018" s="68"/>
      <c r="Z1018" s="68"/>
      <c r="AA1018" s="68"/>
    </row>
    <row r="1019" hidden="1">
      <c r="A1019" s="134"/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8"/>
      <c r="P1019" s="68"/>
      <c r="Q1019" s="68"/>
      <c r="R1019" s="68"/>
      <c r="S1019" s="68"/>
      <c r="T1019" s="68"/>
      <c r="U1019" s="68"/>
      <c r="V1019" s="68"/>
      <c r="W1019" s="68"/>
      <c r="X1019" s="68"/>
      <c r="Y1019" s="68"/>
      <c r="Z1019" s="68"/>
      <c r="AA1019" s="68"/>
    </row>
    <row r="1020" hidden="1">
      <c r="A1020" s="134"/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8"/>
      <c r="P1020" s="68"/>
      <c r="Q1020" s="68"/>
      <c r="R1020" s="68"/>
      <c r="S1020" s="68"/>
      <c r="T1020" s="68"/>
      <c r="U1020" s="68"/>
      <c r="V1020" s="68"/>
      <c r="W1020" s="68"/>
      <c r="X1020" s="68"/>
      <c r="Y1020" s="68"/>
      <c r="Z1020" s="68"/>
      <c r="AA1020" s="68"/>
    </row>
    <row r="1021" hidden="1">
      <c r="A1021" s="134"/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8"/>
      <c r="T1021" s="68"/>
      <c r="U1021" s="68"/>
      <c r="V1021" s="68"/>
      <c r="W1021" s="68"/>
      <c r="X1021" s="68"/>
      <c r="Y1021" s="68"/>
      <c r="Z1021" s="68"/>
      <c r="AA1021" s="68"/>
    </row>
    <row r="1022" hidden="1">
      <c r="A1022" s="134"/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8"/>
      <c r="T1022" s="68"/>
      <c r="U1022" s="68"/>
      <c r="V1022" s="68"/>
      <c r="W1022" s="68"/>
      <c r="X1022" s="68"/>
      <c r="Y1022" s="68"/>
      <c r="Z1022" s="68"/>
      <c r="AA1022" s="68"/>
    </row>
    <row r="1023" hidden="1">
      <c r="A1023" s="134"/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8"/>
      <c r="T1023" s="68"/>
      <c r="U1023" s="68"/>
      <c r="V1023" s="68"/>
      <c r="W1023" s="68"/>
      <c r="X1023" s="68"/>
      <c r="Y1023" s="68"/>
      <c r="Z1023" s="68"/>
      <c r="AA1023" s="68"/>
    </row>
    <row r="1024" hidden="1">
      <c r="A1024" s="134"/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8"/>
      <c r="T1024" s="68"/>
      <c r="U1024" s="68"/>
      <c r="V1024" s="68"/>
      <c r="W1024" s="68"/>
      <c r="X1024" s="68"/>
      <c r="Y1024" s="68"/>
      <c r="Z1024" s="68"/>
      <c r="AA1024" s="68"/>
    </row>
  </sheetData>
  <mergeCells count="26">
    <mergeCell ref="A4:C4"/>
    <mergeCell ref="A27:C27"/>
    <mergeCell ref="A28:B28"/>
    <mergeCell ref="A30:B30"/>
    <mergeCell ref="A1:H2"/>
    <mergeCell ref="J1:M1"/>
    <mergeCell ref="J2:M2"/>
    <mergeCell ref="A3:C3"/>
    <mergeCell ref="J3:M3"/>
    <mergeCell ref="J4:M4"/>
    <mergeCell ref="K22:Q22"/>
    <mergeCell ref="A41:H41"/>
    <mergeCell ref="A42:H42"/>
    <mergeCell ref="A43:H43"/>
    <mergeCell ref="A44:H44"/>
    <mergeCell ref="A45:H45"/>
    <mergeCell ref="A46:H46"/>
    <mergeCell ref="A47:H47"/>
    <mergeCell ref="A48:H48"/>
    <mergeCell ref="A29:H29"/>
    <mergeCell ref="A31:H31"/>
    <mergeCell ref="A33:H33"/>
    <mergeCell ref="A37:H37"/>
    <mergeCell ref="A38:H38"/>
    <mergeCell ref="A39:H39"/>
    <mergeCell ref="A40:H40"/>
  </mergeCells>
  <dataValidations>
    <dataValidation type="list" allowBlank="1" sqref="A7:A24">
      <formula1>Database!$A$6:$A$1901</formula1>
    </dataValidation>
    <dataValidation type="list" allowBlank="1" showErrorMessage="1" sqref="B7:B8">
      <formula1>"Айсберг,Аспержи (сурово състояние),Белени домати,Броколи (сурово състояние),Брюкселско зеле (сурово състояние),Гъби (сурово състояние),Салата ''Денито''- Зеле, Морков, Фенел,Домати (сурово състояние),Зеле (сурово състояние),Зелен Фасул (сурово състояние),"&amp;"Карфиол (сурово състояние),Кейл (сурово състояние),Китайско зеле,Краставици,Лук (кромид),Лук-пресен (сурово състояние),Лук-стар (сурово състояние),Маруля,Пак Чой (сурово състояние),Патладжан (сурово състояние),Пащърнак,Пипер- зелен/червен/жълт (печен/мари"&amp;"нован),Пипер- зелен/червен/жълт (сурово състояние),Праз лук (сурово състояние),Рукола,Спанак (сурово състояние),Тиква (сурово състояние),Тиквички (сурово състояние),Фенел- резене (сурово състояние),Целина- стебла (сурово състояние),Чесън- пресен (сурово с"&amp;"ъстояние),Чесън- стар (сурово състояние),Шалот,Маслини (стандартни в саламура),Авокадо,Червен/жълт лук- кромид (сурово състояние),Бамя (сурово състояние),Морков (сурово състояние),Капия (в буркан, печена, белена),Тиква (печена),Печени чушки,Гъби-пържени,Б"&amp;"рокула (варена),Аспержи (варени със сол),Брюкселско зеле (варено със сол),Гъби (Brown Shimeji) - сурови,Гъби (Enoki) - сурови,Зеле на фурна,Гъби (Shiitake) - сурови,Кейл (суров),Корен от магданоз,Домати (консерва),Червена чушка,Задушени зеленчуци микс,Мас"&amp;"лини Greek Kalamata ASDA,Маслини зелени без костилка (Lidl),Маслини “ Каламата”-Лидъл,Магданоз пресен,Лилав картоф - суров,Маслини MARMARA,Маслини Freshona- черни и зелени,Кисели краставички,Картофи - сурови,Кисело зеле,Домати - сушени,Морковчета консерва"&amp;" bonduelle,Алабаш,Червено цвекло варено ( лидл),Маслинова паста,Зелена чушка (сладка, сурова),Маслини Каламом и зелени маслини без костилка- Lidl,Италианска салата в плик  ""Veggieland"""</formula1>
    </dataValidation>
    <dataValidation type="list" allowBlank="1" showErrorMessage="1" sqref="B10">
      <formula1>"Пилешки гърди (сурово състояние),Пилешки гърди/бонфиле (сготвено състояние),Пилешка пържола от бут без кожа (сурово състояние),Пилешка пържола от бут с кожа (сурово състояние),Пилешки сърца (сурово състояние),Пилешки крилца (сурово състояние),Пуешки гърди"&amp;" (сурово състояние),Пуешка пържола от бутче (сурово състояние),Свинска вратна пържола (сурово състояние),Свински котлет без кост (сурово състояние),Свински котлет с кост (суров),Свинско бонфиле (сурово състояние),Телешки шол (сурово състояние),Телешка пле"&amp;"шка (сурово състояние),Телешка пържола на скара,Филе Елена (Лидл),Телешко дърпано (11 meats),Пилешки бут без кост (11 meats),Свинско дърпано (11 meats),Бекон (сурово състояние),Телешко месо (готвено),Пуешко месо (11meats),Пилешка шунка (""Dulano""-Lildl),"&amp;"Телешко кюфте (печено),Печено пилешко кюфте ”Меркез”,Телешка кайма (домашна) ,Пилешка пържола от бут без кожа (на скара),Свинско бонфиле (на тиган, скара),Пуешко филе (на тиган, скара),Пилешки гърди (варени),Деликатесна шунка (варена, Дулано),Телешко филе"&amp;" (сурово),Свински врат Чех,Агнешки бут (печен),Телешка кайма 5% мазнини (сурова),Свинска кайма 5% мазнини (сурова),Конско месо (печено/варено),Кайма - Black angus от мраморно говеждо месо (MEAT REVOLUTION) - Lild,Пилешко бутче с кожа (печено),Пуешка кайма"&amp;" 7% мазнини (сурова),Адана кебаб (суров),Агнешко месо (печено/варено),Свински наденици ( 50% мазнини),Black angus бургер (сурово състояние) Лидл,Шницели от охладено свинско месо - Lidl (суров),Пуешка кайма 2%,Варена шунка (Pikok - Lidl),Блек ангъс брекфас"&amp;"т сосиджис (Black angus breakfast sausages) Vivenda,Свински наденици (45% мазнини) Алди,Пилешка пушена шунка ""Фирма - Браво"",Пуешко филе КФМ,Телешка пастърма слайс от ""АБА ЕООД"",Шунка Виенска Премиум КФМ,Луканка Маджаров (черен етикет),Кюфтета от свин"&amp;"ско и говеждо месо със сос с гъби - LIDL,Свинско контрафиле (сурово),Прошуто Кото,Пастет Апетит / Николина,Пушено свинско филе ""Тандем"",Телешки бургер (сурово състояние),Пилешко филе - шишче (сготвено),Кайма Абердин Ангус (сурова)  - Tesco finest,Кренви"&amp;"рши Лидл варено пушени,Телешко Buon Pascolo (в консерва),Ловджийски наденички охладени Лидл,Пилешки дробчета (сготвено състояние),Свински джолан (сурово състояние),Печени патешки гърди Дулано Лидл,Пуешки бут (варен),Пуешки гърди (варени),Свинки бут (варен"&amp;"),Свинско контра филе (печено),Шунка Браво (свинска),Кюфтета свински на скара,Кюфтета От младо телешко Лидл,Заек (сурово състояние),Свински котлет с кост (на скара),Хамон Лидл,Пастърма от пилешки гърди Woods Foods,Пуешко филе БРАВО (варено-пушено),Пастърм"&amp;"а Говежда Еко Мес,Прошуто Кото Дулано (Lidl),Шварцвалдска шунка, суровопушена (Lidl),Шунка Тандем Класик,Свинска вратна пържола (печена),Панагюрска луканка маджаров,Телешки Дроб (суров),Свински бут варено-пушен Baroni,Прошуто Крудо - Fratelli Beretta,Кюфт"&amp;"ета от свинско месо (lidl),Пуешко месо от бутче Pikok (Буркан),Македонска наденица,Шунка свинска - Кен,Охлюви сурови,Пършута слайс сурово сушен свински бут,Кайма Народен (пакетче),Пуешко филе Pikok 87% месо (варено-пушено),Телешка кайма от младо теле - Ли"&amp;"дл,Печена пилешка пържола “Меркез”,Пилешко Бутче - Варено Пушено - Pikok Lidl,Beef Jerky (сготвено състояние),Мариновано пуешко филе (сурово състояние),Пуешко филе в марината (сурово състояние),Адана Кебап на Шиш - Lidl,Шунка Маджаров (варено-пушена),Паст"&amp;"ет от биволско месо (WOODS FOODS),Пилешки дробчета (сурови),Пуешки кренвирши (мини, Меско),Пуешка шунка Тандем,Пуешки гърди, осолени, варени, печени, нарязани (Dulano),Шунка Бут - Слайс - Тандем,Шунка от свински бут - Пикок / Pikok,Шунка, варено-пушена, н"&amp;"арязана Dulano,Немска грил наденица - Alpen Fest - Lidl,Карначе (сурово),Бекон LIDL (сурово състояние),Млечно телешко смляно месо - Вивенда,Бургер от младо телешко (сурово състояние),Пилешко Бутче без кожа, задушено (сготвено състояние),Пилешко Бутче без "&amp;"кожа (печено),Деликатесно свинско филе Дулано,Телешко бон филе (сурово състояние),Свинска Шунка Baroni - Lidl,Пуешко филе ОРЕХИТЕ - варено-пушено,Свински бут (печен),Шунка от свинско месо, варено-пушена Пикок / Pikok,Филе Елена,Горнооряховски суджук ""Сте"&amp;"фанов"",Глиган - готвен, печен,Телешко HEREFORD (консерва),Телешки шол (сготвено състояние),Кайма от телешки шол (сготвено състояние),Сурово сушено свинско контрафиле Dulano,Пилешко роле - Меско,Пилешко месо в желе (Dulno),Сушено филе ""Родна стряха"",Пуе"&amp;"шки дроб (сурово състояние),BEEF JERKY TERIYAKI,Свински Врат (стек), суров,Детски пуешки кремвирши Лидл,Пилешко бутче с кост( долната част ) сурово състояние,Джолан - Свински желиран ЕКО МЕС (за директна консумация),Свинска Плешка (печена),Пилешки салам G"&amp;"utfried,Пуешки шницел (суров),Мексико микс - ЛИДЛ,Агнешки бут (сурово състояние),Агнешки врат (сурово състояние),Прясно пилешко филе (Лидл - сурово състояние),Пуешко филе ""IFANTIS"",Пилешки Гирос (замразен),Beef Jerky ""Shell"",Шунка Шпортлер ""Lidl"" (с"&amp;"урово състояние),Свинско сърце (сурово състояние),Свински бут (сурово състояние),Брезаола (сурово състояние),Конска Пастърма УНИТЕМП,Пуешка шунка (Mercadona),Охл. Конско кюфте - Харманли,Свинско Дърпано EL Tequito(Lidl),Пилешки филета от гърди по тихуанск"&amp;"и(Lidl),Пушено свинско филе Meze,Dulano - Пилешки гърди"</formula1>
    </dataValidation>
    <dataValidation type="list" allowBlank="1" showErrorMessage="1" sqref="B9">
      <formula1>"Доматено пюре Philicon,Лютеница ""Хорцето"",Лютеница ""Дерони"" - едросмляна,Олинезко - за деца,Доматено пюре с босилек Atlantic,Доматено пюре Atlantic,Доматено пюре Cirio,Майонеза Краси - Свежа,Био Лютеница Баба и Внуче ЕООД,Домашна лютеница,Доматено пюр"&amp;"е (Passata),Соев сос ""Дерони"",Майонеза салатена (Kania),Лютеница едромляна ""Родна стряха"" Lidl,БОЛОНЕЗЕ Combino,Сос за спагети Болонезе Хайнц,Песто ""Baresa"",Песто Рукола Deluxe (Lidl),Лютеница ""Олинезко"",Доматен сос БИО (кутия/консерва) - Лидл,Бар"&amp;"ила Олив - Barilla Olive,Сос за Спагет с Босилек - Barilla Bosilico,Сос за спагети с Маслини - Barilla Olive,Лютеница домашна - Фрешона Лидл,Домашна лютеница Едросмляна - Олинеза,Лютеница Брей с кимиион - Кауфланд,Песто дженовезе - Divella,Лютеница едросм"&amp;"ляна - Фрешона,Майонеза Hellman's- Light,Горчица - дижонска, Kania,Лютеница едросмляна My family (без добавени захар, нишесте и консерванти),Лютеница ""Велика"",Лютеница Едро Смляна Булгарплод,Хумус вернада - натурален,Хумус мезете - класик,Хумус с чили,К"&amp;"етчуп- класически,Майонеза лайт- класическа,Песто- класическо,Горчица- класическа,Доматен сос,Зеленчуков сос за спагети,Чеснов сос - класически,Песто Chef is,Балсамико оцет Crema,Доматено пюре - Rosso Gargano"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6" width="9.25"/>
    <col customWidth="1" min="7" max="7" width="3.38"/>
    <col customWidth="1" min="8" max="8" width="18.63"/>
    <col customWidth="1" min="10" max="13" width="9.5"/>
    <col customWidth="1" min="14" max="14" width="3.13"/>
    <col customWidth="1" min="17" max="20" width="9.5"/>
  </cols>
  <sheetData>
    <row r="1" hidden="1"/>
    <row r="2" hidden="1"/>
    <row r="3" hidden="1"/>
    <row r="4">
      <c r="A4" s="135" t="s">
        <v>45</v>
      </c>
      <c r="B4" s="136" t="s">
        <v>46</v>
      </c>
      <c r="C4" s="137" t="s">
        <v>47</v>
      </c>
      <c r="D4" s="137" t="s">
        <v>48</v>
      </c>
      <c r="E4" s="137" t="s">
        <v>49</v>
      </c>
      <c r="F4" s="137" t="s">
        <v>50</v>
      </c>
      <c r="G4" s="138"/>
      <c r="H4" s="139" t="s">
        <v>51</v>
      </c>
      <c r="I4" s="136" t="s">
        <v>46</v>
      </c>
      <c r="J4" s="137" t="s">
        <v>52</v>
      </c>
      <c r="K4" s="140" t="s">
        <v>47</v>
      </c>
      <c r="L4" s="140" t="s">
        <v>48</v>
      </c>
      <c r="M4" s="140" t="s">
        <v>50</v>
      </c>
      <c r="N4" s="141"/>
      <c r="O4" s="142" t="s">
        <v>53</v>
      </c>
      <c r="P4" s="136" t="s">
        <v>46</v>
      </c>
      <c r="Q4" s="137" t="s">
        <v>52</v>
      </c>
      <c r="R4" s="140" t="s">
        <v>47</v>
      </c>
      <c r="S4" s="140" t="s">
        <v>48</v>
      </c>
      <c r="T4" s="140" t="s">
        <v>50</v>
      </c>
      <c r="U4" s="141"/>
    </row>
    <row r="5">
      <c r="A5" s="143"/>
      <c r="B5" s="144" t="s">
        <v>54</v>
      </c>
      <c r="C5" s="145" t="s">
        <v>55</v>
      </c>
      <c r="D5" s="145" t="s">
        <v>56</v>
      </c>
      <c r="E5" s="145" t="s">
        <v>57</v>
      </c>
      <c r="F5" s="145" t="s">
        <v>58</v>
      </c>
      <c r="G5" s="146"/>
      <c r="H5" s="147"/>
      <c r="I5" s="144" t="s">
        <v>54</v>
      </c>
      <c r="J5" s="148" t="s">
        <v>55</v>
      </c>
      <c r="K5" s="148" t="s">
        <v>56</v>
      </c>
      <c r="L5" s="148" t="s">
        <v>57</v>
      </c>
      <c r="M5" s="148" t="s">
        <v>58</v>
      </c>
      <c r="N5" s="141"/>
      <c r="O5" s="147"/>
      <c r="P5" s="144" t="s">
        <v>54</v>
      </c>
      <c r="Q5" s="148" t="s">
        <v>55</v>
      </c>
      <c r="R5" s="148" t="s">
        <v>56</v>
      </c>
      <c r="S5" s="148" t="s">
        <v>57</v>
      </c>
      <c r="T5" s="148" t="s">
        <v>58</v>
      </c>
      <c r="U5" s="141"/>
    </row>
    <row r="6">
      <c r="A6" s="149"/>
      <c r="B6" s="144" t="s">
        <v>59</v>
      </c>
      <c r="C6" s="144"/>
      <c r="D6" s="144"/>
      <c r="E6" s="144"/>
      <c r="F6" s="144"/>
      <c r="G6" s="146"/>
      <c r="H6" s="150"/>
      <c r="I6" s="144" t="s">
        <v>59</v>
      </c>
      <c r="J6" s="144"/>
      <c r="K6" s="144"/>
      <c r="L6" s="144"/>
      <c r="M6" s="144"/>
      <c r="N6" s="141"/>
      <c r="O6" s="150"/>
      <c r="P6" s="144" t="s">
        <v>59</v>
      </c>
      <c r="Q6" s="144"/>
      <c r="R6" s="144"/>
      <c r="S6" s="144"/>
      <c r="T6" s="144"/>
      <c r="U6" s="141"/>
    </row>
    <row r="7">
      <c r="A7" s="151" t="s">
        <v>19</v>
      </c>
      <c r="B7" s="152">
        <f t="shared" ref="B7:B9" si="1">SUM(C7:F7)</f>
        <v>180</v>
      </c>
      <c r="C7" s="153">
        <v>35.0</v>
      </c>
      <c r="D7" s="154">
        <v>35.0</v>
      </c>
      <c r="E7" s="154">
        <v>55.0</v>
      </c>
      <c r="F7" s="154">
        <v>55.0</v>
      </c>
      <c r="G7" s="146"/>
      <c r="H7" s="155" t="s">
        <v>19</v>
      </c>
      <c r="I7" s="152">
        <f t="shared" ref="I7:I9" si="2">SUM(J7:M7)</f>
        <v>180</v>
      </c>
      <c r="J7" s="153">
        <v>35.0</v>
      </c>
      <c r="K7" s="154">
        <v>35.0</v>
      </c>
      <c r="L7" s="154">
        <v>55.0</v>
      </c>
      <c r="M7" s="154">
        <v>55.0</v>
      </c>
      <c r="N7" s="141"/>
      <c r="O7" s="155" t="s">
        <v>19</v>
      </c>
      <c r="P7" s="152">
        <f t="shared" ref="P7:P9" si="3">SUM(Q7:T7)</f>
        <v>180</v>
      </c>
      <c r="Q7" s="153">
        <v>35.0</v>
      </c>
      <c r="R7" s="154">
        <v>55.0</v>
      </c>
      <c r="S7" s="154">
        <v>35.0</v>
      </c>
      <c r="T7" s="154">
        <v>55.0</v>
      </c>
      <c r="U7" s="141"/>
    </row>
    <row r="8">
      <c r="A8" s="151" t="s">
        <v>21</v>
      </c>
      <c r="B8" s="152">
        <f t="shared" si="1"/>
        <v>60</v>
      </c>
      <c r="C8" s="156">
        <v>5.0</v>
      </c>
      <c r="D8" s="157">
        <v>5.0</v>
      </c>
      <c r="E8" s="157">
        <v>30.0</v>
      </c>
      <c r="F8" s="157">
        <v>20.0</v>
      </c>
      <c r="G8" s="146"/>
      <c r="H8" s="155" t="s">
        <v>21</v>
      </c>
      <c r="I8" s="152">
        <f t="shared" si="2"/>
        <v>50</v>
      </c>
      <c r="J8" s="156">
        <v>5.0</v>
      </c>
      <c r="K8" s="157">
        <v>5.0</v>
      </c>
      <c r="L8" s="157">
        <v>10.0</v>
      </c>
      <c r="M8" s="157">
        <v>30.0</v>
      </c>
      <c r="N8" s="141"/>
      <c r="O8" s="155" t="s">
        <v>21</v>
      </c>
      <c r="P8" s="152">
        <f t="shared" si="3"/>
        <v>60</v>
      </c>
      <c r="Q8" s="156">
        <v>5.0</v>
      </c>
      <c r="R8" s="157">
        <v>30.0</v>
      </c>
      <c r="S8" s="157">
        <v>10.0</v>
      </c>
      <c r="T8" s="157">
        <v>15.0</v>
      </c>
      <c r="U8" s="141"/>
    </row>
    <row r="9">
      <c r="A9" s="158" t="s">
        <v>20</v>
      </c>
      <c r="B9" s="159">
        <f t="shared" si="1"/>
        <v>210</v>
      </c>
      <c r="C9" s="156">
        <v>20.0</v>
      </c>
      <c r="D9" s="157">
        <v>20.0</v>
      </c>
      <c r="E9" s="157">
        <v>100.0</v>
      </c>
      <c r="F9" s="157">
        <v>70.0</v>
      </c>
      <c r="G9" s="146"/>
      <c r="H9" s="160" t="s">
        <v>20</v>
      </c>
      <c r="I9" s="159">
        <f t="shared" si="2"/>
        <v>210</v>
      </c>
      <c r="J9" s="156">
        <v>20.0</v>
      </c>
      <c r="K9" s="157">
        <v>20.0</v>
      </c>
      <c r="L9" s="157">
        <v>40.0</v>
      </c>
      <c r="M9" s="157">
        <v>130.0</v>
      </c>
      <c r="N9" s="141"/>
      <c r="O9" s="160" t="s">
        <v>20</v>
      </c>
      <c r="P9" s="159">
        <f t="shared" si="3"/>
        <v>210</v>
      </c>
      <c r="Q9" s="156">
        <v>20.0</v>
      </c>
      <c r="R9" s="157">
        <v>100.0</v>
      </c>
      <c r="S9" s="157">
        <v>20.0</v>
      </c>
      <c r="T9" s="157">
        <v>70.0</v>
      </c>
      <c r="U9" s="141"/>
    </row>
    <row r="10">
      <c r="A10" s="161" t="s">
        <v>60</v>
      </c>
      <c r="B10" s="159">
        <f t="shared" ref="B10:F10" si="4">(B7+B9)*4+9*B8</f>
        <v>2100</v>
      </c>
      <c r="C10" s="159">
        <f t="shared" si="4"/>
        <v>265</v>
      </c>
      <c r="D10" s="159">
        <f t="shared" si="4"/>
        <v>265</v>
      </c>
      <c r="E10" s="159">
        <f t="shared" si="4"/>
        <v>890</v>
      </c>
      <c r="F10" s="159">
        <f t="shared" si="4"/>
        <v>680</v>
      </c>
      <c r="G10" s="146"/>
      <c r="H10" s="162" t="s">
        <v>60</v>
      </c>
      <c r="I10" s="159">
        <f t="shared" ref="I10:M10" si="5">(I7+I9)*4+9*I8</f>
        <v>2010</v>
      </c>
      <c r="J10" s="159">
        <f t="shared" si="5"/>
        <v>265</v>
      </c>
      <c r="K10" s="159">
        <f t="shared" si="5"/>
        <v>265</v>
      </c>
      <c r="L10" s="159">
        <f t="shared" si="5"/>
        <v>470</v>
      </c>
      <c r="M10" s="159">
        <f t="shared" si="5"/>
        <v>1010</v>
      </c>
      <c r="N10" s="141"/>
      <c r="O10" s="162" t="s">
        <v>60</v>
      </c>
      <c r="P10" s="159">
        <f t="shared" ref="P10:T10" si="6">(P7+P9)*4+9*P8</f>
        <v>2100</v>
      </c>
      <c r="Q10" s="159">
        <f t="shared" si="6"/>
        <v>265</v>
      </c>
      <c r="R10" s="159">
        <f t="shared" si="6"/>
        <v>890</v>
      </c>
      <c r="S10" s="159">
        <f t="shared" si="6"/>
        <v>310</v>
      </c>
      <c r="T10" s="159">
        <f t="shared" si="6"/>
        <v>635</v>
      </c>
      <c r="U10" s="141"/>
    </row>
    <row r="11">
      <c r="A11" s="163"/>
      <c r="B11" s="164"/>
      <c r="C11" s="164"/>
      <c r="D11" s="164"/>
      <c r="E11" s="164"/>
      <c r="F11" s="164"/>
      <c r="G11" s="68"/>
      <c r="H11" s="164"/>
      <c r="I11" s="164"/>
      <c r="J11" s="164"/>
      <c r="K11" s="164"/>
      <c r="L11" s="164"/>
      <c r="M11" s="164"/>
      <c r="N11" s="141"/>
      <c r="O11" s="164"/>
      <c r="P11" s="164"/>
      <c r="Q11" s="164"/>
      <c r="R11" s="164"/>
      <c r="S11" s="164"/>
      <c r="T11" s="164"/>
      <c r="U11" s="141"/>
    </row>
    <row r="12">
      <c r="A12" s="165" t="s">
        <v>61</v>
      </c>
      <c r="B12" s="144" t="s">
        <v>46</v>
      </c>
      <c r="C12" s="148" t="s">
        <v>52</v>
      </c>
      <c r="D12" s="148" t="s">
        <v>62</v>
      </c>
      <c r="E12" s="166" t="s">
        <v>49</v>
      </c>
      <c r="F12" s="166" t="s">
        <v>50</v>
      </c>
      <c r="G12" s="146"/>
      <c r="H12" s="167" t="s">
        <v>63</v>
      </c>
      <c r="I12" s="144" t="s">
        <v>46</v>
      </c>
      <c r="J12" s="148" t="s">
        <v>52</v>
      </c>
      <c r="K12" s="145" t="s">
        <v>62</v>
      </c>
      <c r="L12" s="166" t="s">
        <v>47</v>
      </c>
      <c r="M12" s="166" t="s">
        <v>48</v>
      </c>
      <c r="N12" s="141"/>
      <c r="O12" s="142" t="s">
        <v>64</v>
      </c>
      <c r="P12" s="144" t="s">
        <v>46</v>
      </c>
      <c r="Q12" s="148" t="s">
        <v>52</v>
      </c>
      <c r="R12" s="145" t="s">
        <v>62</v>
      </c>
      <c r="S12" s="166" t="s">
        <v>47</v>
      </c>
      <c r="T12" s="166" t="s">
        <v>48</v>
      </c>
      <c r="U12" s="141"/>
    </row>
    <row r="13">
      <c r="A13" s="143"/>
      <c r="B13" s="144" t="s">
        <v>54</v>
      </c>
      <c r="C13" s="148" t="s">
        <v>55</v>
      </c>
      <c r="D13" s="148" t="s">
        <v>56</v>
      </c>
      <c r="E13" s="148" t="s">
        <v>57</v>
      </c>
      <c r="F13" s="148" t="s">
        <v>58</v>
      </c>
      <c r="G13" s="146"/>
      <c r="H13" s="147"/>
      <c r="I13" s="144" t="s">
        <v>54</v>
      </c>
      <c r="J13" s="148" t="s">
        <v>55</v>
      </c>
      <c r="K13" s="148" t="s">
        <v>56</v>
      </c>
      <c r="L13" s="148" t="s">
        <v>57</v>
      </c>
      <c r="M13" s="148" t="s">
        <v>58</v>
      </c>
      <c r="N13" s="141"/>
      <c r="O13" s="147"/>
      <c r="P13" s="144" t="s">
        <v>54</v>
      </c>
      <c r="Q13" s="148" t="s">
        <v>55</v>
      </c>
      <c r="R13" s="148" t="s">
        <v>56</v>
      </c>
      <c r="S13" s="148" t="s">
        <v>57</v>
      </c>
      <c r="T13" s="148" t="s">
        <v>58</v>
      </c>
      <c r="U13" s="141"/>
    </row>
    <row r="14">
      <c r="A14" s="149"/>
      <c r="B14" s="144" t="s">
        <v>59</v>
      </c>
      <c r="C14" s="168"/>
      <c r="D14" s="168"/>
      <c r="E14" s="168"/>
      <c r="F14" s="168"/>
      <c r="G14" s="146"/>
      <c r="H14" s="150"/>
      <c r="I14" s="144" t="s">
        <v>59</v>
      </c>
      <c r="J14" s="144"/>
      <c r="K14" s="144"/>
      <c r="L14" s="144"/>
      <c r="M14" s="144"/>
      <c r="N14" s="141"/>
      <c r="O14" s="150"/>
      <c r="P14" s="144" t="s">
        <v>59</v>
      </c>
      <c r="Q14" s="144"/>
      <c r="R14" s="144"/>
      <c r="S14" s="144"/>
      <c r="T14" s="144"/>
      <c r="U14" s="141"/>
    </row>
    <row r="15">
      <c r="A15" s="169" t="s">
        <v>19</v>
      </c>
      <c r="B15" s="170">
        <f t="shared" ref="B15:B17" si="7">SUM(C15:F15)</f>
        <v>180</v>
      </c>
      <c r="C15" s="153">
        <v>35.0</v>
      </c>
      <c r="D15" s="154">
        <v>35.0</v>
      </c>
      <c r="E15" s="154">
        <v>55.0</v>
      </c>
      <c r="F15" s="154">
        <v>55.0</v>
      </c>
      <c r="G15" s="146"/>
      <c r="H15" s="155" t="s">
        <v>19</v>
      </c>
      <c r="I15" s="152">
        <f t="shared" ref="I15:I17" si="8">SUM(J15:M15)</f>
        <v>180</v>
      </c>
      <c r="J15" s="153">
        <v>35.0</v>
      </c>
      <c r="K15" s="154">
        <v>35.0</v>
      </c>
      <c r="L15" s="154">
        <v>55.0</v>
      </c>
      <c r="M15" s="154">
        <v>55.0</v>
      </c>
      <c r="N15" s="141"/>
      <c r="O15" s="155" t="s">
        <v>19</v>
      </c>
      <c r="P15" s="152">
        <f t="shared" ref="P15:P17" si="9">SUM(Q15:T15)</f>
        <v>0</v>
      </c>
      <c r="Q15" s="171"/>
      <c r="R15" s="171"/>
      <c r="S15" s="171"/>
      <c r="T15" s="171"/>
      <c r="U15" s="141"/>
    </row>
    <row r="16">
      <c r="A16" s="169" t="s">
        <v>21</v>
      </c>
      <c r="B16" s="170">
        <f t="shared" si="7"/>
        <v>50</v>
      </c>
      <c r="C16" s="156">
        <v>30.0</v>
      </c>
      <c r="D16" s="157">
        <v>5.0</v>
      </c>
      <c r="E16" s="157">
        <v>5.0</v>
      </c>
      <c r="F16" s="157">
        <v>10.0</v>
      </c>
      <c r="G16" s="146"/>
      <c r="H16" s="155" t="s">
        <v>21</v>
      </c>
      <c r="I16" s="152">
        <f t="shared" si="8"/>
        <v>70</v>
      </c>
      <c r="J16" s="156">
        <v>30.0</v>
      </c>
      <c r="K16" s="157">
        <v>5.0</v>
      </c>
      <c r="L16" s="157">
        <v>5.0</v>
      </c>
      <c r="M16" s="157">
        <v>30.0</v>
      </c>
      <c r="N16" s="141"/>
      <c r="O16" s="155" t="s">
        <v>21</v>
      </c>
      <c r="P16" s="152">
        <f t="shared" si="9"/>
        <v>0</v>
      </c>
      <c r="Q16" s="171"/>
      <c r="R16" s="171"/>
      <c r="S16" s="171"/>
      <c r="T16" s="171"/>
      <c r="U16" s="141"/>
    </row>
    <row r="17">
      <c r="A17" s="172" t="s">
        <v>20</v>
      </c>
      <c r="B17" s="173">
        <f t="shared" si="7"/>
        <v>150</v>
      </c>
      <c r="C17" s="156">
        <v>50.0</v>
      </c>
      <c r="D17" s="157">
        <v>20.0</v>
      </c>
      <c r="E17" s="157">
        <v>20.0</v>
      </c>
      <c r="F17" s="157">
        <v>60.0</v>
      </c>
      <c r="G17" s="146"/>
      <c r="H17" s="160" t="s">
        <v>20</v>
      </c>
      <c r="I17" s="159">
        <f t="shared" si="8"/>
        <v>240</v>
      </c>
      <c r="J17" s="156">
        <v>50.0</v>
      </c>
      <c r="K17" s="157">
        <v>20.0</v>
      </c>
      <c r="L17" s="157">
        <v>40.0</v>
      </c>
      <c r="M17" s="157">
        <v>130.0</v>
      </c>
      <c r="N17" s="141"/>
      <c r="O17" s="160" t="s">
        <v>20</v>
      </c>
      <c r="P17" s="159">
        <f t="shared" si="9"/>
        <v>0</v>
      </c>
      <c r="Q17" s="171"/>
      <c r="R17" s="171"/>
      <c r="S17" s="171"/>
      <c r="T17" s="171"/>
      <c r="U17" s="141"/>
    </row>
    <row r="18">
      <c r="A18" s="161" t="s">
        <v>60</v>
      </c>
      <c r="B18" s="159">
        <f t="shared" ref="B18:F18" si="10">(B15+B17)*4+9*B16</f>
        <v>1770</v>
      </c>
      <c r="C18" s="159">
        <f t="shared" si="10"/>
        <v>610</v>
      </c>
      <c r="D18" s="159">
        <f t="shared" si="10"/>
        <v>265</v>
      </c>
      <c r="E18" s="159">
        <f t="shared" si="10"/>
        <v>345</v>
      </c>
      <c r="F18" s="159">
        <f t="shared" si="10"/>
        <v>550</v>
      </c>
      <c r="G18" s="146"/>
      <c r="H18" s="162" t="s">
        <v>60</v>
      </c>
      <c r="I18" s="159">
        <f t="shared" ref="I18:M18" si="11">(I15+I17)*4+9*I16</f>
        <v>2310</v>
      </c>
      <c r="J18" s="159">
        <f t="shared" si="11"/>
        <v>610</v>
      </c>
      <c r="K18" s="159">
        <f t="shared" si="11"/>
        <v>265</v>
      </c>
      <c r="L18" s="159">
        <f t="shared" si="11"/>
        <v>425</v>
      </c>
      <c r="M18" s="159">
        <f t="shared" si="11"/>
        <v>1010</v>
      </c>
      <c r="N18" s="141"/>
      <c r="O18" s="162" t="s">
        <v>60</v>
      </c>
      <c r="P18" s="159">
        <f t="shared" ref="P18:T18" si="12">(P15+P17)*4+9*P16</f>
        <v>0</v>
      </c>
      <c r="Q18" s="159">
        <f t="shared" si="12"/>
        <v>0</v>
      </c>
      <c r="R18" s="159">
        <f t="shared" si="12"/>
        <v>0</v>
      </c>
      <c r="S18" s="159">
        <f t="shared" si="12"/>
        <v>0</v>
      </c>
      <c r="T18" s="159">
        <f t="shared" si="12"/>
        <v>0</v>
      </c>
      <c r="U18" s="141"/>
    </row>
    <row r="19">
      <c r="A19" s="174"/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141"/>
      <c r="O19" s="141"/>
      <c r="P19" s="141"/>
      <c r="Q19" s="141"/>
      <c r="R19" s="141"/>
      <c r="S19" s="141"/>
      <c r="T19" s="141"/>
      <c r="U19" s="141"/>
    </row>
    <row r="20">
      <c r="A20" s="141"/>
      <c r="B20" s="141"/>
      <c r="C20" s="141"/>
      <c r="D20" s="141"/>
      <c r="E20" s="141"/>
      <c r="F20" s="175" t="s">
        <v>65</v>
      </c>
      <c r="G20" s="176"/>
      <c r="H20" s="177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</row>
    <row r="21">
      <c r="A21" s="141"/>
      <c r="B21" s="141"/>
      <c r="C21" s="141"/>
      <c r="D21" s="141"/>
      <c r="E21" s="141"/>
      <c r="H21" s="178"/>
      <c r="I21" s="179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</row>
    <row r="22">
      <c r="A22" s="141"/>
      <c r="B22" s="141"/>
      <c r="C22" s="141"/>
      <c r="D22" s="141"/>
      <c r="E22" s="141"/>
      <c r="F22" s="180"/>
      <c r="G22" s="180"/>
      <c r="H22" s="18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</row>
    <row r="23">
      <c r="A23" s="141"/>
      <c r="B23" s="141"/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</row>
  </sheetData>
  <mergeCells count="7">
    <mergeCell ref="A4:A6"/>
    <mergeCell ref="H4:H6"/>
    <mergeCell ref="O4:O6"/>
    <mergeCell ref="A12:A14"/>
    <mergeCell ref="H12:H14"/>
    <mergeCell ref="O12:O14"/>
    <mergeCell ref="F20:H22"/>
  </mergeCells>
  <hyperlinks>
    <hyperlink r:id="rId1" ref="F20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.5"/>
    <col customWidth="1" min="2" max="2" width="20.75"/>
    <col customWidth="1" min="4" max="4" width="7.38"/>
    <col customWidth="1" min="6" max="6" width="8.25"/>
    <col customWidth="1" min="8" max="8" width="1.88"/>
    <col customWidth="1" min="10" max="10" width="12.38"/>
    <col customWidth="1" min="11" max="11" width="1.88"/>
    <col customWidth="1" min="12" max="12" width="18.25"/>
    <col customWidth="1" min="17" max="17" width="24.13"/>
  </cols>
  <sheetData>
    <row r="1">
      <c r="A1" s="182" t="s">
        <v>66</v>
      </c>
      <c r="B1" s="31"/>
      <c r="C1" s="31"/>
      <c r="D1" s="31"/>
      <c r="E1" s="31"/>
      <c r="F1" s="31"/>
      <c r="G1" s="31"/>
      <c r="H1" s="31"/>
      <c r="I1" s="31"/>
      <c r="J1" s="31"/>
      <c r="K1" s="32"/>
    </row>
    <row r="2">
      <c r="A2" s="183">
        <v>1.0</v>
      </c>
      <c r="B2" s="184" t="s">
        <v>67</v>
      </c>
      <c r="K2" s="40"/>
    </row>
    <row r="3">
      <c r="A3" s="183">
        <v>2.0</v>
      </c>
      <c r="B3" s="184" t="s">
        <v>68</v>
      </c>
      <c r="K3" s="40"/>
    </row>
    <row r="4">
      <c r="A4" s="185">
        <v>3.0</v>
      </c>
      <c r="B4" s="186" t="s">
        <v>69</v>
      </c>
      <c r="C4" s="45"/>
      <c r="D4" s="45"/>
      <c r="E4" s="45"/>
      <c r="F4" s="45"/>
      <c r="G4" s="45"/>
      <c r="H4" s="45"/>
      <c r="I4" s="45"/>
      <c r="J4" s="45"/>
      <c r="K4" s="50"/>
    </row>
    <row r="5">
      <c r="A5" s="187"/>
      <c r="K5" s="188"/>
    </row>
    <row r="6">
      <c r="A6" s="189" t="s">
        <v>70</v>
      </c>
      <c r="K6" s="40"/>
    </row>
    <row r="7" ht="47.25" customHeight="1">
      <c r="A7" s="190" t="s">
        <v>71</v>
      </c>
      <c r="B7" s="99"/>
      <c r="C7" s="190" t="s">
        <v>72</v>
      </c>
      <c r="D7" s="99"/>
      <c r="E7" s="190" t="s">
        <v>73</v>
      </c>
      <c r="F7" s="99"/>
      <c r="G7" s="190" t="s">
        <v>74</v>
      </c>
      <c r="H7" s="99"/>
      <c r="I7" s="190" t="s">
        <v>75</v>
      </c>
      <c r="J7" s="109"/>
      <c r="K7" s="191"/>
    </row>
    <row r="8">
      <c r="A8" s="192" t="s">
        <v>76</v>
      </c>
      <c r="B8" s="193"/>
      <c r="C8" s="194" t="s">
        <v>77</v>
      </c>
      <c r="D8" s="195"/>
      <c r="E8" s="194" t="s">
        <v>78</v>
      </c>
      <c r="F8" s="193"/>
      <c r="G8" s="194" t="s">
        <v>79</v>
      </c>
      <c r="H8" s="193"/>
      <c r="I8" s="194" t="s">
        <v>80</v>
      </c>
      <c r="J8" s="195"/>
      <c r="K8" s="196"/>
    </row>
    <row r="9">
      <c r="A9" s="197" t="s">
        <v>81</v>
      </c>
      <c r="B9" s="198"/>
      <c r="C9" s="199" t="s">
        <v>82</v>
      </c>
      <c r="E9" s="199" t="s">
        <v>24</v>
      </c>
      <c r="F9" s="198"/>
      <c r="G9" s="199" t="s">
        <v>83</v>
      </c>
      <c r="H9" s="198"/>
      <c r="I9" s="199" t="s">
        <v>84</v>
      </c>
      <c r="K9" s="188"/>
    </row>
    <row r="10">
      <c r="A10" s="197" t="s">
        <v>85</v>
      </c>
      <c r="B10" s="198"/>
      <c r="C10" s="199" t="s">
        <v>86</v>
      </c>
      <c r="E10" s="199" t="s">
        <v>87</v>
      </c>
      <c r="F10" s="198"/>
      <c r="G10" s="199" t="s">
        <v>88</v>
      </c>
      <c r="H10" s="198"/>
      <c r="I10" s="199" t="s">
        <v>89</v>
      </c>
      <c r="K10" s="188"/>
    </row>
    <row r="11">
      <c r="A11" s="197" t="s">
        <v>90</v>
      </c>
      <c r="B11" s="198"/>
      <c r="C11" s="199" t="s">
        <v>91</v>
      </c>
      <c r="E11" s="199" t="s">
        <v>92</v>
      </c>
      <c r="F11" s="198"/>
      <c r="G11" s="199" t="s">
        <v>93</v>
      </c>
      <c r="H11" s="198"/>
      <c r="I11" s="200" t="s">
        <v>94</v>
      </c>
      <c r="K11" s="188"/>
    </row>
    <row r="12">
      <c r="A12" s="197" t="s">
        <v>95</v>
      </c>
      <c r="B12" s="198"/>
      <c r="C12" s="199" t="s">
        <v>96</v>
      </c>
      <c r="E12" s="199" t="s">
        <v>97</v>
      </c>
      <c r="F12" s="198"/>
      <c r="G12" s="199" t="s">
        <v>98</v>
      </c>
      <c r="H12" s="198"/>
      <c r="I12" s="200" t="s">
        <v>99</v>
      </c>
      <c r="K12" s="188"/>
    </row>
    <row r="13">
      <c r="A13" s="197" t="s">
        <v>100</v>
      </c>
      <c r="B13" s="198"/>
      <c r="C13" s="199" t="s">
        <v>101</v>
      </c>
      <c r="D13" s="198"/>
      <c r="F13" s="198"/>
      <c r="H13" s="198"/>
      <c r="I13" s="199" t="s">
        <v>102</v>
      </c>
      <c r="K13" s="188"/>
    </row>
    <row r="14">
      <c r="A14" s="197" t="s">
        <v>103</v>
      </c>
      <c r="B14" s="198"/>
      <c r="C14" s="199" t="s">
        <v>104</v>
      </c>
      <c r="D14" s="198"/>
      <c r="F14" s="198"/>
      <c r="H14" s="198"/>
      <c r="I14" s="200" t="s">
        <v>105</v>
      </c>
      <c r="K14" s="188"/>
    </row>
    <row r="15">
      <c r="A15" s="197" t="s">
        <v>106</v>
      </c>
      <c r="B15" s="198"/>
      <c r="C15" s="199" t="s">
        <v>107</v>
      </c>
      <c r="D15" s="198"/>
      <c r="F15" s="198"/>
      <c r="H15" s="198"/>
      <c r="K15" s="188"/>
    </row>
    <row r="16">
      <c r="A16" s="197"/>
      <c r="B16" s="201" t="s">
        <v>108</v>
      </c>
      <c r="C16" s="199"/>
      <c r="D16" s="198"/>
      <c r="F16" s="198"/>
      <c r="H16" s="198"/>
      <c r="K16" s="188"/>
    </row>
    <row r="17">
      <c r="A17" s="202" t="s">
        <v>109</v>
      </c>
      <c r="B17" s="203"/>
      <c r="C17" s="204" t="s">
        <v>110</v>
      </c>
      <c r="D17" s="203"/>
      <c r="E17" s="205"/>
      <c r="F17" s="203"/>
      <c r="G17" s="205"/>
      <c r="H17" s="203"/>
      <c r="I17" s="205"/>
      <c r="J17" s="205"/>
      <c r="K17" s="206"/>
    </row>
    <row r="19" ht="21.0" customHeight="1">
      <c r="A19" s="207" t="s">
        <v>111</v>
      </c>
      <c r="K19" s="40"/>
    </row>
    <row r="20">
      <c r="A20" s="208" t="s">
        <v>112</v>
      </c>
      <c r="F20" s="208" t="s">
        <v>19</v>
      </c>
      <c r="G20" s="208" t="s">
        <v>20</v>
      </c>
      <c r="I20" s="208" t="s">
        <v>21</v>
      </c>
      <c r="J20" s="208" t="s">
        <v>7</v>
      </c>
    </row>
    <row r="21">
      <c r="A21" s="209" t="s">
        <v>113</v>
      </c>
      <c r="F21" s="210">
        <v>35.0</v>
      </c>
      <c r="G21" s="210">
        <v>10.0</v>
      </c>
      <c r="I21" s="210">
        <v>3.0</v>
      </c>
      <c r="J21" s="7">
        <f t="shared" ref="J21:J29" si="1">(F21+G21)*4+I21*9</f>
        <v>207</v>
      </c>
    </row>
    <row r="22">
      <c r="A22" s="209" t="s">
        <v>114</v>
      </c>
      <c r="F22" s="210">
        <v>25.0</v>
      </c>
      <c r="G22" s="210">
        <v>30.0</v>
      </c>
      <c r="I22" s="210">
        <v>10.0</v>
      </c>
      <c r="J22" s="7">
        <f t="shared" si="1"/>
        <v>310</v>
      </c>
    </row>
    <row r="23">
      <c r="A23" s="209" t="s">
        <v>115</v>
      </c>
      <c r="F23" s="211">
        <v>50.0</v>
      </c>
      <c r="G23" s="211">
        <v>20.0</v>
      </c>
      <c r="I23" s="210">
        <v>0.0</v>
      </c>
      <c r="J23" s="7">
        <f t="shared" si="1"/>
        <v>280</v>
      </c>
    </row>
    <row r="24">
      <c r="A24" s="212" t="s">
        <v>116</v>
      </c>
      <c r="F24" s="210">
        <v>78.0</v>
      </c>
      <c r="G24" s="210">
        <v>0.0</v>
      </c>
      <c r="I24" s="210">
        <v>15.0</v>
      </c>
      <c r="J24" s="7">
        <f t="shared" si="1"/>
        <v>447</v>
      </c>
    </row>
    <row r="25">
      <c r="A25" s="209" t="s">
        <v>117</v>
      </c>
      <c r="F25" s="210">
        <v>40.0</v>
      </c>
      <c r="G25" s="210">
        <v>15.0</v>
      </c>
      <c r="I25" s="210">
        <v>15.0</v>
      </c>
      <c r="J25" s="7">
        <f t="shared" si="1"/>
        <v>355</v>
      </c>
    </row>
    <row r="26">
      <c r="A26" s="209" t="s">
        <v>118</v>
      </c>
      <c r="F26" s="210">
        <v>29.0</v>
      </c>
      <c r="G26" s="210">
        <v>12.0</v>
      </c>
      <c r="I26" s="210">
        <v>4.0</v>
      </c>
      <c r="J26" s="7">
        <f t="shared" si="1"/>
        <v>200</v>
      </c>
    </row>
    <row r="27">
      <c r="A27" s="209" t="s">
        <v>119</v>
      </c>
      <c r="F27" s="210">
        <v>45.0</v>
      </c>
      <c r="G27" s="210">
        <v>44.0</v>
      </c>
      <c r="I27" s="210">
        <v>11.0</v>
      </c>
      <c r="J27" s="7">
        <f t="shared" si="1"/>
        <v>455</v>
      </c>
    </row>
    <row r="28">
      <c r="A28" s="209" t="s">
        <v>120</v>
      </c>
      <c r="F28" s="210">
        <v>40.0</v>
      </c>
      <c r="G28" s="210">
        <v>37.0</v>
      </c>
      <c r="I28" s="210">
        <v>16.0</v>
      </c>
      <c r="J28" s="7">
        <f t="shared" si="1"/>
        <v>452</v>
      </c>
    </row>
    <row r="29">
      <c r="A29" s="209" t="s">
        <v>121</v>
      </c>
      <c r="F29" s="210">
        <v>55.0</v>
      </c>
      <c r="G29" s="210">
        <v>15.0</v>
      </c>
      <c r="I29" s="210">
        <v>15.0</v>
      </c>
      <c r="J29" s="7">
        <f t="shared" si="1"/>
        <v>415</v>
      </c>
    </row>
    <row r="31">
      <c r="A31" s="213" t="s">
        <v>122</v>
      </c>
      <c r="B31" s="214"/>
      <c r="C31" s="214"/>
      <c r="D31" s="214"/>
      <c r="E31" s="214"/>
      <c r="F31" s="214"/>
      <c r="G31" s="214"/>
      <c r="H31" s="214"/>
      <c r="I31" s="214"/>
      <c r="J31" s="214"/>
      <c r="K31" s="215"/>
    </row>
  </sheetData>
  <mergeCells count="42">
    <mergeCell ref="E7:F7"/>
    <mergeCell ref="G7:H7"/>
    <mergeCell ref="A1:K1"/>
    <mergeCell ref="B2:K2"/>
    <mergeCell ref="B3:K3"/>
    <mergeCell ref="B4:K4"/>
    <mergeCell ref="A6:K6"/>
    <mergeCell ref="A7:B7"/>
    <mergeCell ref="C7:D7"/>
    <mergeCell ref="I7:K7"/>
    <mergeCell ref="A19:K19"/>
    <mergeCell ref="A20:E20"/>
    <mergeCell ref="G20:H20"/>
    <mergeCell ref="J20:K20"/>
    <mergeCell ref="G21:H21"/>
    <mergeCell ref="J21:K21"/>
    <mergeCell ref="A24:E24"/>
    <mergeCell ref="A25:E25"/>
    <mergeCell ref="A26:E26"/>
    <mergeCell ref="A27:E27"/>
    <mergeCell ref="A28:E28"/>
    <mergeCell ref="A29:E29"/>
    <mergeCell ref="A21:E21"/>
    <mergeCell ref="A22:E22"/>
    <mergeCell ref="G22:H22"/>
    <mergeCell ref="J22:K22"/>
    <mergeCell ref="A23:E23"/>
    <mergeCell ref="J23:K23"/>
    <mergeCell ref="J24:K24"/>
    <mergeCell ref="G27:H27"/>
    <mergeCell ref="G28:H28"/>
    <mergeCell ref="G29:H29"/>
    <mergeCell ref="J28:K28"/>
    <mergeCell ref="J29:K29"/>
    <mergeCell ref="A31:K31"/>
    <mergeCell ref="G23:H23"/>
    <mergeCell ref="G24:H24"/>
    <mergeCell ref="G25:H25"/>
    <mergeCell ref="J25:K25"/>
    <mergeCell ref="G26:H26"/>
    <mergeCell ref="J26:K26"/>
    <mergeCell ref="J27:K27"/>
  </mergeCells>
  <hyperlinks>
    <hyperlink r:id="rId1" ref="A21"/>
    <hyperlink r:id="rId2" ref="A22"/>
    <hyperlink r:id="rId3" ref="A23"/>
    <hyperlink r:id="rId4" ref="A24"/>
    <hyperlink r:id="rId5" ref="A25"/>
    <hyperlink r:id="rId6" ref="A26"/>
    <hyperlink r:id="rId7" ref="A27"/>
    <hyperlink r:id="rId8" ref="A28"/>
    <hyperlink r:id="rId9" ref="A29"/>
    <hyperlink r:id="rId10" ref="A31"/>
  </hyperlinks>
  <drawing r:id="rId1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 outlineLevelRow="1"/>
  <cols>
    <col customWidth="1" min="1" max="1" width="25.13"/>
    <col customWidth="1" min="2" max="2" width="29.5"/>
    <col customWidth="1" min="3" max="3" width="13.25"/>
    <col customWidth="1" min="10" max="10" width="11.5"/>
    <col customWidth="1" min="11" max="11" width="8.88"/>
    <col customWidth="1" min="12" max="12" width="7.75"/>
    <col customWidth="1" min="13" max="13" width="6.5"/>
    <col customWidth="1" min="14" max="14" width="6.13"/>
    <col customWidth="1" min="15" max="15" width="6.75"/>
  </cols>
  <sheetData>
    <row r="1">
      <c r="A1" s="216" t="s">
        <v>123</v>
      </c>
      <c r="C1" s="178"/>
      <c r="D1" s="217" t="s">
        <v>19</v>
      </c>
      <c r="E1" s="218" t="s">
        <v>20</v>
      </c>
      <c r="F1" s="218" t="s">
        <v>21</v>
      </c>
      <c r="G1" s="219" t="s">
        <v>22</v>
      </c>
      <c r="H1" s="220" t="s">
        <v>7</v>
      </c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</row>
    <row r="2">
      <c r="A2" s="222"/>
      <c r="C2" s="178"/>
      <c r="D2" s="223">
        <f>vlookup(D$5,'Макроси'!$A$15:$F$17,2,False)</f>
        <v>180</v>
      </c>
      <c r="E2" s="224">
        <f>vlookup(E$5,'Макроси'!$A$15:$F$17,2,False)</f>
        <v>150</v>
      </c>
      <c r="F2" s="224">
        <f>vlookup(F$5,'Макроси'!$A$15:$F$17,2,False)</f>
        <v>50</v>
      </c>
      <c r="G2" s="224"/>
      <c r="H2" s="225">
        <f>IF(ISERROR(ROUNDUP((D2+E2)*4+F2*9,0)),"",ROUNDUP((D2+E2)*4+F2*9,0))</f>
        <v>1770</v>
      </c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1"/>
      <c r="U2" s="221"/>
      <c r="V2" s="221"/>
      <c r="W2" s="221"/>
      <c r="X2" s="221"/>
      <c r="Y2" s="221"/>
      <c r="Z2" s="221"/>
      <c r="AA2" s="221"/>
      <c r="AB2" s="221"/>
    </row>
    <row r="3">
      <c r="A3" s="226"/>
      <c r="B3" s="105"/>
      <c r="C3" s="227"/>
      <c r="D3" s="228">
        <f t="shared" ref="D3:G3" si="1">D7+D21+D35+D49</f>
        <v>83.8</v>
      </c>
      <c r="E3" s="229">
        <f t="shared" si="1"/>
        <v>30.56</v>
      </c>
      <c r="F3" s="229">
        <f t="shared" si="1"/>
        <v>30.2</v>
      </c>
      <c r="G3" s="229">
        <f t="shared" si="1"/>
        <v>0</v>
      </c>
      <c r="H3" s="230">
        <f>SUM(H7+H21+H35+H49)</f>
        <v>731</v>
      </c>
      <c r="I3" s="221"/>
      <c r="J3" s="221"/>
      <c r="K3" s="221"/>
      <c r="L3" s="221"/>
      <c r="M3" s="221"/>
      <c r="N3" s="221"/>
      <c r="O3" s="221"/>
      <c r="P3" s="221"/>
      <c r="Q3" s="221"/>
      <c r="R3" s="221"/>
      <c r="S3" s="221"/>
      <c r="T3" s="221"/>
      <c r="U3" s="221"/>
      <c r="V3" s="221"/>
      <c r="W3" s="221"/>
      <c r="X3" s="221"/>
      <c r="Y3" s="221"/>
      <c r="Z3" s="221"/>
      <c r="AA3" s="221"/>
      <c r="AB3" s="221"/>
    </row>
    <row r="4" ht="9.75" customHeight="1">
      <c r="A4" s="231"/>
      <c r="B4" s="231"/>
      <c r="C4" s="232"/>
      <c r="D4" s="233"/>
      <c r="E4" s="233"/>
      <c r="F4" s="233"/>
      <c r="G4" s="233"/>
      <c r="H4" s="78"/>
      <c r="I4" s="221"/>
      <c r="J4" s="221"/>
      <c r="K4" s="221"/>
      <c r="L4" s="221"/>
      <c r="M4" s="221"/>
      <c r="N4" s="221"/>
      <c r="O4" s="221"/>
      <c r="P4" s="221"/>
      <c r="Q4" s="221"/>
      <c r="R4" s="221"/>
      <c r="S4" s="221"/>
      <c r="T4" s="221"/>
      <c r="U4" s="221"/>
      <c r="V4" s="221"/>
      <c r="W4" s="221"/>
      <c r="X4" s="221"/>
      <c r="Y4" s="221"/>
      <c r="Z4" s="221"/>
      <c r="AA4" s="221"/>
      <c r="AB4" s="221"/>
    </row>
    <row r="5">
      <c r="A5" s="234" t="s">
        <v>55</v>
      </c>
      <c r="B5" s="105"/>
      <c r="C5" s="227"/>
      <c r="D5" s="217" t="s">
        <v>19</v>
      </c>
      <c r="E5" s="218" t="s">
        <v>20</v>
      </c>
      <c r="F5" s="218" t="s">
        <v>21</v>
      </c>
      <c r="G5" s="219" t="s">
        <v>22</v>
      </c>
      <c r="H5" s="220" t="s">
        <v>7</v>
      </c>
      <c r="I5" s="235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</row>
    <row r="6">
      <c r="A6" s="236" t="s">
        <v>0</v>
      </c>
      <c r="B6" s="237" t="s">
        <v>17</v>
      </c>
      <c r="C6" s="238" t="s">
        <v>124</v>
      </c>
      <c r="D6" s="239">
        <f>vlookup(D$5,'Макроси'!$A$15:$F$17,3,False)</f>
        <v>35</v>
      </c>
      <c r="E6" s="240">
        <f>vlookup(E$5,'Макроси'!$A$15:$F$17,3,False)</f>
        <v>50</v>
      </c>
      <c r="F6" s="240">
        <f>vlookup(F$5,'Макроси'!$A$15:$F$17,3,False)</f>
        <v>30</v>
      </c>
      <c r="G6" s="240"/>
      <c r="H6" s="241">
        <f>IF(ISERROR(ROUNDUP((D6+E6)*4+F6*9,0)),"",ROUNDUP((D6+E6)*4+F6*9,0))</f>
        <v>610</v>
      </c>
      <c r="I6" s="235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21"/>
    </row>
    <row r="7">
      <c r="A7" s="105"/>
      <c r="B7" s="242"/>
      <c r="C7" s="243" t="s">
        <v>125</v>
      </c>
      <c r="D7" s="228">
        <f t="shared" ref="D7:H7" si="2">SUM(D8:D17)</f>
        <v>83.8</v>
      </c>
      <c r="E7" s="229">
        <f t="shared" si="2"/>
        <v>30.56</v>
      </c>
      <c r="F7" s="229">
        <f t="shared" si="2"/>
        <v>30.2</v>
      </c>
      <c r="G7" s="229">
        <f t="shared" si="2"/>
        <v>0</v>
      </c>
      <c r="H7" s="230">
        <f t="shared" si="2"/>
        <v>731</v>
      </c>
      <c r="I7" s="235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1"/>
      <c r="V7" s="221"/>
      <c r="W7" s="221"/>
      <c r="X7" s="221"/>
      <c r="Y7" s="221"/>
      <c r="Z7" s="221"/>
      <c r="AA7" s="221"/>
      <c r="AB7" s="221"/>
    </row>
    <row r="8" outlineLevel="1">
      <c r="A8" s="244" t="s">
        <v>126</v>
      </c>
      <c r="B8" s="244" t="s">
        <v>127</v>
      </c>
      <c r="C8" s="245">
        <v>380.0</v>
      </c>
      <c r="D8" s="246">
        <f>IF(ISNA(($C8/100)*VLOOKUP($B8,DB,3,FALSE)),"",($C8/100)*VLOOKUP($B8,DB,3,FALSE))</f>
        <v>38</v>
      </c>
      <c r="E8" s="246">
        <f>IF(ISNA(($C8/100)*VLOOKUP($B8,DB,4,FALSE)),"",($C8/100)*VLOOKUP($B8,DB,4,FALSE))</f>
        <v>19.76</v>
      </c>
      <c r="F8" s="246">
        <f>IF(ISNA(($C8/100)*VLOOKUP($B8,DB,5,FALSE)),"",($C8/100)*VLOOKUP($B8,DB,5,FALSE))</f>
        <v>5.7</v>
      </c>
      <c r="G8" s="246">
        <f>IF(ISNA(($C8/100)*VLOOKUP($B8,DB,6,FALSE)),"",($C8/100)*VLOOKUP($B8,DB,6,FALSE))</f>
        <v>0</v>
      </c>
      <c r="H8" s="247">
        <f t="shared" ref="H8:H17" si="3">IF(ISERROR(ROUNDUP((D8+E8)*4+F8*9,0)),"",ROUNDUP((D8+E8)*4+F8*9,0))</f>
        <v>283</v>
      </c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248"/>
      <c r="Y8" s="248"/>
      <c r="Z8" s="248"/>
      <c r="AA8" s="248"/>
      <c r="AB8" s="248"/>
    </row>
    <row r="9" outlineLevel="1">
      <c r="A9" s="244" t="s">
        <v>128</v>
      </c>
      <c r="B9" s="244" t="s">
        <v>129</v>
      </c>
      <c r="C9" s="245">
        <v>40.0</v>
      </c>
      <c r="D9" s="246">
        <f>IF(ISNA(($C9/100)*VLOOKUP($B9,DB,3,FALSE)),"",($C9/100)*VLOOKUP($B9,DB,3,FALSE))</f>
        <v>16.8</v>
      </c>
      <c r="E9" s="246">
        <f>IF(ISNA(($C9/100)*VLOOKUP($B9,DB,4,FALSE)),"",($C9/100)*VLOOKUP($B9,DB,4,FALSE))</f>
        <v>7.6</v>
      </c>
      <c r="F9" s="246">
        <f>IF(ISNA(($C9/100)*VLOOKUP($B9,DB,5,FALSE)),"",($C9/100)*VLOOKUP($B9,DB,5,FALSE))</f>
        <v>15.2</v>
      </c>
      <c r="G9" s="246">
        <f>IF(ISNA(($C9/100)*VLOOKUP($B9,DB,6,FALSE)),"",($C9/100)*VLOOKUP($B9,DB,6,FALSE))</f>
        <v>0</v>
      </c>
      <c r="H9" s="247">
        <f t="shared" si="3"/>
        <v>235</v>
      </c>
      <c r="I9" s="248"/>
      <c r="J9" s="248"/>
      <c r="K9" s="248"/>
      <c r="L9" s="248"/>
      <c r="M9" s="248"/>
      <c r="N9" s="248"/>
      <c r="O9" s="248"/>
      <c r="P9" s="248"/>
      <c r="Q9" s="248"/>
      <c r="R9" s="248"/>
      <c r="S9" s="248"/>
      <c r="T9" s="248"/>
      <c r="U9" s="248"/>
      <c r="V9" s="248"/>
      <c r="W9" s="248"/>
      <c r="X9" s="248"/>
      <c r="Y9" s="248"/>
      <c r="Z9" s="248"/>
      <c r="AA9" s="248"/>
      <c r="AB9" s="248"/>
    </row>
    <row r="10" outlineLevel="1">
      <c r="A10" s="244"/>
      <c r="B10" s="244"/>
      <c r="C10" s="245"/>
      <c r="D10" s="249">
        <v>29.0</v>
      </c>
      <c r="E10" s="249">
        <v>3.2</v>
      </c>
      <c r="F10" s="249">
        <v>9.3</v>
      </c>
      <c r="G10" s="246" t="str">
        <f>IF(ISNA(($C10/100)*VLOOKUP($B10,DB,6,FALSE)),"",($C10/100)*VLOOKUP($B10,DB,6,FALSE))</f>
        <v/>
      </c>
      <c r="H10" s="247">
        <f t="shared" si="3"/>
        <v>213</v>
      </c>
      <c r="I10" s="248"/>
      <c r="J10" s="248"/>
      <c r="K10" s="248"/>
      <c r="L10" s="248"/>
      <c r="M10" s="248"/>
      <c r="N10" s="248"/>
      <c r="O10" s="248"/>
      <c r="P10" s="248"/>
      <c r="Q10" s="248"/>
      <c r="R10" s="248"/>
      <c r="S10" s="248"/>
      <c r="T10" s="248"/>
      <c r="U10" s="248"/>
      <c r="V10" s="248"/>
      <c r="W10" s="248"/>
      <c r="X10" s="248"/>
      <c r="Y10" s="248"/>
      <c r="Z10" s="248"/>
      <c r="AA10" s="248"/>
      <c r="AB10" s="248"/>
    </row>
    <row r="11" outlineLevel="1">
      <c r="A11" s="244"/>
      <c r="B11" s="244"/>
      <c r="C11" s="245"/>
      <c r="D11" s="246" t="str">
        <f>IF(ISNA(($C11/100)*VLOOKUP($B11,DB,3,FALSE)),"",($C11/100)*VLOOKUP($B11,DB,3,FALSE))</f>
        <v/>
      </c>
      <c r="E11" s="246" t="str">
        <f>IF(ISNA(($C11/100)*VLOOKUP($B11,DB,4,FALSE)),"",($C11/100)*VLOOKUP($B11,DB,4,FALSE))</f>
        <v/>
      </c>
      <c r="F11" s="246" t="str">
        <f>IF(ISNA(($C11/100)*VLOOKUP($B11,DB,5,FALSE)),"",($C11/100)*VLOOKUP($B11,DB,5,FALSE))</f>
        <v/>
      </c>
      <c r="G11" s="246" t="str">
        <f>IF(ISNA(($C11/100)*VLOOKUP($B11,DB,6,FALSE)),"",($C11/100)*VLOOKUP($B11,DB,6,FALSE))</f>
        <v/>
      </c>
      <c r="H11" s="247">
        <f t="shared" si="3"/>
        <v>0</v>
      </c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  <c r="U11" s="248"/>
      <c r="V11" s="248"/>
      <c r="W11" s="248"/>
      <c r="X11" s="248"/>
      <c r="Y11" s="248"/>
      <c r="Z11" s="248"/>
      <c r="AA11" s="248"/>
      <c r="AB11" s="248"/>
    </row>
    <row r="12" outlineLevel="1">
      <c r="A12" s="244"/>
      <c r="B12" s="244"/>
      <c r="C12" s="245"/>
      <c r="D12" s="246" t="str">
        <f>IF(ISNA(($C12/100)*VLOOKUP($B12,DB,3,FALSE)),"",($C12/100)*VLOOKUP($B12,DB,3,FALSE))</f>
        <v/>
      </c>
      <c r="E12" s="246" t="str">
        <f>IF(ISNA(($C12/100)*VLOOKUP($B12,DB,4,FALSE)),"",($C12/100)*VLOOKUP($B12,DB,4,FALSE))</f>
        <v/>
      </c>
      <c r="F12" s="246" t="str">
        <f>IF(ISNA(($C12/100)*VLOOKUP($B12,DB,5,FALSE)),"",($C12/100)*VLOOKUP($B12,DB,5,FALSE))</f>
        <v/>
      </c>
      <c r="G12" s="246" t="str">
        <f>IF(ISNA(($C12/100)*VLOOKUP($B12,DB,6,FALSE)),"",($C12/100)*VLOOKUP($B12,DB,6,FALSE))</f>
        <v/>
      </c>
      <c r="H12" s="247">
        <f t="shared" si="3"/>
        <v>0</v>
      </c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  <c r="U12" s="248"/>
      <c r="V12" s="248"/>
      <c r="W12" s="248"/>
      <c r="X12" s="248"/>
      <c r="Y12" s="248"/>
      <c r="Z12" s="248"/>
      <c r="AA12" s="248"/>
      <c r="AB12" s="248"/>
    </row>
    <row r="13" outlineLevel="1">
      <c r="A13" s="244"/>
      <c r="B13" s="244"/>
      <c r="C13" s="245"/>
      <c r="D13" s="246" t="str">
        <f>IF(ISNA(($C13/100)*VLOOKUP($B13,DB,3,FALSE)),"",($C13/100)*VLOOKUP($B13,DB,3,FALSE))</f>
        <v/>
      </c>
      <c r="E13" s="246" t="str">
        <f>IF(ISNA(($C13/100)*VLOOKUP($B13,DB,4,FALSE)),"",($C13/100)*VLOOKUP($B13,DB,4,FALSE))</f>
        <v/>
      </c>
      <c r="F13" s="246" t="str">
        <f>IF(ISNA(($C13/100)*VLOOKUP($B13,DB,5,FALSE)),"",($C13/100)*VLOOKUP($B13,DB,5,FALSE))</f>
        <v/>
      </c>
      <c r="G13" s="246" t="str">
        <f>IF(ISNA(($C13/100)*VLOOKUP($B13,DB,6,FALSE)),"",($C13/100)*VLOOKUP($B13,DB,6,FALSE))</f>
        <v/>
      </c>
      <c r="H13" s="247">
        <f t="shared" si="3"/>
        <v>0</v>
      </c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  <c r="U13" s="248"/>
      <c r="V13" s="248"/>
      <c r="W13" s="248"/>
      <c r="X13" s="248"/>
      <c r="Y13" s="248"/>
      <c r="Z13" s="248"/>
      <c r="AA13" s="248"/>
      <c r="AB13" s="248"/>
    </row>
    <row r="14" outlineLevel="1">
      <c r="A14" s="244"/>
      <c r="B14" s="244"/>
      <c r="C14" s="245"/>
      <c r="D14" s="246" t="str">
        <f>IF(ISNA(($C14/100)*VLOOKUP($B14,DB,3,FALSE)),"",($C14/100)*VLOOKUP($B14,DB,3,FALSE))</f>
        <v/>
      </c>
      <c r="E14" s="246" t="str">
        <f>IF(ISNA(($C14/100)*VLOOKUP($B14,DB,4,FALSE)),"",($C14/100)*VLOOKUP($B14,DB,4,FALSE))</f>
        <v/>
      </c>
      <c r="F14" s="246" t="str">
        <f>IF(ISNA(($C14/100)*VLOOKUP($B14,DB,5,FALSE)),"",($C14/100)*VLOOKUP($B14,DB,5,FALSE))</f>
        <v/>
      </c>
      <c r="G14" s="246" t="str">
        <f>IF(ISNA(($C14/100)*VLOOKUP($B14,DB,6,FALSE)),"",($C14/100)*VLOOKUP($B14,DB,6,FALSE))</f>
        <v/>
      </c>
      <c r="H14" s="247">
        <f t="shared" si="3"/>
        <v>0</v>
      </c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  <c r="U14" s="248"/>
      <c r="V14" s="248"/>
      <c r="W14" s="248"/>
      <c r="X14" s="248"/>
      <c r="Y14" s="248"/>
      <c r="Z14" s="248"/>
      <c r="AA14" s="248"/>
      <c r="AB14" s="248"/>
    </row>
    <row r="15" outlineLevel="1">
      <c r="A15" s="250"/>
      <c r="B15" s="250"/>
      <c r="C15" s="251"/>
      <c r="D15" s="252" t="str">
        <f>IF(ISNA(($C15/100)*VLOOKUP($B15,DB,3,FALSE)),"",($C15/100)*VLOOKUP($B15,DB,3,FALSE))</f>
        <v/>
      </c>
      <c r="E15" s="252" t="str">
        <f>IF(ISNA(($C15/100)*VLOOKUP($B15,DB,4,FALSE)),"",($C15/100)*VLOOKUP($B15,DB,4,FALSE))</f>
        <v/>
      </c>
      <c r="F15" s="252" t="str">
        <f>IF(ISNA(($C15/100)*VLOOKUP($B15,DB,5,FALSE)),"",($C15/100)*VLOOKUP($B15,DB,5,FALSE))</f>
        <v/>
      </c>
      <c r="G15" s="252" t="str">
        <f>IF(ISNA(($C15/100)*VLOOKUP($B15,DB,6,FALSE)),"",($C15/100)*VLOOKUP($B15,DB,6,FALSE))</f>
        <v/>
      </c>
      <c r="H15" s="253">
        <f t="shared" si="3"/>
        <v>0</v>
      </c>
      <c r="I15" s="248"/>
      <c r="J15" s="248"/>
      <c r="K15" s="248"/>
      <c r="L15" s="248"/>
      <c r="M15" s="248"/>
      <c r="N15" s="248"/>
      <c r="O15" s="248"/>
      <c r="P15" s="248"/>
      <c r="Q15" s="248"/>
      <c r="R15" s="248"/>
      <c r="S15" s="248"/>
      <c r="T15" s="248"/>
      <c r="U15" s="248"/>
      <c r="V15" s="248"/>
      <c r="W15" s="248"/>
      <c r="X15" s="248"/>
      <c r="Y15" s="248"/>
      <c r="Z15" s="248"/>
      <c r="AA15" s="248"/>
      <c r="AB15" s="248"/>
    </row>
    <row r="16" outlineLevel="1">
      <c r="A16" s="254" t="s">
        <v>130</v>
      </c>
      <c r="B16" s="255"/>
      <c r="C16" s="256"/>
      <c r="D16" s="257"/>
      <c r="E16" s="257"/>
      <c r="F16" s="257"/>
      <c r="G16" s="257"/>
      <c r="H16" s="258">
        <f t="shared" si="3"/>
        <v>0</v>
      </c>
      <c r="I16" s="235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1"/>
      <c r="AA16" s="221"/>
      <c r="AB16" s="221"/>
    </row>
    <row r="17" outlineLevel="1">
      <c r="A17" s="259" t="s">
        <v>130</v>
      </c>
      <c r="B17" s="260"/>
      <c r="C17" s="89"/>
      <c r="D17" s="261"/>
      <c r="E17" s="261"/>
      <c r="F17" s="261"/>
      <c r="G17" s="261"/>
      <c r="H17" s="262">
        <f t="shared" si="3"/>
        <v>0</v>
      </c>
      <c r="I17" s="235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221"/>
      <c r="AB17" s="221"/>
    </row>
    <row r="18">
      <c r="A18" s="263"/>
      <c r="B18" s="264"/>
      <c r="C18" s="265"/>
      <c r="D18" s="266"/>
      <c r="E18" s="266"/>
      <c r="F18" s="266"/>
      <c r="G18" s="267"/>
      <c r="H18" s="268">
        <f>(D18+E18)*4+F18*9</f>
        <v>0</v>
      </c>
      <c r="I18" s="235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21"/>
      <c r="AB18" s="221"/>
    </row>
    <row r="19">
      <c r="A19" s="234" t="s">
        <v>56</v>
      </c>
      <c r="B19" s="105"/>
      <c r="C19" s="227"/>
      <c r="D19" s="217" t="s">
        <v>19</v>
      </c>
      <c r="E19" s="218" t="s">
        <v>20</v>
      </c>
      <c r="F19" s="218" t="s">
        <v>21</v>
      </c>
      <c r="G19" s="269" t="s">
        <v>22</v>
      </c>
      <c r="H19" s="220" t="s">
        <v>7</v>
      </c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</row>
    <row r="20">
      <c r="A20" s="236" t="s">
        <v>0</v>
      </c>
      <c r="B20" s="237" t="s">
        <v>17</v>
      </c>
      <c r="C20" s="238" t="s">
        <v>124</v>
      </c>
      <c r="D20" s="239">
        <f>vlookup(D$5,'Макроси'!$A$15:$F$17,4,False)</f>
        <v>35</v>
      </c>
      <c r="E20" s="240">
        <f>vlookup(E$5,'Макроси'!$A$15:$F$17,4,False)</f>
        <v>20</v>
      </c>
      <c r="F20" s="240">
        <f>vlookup(F$5,'Макроси'!$A$15:$F$17,4,False)</f>
        <v>5</v>
      </c>
      <c r="G20" s="270"/>
      <c r="H20" s="241">
        <f>IF(ISERROR(ROUNDUP((D20+E20)*4+F20*9,0)),"",ROUNDUP((D20+E20)*4+F20*9,0))</f>
        <v>265</v>
      </c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221"/>
      <c r="Z20" s="221"/>
      <c r="AA20" s="221"/>
      <c r="AB20" s="221"/>
    </row>
    <row r="21">
      <c r="A21" s="105"/>
      <c r="B21" s="242"/>
      <c r="C21" s="243" t="s">
        <v>125</v>
      </c>
      <c r="D21" s="228">
        <f t="shared" ref="D21:H21" si="4">SUM(D22:D31)</f>
        <v>0</v>
      </c>
      <c r="E21" s="229">
        <f t="shared" si="4"/>
        <v>0</v>
      </c>
      <c r="F21" s="229">
        <f t="shared" si="4"/>
        <v>0</v>
      </c>
      <c r="G21" s="271">
        <f t="shared" si="4"/>
        <v>0</v>
      </c>
      <c r="H21" s="230">
        <f t="shared" si="4"/>
        <v>0</v>
      </c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221"/>
      <c r="AB21" s="221"/>
    </row>
    <row r="22" outlineLevel="1">
      <c r="A22" s="244"/>
      <c r="B22" s="244"/>
      <c r="C22" s="245"/>
      <c r="D22" s="246" t="str">
        <f>IF(ISNA(($C22/100)*VLOOKUP($B22,DB,3,FALSE)),"",($C22/100)*VLOOKUP($B22,DB,3,FALSE))</f>
        <v/>
      </c>
      <c r="E22" s="246" t="str">
        <f>IF(ISNA(($C22/100)*VLOOKUP($B22,DB,4,FALSE)),"",($C22/100)*VLOOKUP($B22,DB,4,FALSE))</f>
        <v/>
      </c>
      <c r="F22" s="246" t="str">
        <f>IF(ISNA(($C22/100)*VLOOKUP($B22,DB,5,FALSE)),"",($C22/100)*VLOOKUP($B22,DB,5,FALSE))</f>
        <v/>
      </c>
      <c r="G22" s="246" t="str">
        <f>IF(ISNA(($C22/100)*VLOOKUP($B22,DB,6,FALSE)),"",($C22/100)*VLOOKUP($B22,DB,6,FALSE))</f>
        <v/>
      </c>
      <c r="H22" s="247">
        <f t="shared" ref="H22:H31" si="5">IF(ISERROR(ROUNDUP((D22+E22)*4+F22*9,0)),"",ROUNDUP((D22+E22)*4+F22*9,0))</f>
        <v>0</v>
      </c>
      <c r="I22" s="248"/>
      <c r="J22" s="248"/>
      <c r="K22" s="248"/>
      <c r="L22" s="248"/>
      <c r="M22" s="248"/>
      <c r="N22" s="248"/>
      <c r="O22" s="248"/>
      <c r="P22" s="248"/>
      <c r="Q22" s="248"/>
      <c r="R22" s="248"/>
      <c r="S22" s="248"/>
      <c r="T22" s="248"/>
      <c r="U22" s="248"/>
      <c r="V22" s="248"/>
      <c r="W22" s="248"/>
      <c r="X22" s="248"/>
      <c r="Y22" s="248"/>
      <c r="Z22" s="248"/>
      <c r="AA22" s="248"/>
      <c r="AB22" s="248"/>
    </row>
    <row r="23" outlineLevel="1">
      <c r="A23" s="244"/>
      <c r="B23" s="244"/>
      <c r="C23" s="245"/>
      <c r="D23" s="246" t="str">
        <f>IF(ISNA(($C23/100)*VLOOKUP($B23,DB,3,FALSE)),"",($C23/100)*VLOOKUP($B23,DB,3,FALSE))</f>
        <v/>
      </c>
      <c r="E23" s="246" t="str">
        <f>IF(ISNA(($C23/100)*VLOOKUP($B23,DB,4,FALSE)),"",($C23/100)*VLOOKUP($B23,DB,4,FALSE))</f>
        <v/>
      </c>
      <c r="F23" s="246" t="str">
        <f>IF(ISNA(($C23/100)*VLOOKUP($B23,DB,5,FALSE)),"",($C23/100)*VLOOKUP($B23,DB,5,FALSE))</f>
        <v/>
      </c>
      <c r="G23" s="246" t="str">
        <f>IF(ISNA(($C23/100)*VLOOKUP($B23,DB,6,FALSE)),"",($C23/100)*VLOOKUP($B23,DB,6,FALSE))</f>
        <v/>
      </c>
      <c r="H23" s="247">
        <f t="shared" si="5"/>
        <v>0</v>
      </c>
      <c r="I23" s="248"/>
      <c r="J23" s="248"/>
      <c r="K23" s="248"/>
      <c r="L23" s="248"/>
      <c r="M23" s="248"/>
      <c r="N23" s="248"/>
      <c r="O23" s="248"/>
      <c r="P23" s="248"/>
      <c r="Q23" s="248"/>
      <c r="R23" s="248"/>
      <c r="S23" s="248"/>
      <c r="T23" s="248"/>
      <c r="U23" s="248"/>
      <c r="V23" s="248"/>
      <c r="W23" s="248"/>
      <c r="X23" s="248"/>
      <c r="Y23" s="248"/>
      <c r="Z23" s="248"/>
      <c r="AA23" s="248"/>
      <c r="AB23" s="248"/>
    </row>
    <row r="24" outlineLevel="1">
      <c r="A24" s="244"/>
      <c r="B24" s="244"/>
      <c r="C24" s="245"/>
      <c r="D24" s="246" t="str">
        <f>IF(ISNA(($C24/100)*VLOOKUP($B24,DB,3,FALSE)),"",($C24/100)*VLOOKUP($B24,DB,3,FALSE))</f>
        <v/>
      </c>
      <c r="E24" s="246" t="str">
        <f>IF(ISNA(($C24/100)*VLOOKUP($B24,DB,4,FALSE)),"",($C24/100)*VLOOKUP($B24,DB,4,FALSE))</f>
        <v/>
      </c>
      <c r="F24" s="246" t="str">
        <f>IF(ISNA(($C24/100)*VLOOKUP($B24,DB,5,FALSE)),"",($C24/100)*VLOOKUP($B24,DB,5,FALSE))</f>
        <v/>
      </c>
      <c r="G24" s="246" t="str">
        <f>IF(ISNA(($C24/100)*VLOOKUP($B24,DB,6,FALSE)),"",($C24/100)*VLOOKUP($B24,DB,6,FALSE))</f>
        <v/>
      </c>
      <c r="H24" s="247">
        <f t="shared" si="5"/>
        <v>0</v>
      </c>
      <c r="I24" s="248"/>
      <c r="J24" s="248"/>
      <c r="K24" s="248"/>
      <c r="L24" s="248"/>
      <c r="M24" s="248"/>
      <c r="N24" s="248"/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48"/>
      <c r="AA24" s="248"/>
      <c r="AB24" s="248"/>
    </row>
    <row r="25" outlineLevel="1">
      <c r="A25" s="244"/>
      <c r="B25" s="244"/>
      <c r="C25" s="245"/>
      <c r="D25" s="246" t="str">
        <f>IF(ISNA(($C25/100)*VLOOKUP($B25,DB,3,FALSE)),"",($C25/100)*VLOOKUP($B25,DB,3,FALSE))</f>
        <v/>
      </c>
      <c r="E25" s="246" t="str">
        <f>IF(ISNA(($C25/100)*VLOOKUP($B25,DB,4,FALSE)),"",($C25/100)*VLOOKUP($B25,DB,4,FALSE))</f>
        <v/>
      </c>
      <c r="F25" s="246" t="str">
        <f>IF(ISNA(($C25/100)*VLOOKUP($B25,DB,5,FALSE)),"",($C25/100)*VLOOKUP($B25,DB,5,FALSE))</f>
        <v/>
      </c>
      <c r="G25" s="246" t="str">
        <f>IF(ISNA(($C25/100)*VLOOKUP($B25,DB,6,FALSE)),"",($C25/100)*VLOOKUP($B25,DB,6,FALSE))</f>
        <v/>
      </c>
      <c r="H25" s="247">
        <f t="shared" si="5"/>
        <v>0</v>
      </c>
      <c r="I25" s="248"/>
      <c r="J25" s="248"/>
      <c r="K25" s="248"/>
      <c r="L25" s="248"/>
      <c r="M25" s="248"/>
      <c r="N25" s="248"/>
      <c r="O25" s="248"/>
      <c r="P25" s="248"/>
      <c r="Q25" s="248"/>
      <c r="R25" s="248"/>
      <c r="S25" s="248"/>
      <c r="T25" s="248"/>
      <c r="U25" s="248"/>
      <c r="V25" s="248"/>
      <c r="W25" s="248"/>
      <c r="X25" s="248"/>
      <c r="Y25" s="248"/>
      <c r="Z25" s="248"/>
      <c r="AA25" s="248"/>
      <c r="AB25" s="248"/>
    </row>
    <row r="26" outlineLevel="1">
      <c r="A26" s="244"/>
      <c r="B26" s="244"/>
      <c r="C26" s="245"/>
      <c r="D26" s="246" t="str">
        <f>IF(ISNA(($C26/100)*VLOOKUP($B26,DB,3,FALSE)),"",($C26/100)*VLOOKUP($B26,DB,3,FALSE))</f>
        <v/>
      </c>
      <c r="E26" s="246" t="str">
        <f>IF(ISNA(($C26/100)*VLOOKUP($B26,DB,4,FALSE)),"",($C26/100)*VLOOKUP($B26,DB,4,FALSE))</f>
        <v/>
      </c>
      <c r="F26" s="246" t="str">
        <f>IF(ISNA(($C26/100)*VLOOKUP($B26,DB,5,FALSE)),"",($C26/100)*VLOOKUP($B26,DB,5,FALSE))</f>
        <v/>
      </c>
      <c r="G26" s="246" t="str">
        <f>IF(ISNA(($C26/100)*VLOOKUP($B26,DB,6,FALSE)),"",($C26/100)*VLOOKUP($B26,DB,6,FALSE))</f>
        <v/>
      </c>
      <c r="H26" s="247">
        <f t="shared" si="5"/>
        <v>0</v>
      </c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</row>
    <row r="27" outlineLevel="1">
      <c r="A27" s="244"/>
      <c r="B27" s="244"/>
      <c r="C27" s="245"/>
      <c r="D27" s="246" t="str">
        <f>IF(ISNA(($C27/100)*VLOOKUP($B27,DB,3,FALSE)),"",($C27/100)*VLOOKUP($B27,DB,3,FALSE))</f>
        <v/>
      </c>
      <c r="E27" s="246" t="str">
        <f>IF(ISNA(($C27/100)*VLOOKUP($B27,DB,4,FALSE)),"",($C27/100)*VLOOKUP($B27,DB,4,FALSE))</f>
        <v/>
      </c>
      <c r="F27" s="246" t="str">
        <f>IF(ISNA(($C27/100)*VLOOKUP($B27,DB,5,FALSE)),"",($C27/100)*VLOOKUP($B27,DB,5,FALSE))</f>
        <v/>
      </c>
      <c r="G27" s="246" t="str">
        <f>IF(ISNA(($C27/100)*VLOOKUP($B27,DB,6,FALSE)),"",($C27/100)*VLOOKUP($B27,DB,6,FALSE))</f>
        <v/>
      </c>
      <c r="H27" s="247">
        <f t="shared" si="5"/>
        <v>0</v>
      </c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/>
      <c r="T27" s="248"/>
      <c r="U27" s="248"/>
      <c r="V27" s="248"/>
      <c r="W27" s="248"/>
      <c r="X27" s="248"/>
      <c r="Y27" s="248"/>
      <c r="Z27" s="248"/>
      <c r="AA27" s="248"/>
      <c r="AB27" s="248"/>
    </row>
    <row r="28" outlineLevel="1">
      <c r="A28" s="244"/>
      <c r="B28" s="244"/>
      <c r="C28" s="245"/>
      <c r="D28" s="246" t="str">
        <f>IF(ISNA(($C28/100)*VLOOKUP($B28,DB,3,FALSE)),"",($C28/100)*VLOOKUP($B28,DB,3,FALSE))</f>
        <v/>
      </c>
      <c r="E28" s="246" t="str">
        <f>IF(ISNA(($C28/100)*VLOOKUP($B28,DB,4,FALSE)),"",($C28/100)*VLOOKUP($B28,DB,4,FALSE))</f>
        <v/>
      </c>
      <c r="F28" s="246" t="str">
        <f>IF(ISNA(($C28/100)*VLOOKUP($B28,DB,5,FALSE)),"",($C28/100)*VLOOKUP($B28,DB,5,FALSE))</f>
        <v/>
      </c>
      <c r="G28" s="246" t="str">
        <f>IF(ISNA(($C28/100)*VLOOKUP($B28,DB,6,FALSE)),"",($C28/100)*VLOOKUP($B28,DB,6,FALSE))</f>
        <v/>
      </c>
      <c r="H28" s="247">
        <f t="shared" si="5"/>
        <v>0</v>
      </c>
      <c r="I28" s="248"/>
      <c r="J28" s="248"/>
      <c r="K28" s="248"/>
      <c r="L28" s="248"/>
      <c r="M28" s="248"/>
      <c r="N28" s="248"/>
      <c r="O28" s="248"/>
      <c r="P28" s="248"/>
      <c r="Q28" s="248"/>
      <c r="R28" s="248"/>
      <c r="S28" s="248"/>
      <c r="T28" s="248"/>
      <c r="U28" s="248"/>
      <c r="V28" s="248"/>
      <c r="W28" s="248"/>
      <c r="X28" s="248"/>
      <c r="Y28" s="248"/>
      <c r="Z28" s="248"/>
      <c r="AA28" s="248"/>
      <c r="AB28" s="248"/>
    </row>
    <row r="29" outlineLevel="1">
      <c r="A29" s="244"/>
      <c r="B29" s="244"/>
      <c r="C29" s="245"/>
      <c r="D29" s="246" t="str">
        <f>IF(ISNA(($C29/100)*VLOOKUP($B29,DB,3,FALSE)),"",($C29/100)*VLOOKUP($B29,DB,3,FALSE))</f>
        <v/>
      </c>
      <c r="E29" s="246" t="str">
        <f>IF(ISNA(($C29/100)*VLOOKUP($B29,DB,4,FALSE)),"",($C29/100)*VLOOKUP($B29,DB,4,FALSE))</f>
        <v/>
      </c>
      <c r="F29" s="246" t="str">
        <f>IF(ISNA(($C29/100)*VLOOKUP($B29,DB,5,FALSE)),"",($C29/100)*VLOOKUP($B29,DB,5,FALSE))</f>
        <v/>
      </c>
      <c r="G29" s="246" t="str">
        <f>IF(ISNA(($C29/100)*VLOOKUP($B29,DB,6,FALSE)),"",($C29/100)*VLOOKUP($B29,DB,6,FALSE))</f>
        <v/>
      </c>
      <c r="H29" s="247">
        <f t="shared" si="5"/>
        <v>0</v>
      </c>
      <c r="I29" s="248"/>
      <c r="J29" s="248"/>
      <c r="K29" s="248"/>
      <c r="L29" s="248"/>
      <c r="M29" s="248"/>
      <c r="N29" s="248"/>
      <c r="O29" s="248"/>
      <c r="P29" s="248"/>
      <c r="Q29" s="248"/>
      <c r="R29" s="248"/>
      <c r="S29" s="248"/>
      <c r="T29" s="248"/>
      <c r="U29" s="248"/>
      <c r="V29" s="248"/>
      <c r="W29" s="248"/>
      <c r="X29" s="248"/>
      <c r="Y29" s="248"/>
      <c r="Z29" s="248"/>
      <c r="AA29" s="248"/>
      <c r="AB29" s="248"/>
    </row>
    <row r="30" outlineLevel="1">
      <c r="A30" s="254" t="s">
        <v>130</v>
      </c>
      <c r="B30" s="255"/>
      <c r="C30" s="256"/>
      <c r="D30" s="272"/>
      <c r="E30" s="272"/>
      <c r="F30" s="272"/>
      <c r="G30" s="272"/>
      <c r="H30" s="258">
        <f t="shared" si="5"/>
        <v>0</v>
      </c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221"/>
    </row>
    <row r="31" outlineLevel="1">
      <c r="A31" s="259" t="s">
        <v>130</v>
      </c>
      <c r="B31" s="260"/>
      <c r="C31" s="89"/>
      <c r="D31" s="261"/>
      <c r="E31" s="261"/>
      <c r="F31" s="261"/>
      <c r="G31" s="261"/>
      <c r="H31" s="262">
        <f t="shared" si="5"/>
        <v>0</v>
      </c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1"/>
      <c r="U31" s="221"/>
      <c r="V31" s="221"/>
      <c r="W31" s="221"/>
      <c r="X31" s="221"/>
      <c r="Y31" s="221"/>
      <c r="Z31" s="221"/>
      <c r="AA31" s="221"/>
      <c r="AB31" s="221"/>
    </row>
    <row r="32">
      <c r="A32" s="263"/>
      <c r="B32" s="264"/>
      <c r="C32" s="265"/>
      <c r="D32" s="266"/>
      <c r="E32" s="266"/>
      <c r="F32" s="266"/>
      <c r="G32" s="267"/>
      <c r="H32" s="268">
        <f>(D32+E32)*4+F32*9</f>
        <v>0</v>
      </c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1"/>
      <c r="Z32" s="221"/>
      <c r="AA32" s="221"/>
      <c r="AB32" s="221"/>
    </row>
    <row r="33">
      <c r="A33" s="234" t="s">
        <v>57</v>
      </c>
      <c r="B33" s="105"/>
      <c r="C33" s="227"/>
      <c r="D33" s="217" t="s">
        <v>19</v>
      </c>
      <c r="E33" s="218" t="s">
        <v>20</v>
      </c>
      <c r="F33" s="218" t="s">
        <v>21</v>
      </c>
      <c r="G33" s="269" t="s">
        <v>22</v>
      </c>
      <c r="H33" s="220" t="s">
        <v>7</v>
      </c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1"/>
      <c r="U33" s="221"/>
      <c r="V33" s="221"/>
      <c r="W33" s="221"/>
      <c r="X33" s="221"/>
      <c r="Y33" s="221"/>
      <c r="Z33" s="221"/>
      <c r="AA33" s="221"/>
      <c r="AB33" s="221"/>
    </row>
    <row r="34">
      <c r="A34" s="236" t="s">
        <v>0</v>
      </c>
      <c r="B34" s="237" t="s">
        <v>17</v>
      </c>
      <c r="C34" s="238" t="s">
        <v>124</v>
      </c>
      <c r="D34" s="239">
        <f>vlookup(D$5,'Макроси'!$A$15:$F$17,5,False)</f>
        <v>55</v>
      </c>
      <c r="E34" s="240">
        <f>vlookup(E$5,'Макроси'!$A$15:$F$17,5,False)</f>
        <v>20</v>
      </c>
      <c r="F34" s="240">
        <f>vlookup(F$5,'Макроси'!$A$15:$F$17,5,False)</f>
        <v>5</v>
      </c>
      <c r="G34" s="270"/>
      <c r="H34" s="241">
        <f>IF(ISERROR(ROUNDUP((D34+E34)*4+F34*9,0)),"",ROUNDUP((D34+E34)*4+F34*9,0))</f>
        <v>345</v>
      </c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1"/>
      <c r="T34" s="221"/>
      <c r="U34" s="221"/>
      <c r="V34" s="221"/>
      <c r="W34" s="221"/>
      <c r="X34" s="221"/>
      <c r="Y34" s="221"/>
      <c r="Z34" s="221"/>
      <c r="AA34" s="221"/>
      <c r="AB34" s="221"/>
    </row>
    <row r="35">
      <c r="A35" s="105"/>
      <c r="B35" s="242"/>
      <c r="C35" s="243" t="s">
        <v>125</v>
      </c>
      <c r="D35" s="228">
        <f t="shared" ref="D35:H35" si="6">SUM(D36:D45)</f>
        <v>0</v>
      </c>
      <c r="E35" s="229">
        <f t="shared" si="6"/>
        <v>0</v>
      </c>
      <c r="F35" s="229">
        <f t="shared" si="6"/>
        <v>0</v>
      </c>
      <c r="G35" s="271">
        <f t="shared" si="6"/>
        <v>0</v>
      </c>
      <c r="H35" s="230">
        <f t="shared" si="6"/>
        <v>0</v>
      </c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1"/>
      <c r="T35" s="221"/>
      <c r="U35" s="221"/>
      <c r="V35" s="221"/>
      <c r="W35" s="221"/>
      <c r="X35" s="221"/>
      <c r="Y35" s="221"/>
      <c r="Z35" s="221"/>
      <c r="AA35" s="221"/>
      <c r="AB35" s="221"/>
    </row>
    <row r="36" outlineLevel="1">
      <c r="A36" s="244"/>
      <c r="B36" s="244"/>
      <c r="C36" s="245"/>
      <c r="D36" s="246" t="str">
        <f>IF(ISNA(($C36/100)*VLOOKUP($B36,DB,3,FALSE)),"",($C36/100)*VLOOKUP($B36,DB,3,FALSE))</f>
        <v/>
      </c>
      <c r="E36" s="246" t="str">
        <f>IF(ISNA(($C36/100)*VLOOKUP($B36,DB,4,FALSE)),"",($C36/100)*VLOOKUP($B36,DB,4,FALSE))</f>
        <v/>
      </c>
      <c r="F36" s="246" t="str">
        <f>IF(ISNA(($C36/100)*VLOOKUP($B36,DB,5,FALSE)),"",($C36/100)*VLOOKUP($B36,DB,5,FALSE))</f>
        <v/>
      </c>
      <c r="G36" s="246" t="str">
        <f>IF(ISNA(($C36/100)*VLOOKUP($B36,DB,6,FALSE)),"",($C36/100)*VLOOKUP($B36,DB,6,FALSE))</f>
        <v/>
      </c>
      <c r="H36" s="247">
        <f t="shared" ref="H36:H45" si="7">IF(ISERROR(ROUNDUP((D36+E36)*4+F36*9,0)),"",ROUNDUP((D36+E36)*4+F36*9,0))</f>
        <v>0</v>
      </c>
      <c r="I36" s="248"/>
      <c r="J36" s="248"/>
      <c r="K36" s="248"/>
      <c r="L36" s="248"/>
      <c r="M36" s="248"/>
      <c r="N36" s="248"/>
      <c r="O36" s="248"/>
      <c r="P36" s="248"/>
      <c r="Q36" s="248"/>
      <c r="R36" s="248"/>
      <c r="S36" s="248"/>
      <c r="T36" s="248"/>
      <c r="U36" s="248"/>
      <c r="V36" s="248"/>
      <c r="W36" s="248"/>
      <c r="X36" s="248"/>
      <c r="Y36" s="248"/>
      <c r="Z36" s="248"/>
      <c r="AA36" s="248"/>
      <c r="AB36" s="248"/>
    </row>
    <row r="37" outlineLevel="1">
      <c r="A37" s="244"/>
      <c r="B37" s="244"/>
      <c r="C37" s="245"/>
      <c r="D37" s="246" t="str">
        <f>IF(ISNA(($C37/100)*VLOOKUP($B37,DB,3,FALSE)),"",($C37/100)*VLOOKUP($B37,DB,3,FALSE))</f>
        <v/>
      </c>
      <c r="E37" s="246" t="str">
        <f>IF(ISNA(($C37/100)*VLOOKUP($B37,DB,4,FALSE)),"",($C37/100)*VLOOKUP($B37,DB,4,FALSE))</f>
        <v/>
      </c>
      <c r="F37" s="246" t="str">
        <f>IF(ISNA(($C37/100)*VLOOKUP($B37,DB,5,FALSE)),"",($C37/100)*VLOOKUP($B37,DB,5,FALSE))</f>
        <v/>
      </c>
      <c r="G37" s="246" t="str">
        <f>IF(ISNA(($C37/100)*VLOOKUP($B37,DB,6,FALSE)),"",($C37/100)*VLOOKUP($B37,DB,6,FALSE))</f>
        <v/>
      </c>
      <c r="H37" s="247">
        <f t="shared" si="7"/>
        <v>0</v>
      </c>
      <c r="I37" s="248"/>
      <c r="J37" s="248"/>
      <c r="K37" s="248"/>
      <c r="L37" s="248"/>
      <c r="M37" s="248"/>
      <c r="N37" s="248"/>
      <c r="O37" s="248"/>
      <c r="P37" s="248"/>
      <c r="Q37" s="248"/>
      <c r="R37" s="248"/>
      <c r="S37" s="248"/>
      <c r="T37" s="248"/>
      <c r="U37" s="248"/>
      <c r="V37" s="248"/>
      <c r="W37" s="248"/>
      <c r="X37" s="248"/>
      <c r="Y37" s="248"/>
      <c r="Z37" s="248"/>
      <c r="AA37" s="248"/>
      <c r="AB37" s="248"/>
    </row>
    <row r="38" outlineLevel="1">
      <c r="A38" s="244"/>
      <c r="B38" s="244"/>
      <c r="C38" s="245"/>
      <c r="D38" s="246" t="str">
        <f>IF(ISNA(($C38/100)*VLOOKUP($B38,DB,3,FALSE)),"",($C38/100)*VLOOKUP($B38,DB,3,FALSE))</f>
        <v/>
      </c>
      <c r="E38" s="246" t="str">
        <f>IF(ISNA(($C38/100)*VLOOKUP($B38,DB,4,FALSE)),"",($C38/100)*VLOOKUP($B38,DB,4,FALSE))</f>
        <v/>
      </c>
      <c r="F38" s="246" t="str">
        <f>IF(ISNA(($C38/100)*VLOOKUP($B38,DB,5,FALSE)),"",($C38/100)*VLOOKUP($B38,DB,5,FALSE))</f>
        <v/>
      </c>
      <c r="G38" s="246" t="str">
        <f>IF(ISNA(($C38/100)*VLOOKUP($B38,DB,6,FALSE)),"",($C38/100)*VLOOKUP($B38,DB,6,FALSE))</f>
        <v/>
      </c>
      <c r="H38" s="247">
        <f t="shared" si="7"/>
        <v>0</v>
      </c>
      <c r="I38" s="248"/>
      <c r="J38" s="248"/>
      <c r="K38" s="248"/>
      <c r="L38" s="248"/>
      <c r="M38" s="248"/>
      <c r="N38" s="248"/>
      <c r="O38" s="248"/>
      <c r="P38" s="248"/>
      <c r="Q38" s="248"/>
      <c r="R38" s="248"/>
      <c r="S38" s="248"/>
      <c r="T38" s="248"/>
      <c r="U38" s="248"/>
      <c r="V38" s="248"/>
      <c r="W38" s="248"/>
      <c r="X38" s="248"/>
      <c r="Y38" s="248"/>
      <c r="Z38" s="248"/>
      <c r="AA38" s="248"/>
      <c r="AB38" s="248"/>
    </row>
    <row r="39" outlineLevel="1">
      <c r="A39" s="244"/>
      <c r="B39" s="244"/>
      <c r="C39" s="245"/>
      <c r="D39" s="246" t="str">
        <f>IF(ISNA(($C39/100)*VLOOKUP($B39,DB,3,FALSE)),"",($C39/100)*VLOOKUP($B39,DB,3,FALSE))</f>
        <v/>
      </c>
      <c r="E39" s="246" t="str">
        <f>IF(ISNA(($C39/100)*VLOOKUP($B39,DB,4,FALSE)),"",($C39/100)*VLOOKUP($B39,DB,4,FALSE))</f>
        <v/>
      </c>
      <c r="F39" s="246" t="str">
        <f>IF(ISNA(($C39/100)*VLOOKUP($B39,DB,5,FALSE)),"",($C39/100)*VLOOKUP($B39,DB,5,FALSE))</f>
        <v/>
      </c>
      <c r="G39" s="246" t="str">
        <f>IF(ISNA(($C39/100)*VLOOKUP($B39,DB,6,FALSE)),"",($C39/100)*VLOOKUP($B39,DB,6,FALSE))</f>
        <v/>
      </c>
      <c r="H39" s="247">
        <f t="shared" si="7"/>
        <v>0</v>
      </c>
      <c r="I39" s="248"/>
      <c r="J39" s="248"/>
      <c r="K39" s="248"/>
      <c r="L39" s="248"/>
      <c r="M39" s="248"/>
      <c r="N39" s="248"/>
      <c r="O39" s="248"/>
      <c r="P39" s="248"/>
      <c r="Q39" s="248"/>
      <c r="R39" s="248"/>
      <c r="S39" s="248"/>
      <c r="T39" s="248"/>
      <c r="U39" s="248"/>
      <c r="V39" s="248"/>
      <c r="W39" s="248"/>
      <c r="X39" s="248"/>
      <c r="Y39" s="248"/>
      <c r="Z39" s="248"/>
      <c r="AA39" s="248"/>
      <c r="AB39" s="248"/>
    </row>
    <row r="40" outlineLevel="1">
      <c r="A40" s="244"/>
      <c r="B40" s="244"/>
      <c r="C40" s="245"/>
      <c r="D40" s="246" t="str">
        <f>IF(ISNA(($C40/100)*VLOOKUP($B40,DB,3,FALSE)),"",($C40/100)*VLOOKUP($B40,DB,3,FALSE))</f>
        <v/>
      </c>
      <c r="E40" s="246" t="str">
        <f>IF(ISNA(($C40/100)*VLOOKUP($B40,DB,4,FALSE)),"",($C40/100)*VLOOKUP($B40,DB,4,FALSE))</f>
        <v/>
      </c>
      <c r="F40" s="246" t="str">
        <f>IF(ISNA(($C40/100)*VLOOKUP($B40,DB,5,FALSE)),"",($C40/100)*VLOOKUP($B40,DB,5,FALSE))</f>
        <v/>
      </c>
      <c r="G40" s="246" t="str">
        <f>IF(ISNA(($C40/100)*VLOOKUP($B40,DB,6,FALSE)),"",($C40/100)*VLOOKUP($B40,DB,6,FALSE))</f>
        <v/>
      </c>
      <c r="H40" s="247">
        <f t="shared" si="7"/>
        <v>0</v>
      </c>
      <c r="I40" s="248"/>
      <c r="J40" s="248"/>
      <c r="K40" s="248"/>
      <c r="L40" s="248"/>
      <c r="M40" s="248"/>
      <c r="N40" s="248"/>
      <c r="O40" s="248"/>
      <c r="P40" s="248"/>
      <c r="Q40" s="248"/>
      <c r="R40" s="248"/>
      <c r="S40" s="248"/>
      <c r="T40" s="248"/>
      <c r="U40" s="248"/>
      <c r="V40" s="248"/>
      <c r="W40" s="248"/>
      <c r="X40" s="248"/>
      <c r="Y40" s="248"/>
      <c r="Z40" s="248"/>
      <c r="AA40" s="248"/>
      <c r="AB40" s="248"/>
    </row>
    <row r="41" outlineLevel="1">
      <c r="A41" s="244"/>
      <c r="B41" s="244"/>
      <c r="C41" s="245"/>
      <c r="D41" s="246" t="str">
        <f>IF(ISNA(($C41/100)*VLOOKUP($B41,DB,3,FALSE)),"",($C41/100)*VLOOKUP($B41,DB,3,FALSE))</f>
        <v/>
      </c>
      <c r="E41" s="246" t="str">
        <f>IF(ISNA(($C41/100)*VLOOKUP($B41,DB,4,FALSE)),"",($C41/100)*VLOOKUP($B41,DB,4,FALSE))</f>
        <v/>
      </c>
      <c r="F41" s="246" t="str">
        <f>IF(ISNA(($C41/100)*VLOOKUP($B41,DB,5,FALSE)),"",($C41/100)*VLOOKUP($B41,DB,5,FALSE))</f>
        <v/>
      </c>
      <c r="G41" s="246" t="str">
        <f>IF(ISNA(($C41/100)*VLOOKUP($B41,DB,6,FALSE)),"",($C41/100)*VLOOKUP($B41,DB,6,FALSE))</f>
        <v/>
      </c>
      <c r="H41" s="247">
        <f t="shared" si="7"/>
        <v>0</v>
      </c>
      <c r="I41" s="248"/>
      <c r="J41" s="248"/>
      <c r="K41" s="248"/>
      <c r="L41" s="248"/>
      <c r="M41" s="248"/>
      <c r="N41" s="248"/>
      <c r="O41" s="248"/>
      <c r="P41" s="248"/>
      <c r="Q41" s="248"/>
      <c r="R41" s="248"/>
      <c r="S41" s="248"/>
      <c r="T41" s="248"/>
      <c r="U41" s="248"/>
      <c r="V41" s="248"/>
      <c r="W41" s="248"/>
      <c r="X41" s="248"/>
      <c r="Y41" s="248"/>
      <c r="Z41" s="248"/>
      <c r="AA41" s="248"/>
      <c r="AB41" s="248"/>
    </row>
    <row r="42" outlineLevel="1">
      <c r="A42" s="244"/>
      <c r="B42" s="244"/>
      <c r="C42" s="245"/>
      <c r="D42" s="246" t="str">
        <f>IF(ISNA(($C42/100)*VLOOKUP($B42,DB,3,FALSE)),"",($C42/100)*VLOOKUP($B42,DB,3,FALSE))</f>
        <v/>
      </c>
      <c r="E42" s="246" t="str">
        <f>IF(ISNA(($C42/100)*VLOOKUP($B42,DB,4,FALSE)),"",($C42/100)*VLOOKUP($B42,DB,4,FALSE))</f>
        <v/>
      </c>
      <c r="F42" s="246" t="str">
        <f>IF(ISNA(($C42/100)*VLOOKUP($B42,DB,5,FALSE)),"",($C42/100)*VLOOKUP($B42,DB,5,FALSE))</f>
        <v/>
      </c>
      <c r="G42" s="246" t="str">
        <f>IF(ISNA(($C42/100)*VLOOKUP($B42,DB,6,FALSE)),"",($C42/100)*VLOOKUP($B42,DB,6,FALSE))</f>
        <v/>
      </c>
      <c r="H42" s="247">
        <f t="shared" si="7"/>
        <v>0</v>
      </c>
      <c r="I42" s="248"/>
      <c r="J42" s="248"/>
      <c r="K42" s="248"/>
      <c r="L42" s="248"/>
      <c r="M42" s="248"/>
      <c r="N42" s="248"/>
      <c r="O42" s="248"/>
      <c r="P42" s="248"/>
      <c r="Q42" s="248"/>
      <c r="R42" s="248"/>
      <c r="S42" s="248"/>
      <c r="T42" s="248"/>
      <c r="U42" s="248"/>
      <c r="V42" s="248"/>
      <c r="W42" s="248"/>
      <c r="X42" s="248"/>
      <c r="Y42" s="248"/>
      <c r="Z42" s="248"/>
      <c r="AA42" s="248"/>
      <c r="AB42" s="248"/>
    </row>
    <row r="43" outlineLevel="1">
      <c r="A43" s="244"/>
      <c r="B43" s="244"/>
      <c r="C43" s="245"/>
      <c r="D43" s="246" t="str">
        <f>IF(ISNA(($C43/100)*VLOOKUP($B43,DB,3,FALSE)),"",($C43/100)*VLOOKUP($B43,DB,3,FALSE))</f>
        <v/>
      </c>
      <c r="E43" s="246" t="str">
        <f>IF(ISNA(($C43/100)*VLOOKUP($B43,DB,4,FALSE)),"",($C43/100)*VLOOKUP($B43,DB,4,FALSE))</f>
        <v/>
      </c>
      <c r="F43" s="246" t="str">
        <f>IF(ISNA(($C43/100)*VLOOKUP($B43,DB,5,FALSE)),"",($C43/100)*VLOOKUP($B43,DB,5,FALSE))</f>
        <v/>
      </c>
      <c r="G43" s="246" t="str">
        <f>IF(ISNA(($C43/100)*VLOOKUP($B43,DB,6,FALSE)),"",($C43/100)*VLOOKUP($B43,DB,6,FALSE))</f>
        <v/>
      </c>
      <c r="H43" s="247">
        <f t="shared" si="7"/>
        <v>0</v>
      </c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</row>
    <row r="44">
      <c r="A44" s="254" t="s">
        <v>130</v>
      </c>
      <c r="B44" s="255"/>
      <c r="C44" s="273"/>
      <c r="D44" s="274"/>
      <c r="E44" s="274"/>
      <c r="F44" s="274"/>
      <c r="G44" s="274"/>
      <c r="H44" s="275">
        <f t="shared" si="7"/>
        <v>0</v>
      </c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221"/>
      <c r="Z44" s="221"/>
      <c r="AA44" s="221"/>
      <c r="AB44" s="221"/>
    </row>
    <row r="45">
      <c r="A45" s="259" t="s">
        <v>130</v>
      </c>
      <c r="B45" s="260"/>
      <c r="C45" s="89"/>
      <c r="D45" s="261"/>
      <c r="E45" s="261"/>
      <c r="F45" s="261"/>
      <c r="G45" s="261"/>
      <c r="H45" s="262">
        <f t="shared" si="7"/>
        <v>0</v>
      </c>
      <c r="I45" s="221"/>
      <c r="J45" s="221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X45" s="221"/>
      <c r="Y45" s="221"/>
      <c r="Z45" s="221"/>
      <c r="AA45" s="221"/>
      <c r="AB45" s="221"/>
    </row>
    <row r="46">
      <c r="A46" s="263"/>
      <c r="B46" s="264"/>
      <c r="C46" s="265"/>
      <c r="D46" s="266"/>
      <c r="E46" s="266"/>
      <c r="F46" s="266"/>
      <c r="G46" s="267"/>
      <c r="H46" s="268">
        <f>(D46+E46)*4+F46*9</f>
        <v>0</v>
      </c>
      <c r="I46" s="221"/>
      <c r="J46" s="221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X46" s="221"/>
      <c r="Y46" s="221"/>
      <c r="Z46" s="221"/>
      <c r="AA46" s="221"/>
      <c r="AB46" s="221"/>
    </row>
    <row r="47">
      <c r="A47" s="234" t="s">
        <v>58</v>
      </c>
      <c r="B47" s="105"/>
      <c r="C47" s="227"/>
      <c r="D47" s="217" t="s">
        <v>19</v>
      </c>
      <c r="E47" s="218" t="s">
        <v>20</v>
      </c>
      <c r="F47" s="218" t="s">
        <v>21</v>
      </c>
      <c r="G47" s="269" t="s">
        <v>22</v>
      </c>
      <c r="H47" s="220" t="s">
        <v>7</v>
      </c>
      <c r="I47" s="221"/>
      <c r="J47" s="221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X47" s="221"/>
      <c r="Y47" s="221"/>
      <c r="Z47" s="221"/>
      <c r="AA47" s="221"/>
      <c r="AB47" s="221"/>
    </row>
    <row r="48">
      <c r="A48" s="236" t="s">
        <v>0</v>
      </c>
      <c r="B48" s="237" t="s">
        <v>17</v>
      </c>
      <c r="C48" s="238" t="s">
        <v>124</v>
      </c>
      <c r="D48" s="239">
        <f>vlookup(D$5,'Макроси'!$A$15:$F$17,6,False)</f>
        <v>55</v>
      </c>
      <c r="E48" s="240">
        <f>vlookup(E$5,'Макроси'!$A$15:$F$17,6,False)</f>
        <v>60</v>
      </c>
      <c r="F48" s="240">
        <f>vlookup(F$5,'Макроси'!$A$15:$F$17,6,False)</f>
        <v>10</v>
      </c>
      <c r="G48" s="270"/>
      <c r="H48" s="241">
        <f>IF(ISERROR(ROUNDUP((D48+E48)*4+F48*9,0)),"",ROUNDUP((D48+E48)*4+F48*9,0))</f>
        <v>550</v>
      </c>
      <c r="I48" s="221"/>
      <c r="J48" s="221"/>
      <c r="K48" s="221"/>
      <c r="L48" s="221"/>
      <c r="M48" s="221"/>
      <c r="N48" s="221"/>
      <c r="O48" s="221"/>
      <c r="P48" s="221"/>
      <c r="Q48" s="221"/>
      <c r="R48" s="221"/>
      <c r="S48" s="221"/>
      <c r="T48" s="221"/>
      <c r="U48" s="221"/>
      <c r="V48" s="221"/>
      <c r="W48" s="221"/>
      <c r="X48" s="221"/>
      <c r="Y48" s="221"/>
      <c r="Z48" s="221"/>
      <c r="AA48" s="221"/>
      <c r="AB48" s="221"/>
    </row>
    <row r="49">
      <c r="A49" s="105"/>
      <c r="B49" s="242"/>
      <c r="C49" s="243" t="s">
        <v>125</v>
      </c>
      <c r="D49" s="228">
        <f t="shared" ref="D49:H49" si="8">SUM(D50:D59)</f>
        <v>0</v>
      </c>
      <c r="E49" s="229">
        <f t="shared" si="8"/>
        <v>0</v>
      </c>
      <c r="F49" s="229">
        <f t="shared" si="8"/>
        <v>0</v>
      </c>
      <c r="G49" s="271">
        <f t="shared" si="8"/>
        <v>0</v>
      </c>
      <c r="H49" s="230">
        <f t="shared" si="8"/>
        <v>0</v>
      </c>
      <c r="I49" s="221"/>
      <c r="J49" s="221"/>
      <c r="K49" s="221"/>
      <c r="L49" s="221"/>
      <c r="M49" s="221"/>
      <c r="N49" s="221"/>
      <c r="O49" s="221"/>
      <c r="P49" s="221"/>
      <c r="Q49" s="221"/>
      <c r="R49" s="221"/>
      <c r="S49" s="221"/>
      <c r="T49" s="221"/>
      <c r="U49" s="221"/>
      <c r="V49" s="221"/>
      <c r="W49" s="221"/>
      <c r="X49" s="221"/>
      <c r="Y49" s="221"/>
      <c r="Z49" s="221"/>
      <c r="AA49" s="221"/>
      <c r="AB49" s="221"/>
    </row>
    <row r="50" outlineLevel="1">
      <c r="A50" s="244"/>
      <c r="B50" s="244"/>
      <c r="C50" s="245"/>
      <c r="D50" s="246" t="str">
        <f>IF(ISNA(($C50/100)*VLOOKUP($B50,DB,3,FALSE)),"",($C50/100)*VLOOKUP($B50,DB,3,FALSE))</f>
        <v/>
      </c>
      <c r="E50" s="246" t="str">
        <f>IF(ISNA(($C50/100)*VLOOKUP($B50,DB,4,FALSE)),"",($C50/100)*VLOOKUP($B50,DB,4,FALSE))</f>
        <v/>
      </c>
      <c r="F50" s="246" t="str">
        <f>IF(ISNA(($C50/100)*VLOOKUP($B50,DB,5,FALSE)),"",($C50/100)*VLOOKUP($B50,DB,5,FALSE))</f>
        <v/>
      </c>
      <c r="G50" s="246" t="str">
        <f>IF(ISNA(($C50/100)*VLOOKUP($B50,DB,6,FALSE)),"",($C50/100)*VLOOKUP($B50,DB,6,FALSE))</f>
        <v/>
      </c>
      <c r="H50" s="247">
        <f t="shared" ref="H50:H59" si="9">IF(ISERROR(ROUNDUP((D50+E50)*4+F50*9,0)),"",ROUNDUP((D50+E50)*4+F50*9,0))</f>
        <v>0</v>
      </c>
      <c r="I50" s="248"/>
      <c r="J50" s="248"/>
      <c r="K50" s="248"/>
      <c r="L50" s="248"/>
      <c r="M50" s="248"/>
      <c r="N50" s="248"/>
      <c r="O50" s="248"/>
      <c r="P50" s="248"/>
      <c r="Q50" s="248"/>
      <c r="R50" s="248"/>
      <c r="S50" s="248"/>
      <c r="T50" s="248"/>
      <c r="U50" s="248"/>
      <c r="V50" s="248"/>
      <c r="W50" s="248"/>
      <c r="X50" s="248"/>
      <c r="Y50" s="248"/>
      <c r="Z50" s="248"/>
      <c r="AA50" s="248"/>
      <c r="AB50" s="248"/>
    </row>
    <row r="51" outlineLevel="1">
      <c r="A51" s="244"/>
      <c r="B51" s="244"/>
      <c r="C51" s="245"/>
      <c r="D51" s="246" t="str">
        <f>IF(ISNA(($C51/100)*VLOOKUP($B51,DB,3,FALSE)),"",($C51/100)*VLOOKUP($B51,DB,3,FALSE))</f>
        <v/>
      </c>
      <c r="E51" s="246" t="str">
        <f>IF(ISNA(($C51/100)*VLOOKUP($B51,DB,4,FALSE)),"",($C51/100)*VLOOKUP($B51,DB,4,FALSE))</f>
        <v/>
      </c>
      <c r="F51" s="246" t="str">
        <f>IF(ISNA(($C51/100)*VLOOKUP($B51,DB,5,FALSE)),"",($C51/100)*VLOOKUP($B51,DB,5,FALSE))</f>
        <v/>
      </c>
      <c r="G51" s="246" t="str">
        <f>IF(ISNA(($C51/100)*VLOOKUP($B51,DB,6,FALSE)),"",($C51/100)*VLOOKUP($B51,DB,6,FALSE))</f>
        <v/>
      </c>
      <c r="H51" s="247">
        <f t="shared" si="9"/>
        <v>0</v>
      </c>
      <c r="I51" s="248"/>
      <c r="J51" s="248"/>
      <c r="K51" s="248"/>
      <c r="L51" s="248"/>
      <c r="M51" s="248"/>
      <c r="N51" s="248"/>
      <c r="O51" s="248"/>
      <c r="P51" s="248"/>
      <c r="Q51" s="248"/>
      <c r="R51" s="248"/>
      <c r="S51" s="248"/>
      <c r="T51" s="248"/>
      <c r="U51" s="248"/>
      <c r="V51" s="248"/>
      <c r="W51" s="248"/>
      <c r="X51" s="248"/>
      <c r="Y51" s="248"/>
      <c r="Z51" s="248"/>
      <c r="AA51" s="248"/>
      <c r="AB51" s="248"/>
    </row>
    <row r="52" outlineLevel="1">
      <c r="A52" s="276"/>
      <c r="B52" s="276"/>
      <c r="C52" s="277"/>
      <c r="D52" s="278" t="str">
        <f>IF(ISNA(($C52/100)*VLOOKUP($B52,DB,3,FALSE)),"",($C52/100)*VLOOKUP($B52,DB,3,FALSE))</f>
        <v/>
      </c>
      <c r="E52" s="278" t="str">
        <f>IF(ISNA(($C52/100)*VLOOKUP($B52,DB,4,FALSE)),"",($C52/100)*VLOOKUP($B52,DB,4,FALSE))</f>
        <v/>
      </c>
      <c r="F52" s="278" t="str">
        <f>IF(ISNA(($C52/100)*VLOOKUP($B52,DB,5,FALSE)),"",($C52/100)*VLOOKUP($B52,DB,5,FALSE))</f>
        <v/>
      </c>
      <c r="G52" s="279" t="str">
        <f>IF(ISNA(($C52/100)*VLOOKUP($B52,DB,6,FALSE)),"",($C52/100)*VLOOKUP($B52,DB,6,FALSE))</f>
        <v/>
      </c>
      <c r="H52" s="280">
        <f t="shared" si="9"/>
        <v>0</v>
      </c>
      <c r="I52" s="281"/>
      <c r="J52" s="281"/>
      <c r="K52" s="281"/>
      <c r="L52" s="281"/>
      <c r="M52" s="281"/>
      <c r="N52" s="281"/>
      <c r="O52" s="281"/>
      <c r="P52" s="281"/>
      <c r="Q52" s="281"/>
      <c r="R52" s="281"/>
      <c r="S52" s="281"/>
      <c r="T52" s="281"/>
      <c r="U52" s="281"/>
      <c r="V52" s="281"/>
      <c r="W52" s="281"/>
      <c r="X52" s="281"/>
      <c r="Y52" s="281"/>
      <c r="Z52" s="281"/>
      <c r="AA52" s="281"/>
      <c r="AB52" s="281"/>
    </row>
    <row r="53" outlineLevel="1">
      <c r="A53" s="276"/>
      <c r="B53" s="276"/>
      <c r="C53" s="277"/>
      <c r="D53" s="278" t="str">
        <f>IF(ISNA(($C53/100)*VLOOKUP($B53,DB,3,FALSE)),"",($C53/100)*VLOOKUP($B53,DB,3,FALSE))</f>
        <v/>
      </c>
      <c r="E53" s="278" t="str">
        <f>IF(ISNA(($C53/100)*VLOOKUP($B53,DB,4,FALSE)),"",($C53/100)*VLOOKUP($B53,DB,4,FALSE))</f>
        <v/>
      </c>
      <c r="F53" s="278" t="str">
        <f>IF(ISNA(($C53/100)*VLOOKUP($B53,DB,5,FALSE)),"",($C53/100)*VLOOKUP($B53,DB,5,FALSE))</f>
        <v/>
      </c>
      <c r="G53" s="279" t="str">
        <f>IF(ISNA(($C53/100)*VLOOKUP($B53,DB,6,FALSE)),"",($C53/100)*VLOOKUP($B53,DB,6,FALSE))</f>
        <v/>
      </c>
      <c r="H53" s="280">
        <f t="shared" si="9"/>
        <v>0</v>
      </c>
      <c r="I53" s="281"/>
      <c r="J53" s="281"/>
      <c r="K53" s="281"/>
      <c r="L53" s="281"/>
      <c r="M53" s="281"/>
      <c r="N53" s="281"/>
      <c r="O53" s="281"/>
      <c r="P53" s="281"/>
      <c r="Q53" s="281"/>
      <c r="R53" s="281"/>
      <c r="S53" s="281"/>
      <c r="T53" s="281"/>
      <c r="U53" s="281"/>
      <c r="V53" s="281"/>
      <c r="W53" s="281"/>
      <c r="X53" s="281"/>
      <c r="Y53" s="281"/>
      <c r="Z53" s="281"/>
      <c r="AA53" s="281"/>
      <c r="AB53" s="281"/>
    </row>
    <row r="54" outlineLevel="1">
      <c r="A54" s="244"/>
      <c r="B54" s="244"/>
      <c r="C54" s="245"/>
      <c r="D54" s="246" t="str">
        <f>IF(ISNA(($C54/100)*VLOOKUP($B54,DB,3,FALSE)),"",($C54/100)*VLOOKUP($B54,DB,3,FALSE))</f>
        <v/>
      </c>
      <c r="E54" s="246" t="str">
        <f>IF(ISNA(($C54/100)*VLOOKUP($B54,DB,4,FALSE)),"",($C54/100)*VLOOKUP($B54,DB,4,FALSE))</f>
        <v/>
      </c>
      <c r="F54" s="246" t="str">
        <f>IF(ISNA(($C54/100)*VLOOKUP($B54,DB,5,FALSE)),"",($C54/100)*VLOOKUP($B54,DB,5,FALSE))</f>
        <v/>
      </c>
      <c r="G54" s="246" t="str">
        <f>IF(ISNA(($C54/100)*VLOOKUP($B54,DB,6,FALSE)),"",($C54/100)*VLOOKUP($B54,DB,6,FALSE))</f>
        <v/>
      </c>
      <c r="H54" s="247">
        <f t="shared" si="9"/>
        <v>0</v>
      </c>
      <c r="I54" s="248"/>
      <c r="J54" s="248"/>
      <c r="K54" s="248"/>
      <c r="L54" s="248"/>
      <c r="M54" s="248"/>
      <c r="N54" s="248"/>
      <c r="O54" s="248"/>
      <c r="P54" s="248"/>
      <c r="Q54" s="248"/>
      <c r="R54" s="248"/>
      <c r="S54" s="248"/>
      <c r="T54" s="248"/>
      <c r="U54" s="248"/>
      <c r="V54" s="248"/>
      <c r="W54" s="248"/>
      <c r="X54" s="248"/>
      <c r="Y54" s="248"/>
      <c r="Z54" s="248"/>
      <c r="AA54" s="248"/>
      <c r="AB54" s="248"/>
    </row>
    <row r="55" outlineLevel="1">
      <c r="A55" s="244"/>
      <c r="B55" s="244"/>
      <c r="C55" s="245"/>
      <c r="D55" s="246" t="str">
        <f>IF(ISNA(($C55/100)*VLOOKUP($B55,DB,3,FALSE)),"",($C55/100)*VLOOKUP($B55,DB,3,FALSE))</f>
        <v/>
      </c>
      <c r="E55" s="246" t="str">
        <f>IF(ISNA(($C55/100)*VLOOKUP($B55,DB,4,FALSE)),"",($C55/100)*VLOOKUP($B55,DB,4,FALSE))</f>
        <v/>
      </c>
      <c r="F55" s="246" t="str">
        <f>IF(ISNA(($C55/100)*VLOOKUP($B55,DB,5,FALSE)),"",($C55/100)*VLOOKUP($B55,DB,5,FALSE))</f>
        <v/>
      </c>
      <c r="G55" s="246" t="str">
        <f>IF(ISNA(($C55/100)*VLOOKUP($B55,DB,6,FALSE)),"",($C55/100)*VLOOKUP($B55,DB,6,FALSE))</f>
        <v/>
      </c>
      <c r="H55" s="247">
        <f t="shared" si="9"/>
        <v>0</v>
      </c>
      <c r="I55" s="248"/>
      <c r="J55" s="248"/>
      <c r="K55" s="248"/>
      <c r="L55" s="248"/>
      <c r="M55" s="248"/>
      <c r="N55" s="248"/>
      <c r="O55" s="248"/>
      <c r="P55" s="248"/>
      <c r="Q55" s="248"/>
      <c r="R55" s="248"/>
      <c r="S55" s="248"/>
      <c r="T55" s="248"/>
      <c r="U55" s="248"/>
      <c r="V55" s="248"/>
      <c r="W55" s="248"/>
      <c r="X55" s="248"/>
      <c r="Y55" s="248"/>
      <c r="Z55" s="248"/>
      <c r="AA55" s="248"/>
      <c r="AB55" s="248"/>
    </row>
    <row r="56" outlineLevel="1">
      <c r="A56" s="244"/>
      <c r="B56" s="244"/>
      <c r="C56" s="245"/>
      <c r="D56" s="246" t="str">
        <f>IF(ISNA(($C56/100)*VLOOKUP($B56,DB,3,FALSE)),"",($C56/100)*VLOOKUP($B56,DB,3,FALSE))</f>
        <v/>
      </c>
      <c r="E56" s="246" t="str">
        <f>IF(ISNA(($C56/100)*VLOOKUP($B56,DB,4,FALSE)),"",($C56/100)*VLOOKUP($B56,DB,4,FALSE))</f>
        <v/>
      </c>
      <c r="F56" s="246" t="str">
        <f>IF(ISNA(($C56/100)*VLOOKUP($B56,DB,5,FALSE)),"",($C56/100)*VLOOKUP($B56,DB,5,FALSE))</f>
        <v/>
      </c>
      <c r="G56" s="246" t="str">
        <f>IF(ISNA(($C56/100)*VLOOKUP($B56,DB,6,FALSE)),"",($C56/100)*VLOOKUP($B56,DB,6,FALSE))</f>
        <v/>
      </c>
      <c r="H56" s="247">
        <f t="shared" si="9"/>
        <v>0</v>
      </c>
      <c r="I56" s="248"/>
      <c r="J56" s="248"/>
      <c r="K56" s="248"/>
      <c r="L56" s="248"/>
      <c r="M56" s="248"/>
      <c r="N56" s="248"/>
      <c r="O56" s="248"/>
      <c r="P56" s="248"/>
      <c r="Q56" s="248"/>
      <c r="R56" s="248"/>
      <c r="S56" s="248"/>
      <c r="T56" s="248"/>
      <c r="U56" s="248"/>
      <c r="V56" s="248"/>
      <c r="W56" s="248"/>
      <c r="X56" s="248"/>
      <c r="Y56" s="248"/>
      <c r="Z56" s="248"/>
      <c r="AA56" s="248"/>
      <c r="AB56" s="248"/>
    </row>
    <row r="57" outlineLevel="1">
      <c r="A57" s="282"/>
      <c r="B57" s="282"/>
      <c r="C57" s="283"/>
      <c r="D57" s="284" t="str">
        <f>IF(ISNA(($C57/100)*VLOOKUP($B57,DB,3,FALSE)),"",($C57/100)*VLOOKUP($B57,DB,3,FALSE))</f>
        <v/>
      </c>
      <c r="E57" s="284" t="str">
        <f>IF(ISNA(($C57/100)*VLOOKUP($B57,DB,4,FALSE)),"",($C57/100)*VLOOKUP($B57,DB,4,FALSE))</f>
        <v/>
      </c>
      <c r="F57" s="284" t="str">
        <f>IF(ISNA(($C57/100)*VLOOKUP($B57,DB,5,FALSE)),"",($C57/100)*VLOOKUP($B57,DB,5,FALSE))</f>
        <v/>
      </c>
      <c r="G57" s="284" t="str">
        <f>IF(ISNA(($C57/100)*VLOOKUP($B57,DB,6,FALSE)),"",($C57/100)*VLOOKUP($B57,DB,6,FALSE))</f>
        <v/>
      </c>
      <c r="H57" s="285">
        <f t="shared" si="9"/>
        <v>0</v>
      </c>
      <c r="I57" s="248"/>
      <c r="J57" s="248"/>
      <c r="K57" s="248"/>
      <c r="L57" s="248"/>
      <c r="M57" s="248"/>
      <c r="N57" s="248"/>
      <c r="O57" s="248"/>
      <c r="P57" s="248"/>
      <c r="Q57" s="248"/>
      <c r="R57" s="248"/>
      <c r="S57" s="248"/>
      <c r="T57" s="248"/>
      <c r="U57" s="248"/>
      <c r="V57" s="248"/>
      <c r="W57" s="248"/>
      <c r="X57" s="248"/>
      <c r="Y57" s="248"/>
      <c r="Z57" s="248"/>
      <c r="AA57" s="248"/>
      <c r="AB57" s="248"/>
    </row>
    <row r="58">
      <c r="A58" s="254" t="s">
        <v>130</v>
      </c>
      <c r="B58" s="255"/>
      <c r="C58" s="286"/>
      <c r="D58" s="287"/>
      <c r="E58" s="287"/>
      <c r="F58" s="287"/>
      <c r="G58" s="288"/>
      <c r="H58" s="289">
        <f t="shared" si="9"/>
        <v>0</v>
      </c>
      <c r="I58" s="221"/>
      <c r="J58" s="221"/>
      <c r="K58" s="221"/>
      <c r="L58" s="221"/>
      <c r="M58" s="221"/>
      <c r="N58" s="221"/>
      <c r="O58" s="221"/>
      <c r="P58" s="221"/>
      <c r="Q58" s="221"/>
      <c r="R58" s="221"/>
      <c r="S58" s="221"/>
      <c r="T58" s="221"/>
      <c r="U58" s="221"/>
      <c r="V58" s="221"/>
      <c r="W58" s="221"/>
      <c r="X58" s="221"/>
      <c r="Y58" s="221"/>
      <c r="Z58" s="221"/>
      <c r="AA58" s="221"/>
      <c r="AB58" s="221"/>
    </row>
    <row r="59">
      <c r="A59" s="259" t="s">
        <v>130</v>
      </c>
      <c r="B59" s="260"/>
      <c r="C59" s="290"/>
      <c r="D59" s="291"/>
      <c r="E59" s="291"/>
      <c r="F59" s="291"/>
      <c r="G59" s="292"/>
      <c r="H59" s="293">
        <f t="shared" si="9"/>
        <v>0</v>
      </c>
      <c r="I59" s="221"/>
      <c r="J59" s="221"/>
      <c r="K59" s="221"/>
      <c r="L59" s="221"/>
      <c r="M59" s="221"/>
      <c r="N59" s="221"/>
      <c r="O59" s="221"/>
      <c r="P59" s="221"/>
      <c r="Q59" s="221"/>
      <c r="R59" s="221"/>
      <c r="S59" s="221"/>
      <c r="T59" s="221"/>
      <c r="U59" s="221"/>
      <c r="V59" s="221"/>
      <c r="W59" s="221"/>
      <c r="X59" s="221"/>
      <c r="Y59" s="221"/>
      <c r="Z59" s="221"/>
      <c r="AA59" s="221"/>
      <c r="AB59" s="221"/>
    </row>
    <row r="60">
      <c r="A60" s="263"/>
      <c r="B60" s="264"/>
      <c r="C60" s="265"/>
      <c r="D60" s="266"/>
      <c r="E60" s="266"/>
      <c r="F60" s="266"/>
      <c r="G60" s="267"/>
      <c r="H60" s="268">
        <f>(D60+E60)*4+F60*9</f>
        <v>0</v>
      </c>
      <c r="I60" s="221"/>
      <c r="J60" s="221"/>
      <c r="K60" s="221"/>
      <c r="L60" s="221"/>
      <c r="M60" s="221"/>
      <c r="N60" s="221"/>
      <c r="O60" s="221"/>
      <c r="P60" s="221"/>
      <c r="Q60" s="221"/>
      <c r="R60" s="221"/>
      <c r="S60" s="221"/>
      <c r="T60" s="221"/>
      <c r="U60" s="221"/>
      <c r="V60" s="221"/>
      <c r="W60" s="221"/>
      <c r="X60" s="221"/>
      <c r="Y60" s="221"/>
      <c r="Z60" s="221"/>
      <c r="AA60" s="221"/>
      <c r="AB60" s="221"/>
    </row>
    <row r="61">
      <c r="A61" s="294"/>
      <c r="B61" s="294"/>
      <c r="C61" s="295"/>
      <c r="D61" s="295"/>
      <c r="E61" s="295"/>
      <c r="F61" s="295"/>
      <c r="G61" s="295"/>
      <c r="H61" s="295"/>
      <c r="I61" s="221"/>
      <c r="J61" s="221"/>
      <c r="K61" s="221"/>
      <c r="L61" s="221"/>
      <c r="M61" s="221"/>
      <c r="N61" s="221"/>
      <c r="O61" s="221"/>
      <c r="P61" s="221"/>
      <c r="Q61" s="221"/>
      <c r="R61" s="221"/>
      <c r="S61" s="221"/>
      <c r="T61" s="221"/>
      <c r="U61" s="221"/>
      <c r="V61" s="221"/>
      <c r="W61" s="221"/>
      <c r="X61" s="221"/>
      <c r="Y61" s="221"/>
      <c r="Z61" s="221"/>
      <c r="AA61" s="221"/>
      <c r="AB61" s="221"/>
    </row>
    <row r="62">
      <c r="A62" s="294"/>
      <c r="B62" s="294"/>
      <c r="C62" s="295"/>
      <c r="D62" s="295"/>
      <c r="E62" s="295"/>
      <c r="F62" s="295"/>
      <c r="G62" s="295"/>
      <c r="H62" s="295"/>
      <c r="I62" s="221"/>
      <c r="J62" s="221"/>
      <c r="K62" s="221"/>
      <c r="L62" s="221"/>
      <c r="M62" s="221"/>
      <c r="N62" s="221"/>
      <c r="O62" s="221"/>
      <c r="P62" s="221"/>
      <c r="Q62" s="221"/>
      <c r="R62" s="221"/>
      <c r="S62" s="221"/>
      <c r="T62" s="221"/>
      <c r="U62" s="221"/>
      <c r="V62" s="221"/>
      <c r="W62" s="221"/>
      <c r="X62" s="221"/>
      <c r="Y62" s="221"/>
      <c r="Z62" s="221"/>
      <c r="AA62" s="221"/>
      <c r="AB62" s="221"/>
    </row>
    <row r="63">
      <c r="A63" s="294"/>
      <c r="B63" s="294"/>
      <c r="C63" s="295"/>
      <c r="D63" s="295"/>
      <c r="E63" s="295"/>
      <c r="F63" s="295"/>
      <c r="G63" s="295"/>
      <c r="H63" s="295"/>
      <c r="I63" s="221"/>
      <c r="J63" s="221"/>
      <c r="K63" s="221"/>
      <c r="L63" s="221"/>
      <c r="M63" s="221"/>
      <c r="N63" s="221"/>
      <c r="O63" s="221"/>
      <c r="P63" s="221"/>
      <c r="Q63" s="221"/>
      <c r="R63" s="221"/>
      <c r="S63" s="221"/>
      <c r="T63" s="221"/>
      <c r="U63" s="221"/>
      <c r="V63" s="221"/>
      <c r="W63" s="221"/>
      <c r="X63" s="221"/>
      <c r="Y63" s="221"/>
      <c r="Z63" s="221"/>
      <c r="AA63" s="221"/>
      <c r="AB63" s="221"/>
    </row>
    <row r="64">
      <c r="A64" s="294"/>
      <c r="B64" s="294"/>
      <c r="C64" s="295"/>
      <c r="D64" s="295"/>
      <c r="E64" s="295"/>
      <c r="F64" s="295"/>
      <c r="G64" s="295"/>
      <c r="H64" s="295"/>
      <c r="I64" s="221"/>
      <c r="J64" s="221"/>
      <c r="K64" s="221"/>
      <c r="L64" s="221"/>
      <c r="M64" s="221"/>
      <c r="N64" s="221"/>
      <c r="O64" s="221"/>
      <c r="P64" s="221"/>
      <c r="Q64" s="221"/>
      <c r="R64" s="221"/>
      <c r="S64" s="221"/>
      <c r="T64" s="221"/>
      <c r="U64" s="221"/>
      <c r="V64" s="221"/>
      <c r="W64" s="221"/>
      <c r="X64" s="221"/>
      <c r="Y64" s="221"/>
      <c r="Z64" s="221"/>
      <c r="AA64" s="221"/>
      <c r="AB64" s="221"/>
    </row>
    <row r="65">
      <c r="A65" s="294"/>
      <c r="B65" s="294"/>
      <c r="C65" s="295"/>
      <c r="D65" s="295"/>
      <c r="E65" s="295"/>
      <c r="F65" s="295"/>
      <c r="G65" s="295"/>
      <c r="H65" s="295"/>
      <c r="I65" s="221"/>
      <c r="J65" s="221"/>
      <c r="K65" s="221"/>
      <c r="L65" s="221"/>
      <c r="M65" s="221"/>
      <c r="N65" s="221"/>
      <c r="O65" s="221"/>
      <c r="P65" s="221"/>
      <c r="Q65" s="221"/>
      <c r="R65" s="221"/>
      <c r="S65" s="221"/>
      <c r="T65" s="221"/>
      <c r="U65" s="221"/>
      <c r="V65" s="221"/>
      <c r="W65" s="221"/>
      <c r="X65" s="221"/>
      <c r="Y65" s="221"/>
      <c r="Z65" s="221"/>
      <c r="AA65" s="221"/>
      <c r="AB65" s="221"/>
    </row>
    <row r="66">
      <c r="A66" s="294"/>
      <c r="B66" s="294"/>
      <c r="C66" s="295"/>
      <c r="D66" s="295"/>
      <c r="E66" s="295"/>
      <c r="F66" s="295"/>
      <c r="G66" s="295"/>
      <c r="H66" s="295"/>
      <c r="I66" s="221"/>
      <c r="J66" s="221"/>
      <c r="K66" s="221"/>
      <c r="L66" s="221"/>
      <c r="M66" s="221"/>
      <c r="N66" s="221"/>
      <c r="O66" s="221"/>
      <c r="P66" s="221"/>
      <c r="Q66" s="221"/>
      <c r="R66" s="221"/>
      <c r="S66" s="221"/>
      <c r="T66" s="221"/>
      <c r="U66" s="221"/>
      <c r="V66" s="221"/>
      <c r="W66" s="221"/>
      <c r="X66" s="221"/>
      <c r="Y66" s="221"/>
      <c r="Z66" s="221"/>
      <c r="AA66" s="221"/>
      <c r="AB66" s="221"/>
    </row>
    <row r="67">
      <c r="A67" s="294"/>
      <c r="B67" s="294"/>
      <c r="C67" s="295"/>
      <c r="D67" s="295"/>
      <c r="E67" s="295"/>
      <c r="F67" s="295"/>
      <c r="G67" s="295"/>
      <c r="H67" s="295"/>
      <c r="I67" s="221"/>
      <c r="J67" s="221"/>
      <c r="K67" s="221"/>
      <c r="L67" s="221"/>
      <c r="M67" s="221"/>
      <c r="N67" s="221"/>
      <c r="O67" s="221"/>
      <c r="P67" s="221"/>
      <c r="Q67" s="221"/>
      <c r="R67" s="221"/>
      <c r="S67" s="221"/>
      <c r="T67" s="221"/>
      <c r="U67" s="221"/>
      <c r="V67" s="221"/>
      <c r="W67" s="221"/>
      <c r="X67" s="221"/>
      <c r="Y67" s="221"/>
      <c r="Z67" s="221"/>
      <c r="AA67" s="221"/>
      <c r="AB67" s="221"/>
    </row>
    <row r="68">
      <c r="A68" s="294"/>
      <c r="B68" s="294"/>
      <c r="C68" s="295"/>
      <c r="D68" s="295"/>
      <c r="E68" s="295"/>
      <c r="F68" s="295"/>
      <c r="G68" s="295"/>
      <c r="H68" s="295"/>
      <c r="I68" s="221"/>
      <c r="J68" s="221"/>
      <c r="K68" s="221"/>
      <c r="L68" s="221"/>
      <c r="M68" s="221"/>
      <c r="N68" s="221"/>
      <c r="O68" s="221"/>
      <c r="P68" s="221"/>
      <c r="Q68" s="221"/>
      <c r="R68" s="221"/>
      <c r="S68" s="221"/>
      <c r="T68" s="221"/>
      <c r="U68" s="221"/>
      <c r="V68" s="221"/>
      <c r="W68" s="221"/>
      <c r="X68" s="221"/>
      <c r="Y68" s="221"/>
      <c r="Z68" s="221"/>
      <c r="AA68" s="221"/>
      <c r="AB68" s="221"/>
    </row>
    <row r="69">
      <c r="A69" s="294"/>
      <c r="B69" s="294"/>
      <c r="C69" s="295"/>
      <c r="D69" s="295"/>
      <c r="E69" s="295"/>
      <c r="F69" s="295"/>
      <c r="G69" s="295"/>
      <c r="H69" s="295"/>
      <c r="I69" s="221"/>
      <c r="J69" s="221"/>
      <c r="K69" s="221"/>
      <c r="L69" s="221"/>
      <c r="M69" s="221"/>
      <c r="N69" s="221"/>
      <c r="O69" s="221"/>
      <c r="P69" s="221"/>
      <c r="Q69" s="221"/>
      <c r="R69" s="221"/>
      <c r="S69" s="221"/>
      <c r="T69" s="221"/>
      <c r="U69" s="221"/>
      <c r="V69" s="221"/>
      <c r="W69" s="221"/>
      <c r="X69" s="221"/>
      <c r="Y69" s="221"/>
      <c r="Z69" s="221"/>
      <c r="AA69" s="221"/>
      <c r="AB69" s="221"/>
    </row>
    <row r="70">
      <c r="A70" s="294"/>
      <c r="B70" s="294"/>
      <c r="C70" s="295"/>
      <c r="D70" s="295"/>
      <c r="E70" s="295"/>
      <c r="F70" s="295"/>
      <c r="G70" s="295"/>
      <c r="H70" s="295"/>
      <c r="I70" s="221"/>
      <c r="J70" s="221"/>
      <c r="K70" s="221"/>
      <c r="L70" s="221"/>
      <c r="M70" s="221"/>
      <c r="N70" s="221"/>
      <c r="O70" s="221"/>
      <c r="P70" s="221"/>
      <c r="Q70" s="221"/>
      <c r="R70" s="221"/>
      <c r="S70" s="221"/>
      <c r="T70" s="221"/>
      <c r="U70" s="221"/>
      <c r="V70" s="221"/>
      <c r="W70" s="221"/>
      <c r="X70" s="221"/>
      <c r="Y70" s="221"/>
      <c r="Z70" s="221"/>
      <c r="AA70" s="221"/>
      <c r="AB70" s="221"/>
    </row>
    <row r="71">
      <c r="A71" s="294"/>
      <c r="B71" s="294"/>
      <c r="C71" s="295"/>
      <c r="D71" s="295"/>
      <c r="E71" s="295"/>
      <c r="F71" s="295"/>
      <c r="G71" s="295"/>
      <c r="H71" s="295"/>
      <c r="I71" s="221"/>
      <c r="J71" s="221"/>
      <c r="K71" s="221"/>
      <c r="L71" s="221"/>
      <c r="M71" s="221"/>
      <c r="N71" s="221"/>
      <c r="O71" s="221"/>
      <c r="P71" s="221"/>
      <c r="Q71" s="221"/>
      <c r="R71" s="221"/>
      <c r="S71" s="221"/>
      <c r="T71" s="221"/>
      <c r="U71" s="221"/>
      <c r="V71" s="221"/>
      <c r="W71" s="221"/>
      <c r="X71" s="221"/>
      <c r="Y71" s="221"/>
      <c r="Z71" s="221"/>
      <c r="AA71" s="221"/>
      <c r="AB71" s="221"/>
    </row>
    <row r="72">
      <c r="A72" s="294"/>
      <c r="B72" s="294"/>
      <c r="C72" s="295"/>
      <c r="D72" s="295"/>
      <c r="E72" s="295"/>
      <c r="F72" s="295"/>
      <c r="G72" s="295"/>
      <c r="H72" s="295"/>
      <c r="I72" s="221"/>
      <c r="J72" s="221"/>
      <c r="K72" s="221"/>
      <c r="L72" s="221"/>
      <c r="M72" s="221"/>
      <c r="N72" s="221"/>
      <c r="O72" s="221"/>
      <c r="P72" s="221"/>
      <c r="Q72" s="221"/>
      <c r="R72" s="221"/>
      <c r="S72" s="221"/>
      <c r="T72" s="221"/>
      <c r="U72" s="221"/>
      <c r="V72" s="221"/>
      <c r="W72" s="221"/>
      <c r="X72" s="221"/>
      <c r="Y72" s="221"/>
      <c r="Z72" s="221"/>
      <c r="AA72" s="221"/>
      <c r="AB72" s="221"/>
    </row>
    <row r="73">
      <c r="A73" s="294"/>
      <c r="B73" s="294"/>
      <c r="C73" s="295"/>
      <c r="D73" s="295"/>
      <c r="E73" s="295"/>
      <c r="F73" s="295"/>
      <c r="G73" s="295"/>
      <c r="H73" s="295"/>
      <c r="I73" s="221"/>
      <c r="J73" s="221"/>
      <c r="K73" s="221"/>
      <c r="L73" s="221"/>
      <c r="M73" s="221"/>
      <c r="N73" s="221"/>
      <c r="O73" s="221"/>
      <c r="P73" s="221"/>
      <c r="Q73" s="221"/>
      <c r="R73" s="221"/>
      <c r="S73" s="221"/>
      <c r="T73" s="221"/>
      <c r="U73" s="221"/>
      <c r="V73" s="221"/>
      <c r="W73" s="221"/>
      <c r="X73" s="221"/>
      <c r="Y73" s="221"/>
      <c r="Z73" s="221"/>
      <c r="AA73" s="221"/>
      <c r="AB73" s="221"/>
    </row>
    <row r="74">
      <c r="A74" s="294"/>
      <c r="B74" s="294"/>
      <c r="C74" s="295"/>
      <c r="D74" s="295"/>
      <c r="E74" s="295"/>
      <c r="F74" s="295"/>
      <c r="G74" s="295"/>
      <c r="H74" s="295"/>
      <c r="I74" s="221"/>
      <c r="J74" s="221"/>
      <c r="K74" s="221"/>
      <c r="L74" s="221"/>
      <c r="M74" s="221"/>
      <c r="N74" s="221"/>
      <c r="O74" s="221"/>
      <c r="P74" s="221"/>
      <c r="Q74" s="221"/>
      <c r="R74" s="221"/>
      <c r="S74" s="221"/>
      <c r="T74" s="221"/>
      <c r="U74" s="221"/>
      <c r="V74" s="221"/>
      <c r="W74" s="221"/>
      <c r="X74" s="221"/>
      <c r="Y74" s="221"/>
      <c r="Z74" s="221"/>
      <c r="AA74" s="221"/>
      <c r="AB74" s="221"/>
    </row>
    <row r="75">
      <c r="A75" s="294"/>
      <c r="B75" s="294"/>
      <c r="C75" s="295"/>
      <c r="D75" s="295"/>
      <c r="E75" s="295"/>
      <c r="F75" s="295"/>
      <c r="G75" s="295"/>
      <c r="H75" s="295"/>
      <c r="I75" s="221"/>
      <c r="J75" s="221"/>
      <c r="K75" s="221"/>
      <c r="L75" s="221"/>
      <c r="M75" s="221"/>
      <c r="N75" s="221"/>
      <c r="O75" s="221"/>
      <c r="P75" s="221"/>
      <c r="Q75" s="221"/>
      <c r="R75" s="221"/>
      <c r="S75" s="221"/>
      <c r="T75" s="221"/>
      <c r="U75" s="221"/>
      <c r="V75" s="221"/>
      <c r="W75" s="221"/>
      <c r="X75" s="221"/>
      <c r="Y75" s="221"/>
      <c r="Z75" s="221"/>
      <c r="AA75" s="221"/>
      <c r="AB75" s="221"/>
    </row>
    <row r="76">
      <c r="A76" s="294"/>
      <c r="B76" s="294"/>
      <c r="C76" s="295"/>
      <c r="D76" s="295"/>
      <c r="E76" s="295"/>
      <c r="F76" s="295"/>
      <c r="G76" s="295"/>
      <c r="H76" s="295"/>
      <c r="I76" s="221"/>
      <c r="J76" s="221"/>
      <c r="K76" s="221"/>
      <c r="L76" s="221"/>
      <c r="M76" s="221"/>
      <c r="N76" s="221"/>
      <c r="O76" s="221"/>
      <c r="P76" s="221"/>
      <c r="Q76" s="221"/>
      <c r="R76" s="221"/>
      <c r="S76" s="221"/>
      <c r="T76" s="221"/>
      <c r="U76" s="221"/>
      <c r="V76" s="221"/>
      <c r="W76" s="221"/>
      <c r="X76" s="221"/>
      <c r="Y76" s="221"/>
      <c r="Z76" s="221"/>
      <c r="AA76" s="221"/>
      <c r="AB76" s="221"/>
    </row>
    <row r="77">
      <c r="A77" s="294"/>
      <c r="B77" s="294"/>
      <c r="C77" s="295"/>
      <c r="D77" s="295"/>
      <c r="E77" s="295"/>
      <c r="F77" s="295"/>
      <c r="G77" s="295"/>
      <c r="H77" s="295"/>
      <c r="I77" s="221"/>
      <c r="J77" s="221"/>
      <c r="K77" s="221"/>
      <c r="L77" s="221"/>
      <c r="M77" s="221"/>
      <c r="N77" s="221"/>
      <c r="O77" s="221"/>
      <c r="P77" s="221"/>
      <c r="Q77" s="221"/>
      <c r="R77" s="221"/>
      <c r="S77" s="221"/>
      <c r="T77" s="221"/>
      <c r="U77" s="221"/>
      <c r="V77" s="221"/>
      <c r="W77" s="221"/>
      <c r="X77" s="221"/>
      <c r="Y77" s="221"/>
      <c r="Z77" s="221"/>
      <c r="AA77" s="221"/>
      <c r="AB77" s="221"/>
    </row>
    <row r="78">
      <c r="A78" s="294"/>
      <c r="B78" s="294"/>
      <c r="C78" s="295"/>
      <c r="D78" s="295"/>
      <c r="E78" s="295"/>
      <c r="F78" s="295"/>
      <c r="G78" s="295"/>
      <c r="H78" s="295"/>
      <c r="I78" s="221"/>
      <c r="J78" s="221"/>
      <c r="K78" s="221"/>
      <c r="L78" s="221"/>
      <c r="M78" s="221"/>
      <c r="N78" s="221"/>
      <c r="O78" s="221"/>
      <c r="P78" s="221"/>
      <c r="Q78" s="221"/>
      <c r="R78" s="221"/>
      <c r="S78" s="221"/>
      <c r="T78" s="221"/>
      <c r="U78" s="221"/>
      <c r="V78" s="221"/>
      <c r="W78" s="221"/>
      <c r="X78" s="221"/>
      <c r="Y78" s="221"/>
      <c r="Z78" s="221"/>
      <c r="AA78" s="221"/>
      <c r="AB78" s="221"/>
    </row>
    <row r="79">
      <c r="A79" s="294"/>
      <c r="B79" s="294"/>
      <c r="C79" s="295"/>
      <c r="D79" s="295"/>
      <c r="E79" s="295"/>
      <c r="F79" s="295"/>
      <c r="G79" s="295"/>
      <c r="H79" s="295"/>
      <c r="I79" s="221"/>
      <c r="J79" s="221"/>
      <c r="K79" s="221"/>
      <c r="L79" s="221"/>
      <c r="M79" s="221"/>
      <c r="N79" s="221"/>
      <c r="O79" s="221"/>
      <c r="P79" s="221"/>
      <c r="Q79" s="221"/>
      <c r="R79" s="221"/>
      <c r="S79" s="221"/>
      <c r="T79" s="221"/>
      <c r="U79" s="221"/>
      <c r="V79" s="221"/>
      <c r="W79" s="221"/>
      <c r="X79" s="221"/>
      <c r="Y79" s="221"/>
      <c r="Z79" s="221"/>
      <c r="AA79" s="221"/>
      <c r="AB79" s="221"/>
    </row>
    <row r="80">
      <c r="A80" s="294"/>
      <c r="B80" s="294"/>
      <c r="C80" s="295"/>
      <c r="D80" s="295"/>
      <c r="E80" s="295"/>
      <c r="F80" s="295"/>
      <c r="G80" s="295"/>
      <c r="H80" s="295"/>
      <c r="I80" s="221"/>
      <c r="J80" s="221"/>
      <c r="K80" s="221"/>
      <c r="L80" s="221"/>
      <c r="M80" s="221"/>
      <c r="N80" s="221"/>
      <c r="O80" s="221"/>
      <c r="P80" s="221"/>
      <c r="Q80" s="221"/>
      <c r="R80" s="221"/>
      <c r="S80" s="221"/>
      <c r="T80" s="221"/>
      <c r="U80" s="221"/>
      <c r="V80" s="221"/>
      <c r="W80" s="221"/>
      <c r="X80" s="221"/>
      <c r="Y80" s="221"/>
      <c r="Z80" s="221"/>
      <c r="AA80" s="221"/>
      <c r="AB80" s="221"/>
    </row>
    <row r="81">
      <c r="A81" s="294"/>
      <c r="B81" s="294"/>
      <c r="C81" s="295"/>
      <c r="D81" s="295"/>
      <c r="E81" s="295"/>
      <c r="F81" s="295"/>
      <c r="G81" s="295"/>
      <c r="H81" s="295"/>
      <c r="I81" s="221"/>
      <c r="J81" s="221"/>
      <c r="K81" s="221"/>
      <c r="L81" s="221"/>
      <c r="M81" s="221"/>
      <c r="N81" s="221"/>
      <c r="O81" s="221"/>
      <c r="P81" s="221"/>
      <c r="Q81" s="221"/>
      <c r="R81" s="221"/>
      <c r="S81" s="221"/>
      <c r="T81" s="221"/>
      <c r="U81" s="221"/>
      <c r="V81" s="221"/>
      <c r="W81" s="221"/>
      <c r="X81" s="221"/>
      <c r="Y81" s="221"/>
      <c r="Z81" s="221"/>
      <c r="AA81" s="221"/>
      <c r="AB81" s="221"/>
    </row>
    <row r="82">
      <c r="A82" s="294"/>
      <c r="B82" s="294"/>
      <c r="C82" s="295"/>
      <c r="D82" s="295"/>
      <c r="E82" s="295"/>
      <c r="F82" s="295"/>
      <c r="G82" s="295"/>
      <c r="H82" s="295"/>
      <c r="I82" s="221"/>
      <c r="J82" s="221"/>
      <c r="K82" s="221"/>
      <c r="L82" s="221"/>
      <c r="M82" s="221"/>
      <c r="N82" s="221"/>
      <c r="O82" s="221"/>
      <c r="P82" s="221"/>
      <c r="Q82" s="221"/>
      <c r="R82" s="221"/>
      <c r="S82" s="221"/>
      <c r="T82" s="221"/>
      <c r="U82" s="221"/>
      <c r="V82" s="221"/>
      <c r="W82" s="221"/>
      <c r="X82" s="221"/>
      <c r="Y82" s="221"/>
      <c r="Z82" s="221"/>
      <c r="AA82" s="221"/>
      <c r="AB82" s="221"/>
    </row>
    <row r="83">
      <c r="A83" s="294"/>
      <c r="B83" s="294"/>
      <c r="C83" s="295"/>
      <c r="D83" s="295"/>
      <c r="E83" s="295"/>
      <c r="F83" s="295"/>
      <c r="G83" s="295"/>
      <c r="H83" s="295"/>
      <c r="I83" s="221"/>
      <c r="J83" s="221"/>
      <c r="K83" s="221"/>
      <c r="L83" s="221"/>
      <c r="M83" s="221"/>
      <c r="N83" s="221"/>
      <c r="O83" s="221"/>
      <c r="P83" s="221"/>
      <c r="Q83" s="221"/>
      <c r="R83" s="221"/>
      <c r="S83" s="221"/>
      <c r="T83" s="221"/>
      <c r="U83" s="221"/>
      <c r="V83" s="221"/>
      <c r="W83" s="221"/>
      <c r="X83" s="221"/>
      <c r="Y83" s="221"/>
      <c r="Z83" s="221"/>
      <c r="AA83" s="221"/>
      <c r="AB83" s="221"/>
    </row>
    <row r="84">
      <c r="A84" s="294"/>
      <c r="B84" s="294"/>
      <c r="C84" s="295"/>
      <c r="D84" s="295"/>
      <c r="E84" s="295"/>
      <c r="F84" s="295"/>
      <c r="G84" s="295"/>
      <c r="H84" s="295"/>
      <c r="I84" s="221"/>
      <c r="J84" s="221"/>
      <c r="K84" s="221"/>
      <c r="L84" s="221"/>
      <c r="M84" s="221"/>
      <c r="N84" s="221"/>
      <c r="O84" s="221"/>
      <c r="P84" s="221"/>
      <c r="Q84" s="221"/>
      <c r="R84" s="221"/>
      <c r="S84" s="221"/>
      <c r="T84" s="221"/>
      <c r="U84" s="221"/>
      <c r="V84" s="221"/>
      <c r="W84" s="221"/>
      <c r="X84" s="221"/>
      <c r="Y84" s="221"/>
      <c r="Z84" s="221"/>
      <c r="AA84" s="221"/>
      <c r="AB84" s="221"/>
    </row>
    <row r="85">
      <c r="A85" s="294"/>
      <c r="B85" s="294"/>
      <c r="C85" s="295"/>
      <c r="D85" s="295"/>
      <c r="E85" s="295"/>
      <c r="F85" s="295"/>
      <c r="G85" s="295"/>
      <c r="H85" s="295"/>
      <c r="I85" s="221"/>
      <c r="J85" s="221"/>
      <c r="K85" s="221"/>
      <c r="L85" s="221"/>
      <c r="M85" s="221"/>
      <c r="N85" s="221"/>
      <c r="O85" s="221"/>
      <c r="P85" s="221"/>
      <c r="Q85" s="221"/>
      <c r="R85" s="221"/>
      <c r="S85" s="221"/>
      <c r="T85" s="221"/>
      <c r="U85" s="221"/>
      <c r="V85" s="221"/>
      <c r="W85" s="221"/>
      <c r="X85" s="221"/>
      <c r="Y85" s="221"/>
      <c r="Z85" s="221"/>
      <c r="AA85" s="221"/>
      <c r="AB85" s="221"/>
    </row>
    <row r="86">
      <c r="A86" s="294"/>
      <c r="B86" s="294"/>
      <c r="C86" s="295"/>
      <c r="D86" s="295"/>
      <c r="E86" s="295"/>
      <c r="F86" s="295"/>
      <c r="G86" s="295"/>
      <c r="H86" s="295"/>
      <c r="I86" s="221"/>
      <c r="J86" s="221"/>
      <c r="K86" s="221"/>
      <c r="L86" s="221"/>
      <c r="M86" s="221"/>
      <c r="N86" s="221"/>
      <c r="O86" s="221"/>
      <c r="P86" s="221"/>
      <c r="Q86" s="221"/>
      <c r="R86" s="221"/>
      <c r="S86" s="221"/>
      <c r="T86" s="221"/>
      <c r="U86" s="221"/>
      <c r="V86" s="221"/>
      <c r="W86" s="221"/>
      <c r="X86" s="221"/>
      <c r="Y86" s="221"/>
      <c r="Z86" s="221"/>
      <c r="AA86" s="221"/>
      <c r="AB86" s="221"/>
    </row>
    <row r="87">
      <c r="A87" s="294"/>
      <c r="B87" s="294"/>
      <c r="C87" s="295"/>
      <c r="D87" s="295"/>
      <c r="E87" s="295"/>
      <c r="F87" s="295"/>
      <c r="G87" s="295"/>
      <c r="H87" s="295"/>
      <c r="I87" s="221"/>
      <c r="J87" s="221"/>
      <c r="K87" s="221"/>
      <c r="L87" s="221"/>
      <c r="M87" s="221"/>
      <c r="N87" s="221"/>
      <c r="O87" s="221"/>
      <c r="P87" s="221"/>
      <c r="Q87" s="221"/>
      <c r="R87" s="221"/>
      <c r="S87" s="221"/>
      <c r="T87" s="221"/>
      <c r="U87" s="221"/>
      <c r="V87" s="221"/>
      <c r="W87" s="221"/>
      <c r="X87" s="221"/>
      <c r="Y87" s="221"/>
      <c r="Z87" s="221"/>
      <c r="AA87" s="221"/>
      <c r="AB87" s="221"/>
    </row>
    <row r="88">
      <c r="A88" s="294"/>
      <c r="B88" s="294"/>
      <c r="C88" s="295"/>
      <c r="D88" s="295"/>
      <c r="E88" s="295"/>
      <c r="F88" s="295"/>
      <c r="G88" s="295"/>
      <c r="H88" s="295"/>
      <c r="I88" s="221"/>
      <c r="J88" s="221"/>
      <c r="K88" s="221"/>
      <c r="L88" s="221"/>
      <c r="M88" s="221"/>
      <c r="N88" s="221"/>
      <c r="O88" s="221"/>
      <c r="P88" s="221"/>
      <c r="Q88" s="221"/>
      <c r="R88" s="221"/>
      <c r="S88" s="221"/>
      <c r="T88" s="221"/>
      <c r="U88" s="221"/>
      <c r="V88" s="221"/>
      <c r="W88" s="221"/>
      <c r="X88" s="221"/>
      <c r="Y88" s="221"/>
      <c r="Z88" s="221"/>
      <c r="AA88" s="221"/>
      <c r="AB88" s="221"/>
    </row>
    <row r="89">
      <c r="A89" s="294"/>
      <c r="B89" s="294"/>
      <c r="C89" s="295"/>
      <c r="D89" s="295"/>
      <c r="E89" s="295"/>
      <c r="F89" s="295"/>
      <c r="G89" s="295"/>
      <c r="H89" s="295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21"/>
    </row>
    <row r="90">
      <c r="A90" s="294"/>
      <c r="B90" s="294"/>
      <c r="C90" s="295"/>
      <c r="D90" s="295"/>
      <c r="E90" s="295"/>
      <c r="F90" s="295"/>
      <c r="G90" s="295"/>
      <c r="H90" s="295"/>
      <c r="I90" s="221"/>
      <c r="J90" s="221"/>
      <c r="K90" s="221"/>
      <c r="L90" s="221"/>
      <c r="M90" s="221"/>
      <c r="N90" s="221"/>
      <c r="O90" s="221"/>
      <c r="P90" s="221"/>
      <c r="Q90" s="221"/>
      <c r="R90" s="221"/>
      <c r="S90" s="221"/>
      <c r="T90" s="221"/>
      <c r="U90" s="221"/>
      <c r="V90" s="221"/>
      <c r="W90" s="221"/>
      <c r="X90" s="221"/>
      <c r="Y90" s="221"/>
      <c r="Z90" s="221"/>
      <c r="AA90" s="221"/>
      <c r="AB90" s="221"/>
    </row>
    <row r="91">
      <c r="A91" s="294"/>
      <c r="B91" s="294"/>
      <c r="C91" s="295"/>
      <c r="D91" s="295"/>
      <c r="E91" s="295"/>
      <c r="F91" s="295"/>
      <c r="G91" s="295"/>
      <c r="H91" s="295"/>
      <c r="I91" s="221"/>
      <c r="J91" s="221"/>
      <c r="K91" s="221"/>
      <c r="L91" s="221"/>
      <c r="M91" s="221"/>
      <c r="N91" s="221"/>
      <c r="O91" s="221"/>
      <c r="P91" s="221"/>
      <c r="Q91" s="221"/>
      <c r="R91" s="221"/>
      <c r="S91" s="221"/>
      <c r="T91" s="221"/>
      <c r="U91" s="221"/>
      <c r="V91" s="221"/>
      <c r="W91" s="221"/>
      <c r="X91" s="221"/>
      <c r="Y91" s="221"/>
      <c r="Z91" s="221"/>
      <c r="AA91" s="221"/>
      <c r="AB91" s="221"/>
    </row>
    <row r="92">
      <c r="A92" s="294"/>
      <c r="B92" s="294"/>
      <c r="C92" s="295"/>
      <c r="D92" s="295"/>
      <c r="E92" s="295"/>
      <c r="F92" s="295"/>
      <c r="G92" s="295"/>
      <c r="H92" s="295"/>
      <c r="I92" s="221"/>
      <c r="J92" s="221"/>
      <c r="K92" s="221"/>
      <c r="L92" s="221"/>
      <c r="M92" s="221"/>
      <c r="N92" s="221"/>
      <c r="O92" s="221"/>
      <c r="P92" s="221"/>
      <c r="Q92" s="221"/>
      <c r="R92" s="221"/>
      <c r="S92" s="221"/>
      <c r="T92" s="221"/>
      <c r="U92" s="221"/>
      <c r="V92" s="221"/>
      <c r="W92" s="221"/>
      <c r="X92" s="221"/>
      <c r="Y92" s="221"/>
      <c r="Z92" s="221"/>
      <c r="AA92" s="221"/>
      <c r="AB92" s="221"/>
    </row>
    <row r="93">
      <c r="A93" s="294"/>
      <c r="B93" s="294"/>
      <c r="C93" s="295"/>
      <c r="D93" s="295"/>
      <c r="E93" s="295"/>
      <c r="F93" s="295"/>
      <c r="G93" s="295"/>
      <c r="H93" s="295"/>
      <c r="I93" s="221"/>
      <c r="J93" s="221"/>
      <c r="K93" s="221"/>
      <c r="L93" s="221"/>
      <c r="M93" s="221"/>
      <c r="N93" s="221"/>
      <c r="O93" s="221"/>
      <c r="P93" s="221"/>
      <c r="Q93" s="221"/>
      <c r="R93" s="221"/>
      <c r="S93" s="221"/>
      <c r="T93" s="221"/>
      <c r="U93" s="221"/>
      <c r="V93" s="221"/>
      <c r="W93" s="221"/>
      <c r="X93" s="221"/>
      <c r="Y93" s="221"/>
      <c r="Z93" s="221"/>
      <c r="AA93" s="221"/>
      <c r="AB93" s="221"/>
    </row>
    <row r="94">
      <c r="A94" s="294"/>
      <c r="B94" s="294"/>
      <c r="C94" s="295"/>
      <c r="D94" s="295"/>
      <c r="E94" s="295"/>
      <c r="F94" s="295"/>
      <c r="G94" s="295"/>
      <c r="H94" s="295"/>
      <c r="I94" s="221"/>
      <c r="J94" s="221"/>
      <c r="K94" s="221"/>
      <c r="L94" s="221"/>
      <c r="M94" s="221"/>
      <c r="N94" s="221"/>
      <c r="O94" s="221"/>
      <c r="P94" s="221"/>
      <c r="Q94" s="221"/>
      <c r="R94" s="221"/>
      <c r="S94" s="221"/>
      <c r="T94" s="221"/>
      <c r="U94" s="221"/>
      <c r="V94" s="221"/>
      <c r="W94" s="221"/>
      <c r="X94" s="221"/>
      <c r="Y94" s="221"/>
      <c r="Z94" s="221"/>
      <c r="AA94" s="221"/>
      <c r="AB94" s="221"/>
    </row>
    <row r="95">
      <c r="A95" s="294"/>
      <c r="B95" s="294"/>
      <c r="C95" s="295"/>
      <c r="D95" s="295"/>
      <c r="E95" s="295"/>
      <c r="F95" s="295"/>
      <c r="G95" s="295"/>
      <c r="H95" s="295"/>
      <c r="I95" s="221"/>
      <c r="J95" s="221"/>
      <c r="K95" s="221"/>
      <c r="L95" s="221"/>
      <c r="M95" s="221"/>
      <c r="N95" s="221"/>
      <c r="O95" s="221"/>
      <c r="P95" s="221"/>
      <c r="Q95" s="221"/>
      <c r="R95" s="221"/>
      <c r="S95" s="221"/>
      <c r="T95" s="221"/>
      <c r="U95" s="221"/>
      <c r="V95" s="221"/>
      <c r="W95" s="221"/>
      <c r="X95" s="221"/>
      <c r="Y95" s="221"/>
      <c r="Z95" s="221"/>
      <c r="AA95" s="221"/>
      <c r="AB95" s="221"/>
    </row>
    <row r="96">
      <c r="A96" s="294"/>
      <c r="B96" s="294"/>
      <c r="C96" s="295"/>
      <c r="D96" s="295"/>
      <c r="E96" s="295"/>
      <c r="F96" s="295"/>
      <c r="G96" s="295"/>
      <c r="H96" s="295"/>
      <c r="I96" s="221"/>
      <c r="J96" s="221"/>
      <c r="K96" s="221"/>
      <c r="L96" s="221"/>
      <c r="M96" s="221"/>
      <c r="N96" s="221"/>
      <c r="O96" s="221"/>
      <c r="P96" s="221"/>
      <c r="Q96" s="221"/>
      <c r="R96" s="221"/>
      <c r="S96" s="221"/>
      <c r="T96" s="221"/>
      <c r="U96" s="221"/>
      <c r="V96" s="221"/>
      <c r="W96" s="221"/>
      <c r="X96" s="221"/>
      <c r="Y96" s="221"/>
      <c r="Z96" s="221"/>
      <c r="AA96" s="221"/>
      <c r="AB96" s="221"/>
    </row>
    <row r="97">
      <c r="A97" s="294"/>
      <c r="B97" s="294"/>
      <c r="C97" s="295"/>
      <c r="D97" s="295"/>
      <c r="E97" s="295"/>
      <c r="F97" s="295"/>
      <c r="G97" s="295"/>
      <c r="H97" s="295"/>
      <c r="I97" s="221"/>
      <c r="J97" s="221"/>
      <c r="K97" s="221"/>
      <c r="L97" s="221"/>
      <c r="M97" s="221"/>
      <c r="N97" s="221"/>
      <c r="O97" s="221"/>
      <c r="P97" s="221"/>
      <c r="Q97" s="221"/>
      <c r="R97" s="221"/>
      <c r="S97" s="221"/>
      <c r="T97" s="221"/>
      <c r="U97" s="221"/>
      <c r="V97" s="221"/>
      <c r="W97" s="221"/>
      <c r="X97" s="221"/>
      <c r="Y97" s="221"/>
      <c r="Z97" s="221"/>
      <c r="AA97" s="221"/>
      <c r="AB97" s="221"/>
    </row>
    <row r="98">
      <c r="A98" s="294"/>
      <c r="B98" s="294"/>
      <c r="C98" s="295"/>
      <c r="D98" s="295"/>
      <c r="E98" s="295"/>
      <c r="F98" s="295"/>
      <c r="G98" s="295"/>
      <c r="H98" s="295"/>
      <c r="I98" s="221"/>
      <c r="J98" s="221"/>
      <c r="K98" s="221"/>
      <c r="L98" s="221"/>
      <c r="M98" s="221"/>
      <c r="N98" s="221"/>
      <c r="O98" s="221"/>
      <c r="P98" s="221"/>
      <c r="Q98" s="221"/>
      <c r="R98" s="221"/>
      <c r="S98" s="221"/>
      <c r="T98" s="221"/>
      <c r="U98" s="221"/>
      <c r="V98" s="221"/>
      <c r="W98" s="221"/>
      <c r="X98" s="221"/>
      <c r="Y98" s="221"/>
      <c r="Z98" s="221"/>
      <c r="AA98" s="221"/>
      <c r="AB98" s="221"/>
    </row>
    <row r="99">
      <c r="A99" s="294"/>
      <c r="B99" s="294"/>
      <c r="C99" s="295"/>
      <c r="D99" s="295"/>
      <c r="E99" s="295"/>
      <c r="F99" s="295"/>
      <c r="G99" s="295"/>
      <c r="H99" s="295"/>
      <c r="I99" s="221"/>
      <c r="J99" s="221"/>
      <c r="K99" s="221"/>
      <c r="L99" s="221"/>
      <c r="M99" s="221"/>
      <c r="N99" s="221"/>
      <c r="O99" s="221"/>
      <c r="P99" s="221"/>
      <c r="Q99" s="221"/>
      <c r="R99" s="221"/>
      <c r="S99" s="221"/>
      <c r="T99" s="221"/>
      <c r="U99" s="221"/>
      <c r="V99" s="221"/>
      <c r="W99" s="221"/>
      <c r="X99" s="221"/>
      <c r="Y99" s="221"/>
      <c r="Z99" s="221"/>
      <c r="AA99" s="221"/>
      <c r="AB99" s="221"/>
    </row>
    <row r="100">
      <c r="A100" s="294"/>
      <c r="B100" s="294"/>
      <c r="C100" s="295"/>
      <c r="D100" s="295"/>
      <c r="E100" s="295"/>
      <c r="F100" s="295"/>
      <c r="G100" s="295"/>
      <c r="H100" s="295"/>
      <c r="I100" s="221"/>
      <c r="J100" s="221"/>
      <c r="K100" s="221"/>
      <c r="L100" s="221"/>
      <c r="M100" s="221"/>
      <c r="N100" s="221"/>
      <c r="O100" s="221"/>
      <c r="P100" s="221"/>
      <c r="Q100" s="221"/>
      <c r="R100" s="221"/>
      <c r="S100" s="221"/>
      <c r="T100" s="221"/>
      <c r="U100" s="221"/>
      <c r="V100" s="221"/>
      <c r="W100" s="221"/>
      <c r="X100" s="221"/>
      <c r="Y100" s="221"/>
      <c r="Z100" s="221"/>
      <c r="AA100" s="221"/>
      <c r="AB100" s="221"/>
    </row>
    <row r="101">
      <c r="A101" s="294"/>
      <c r="B101" s="294"/>
      <c r="C101" s="295"/>
      <c r="D101" s="295"/>
      <c r="E101" s="295"/>
      <c r="F101" s="295"/>
      <c r="G101" s="295"/>
      <c r="H101" s="295"/>
      <c r="I101" s="221"/>
      <c r="J101" s="221"/>
      <c r="K101" s="221"/>
      <c r="L101" s="221"/>
      <c r="M101" s="221"/>
      <c r="N101" s="221"/>
      <c r="O101" s="221"/>
      <c r="P101" s="221"/>
      <c r="Q101" s="221"/>
      <c r="R101" s="221"/>
      <c r="S101" s="221"/>
      <c r="T101" s="221"/>
      <c r="U101" s="221"/>
      <c r="V101" s="221"/>
      <c r="W101" s="221"/>
      <c r="X101" s="221"/>
      <c r="Y101" s="221"/>
      <c r="Z101" s="221"/>
      <c r="AA101" s="221"/>
      <c r="AB101" s="221"/>
    </row>
    <row r="102">
      <c r="A102" s="294"/>
      <c r="B102" s="294"/>
      <c r="C102" s="295"/>
      <c r="D102" s="295"/>
      <c r="E102" s="295"/>
      <c r="F102" s="295"/>
      <c r="G102" s="295"/>
      <c r="H102" s="295"/>
      <c r="I102" s="221"/>
      <c r="J102" s="221"/>
      <c r="K102" s="221"/>
      <c r="L102" s="221"/>
      <c r="M102" s="221"/>
      <c r="N102" s="221"/>
      <c r="O102" s="221"/>
      <c r="P102" s="221"/>
      <c r="Q102" s="221"/>
      <c r="R102" s="221"/>
      <c r="S102" s="221"/>
      <c r="T102" s="221"/>
      <c r="U102" s="221"/>
      <c r="V102" s="221"/>
      <c r="W102" s="221"/>
      <c r="X102" s="221"/>
      <c r="Y102" s="221"/>
      <c r="Z102" s="221"/>
      <c r="AA102" s="221"/>
      <c r="AB102" s="221"/>
    </row>
    <row r="103">
      <c r="A103" s="294"/>
      <c r="B103" s="294"/>
      <c r="C103" s="295"/>
      <c r="D103" s="295"/>
      <c r="E103" s="295"/>
      <c r="F103" s="295"/>
      <c r="G103" s="295"/>
      <c r="H103" s="295"/>
      <c r="I103" s="221"/>
      <c r="J103" s="221"/>
      <c r="K103" s="221"/>
      <c r="L103" s="221"/>
      <c r="M103" s="221"/>
      <c r="N103" s="221"/>
      <c r="O103" s="221"/>
      <c r="P103" s="221"/>
      <c r="Q103" s="221"/>
      <c r="R103" s="221"/>
      <c r="S103" s="221"/>
      <c r="T103" s="221"/>
      <c r="U103" s="221"/>
      <c r="V103" s="221"/>
      <c r="W103" s="221"/>
      <c r="X103" s="221"/>
      <c r="Y103" s="221"/>
      <c r="Z103" s="221"/>
      <c r="AA103" s="221"/>
      <c r="AB103" s="221"/>
    </row>
    <row r="104">
      <c r="A104" s="294"/>
      <c r="B104" s="294"/>
      <c r="C104" s="295"/>
      <c r="D104" s="295"/>
      <c r="E104" s="295"/>
      <c r="F104" s="295"/>
      <c r="G104" s="295"/>
      <c r="H104" s="295"/>
      <c r="I104" s="221"/>
      <c r="J104" s="221"/>
      <c r="K104" s="221"/>
      <c r="L104" s="221"/>
      <c r="M104" s="221"/>
      <c r="N104" s="221"/>
      <c r="O104" s="221"/>
      <c r="P104" s="221"/>
      <c r="Q104" s="221"/>
      <c r="R104" s="221"/>
      <c r="S104" s="221"/>
      <c r="T104" s="221"/>
      <c r="U104" s="221"/>
      <c r="V104" s="221"/>
      <c r="W104" s="221"/>
      <c r="X104" s="221"/>
      <c r="Y104" s="221"/>
      <c r="Z104" s="221"/>
      <c r="AA104" s="221"/>
      <c r="AB104" s="221"/>
    </row>
    <row r="105">
      <c r="A105" s="294"/>
      <c r="B105" s="294"/>
      <c r="C105" s="295"/>
      <c r="D105" s="295"/>
      <c r="E105" s="295"/>
      <c r="F105" s="295"/>
      <c r="G105" s="295"/>
      <c r="H105" s="295"/>
      <c r="I105" s="221"/>
      <c r="J105" s="221"/>
      <c r="K105" s="221"/>
      <c r="L105" s="221"/>
      <c r="M105" s="221"/>
      <c r="N105" s="221"/>
      <c r="O105" s="221"/>
      <c r="P105" s="221"/>
      <c r="Q105" s="221"/>
      <c r="R105" s="221"/>
      <c r="S105" s="221"/>
      <c r="T105" s="221"/>
      <c r="U105" s="221"/>
      <c r="V105" s="221"/>
      <c r="W105" s="221"/>
      <c r="X105" s="221"/>
      <c r="Y105" s="221"/>
      <c r="Z105" s="221"/>
      <c r="AA105" s="221"/>
      <c r="AB105" s="221"/>
    </row>
    <row r="106">
      <c r="A106" s="294"/>
      <c r="B106" s="294"/>
      <c r="C106" s="295"/>
      <c r="D106" s="295"/>
      <c r="E106" s="295"/>
      <c r="F106" s="295"/>
      <c r="G106" s="295"/>
      <c r="H106" s="295"/>
      <c r="I106" s="221"/>
      <c r="J106" s="221"/>
      <c r="K106" s="221"/>
      <c r="L106" s="221"/>
      <c r="M106" s="221"/>
      <c r="N106" s="221"/>
      <c r="O106" s="221"/>
      <c r="P106" s="221"/>
      <c r="Q106" s="221"/>
      <c r="R106" s="221"/>
      <c r="S106" s="221"/>
      <c r="T106" s="221"/>
      <c r="U106" s="221"/>
      <c r="V106" s="221"/>
      <c r="W106" s="221"/>
      <c r="X106" s="221"/>
      <c r="Y106" s="221"/>
      <c r="Z106" s="221"/>
      <c r="AA106" s="221"/>
      <c r="AB106" s="221"/>
    </row>
    <row r="107">
      <c r="A107" s="294"/>
      <c r="B107" s="294"/>
      <c r="C107" s="295"/>
      <c r="D107" s="295"/>
      <c r="E107" s="295"/>
      <c r="F107" s="295"/>
      <c r="G107" s="295"/>
      <c r="H107" s="295"/>
      <c r="I107" s="221"/>
      <c r="J107" s="221"/>
      <c r="K107" s="221"/>
      <c r="L107" s="221"/>
      <c r="M107" s="221"/>
      <c r="N107" s="221"/>
      <c r="O107" s="221"/>
      <c r="P107" s="221"/>
      <c r="Q107" s="221"/>
      <c r="R107" s="221"/>
      <c r="S107" s="221"/>
      <c r="T107" s="221"/>
      <c r="U107" s="221"/>
      <c r="V107" s="221"/>
      <c r="W107" s="221"/>
      <c r="X107" s="221"/>
      <c r="Y107" s="221"/>
      <c r="Z107" s="221"/>
      <c r="AA107" s="221"/>
      <c r="AB107" s="221"/>
    </row>
    <row r="108">
      <c r="A108" s="294"/>
      <c r="B108" s="294"/>
      <c r="C108" s="295"/>
      <c r="D108" s="295"/>
      <c r="E108" s="295"/>
      <c r="F108" s="295"/>
      <c r="G108" s="295"/>
      <c r="H108" s="295"/>
      <c r="I108" s="221"/>
      <c r="J108" s="221"/>
      <c r="K108" s="221"/>
      <c r="L108" s="221"/>
      <c r="M108" s="221"/>
      <c r="N108" s="221"/>
      <c r="O108" s="221"/>
      <c r="P108" s="221"/>
      <c r="Q108" s="221"/>
      <c r="R108" s="221"/>
      <c r="S108" s="221"/>
      <c r="T108" s="221"/>
      <c r="U108" s="221"/>
      <c r="V108" s="221"/>
      <c r="W108" s="221"/>
      <c r="X108" s="221"/>
      <c r="Y108" s="221"/>
      <c r="Z108" s="221"/>
      <c r="AA108" s="221"/>
      <c r="AB108" s="221"/>
    </row>
    <row r="109">
      <c r="A109" s="294"/>
      <c r="B109" s="294"/>
      <c r="C109" s="295"/>
      <c r="D109" s="295"/>
      <c r="E109" s="295"/>
      <c r="F109" s="295"/>
      <c r="G109" s="295"/>
      <c r="H109" s="295"/>
      <c r="I109" s="221"/>
      <c r="J109" s="221"/>
      <c r="K109" s="221"/>
      <c r="L109" s="221"/>
      <c r="M109" s="221"/>
      <c r="N109" s="221"/>
      <c r="O109" s="221"/>
      <c r="P109" s="221"/>
      <c r="Q109" s="221"/>
      <c r="R109" s="221"/>
      <c r="S109" s="221"/>
      <c r="T109" s="221"/>
      <c r="U109" s="221"/>
      <c r="V109" s="221"/>
      <c r="W109" s="221"/>
      <c r="X109" s="221"/>
      <c r="Y109" s="221"/>
      <c r="Z109" s="221"/>
      <c r="AA109" s="221"/>
      <c r="AB109" s="221"/>
    </row>
    <row r="110">
      <c r="A110" s="294"/>
      <c r="B110" s="294"/>
      <c r="C110" s="295"/>
      <c r="D110" s="295"/>
      <c r="E110" s="295"/>
      <c r="F110" s="295"/>
      <c r="G110" s="295"/>
      <c r="H110" s="295"/>
      <c r="I110" s="221"/>
      <c r="J110" s="221"/>
      <c r="K110" s="221"/>
      <c r="L110" s="221"/>
      <c r="M110" s="221"/>
      <c r="N110" s="221"/>
      <c r="O110" s="221"/>
      <c r="P110" s="221"/>
      <c r="Q110" s="221"/>
      <c r="R110" s="221"/>
      <c r="S110" s="221"/>
      <c r="T110" s="221"/>
      <c r="U110" s="221"/>
      <c r="V110" s="221"/>
      <c r="W110" s="221"/>
      <c r="X110" s="221"/>
      <c r="Y110" s="221"/>
      <c r="Z110" s="221"/>
      <c r="AA110" s="221"/>
      <c r="AB110" s="221"/>
    </row>
    <row r="111">
      <c r="A111" s="294"/>
      <c r="B111" s="294"/>
      <c r="C111" s="295"/>
      <c r="D111" s="295"/>
      <c r="E111" s="295"/>
      <c r="F111" s="295"/>
      <c r="G111" s="295"/>
      <c r="H111" s="295"/>
      <c r="I111" s="221"/>
      <c r="J111" s="221"/>
      <c r="K111" s="221"/>
      <c r="L111" s="221"/>
      <c r="M111" s="221"/>
      <c r="N111" s="221"/>
      <c r="O111" s="221"/>
      <c r="P111" s="221"/>
      <c r="Q111" s="221"/>
      <c r="R111" s="221"/>
      <c r="S111" s="221"/>
      <c r="T111" s="221"/>
      <c r="U111" s="221"/>
      <c r="V111" s="221"/>
      <c r="W111" s="221"/>
      <c r="X111" s="221"/>
      <c r="Y111" s="221"/>
      <c r="Z111" s="221"/>
      <c r="AA111" s="221"/>
      <c r="AB111" s="221"/>
    </row>
    <row r="112">
      <c r="A112" s="294"/>
      <c r="B112" s="294"/>
      <c r="C112" s="295"/>
      <c r="D112" s="295"/>
      <c r="E112" s="295"/>
      <c r="F112" s="295"/>
      <c r="G112" s="295"/>
      <c r="H112" s="295"/>
      <c r="I112" s="221"/>
      <c r="J112" s="221"/>
      <c r="K112" s="221"/>
      <c r="L112" s="221"/>
      <c r="M112" s="221"/>
      <c r="N112" s="221"/>
      <c r="O112" s="221"/>
      <c r="P112" s="221"/>
      <c r="Q112" s="221"/>
      <c r="R112" s="221"/>
      <c r="S112" s="221"/>
      <c r="T112" s="221"/>
      <c r="U112" s="221"/>
      <c r="V112" s="221"/>
      <c r="W112" s="221"/>
      <c r="X112" s="221"/>
      <c r="Y112" s="221"/>
      <c r="Z112" s="221"/>
      <c r="AA112" s="221"/>
      <c r="AB112" s="221"/>
    </row>
    <row r="113">
      <c r="A113" s="294"/>
      <c r="B113" s="294"/>
      <c r="C113" s="295"/>
      <c r="D113" s="295"/>
      <c r="E113" s="295"/>
      <c r="F113" s="295"/>
      <c r="G113" s="295"/>
      <c r="H113" s="295"/>
      <c r="I113" s="221"/>
      <c r="J113" s="221"/>
      <c r="K113" s="221"/>
      <c r="L113" s="221"/>
      <c r="M113" s="221"/>
      <c r="N113" s="221"/>
      <c r="O113" s="221"/>
      <c r="P113" s="221"/>
      <c r="Q113" s="221"/>
      <c r="R113" s="221"/>
      <c r="S113" s="221"/>
      <c r="T113" s="221"/>
      <c r="U113" s="221"/>
      <c r="V113" s="221"/>
      <c r="W113" s="221"/>
      <c r="X113" s="221"/>
      <c r="Y113" s="221"/>
      <c r="Z113" s="221"/>
      <c r="AA113" s="221"/>
      <c r="AB113" s="221"/>
    </row>
    <row r="114">
      <c r="A114" s="294"/>
      <c r="B114" s="294"/>
      <c r="C114" s="295"/>
      <c r="D114" s="295"/>
      <c r="E114" s="295"/>
      <c r="F114" s="295"/>
      <c r="G114" s="295"/>
      <c r="H114" s="295"/>
      <c r="I114" s="221"/>
      <c r="J114" s="221"/>
      <c r="K114" s="221"/>
      <c r="L114" s="221"/>
      <c r="M114" s="221"/>
      <c r="N114" s="221"/>
      <c r="O114" s="221"/>
      <c r="P114" s="221"/>
      <c r="Q114" s="221"/>
      <c r="R114" s="221"/>
      <c r="S114" s="221"/>
      <c r="T114" s="221"/>
      <c r="U114" s="221"/>
      <c r="V114" s="221"/>
      <c r="W114" s="221"/>
      <c r="X114" s="221"/>
      <c r="Y114" s="221"/>
      <c r="Z114" s="221"/>
      <c r="AA114" s="221"/>
      <c r="AB114" s="221"/>
    </row>
    <row r="115">
      <c r="A115" s="294"/>
      <c r="B115" s="294"/>
      <c r="C115" s="295"/>
      <c r="D115" s="295"/>
      <c r="E115" s="295"/>
      <c r="F115" s="295"/>
      <c r="G115" s="295"/>
      <c r="H115" s="295"/>
      <c r="I115" s="221"/>
      <c r="J115" s="221"/>
      <c r="K115" s="221"/>
      <c r="L115" s="221"/>
      <c r="M115" s="221"/>
      <c r="N115" s="221"/>
      <c r="O115" s="221"/>
      <c r="P115" s="221"/>
      <c r="Q115" s="221"/>
      <c r="R115" s="221"/>
      <c r="S115" s="221"/>
      <c r="T115" s="221"/>
      <c r="U115" s="221"/>
      <c r="V115" s="221"/>
      <c r="W115" s="221"/>
      <c r="X115" s="221"/>
      <c r="Y115" s="221"/>
      <c r="Z115" s="221"/>
      <c r="AA115" s="221"/>
      <c r="AB115" s="221"/>
    </row>
    <row r="116">
      <c r="A116" s="294"/>
      <c r="B116" s="294"/>
      <c r="C116" s="295"/>
      <c r="D116" s="295"/>
      <c r="E116" s="295"/>
      <c r="F116" s="295"/>
      <c r="G116" s="295"/>
      <c r="H116" s="295"/>
      <c r="I116" s="221"/>
      <c r="J116" s="221"/>
      <c r="K116" s="221"/>
      <c r="L116" s="221"/>
      <c r="M116" s="221"/>
      <c r="N116" s="221"/>
      <c r="O116" s="221"/>
      <c r="P116" s="221"/>
      <c r="Q116" s="221"/>
      <c r="R116" s="221"/>
      <c r="S116" s="221"/>
      <c r="T116" s="221"/>
      <c r="U116" s="221"/>
      <c r="V116" s="221"/>
      <c r="W116" s="221"/>
      <c r="X116" s="221"/>
      <c r="Y116" s="221"/>
      <c r="Z116" s="221"/>
      <c r="AA116" s="221"/>
      <c r="AB116" s="221"/>
    </row>
    <row r="117">
      <c r="A117" s="294"/>
      <c r="B117" s="294"/>
      <c r="C117" s="295"/>
      <c r="D117" s="295"/>
      <c r="E117" s="295"/>
      <c r="F117" s="295"/>
      <c r="G117" s="295"/>
      <c r="H117" s="295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221"/>
      <c r="X117" s="221"/>
      <c r="Y117" s="221"/>
      <c r="Z117" s="221"/>
      <c r="AA117" s="221"/>
      <c r="AB117" s="221"/>
    </row>
    <row r="118">
      <c r="A118" s="294"/>
      <c r="B118" s="294"/>
      <c r="C118" s="295"/>
      <c r="D118" s="295"/>
      <c r="E118" s="295"/>
      <c r="F118" s="295"/>
      <c r="G118" s="295"/>
      <c r="H118" s="295"/>
      <c r="I118" s="221"/>
      <c r="J118" s="221"/>
      <c r="K118" s="221"/>
      <c r="L118" s="221"/>
      <c r="M118" s="221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21"/>
    </row>
    <row r="119">
      <c r="A119" s="294"/>
      <c r="B119" s="294"/>
      <c r="C119" s="295"/>
      <c r="D119" s="295"/>
      <c r="E119" s="295"/>
      <c r="F119" s="295"/>
      <c r="G119" s="295"/>
      <c r="H119" s="295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</row>
    <row r="120">
      <c r="A120" s="294"/>
      <c r="B120" s="294"/>
      <c r="C120" s="295"/>
      <c r="D120" s="295"/>
      <c r="E120" s="295"/>
      <c r="F120" s="295"/>
      <c r="G120" s="295"/>
      <c r="H120" s="295"/>
      <c r="I120" s="221"/>
      <c r="J120" s="221"/>
      <c r="K120" s="221"/>
      <c r="L120" s="221"/>
      <c r="M120" s="221"/>
      <c r="N120" s="221"/>
      <c r="O120" s="221"/>
      <c r="P120" s="221"/>
      <c r="Q120" s="221"/>
      <c r="R120" s="221"/>
      <c r="S120" s="221"/>
      <c r="T120" s="221"/>
      <c r="U120" s="221"/>
      <c r="V120" s="221"/>
      <c r="W120" s="221"/>
      <c r="X120" s="221"/>
      <c r="Y120" s="221"/>
      <c r="Z120" s="221"/>
      <c r="AA120" s="221"/>
      <c r="AB120" s="221"/>
    </row>
    <row r="121">
      <c r="A121" s="294"/>
      <c r="B121" s="294"/>
      <c r="C121" s="295"/>
      <c r="D121" s="295"/>
      <c r="E121" s="295"/>
      <c r="F121" s="295"/>
      <c r="G121" s="295"/>
      <c r="H121" s="295"/>
      <c r="I121" s="221"/>
      <c r="J121" s="221"/>
      <c r="K121" s="221"/>
      <c r="L121" s="221"/>
      <c r="M121" s="221"/>
      <c r="N121" s="221"/>
      <c r="O121" s="221"/>
      <c r="P121" s="221"/>
      <c r="Q121" s="221"/>
      <c r="R121" s="221"/>
      <c r="S121" s="221"/>
      <c r="T121" s="221"/>
      <c r="U121" s="221"/>
      <c r="V121" s="221"/>
      <c r="W121" s="221"/>
      <c r="X121" s="221"/>
      <c r="Y121" s="221"/>
      <c r="Z121" s="221"/>
      <c r="AA121" s="221"/>
      <c r="AB121" s="221"/>
    </row>
    <row r="122">
      <c r="A122" s="294"/>
      <c r="B122" s="294"/>
      <c r="C122" s="295"/>
      <c r="D122" s="295"/>
      <c r="E122" s="295"/>
      <c r="F122" s="295"/>
      <c r="G122" s="295"/>
      <c r="H122" s="295"/>
      <c r="I122" s="221"/>
      <c r="J122" s="221"/>
      <c r="K122" s="221"/>
      <c r="L122" s="221"/>
      <c r="M122" s="221"/>
      <c r="N122" s="221"/>
      <c r="O122" s="221"/>
      <c r="P122" s="221"/>
      <c r="Q122" s="221"/>
      <c r="R122" s="221"/>
      <c r="S122" s="221"/>
      <c r="T122" s="221"/>
      <c r="U122" s="221"/>
      <c r="V122" s="221"/>
      <c r="W122" s="221"/>
      <c r="X122" s="221"/>
      <c r="Y122" s="221"/>
      <c r="Z122" s="221"/>
      <c r="AA122" s="221"/>
      <c r="AB122" s="221"/>
    </row>
    <row r="123">
      <c r="A123" s="294"/>
      <c r="B123" s="294"/>
      <c r="C123" s="295"/>
      <c r="D123" s="295"/>
      <c r="E123" s="295"/>
      <c r="F123" s="295"/>
      <c r="G123" s="295"/>
      <c r="H123" s="295"/>
      <c r="I123" s="221"/>
      <c r="J123" s="221"/>
      <c r="K123" s="221"/>
      <c r="L123" s="221"/>
      <c r="M123" s="221"/>
      <c r="N123" s="221"/>
      <c r="O123" s="221"/>
      <c r="P123" s="221"/>
      <c r="Q123" s="221"/>
      <c r="R123" s="221"/>
      <c r="S123" s="221"/>
      <c r="T123" s="221"/>
      <c r="U123" s="221"/>
      <c r="V123" s="221"/>
      <c r="W123" s="221"/>
      <c r="X123" s="221"/>
      <c r="Y123" s="221"/>
      <c r="Z123" s="221"/>
      <c r="AA123" s="221"/>
      <c r="AB123" s="221"/>
    </row>
    <row r="124">
      <c r="A124" s="294"/>
      <c r="B124" s="294"/>
      <c r="C124" s="295"/>
      <c r="D124" s="295"/>
      <c r="E124" s="295"/>
      <c r="F124" s="295"/>
      <c r="G124" s="295"/>
      <c r="H124" s="295"/>
      <c r="I124" s="221"/>
      <c r="J124" s="221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221"/>
      <c r="Z124" s="221"/>
      <c r="AA124" s="221"/>
      <c r="AB124" s="221"/>
    </row>
    <row r="125">
      <c r="A125" s="294"/>
      <c r="B125" s="294"/>
      <c r="C125" s="295"/>
      <c r="D125" s="295"/>
      <c r="E125" s="295"/>
      <c r="F125" s="295"/>
      <c r="G125" s="295"/>
      <c r="H125" s="295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</row>
    <row r="126">
      <c r="A126" s="294"/>
      <c r="B126" s="294"/>
      <c r="C126" s="295"/>
      <c r="D126" s="295"/>
      <c r="E126" s="295"/>
      <c r="F126" s="295"/>
      <c r="G126" s="295"/>
      <c r="H126" s="295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21"/>
      <c r="T126" s="221"/>
      <c r="U126" s="221"/>
      <c r="V126" s="221"/>
      <c r="W126" s="221"/>
      <c r="X126" s="221"/>
      <c r="Y126" s="221"/>
      <c r="Z126" s="221"/>
      <c r="AA126" s="221"/>
      <c r="AB126" s="221"/>
    </row>
    <row r="127">
      <c r="A127" s="294"/>
      <c r="B127" s="294"/>
      <c r="C127" s="295"/>
      <c r="D127" s="295"/>
      <c r="E127" s="295"/>
      <c r="F127" s="295"/>
      <c r="G127" s="295"/>
      <c r="H127" s="295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21"/>
    </row>
    <row r="128">
      <c r="A128" s="294"/>
      <c r="B128" s="294"/>
      <c r="C128" s="295"/>
      <c r="D128" s="295"/>
      <c r="E128" s="295"/>
      <c r="F128" s="295"/>
      <c r="G128" s="295"/>
      <c r="H128" s="295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21"/>
      <c r="T128" s="221"/>
      <c r="U128" s="221"/>
      <c r="V128" s="221"/>
      <c r="W128" s="221"/>
      <c r="X128" s="221"/>
      <c r="Y128" s="221"/>
      <c r="Z128" s="221"/>
      <c r="AA128" s="221"/>
      <c r="AB128" s="221"/>
    </row>
    <row r="129">
      <c r="A129" s="294"/>
      <c r="B129" s="294"/>
      <c r="C129" s="295"/>
      <c r="D129" s="295"/>
      <c r="E129" s="295"/>
      <c r="F129" s="295"/>
      <c r="G129" s="295"/>
      <c r="H129" s="295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221"/>
      <c r="Z129" s="221"/>
      <c r="AA129" s="221"/>
      <c r="AB129" s="221"/>
    </row>
    <row r="130">
      <c r="A130" s="294"/>
      <c r="B130" s="294"/>
      <c r="C130" s="295"/>
      <c r="D130" s="295"/>
      <c r="E130" s="295"/>
      <c r="F130" s="295"/>
      <c r="G130" s="295"/>
      <c r="H130" s="295"/>
      <c r="I130" s="221"/>
      <c r="J130" s="221"/>
      <c r="K130" s="221"/>
      <c r="L130" s="221"/>
      <c r="M130" s="221"/>
      <c r="N130" s="221"/>
      <c r="O130" s="221"/>
      <c r="P130" s="221"/>
      <c r="Q130" s="221"/>
      <c r="R130" s="221"/>
      <c r="S130" s="221"/>
      <c r="T130" s="221"/>
      <c r="U130" s="221"/>
      <c r="V130" s="221"/>
      <c r="W130" s="221"/>
      <c r="X130" s="221"/>
      <c r="Y130" s="221"/>
      <c r="Z130" s="221"/>
      <c r="AA130" s="221"/>
      <c r="AB130" s="221"/>
    </row>
    <row r="131">
      <c r="A131" s="294"/>
      <c r="B131" s="294"/>
      <c r="C131" s="295"/>
      <c r="D131" s="295"/>
      <c r="E131" s="295"/>
      <c r="F131" s="295"/>
      <c r="G131" s="295"/>
      <c r="H131" s="295"/>
      <c r="I131" s="221"/>
      <c r="J131" s="221"/>
      <c r="K131" s="221"/>
      <c r="L131" s="221"/>
      <c r="M131" s="221"/>
      <c r="N131" s="221"/>
      <c r="O131" s="221"/>
      <c r="P131" s="221"/>
      <c r="Q131" s="221"/>
      <c r="R131" s="221"/>
      <c r="S131" s="221"/>
      <c r="T131" s="221"/>
      <c r="U131" s="221"/>
      <c r="V131" s="221"/>
      <c r="W131" s="221"/>
      <c r="X131" s="221"/>
      <c r="Y131" s="221"/>
      <c r="Z131" s="221"/>
      <c r="AA131" s="221"/>
      <c r="AB131" s="221"/>
    </row>
    <row r="132">
      <c r="A132" s="294"/>
      <c r="B132" s="294"/>
      <c r="C132" s="295"/>
      <c r="D132" s="295"/>
      <c r="E132" s="295"/>
      <c r="F132" s="295"/>
      <c r="G132" s="295"/>
      <c r="H132" s="295"/>
      <c r="I132" s="221"/>
      <c r="J132" s="221"/>
      <c r="K132" s="221"/>
      <c r="L132" s="221"/>
      <c r="M132" s="221"/>
      <c r="N132" s="221"/>
      <c r="O132" s="221"/>
      <c r="P132" s="221"/>
      <c r="Q132" s="221"/>
      <c r="R132" s="221"/>
      <c r="S132" s="221"/>
      <c r="T132" s="221"/>
      <c r="U132" s="221"/>
      <c r="V132" s="221"/>
      <c r="W132" s="221"/>
      <c r="X132" s="221"/>
      <c r="Y132" s="221"/>
      <c r="Z132" s="221"/>
      <c r="AA132" s="221"/>
      <c r="AB132" s="221"/>
    </row>
    <row r="133">
      <c r="A133" s="294"/>
      <c r="B133" s="294"/>
      <c r="C133" s="295"/>
      <c r="D133" s="295"/>
      <c r="E133" s="295"/>
      <c r="F133" s="295"/>
      <c r="G133" s="295"/>
      <c r="H133" s="295"/>
      <c r="I133" s="221"/>
      <c r="J133" s="221"/>
      <c r="K133" s="221"/>
      <c r="L133" s="221"/>
      <c r="M133" s="221"/>
      <c r="N133" s="221"/>
      <c r="O133" s="221"/>
      <c r="P133" s="221"/>
      <c r="Q133" s="221"/>
      <c r="R133" s="221"/>
      <c r="S133" s="221"/>
      <c r="T133" s="221"/>
      <c r="U133" s="221"/>
      <c r="V133" s="221"/>
      <c r="W133" s="221"/>
      <c r="X133" s="221"/>
      <c r="Y133" s="221"/>
      <c r="Z133" s="221"/>
      <c r="AA133" s="221"/>
      <c r="AB133" s="221"/>
    </row>
    <row r="134">
      <c r="A134" s="294"/>
      <c r="B134" s="294"/>
      <c r="C134" s="295"/>
      <c r="D134" s="295"/>
      <c r="E134" s="295"/>
      <c r="F134" s="295"/>
      <c r="G134" s="295"/>
      <c r="H134" s="295"/>
      <c r="I134" s="221"/>
      <c r="J134" s="221"/>
      <c r="K134" s="221"/>
      <c r="L134" s="221"/>
      <c r="M134" s="221"/>
      <c r="N134" s="221"/>
      <c r="O134" s="221"/>
      <c r="P134" s="221"/>
      <c r="Q134" s="221"/>
      <c r="R134" s="221"/>
      <c r="S134" s="221"/>
      <c r="T134" s="221"/>
      <c r="U134" s="221"/>
      <c r="V134" s="221"/>
      <c r="W134" s="221"/>
      <c r="X134" s="221"/>
      <c r="Y134" s="221"/>
      <c r="Z134" s="221"/>
      <c r="AA134" s="221"/>
      <c r="AB134" s="221"/>
    </row>
    <row r="135">
      <c r="A135" s="294"/>
      <c r="B135" s="294"/>
      <c r="C135" s="295"/>
      <c r="D135" s="295"/>
      <c r="E135" s="295"/>
      <c r="F135" s="295"/>
      <c r="G135" s="295"/>
      <c r="H135" s="295"/>
      <c r="I135" s="221"/>
      <c r="J135" s="221"/>
      <c r="K135" s="221"/>
      <c r="L135" s="221"/>
      <c r="M135" s="221"/>
      <c r="N135" s="221"/>
      <c r="O135" s="221"/>
      <c r="P135" s="221"/>
      <c r="Q135" s="221"/>
      <c r="R135" s="221"/>
      <c r="S135" s="221"/>
      <c r="T135" s="221"/>
      <c r="U135" s="221"/>
      <c r="V135" s="221"/>
      <c r="W135" s="221"/>
      <c r="X135" s="221"/>
      <c r="Y135" s="221"/>
      <c r="Z135" s="221"/>
      <c r="AA135" s="221"/>
      <c r="AB135" s="221"/>
    </row>
    <row r="136">
      <c r="A136" s="294"/>
      <c r="B136" s="294"/>
      <c r="C136" s="295"/>
      <c r="D136" s="295"/>
      <c r="E136" s="295"/>
      <c r="F136" s="295"/>
      <c r="G136" s="295"/>
      <c r="H136" s="295"/>
      <c r="I136" s="221"/>
      <c r="J136" s="221"/>
      <c r="K136" s="221"/>
      <c r="L136" s="221"/>
      <c r="M136" s="221"/>
      <c r="N136" s="221"/>
      <c r="O136" s="221"/>
      <c r="P136" s="221"/>
      <c r="Q136" s="221"/>
      <c r="R136" s="221"/>
      <c r="S136" s="221"/>
      <c r="T136" s="221"/>
      <c r="U136" s="221"/>
      <c r="V136" s="221"/>
      <c r="W136" s="221"/>
      <c r="X136" s="221"/>
      <c r="Y136" s="221"/>
      <c r="Z136" s="221"/>
      <c r="AA136" s="221"/>
      <c r="AB136" s="221"/>
    </row>
    <row r="137">
      <c r="A137" s="294"/>
      <c r="B137" s="294"/>
      <c r="C137" s="295"/>
      <c r="D137" s="295"/>
      <c r="E137" s="295"/>
      <c r="F137" s="295"/>
      <c r="G137" s="295"/>
      <c r="H137" s="295"/>
      <c r="I137" s="221"/>
      <c r="J137" s="221"/>
      <c r="K137" s="221"/>
      <c r="L137" s="221"/>
      <c r="M137" s="221"/>
      <c r="N137" s="221"/>
      <c r="O137" s="221"/>
      <c r="P137" s="221"/>
      <c r="Q137" s="221"/>
      <c r="R137" s="221"/>
      <c r="S137" s="221"/>
      <c r="T137" s="221"/>
      <c r="U137" s="221"/>
      <c r="V137" s="221"/>
      <c r="W137" s="221"/>
      <c r="X137" s="221"/>
      <c r="Y137" s="221"/>
      <c r="Z137" s="221"/>
      <c r="AA137" s="221"/>
      <c r="AB137" s="221"/>
    </row>
    <row r="138">
      <c r="A138" s="294"/>
      <c r="B138" s="294"/>
      <c r="C138" s="295"/>
      <c r="D138" s="295"/>
      <c r="E138" s="295"/>
      <c r="F138" s="295"/>
      <c r="G138" s="295"/>
      <c r="H138" s="295"/>
      <c r="I138" s="221"/>
      <c r="J138" s="221"/>
      <c r="K138" s="221"/>
      <c r="L138" s="221"/>
      <c r="M138" s="221"/>
      <c r="N138" s="221"/>
      <c r="O138" s="221"/>
      <c r="P138" s="221"/>
      <c r="Q138" s="221"/>
      <c r="R138" s="221"/>
      <c r="S138" s="221"/>
      <c r="T138" s="221"/>
      <c r="U138" s="221"/>
      <c r="V138" s="221"/>
      <c r="W138" s="221"/>
      <c r="X138" s="221"/>
      <c r="Y138" s="221"/>
      <c r="Z138" s="221"/>
      <c r="AA138" s="221"/>
      <c r="AB138" s="221"/>
    </row>
    <row r="139">
      <c r="A139" s="294"/>
      <c r="B139" s="294"/>
      <c r="C139" s="295"/>
      <c r="D139" s="295"/>
      <c r="E139" s="295"/>
      <c r="F139" s="295"/>
      <c r="G139" s="295"/>
      <c r="H139" s="295"/>
      <c r="I139" s="221"/>
      <c r="J139" s="221"/>
      <c r="K139" s="221"/>
      <c r="L139" s="221"/>
      <c r="M139" s="221"/>
      <c r="N139" s="221"/>
      <c r="O139" s="221"/>
      <c r="P139" s="221"/>
      <c r="Q139" s="221"/>
      <c r="R139" s="221"/>
      <c r="S139" s="221"/>
      <c r="T139" s="221"/>
      <c r="U139" s="221"/>
      <c r="V139" s="221"/>
      <c r="W139" s="221"/>
      <c r="X139" s="221"/>
      <c r="Y139" s="221"/>
      <c r="Z139" s="221"/>
      <c r="AA139" s="221"/>
      <c r="AB139" s="221"/>
    </row>
    <row r="140">
      <c r="A140" s="294"/>
      <c r="B140" s="294"/>
      <c r="C140" s="295"/>
      <c r="D140" s="295"/>
      <c r="E140" s="295"/>
      <c r="F140" s="295"/>
      <c r="G140" s="295"/>
      <c r="H140" s="295"/>
      <c r="I140" s="221"/>
      <c r="J140" s="221"/>
      <c r="K140" s="221"/>
      <c r="L140" s="221"/>
      <c r="M140" s="221"/>
      <c r="N140" s="221"/>
      <c r="O140" s="221"/>
      <c r="P140" s="221"/>
      <c r="Q140" s="221"/>
      <c r="R140" s="221"/>
      <c r="S140" s="221"/>
      <c r="T140" s="221"/>
      <c r="U140" s="221"/>
      <c r="V140" s="221"/>
      <c r="W140" s="221"/>
      <c r="X140" s="221"/>
      <c r="Y140" s="221"/>
      <c r="Z140" s="221"/>
      <c r="AA140" s="221"/>
      <c r="AB140" s="221"/>
    </row>
    <row r="141">
      <c r="A141" s="294"/>
      <c r="B141" s="294"/>
      <c r="C141" s="295"/>
      <c r="D141" s="295"/>
      <c r="E141" s="295"/>
      <c r="F141" s="295"/>
      <c r="G141" s="295"/>
      <c r="H141" s="295"/>
      <c r="I141" s="221"/>
      <c r="J141" s="221"/>
      <c r="K141" s="221"/>
      <c r="L141" s="221"/>
      <c r="M141" s="221"/>
      <c r="N141" s="221"/>
      <c r="O141" s="221"/>
      <c r="P141" s="221"/>
      <c r="Q141" s="221"/>
      <c r="R141" s="221"/>
      <c r="S141" s="221"/>
      <c r="T141" s="221"/>
      <c r="U141" s="221"/>
      <c r="V141" s="221"/>
      <c r="W141" s="221"/>
      <c r="X141" s="221"/>
      <c r="Y141" s="221"/>
      <c r="Z141" s="221"/>
      <c r="AA141" s="221"/>
      <c r="AB141" s="221"/>
    </row>
    <row r="142">
      <c r="A142" s="294"/>
      <c r="B142" s="294"/>
      <c r="C142" s="295"/>
      <c r="D142" s="295"/>
      <c r="E142" s="295"/>
      <c r="F142" s="295"/>
      <c r="G142" s="295"/>
      <c r="H142" s="295"/>
      <c r="I142" s="221"/>
      <c r="J142" s="221"/>
      <c r="K142" s="221"/>
      <c r="L142" s="221"/>
      <c r="M142" s="221"/>
      <c r="N142" s="221"/>
      <c r="O142" s="221"/>
      <c r="P142" s="221"/>
      <c r="Q142" s="221"/>
      <c r="R142" s="221"/>
      <c r="S142" s="221"/>
      <c r="T142" s="221"/>
      <c r="U142" s="221"/>
      <c r="V142" s="221"/>
      <c r="W142" s="221"/>
      <c r="X142" s="221"/>
      <c r="Y142" s="221"/>
      <c r="Z142" s="221"/>
      <c r="AA142" s="221"/>
      <c r="AB142" s="221"/>
    </row>
    <row r="143">
      <c r="A143" s="294"/>
      <c r="B143" s="294"/>
      <c r="C143" s="295"/>
      <c r="D143" s="295"/>
      <c r="E143" s="295"/>
      <c r="F143" s="295"/>
      <c r="G143" s="295"/>
      <c r="H143" s="295"/>
      <c r="I143" s="221"/>
      <c r="J143" s="221"/>
      <c r="K143" s="221"/>
      <c r="L143" s="221"/>
      <c r="M143" s="221"/>
      <c r="N143" s="221"/>
      <c r="O143" s="221"/>
      <c r="P143" s="221"/>
      <c r="Q143" s="221"/>
      <c r="R143" s="221"/>
      <c r="S143" s="221"/>
      <c r="T143" s="221"/>
      <c r="U143" s="221"/>
      <c r="V143" s="221"/>
      <c r="W143" s="221"/>
      <c r="X143" s="221"/>
      <c r="Y143" s="221"/>
      <c r="Z143" s="221"/>
      <c r="AA143" s="221"/>
      <c r="AB143" s="221"/>
    </row>
    <row r="144">
      <c r="A144" s="294"/>
      <c r="B144" s="294"/>
      <c r="C144" s="295"/>
      <c r="D144" s="295"/>
      <c r="E144" s="295"/>
      <c r="F144" s="295"/>
      <c r="G144" s="295"/>
      <c r="H144" s="295"/>
      <c r="I144" s="221"/>
      <c r="J144" s="221"/>
      <c r="K144" s="221"/>
      <c r="L144" s="221"/>
      <c r="M144" s="221"/>
      <c r="N144" s="221"/>
      <c r="O144" s="221"/>
      <c r="P144" s="221"/>
      <c r="Q144" s="221"/>
      <c r="R144" s="221"/>
      <c r="S144" s="221"/>
      <c r="T144" s="221"/>
      <c r="U144" s="221"/>
      <c r="V144" s="221"/>
      <c r="W144" s="221"/>
      <c r="X144" s="221"/>
      <c r="Y144" s="221"/>
      <c r="Z144" s="221"/>
      <c r="AA144" s="221"/>
      <c r="AB144" s="221"/>
    </row>
    <row r="145">
      <c r="A145" s="294"/>
      <c r="B145" s="294"/>
      <c r="C145" s="295"/>
      <c r="D145" s="295"/>
      <c r="E145" s="295"/>
      <c r="F145" s="295"/>
      <c r="G145" s="295"/>
      <c r="H145" s="295"/>
      <c r="I145" s="221"/>
      <c r="J145" s="221"/>
      <c r="K145" s="221"/>
      <c r="L145" s="221"/>
      <c r="M145" s="221"/>
      <c r="N145" s="221"/>
      <c r="O145" s="221"/>
      <c r="P145" s="221"/>
      <c r="Q145" s="221"/>
      <c r="R145" s="221"/>
      <c r="S145" s="221"/>
      <c r="T145" s="221"/>
      <c r="U145" s="221"/>
      <c r="V145" s="221"/>
      <c r="W145" s="221"/>
      <c r="X145" s="221"/>
      <c r="Y145" s="221"/>
      <c r="Z145" s="221"/>
      <c r="AA145" s="221"/>
      <c r="AB145" s="221"/>
    </row>
    <row r="146">
      <c r="A146" s="294"/>
      <c r="B146" s="294"/>
      <c r="C146" s="295"/>
      <c r="D146" s="295"/>
      <c r="E146" s="295"/>
      <c r="F146" s="295"/>
      <c r="G146" s="295"/>
      <c r="H146" s="295"/>
      <c r="I146" s="221"/>
      <c r="J146" s="221"/>
      <c r="K146" s="221"/>
      <c r="L146" s="221"/>
      <c r="M146" s="221"/>
      <c r="N146" s="221"/>
      <c r="O146" s="221"/>
      <c r="P146" s="221"/>
      <c r="Q146" s="221"/>
      <c r="R146" s="221"/>
      <c r="S146" s="221"/>
      <c r="T146" s="221"/>
      <c r="U146" s="221"/>
      <c r="V146" s="221"/>
      <c r="W146" s="221"/>
      <c r="X146" s="221"/>
      <c r="Y146" s="221"/>
      <c r="Z146" s="221"/>
      <c r="AA146" s="221"/>
      <c r="AB146" s="221"/>
    </row>
    <row r="147">
      <c r="A147" s="294"/>
      <c r="B147" s="294"/>
      <c r="C147" s="295"/>
      <c r="D147" s="295"/>
      <c r="E147" s="295"/>
      <c r="F147" s="295"/>
      <c r="G147" s="295"/>
      <c r="H147" s="295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</row>
    <row r="148">
      <c r="A148" s="294"/>
      <c r="B148" s="294"/>
      <c r="C148" s="295"/>
      <c r="D148" s="295"/>
      <c r="E148" s="295"/>
      <c r="F148" s="295"/>
      <c r="G148" s="295"/>
      <c r="H148" s="295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221"/>
      <c r="W148" s="221"/>
      <c r="X148" s="221"/>
      <c r="Y148" s="221"/>
      <c r="Z148" s="221"/>
      <c r="AA148" s="221"/>
      <c r="AB148" s="221"/>
    </row>
    <row r="149">
      <c r="A149" s="294"/>
      <c r="B149" s="294"/>
      <c r="C149" s="295"/>
      <c r="D149" s="295"/>
      <c r="E149" s="295"/>
      <c r="F149" s="295"/>
      <c r="G149" s="295"/>
      <c r="H149" s="295"/>
      <c r="I149" s="221"/>
      <c r="J149" s="221"/>
      <c r="K149" s="221"/>
      <c r="L149" s="221"/>
      <c r="M149" s="221"/>
      <c r="N149" s="221"/>
      <c r="O149" s="221"/>
      <c r="P149" s="221"/>
      <c r="Q149" s="221"/>
      <c r="R149" s="221"/>
      <c r="S149" s="221"/>
      <c r="T149" s="221"/>
      <c r="U149" s="221"/>
      <c r="V149" s="221"/>
      <c r="W149" s="221"/>
      <c r="X149" s="221"/>
      <c r="Y149" s="221"/>
      <c r="Z149" s="221"/>
      <c r="AA149" s="221"/>
      <c r="AB149" s="221"/>
    </row>
    <row r="150">
      <c r="A150" s="294"/>
      <c r="B150" s="294"/>
      <c r="C150" s="295"/>
      <c r="D150" s="295"/>
      <c r="E150" s="295"/>
      <c r="F150" s="295"/>
      <c r="G150" s="295"/>
      <c r="H150" s="295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221"/>
      <c r="X150" s="221"/>
      <c r="Y150" s="221"/>
      <c r="Z150" s="221"/>
      <c r="AA150" s="221"/>
      <c r="AB150" s="221"/>
    </row>
    <row r="151">
      <c r="A151" s="294"/>
      <c r="B151" s="294"/>
      <c r="C151" s="295"/>
      <c r="D151" s="295"/>
      <c r="E151" s="295"/>
      <c r="F151" s="295"/>
      <c r="G151" s="295"/>
      <c r="H151" s="295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21"/>
    </row>
    <row r="152">
      <c r="A152" s="294"/>
      <c r="B152" s="294"/>
      <c r="C152" s="295"/>
      <c r="D152" s="295"/>
      <c r="E152" s="295"/>
      <c r="F152" s="295"/>
      <c r="G152" s="295"/>
      <c r="H152" s="295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</row>
    <row r="153">
      <c r="A153" s="294"/>
      <c r="B153" s="294"/>
      <c r="C153" s="295"/>
      <c r="D153" s="295"/>
      <c r="E153" s="295"/>
      <c r="F153" s="295"/>
      <c r="G153" s="295"/>
      <c r="H153" s="295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</row>
    <row r="154">
      <c r="A154" s="294"/>
      <c r="B154" s="294"/>
      <c r="C154" s="295"/>
      <c r="D154" s="295"/>
      <c r="E154" s="295"/>
      <c r="F154" s="295"/>
      <c r="G154" s="295"/>
      <c r="H154" s="295"/>
      <c r="I154" s="221"/>
      <c r="J154" s="221"/>
      <c r="K154" s="221"/>
      <c r="L154" s="221"/>
      <c r="M154" s="221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</row>
    <row r="155">
      <c r="A155" s="294"/>
      <c r="B155" s="294"/>
      <c r="C155" s="295"/>
      <c r="D155" s="295"/>
      <c r="E155" s="295"/>
      <c r="F155" s="295"/>
      <c r="G155" s="295"/>
      <c r="H155" s="295"/>
      <c r="I155" s="221"/>
      <c r="J155" s="221"/>
      <c r="K155" s="221"/>
      <c r="L155" s="221"/>
      <c r="M155" s="221"/>
      <c r="N155" s="221"/>
      <c r="O155" s="221"/>
      <c r="P155" s="221"/>
      <c r="Q155" s="221"/>
      <c r="R155" s="221"/>
      <c r="S155" s="221"/>
      <c r="T155" s="221"/>
      <c r="U155" s="221"/>
      <c r="V155" s="221"/>
      <c r="W155" s="221"/>
      <c r="X155" s="221"/>
      <c r="Y155" s="221"/>
      <c r="Z155" s="221"/>
      <c r="AA155" s="221"/>
      <c r="AB155" s="221"/>
    </row>
    <row r="156">
      <c r="A156" s="294"/>
      <c r="B156" s="294"/>
      <c r="C156" s="295"/>
      <c r="D156" s="295"/>
      <c r="E156" s="295"/>
      <c r="F156" s="295"/>
      <c r="G156" s="295"/>
      <c r="H156" s="295"/>
      <c r="I156" s="221"/>
      <c r="J156" s="221"/>
      <c r="K156" s="221"/>
      <c r="L156" s="221"/>
      <c r="M156" s="221"/>
      <c r="N156" s="221"/>
      <c r="O156" s="221"/>
      <c r="P156" s="221"/>
      <c r="Q156" s="221"/>
      <c r="R156" s="221"/>
      <c r="S156" s="221"/>
      <c r="T156" s="221"/>
      <c r="U156" s="221"/>
      <c r="V156" s="221"/>
      <c r="W156" s="221"/>
      <c r="X156" s="221"/>
      <c r="Y156" s="221"/>
      <c r="Z156" s="221"/>
      <c r="AA156" s="221"/>
      <c r="AB156" s="221"/>
    </row>
    <row r="157">
      <c r="A157" s="294"/>
      <c r="B157" s="294"/>
      <c r="C157" s="295"/>
      <c r="D157" s="295"/>
      <c r="E157" s="295"/>
      <c r="F157" s="295"/>
      <c r="G157" s="295"/>
      <c r="H157" s="295"/>
      <c r="I157" s="221"/>
      <c r="J157" s="221"/>
      <c r="K157" s="221"/>
      <c r="L157" s="221"/>
      <c r="M157" s="221"/>
      <c r="N157" s="221"/>
      <c r="O157" s="221"/>
      <c r="P157" s="221"/>
      <c r="Q157" s="221"/>
      <c r="R157" s="221"/>
      <c r="S157" s="221"/>
      <c r="T157" s="221"/>
      <c r="U157" s="221"/>
      <c r="V157" s="221"/>
      <c r="W157" s="221"/>
      <c r="X157" s="221"/>
      <c r="Y157" s="221"/>
      <c r="Z157" s="221"/>
      <c r="AA157" s="221"/>
      <c r="AB157" s="221"/>
    </row>
    <row r="158">
      <c r="A158" s="294"/>
      <c r="B158" s="294"/>
      <c r="C158" s="295"/>
      <c r="D158" s="295"/>
      <c r="E158" s="295"/>
      <c r="F158" s="295"/>
      <c r="G158" s="295"/>
      <c r="H158" s="295"/>
      <c r="I158" s="221"/>
      <c r="J158" s="221"/>
      <c r="K158" s="221"/>
      <c r="L158" s="221"/>
      <c r="M158" s="221"/>
      <c r="N158" s="221"/>
      <c r="O158" s="221"/>
      <c r="P158" s="221"/>
      <c r="Q158" s="221"/>
      <c r="R158" s="221"/>
      <c r="S158" s="221"/>
      <c r="T158" s="221"/>
      <c r="U158" s="221"/>
      <c r="V158" s="221"/>
      <c r="W158" s="221"/>
      <c r="X158" s="221"/>
      <c r="Y158" s="221"/>
      <c r="Z158" s="221"/>
      <c r="AA158" s="221"/>
      <c r="AB158" s="221"/>
    </row>
    <row r="159">
      <c r="A159" s="294"/>
      <c r="B159" s="294"/>
      <c r="C159" s="295"/>
      <c r="D159" s="295"/>
      <c r="E159" s="295"/>
      <c r="F159" s="295"/>
      <c r="G159" s="295"/>
      <c r="H159" s="295"/>
      <c r="I159" s="221"/>
      <c r="J159" s="221"/>
      <c r="K159" s="221"/>
      <c r="L159" s="221"/>
      <c r="M159" s="221"/>
      <c r="N159" s="221"/>
      <c r="O159" s="221"/>
      <c r="P159" s="221"/>
      <c r="Q159" s="221"/>
      <c r="R159" s="221"/>
      <c r="S159" s="221"/>
      <c r="T159" s="221"/>
      <c r="U159" s="221"/>
      <c r="V159" s="221"/>
      <c r="W159" s="221"/>
      <c r="X159" s="221"/>
      <c r="Y159" s="221"/>
      <c r="Z159" s="221"/>
      <c r="AA159" s="221"/>
      <c r="AB159" s="221"/>
    </row>
    <row r="160">
      <c r="A160" s="294"/>
      <c r="B160" s="294"/>
      <c r="C160" s="295"/>
      <c r="D160" s="295"/>
      <c r="E160" s="295"/>
      <c r="F160" s="295"/>
      <c r="G160" s="295"/>
      <c r="H160" s="295"/>
      <c r="I160" s="221"/>
      <c r="J160" s="221"/>
      <c r="K160" s="221"/>
      <c r="L160" s="221"/>
      <c r="M160" s="221"/>
      <c r="N160" s="221"/>
      <c r="O160" s="221"/>
      <c r="P160" s="221"/>
      <c r="Q160" s="221"/>
      <c r="R160" s="221"/>
      <c r="S160" s="221"/>
      <c r="T160" s="221"/>
      <c r="U160" s="221"/>
      <c r="V160" s="221"/>
      <c r="W160" s="221"/>
      <c r="X160" s="221"/>
      <c r="Y160" s="221"/>
      <c r="Z160" s="221"/>
      <c r="AA160" s="221"/>
      <c r="AB160" s="221"/>
    </row>
    <row r="161">
      <c r="A161" s="294"/>
      <c r="B161" s="294"/>
      <c r="C161" s="295"/>
      <c r="D161" s="295"/>
      <c r="E161" s="295"/>
      <c r="F161" s="295"/>
      <c r="G161" s="295"/>
      <c r="H161" s="295"/>
      <c r="I161" s="221"/>
      <c r="J161" s="221"/>
      <c r="K161" s="221"/>
      <c r="L161" s="221"/>
      <c r="M161" s="221"/>
      <c r="N161" s="221"/>
      <c r="O161" s="221"/>
      <c r="P161" s="221"/>
      <c r="Q161" s="221"/>
      <c r="R161" s="221"/>
      <c r="S161" s="221"/>
      <c r="T161" s="221"/>
      <c r="U161" s="221"/>
      <c r="V161" s="221"/>
      <c r="W161" s="221"/>
      <c r="X161" s="221"/>
      <c r="Y161" s="221"/>
      <c r="Z161" s="221"/>
      <c r="AA161" s="221"/>
      <c r="AB161" s="221"/>
    </row>
    <row r="162">
      <c r="A162" s="294"/>
      <c r="B162" s="294"/>
      <c r="C162" s="295"/>
      <c r="D162" s="295"/>
      <c r="E162" s="295"/>
      <c r="F162" s="295"/>
      <c r="G162" s="295"/>
      <c r="H162" s="295"/>
      <c r="I162" s="221"/>
      <c r="J162" s="221"/>
      <c r="K162" s="221"/>
      <c r="L162" s="221"/>
      <c r="M162" s="221"/>
      <c r="N162" s="221"/>
      <c r="O162" s="221"/>
      <c r="P162" s="221"/>
      <c r="Q162" s="221"/>
      <c r="R162" s="221"/>
      <c r="S162" s="221"/>
      <c r="T162" s="221"/>
      <c r="U162" s="221"/>
      <c r="V162" s="221"/>
      <c r="W162" s="221"/>
      <c r="X162" s="221"/>
      <c r="Y162" s="221"/>
      <c r="Z162" s="221"/>
      <c r="AA162" s="221"/>
      <c r="AB162" s="221"/>
    </row>
    <row r="163">
      <c r="A163" s="294"/>
      <c r="B163" s="294"/>
      <c r="C163" s="295"/>
      <c r="D163" s="295"/>
      <c r="E163" s="295"/>
      <c r="F163" s="295"/>
      <c r="G163" s="295"/>
      <c r="H163" s="295"/>
      <c r="I163" s="221"/>
      <c r="J163" s="221"/>
      <c r="K163" s="221"/>
      <c r="L163" s="221"/>
      <c r="M163" s="221"/>
      <c r="N163" s="221"/>
      <c r="O163" s="221"/>
      <c r="P163" s="221"/>
      <c r="Q163" s="221"/>
      <c r="R163" s="221"/>
      <c r="S163" s="221"/>
      <c r="T163" s="221"/>
      <c r="U163" s="221"/>
      <c r="V163" s="221"/>
      <c r="W163" s="221"/>
      <c r="X163" s="221"/>
      <c r="Y163" s="221"/>
      <c r="Z163" s="221"/>
      <c r="AA163" s="221"/>
      <c r="AB163" s="221"/>
    </row>
    <row r="164">
      <c r="A164" s="294"/>
      <c r="B164" s="294"/>
      <c r="C164" s="295"/>
      <c r="D164" s="295"/>
      <c r="E164" s="295"/>
      <c r="F164" s="295"/>
      <c r="G164" s="295"/>
      <c r="H164" s="295"/>
      <c r="I164" s="221"/>
      <c r="J164" s="221"/>
      <c r="K164" s="221"/>
      <c r="L164" s="221"/>
      <c r="M164" s="221"/>
      <c r="N164" s="221"/>
      <c r="O164" s="221"/>
      <c r="P164" s="221"/>
      <c r="Q164" s="221"/>
      <c r="R164" s="221"/>
      <c r="S164" s="221"/>
      <c r="T164" s="221"/>
      <c r="U164" s="221"/>
      <c r="V164" s="221"/>
      <c r="W164" s="221"/>
      <c r="X164" s="221"/>
      <c r="Y164" s="221"/>
      <c r="Z164" s="221"/>
      <c r="AA164" s="221"/>
      <c r="AB164" s="221"/>
    </row>
    <row r="165">
      <c r="A165" s="294"/>
      <c r="B165" s="294"/>
      <c r="C165" s="295"/>
      <c r="D165" s="295"/>
      <c r="E165" s="295"/>
      <c r="F165" s="295"/>
      <c r="G165" s="295"/>
      <c r="H165" s="295"/>
      <c r="I165" s="221"/>
      <c r="J165" s="221"/>
      <c r="K165" s="221"/>
      <c r="L165" s="221"/>
      <c r="M165" s="221"/>
      <c r="N165" s="221"/>
      <c r="O165" s="221"/>
      <c r="P165" s="221"/>
      <c r="Q165" s="221"/>
      <c r="R165" s="221"/>
      <c r="S165" s="221"/>
      <c r="T165" s="221"/>
      <c r="U165" s="221"/>
      <c r="V165" s="221"/>
      <c r="W165" s="221"/>
      <c r="X165" s="221"/>
      <c r="Y165" s="221"/>
      <c r="Z165" s="221"/>
      <c r="AA165" s="221"/>
      <c r="AB165" s="221"/>
    </row>
    <row r="166">
      <c r="A166" s="294"/>
      <c r="B166" s="294"/>
      <c r="C166" s="295"/>
      <c r="D166" s="295"/>
      <c r="E166" s="295"/>
      <c r="F166" s="295"/>
      <c r="G166" s="295"/>
      <c r="H166" s="295"/>
      <c r="I166" s="221"/>
      <c r="J166" s="221"/>
      <c r="K166" s="221"/>
      <c r="L166" s="221"/>
      <c r="M166" s="221"/>
      <c r="N166" s="221"/>
      <c r="O166" s="221"/>
      <c r="P166" s="221"/>
      <c r="Q166" s="221"/>
      <c r="R166" s="221"/>
      <c r="S166" s="221"/>
      <c r="T166" s="221"/>
      <c r="U166" s="221"/>
      <c r="V166" s="221"/>
      <c r="W166" s="221"/>
      <c r="X166" s="221"/>
      <c r="Y166" s="221"/>
      <c r="Z166" s="221"/>
      <c r="AA166" s="221"/>
      <c r="AB166" s="221"/>
    </row>
    <row r="167">
      <c r="A167" s="294"/>
      <c r="B167" s="294"/>
      <c r="C167" s="295"/>
      <c r="D167" s="295"/>
      <c r="E167" s="295"/>
      <c r="F167" s="295"/>
      <c r="G167" s="295"/>
      <c r="H167" s="295"/>
      <c r="I167" s="221"/>
      <c r="J167" s="221"/>
      <c r="K167" s="221"/>
      <c r="L167" s="221"/>
      <c r="M167" s="221"/>
      <c r="N167" s="221"/>
      <c r="O167" s="221"/>
      <c r="P167" s="221"/>
      <c r="Q167" s="221"/>
      <c r="R167" s="221"/>
      <c r="S167" s="221"/>
      <c r="T167" s="221"/>
      <c r="U167" s="221"/>
      <c r="V167" s="221"/>
      <c r="W167" s="221"/>
      <c r="X167" s="221"/>
      <c r="Y167" s="221"/>
      <c r="Z167" s="221"/>
      <c r="AA167" s="221"/>
      <c r="AB167" s="221"/>
    </row>
    <row r="168">
      <c r="A168" s="294"/>
      <c r="B168" s="294"/>
      <c r="C168" s="295"/>
      <c r="D168" s="295"/>
      <c r="E168" s="295"/>
      <c r="F168" s="295"/>
      <c r="G168" s="295"/>
      <c r="H168" s="295"/>
      <c r="I168" s="221"/>
      <c r="J168" s="221"/>
      <c r="K168" s="221"/>
      <c r="L168" s="221"/>
      <c r="M168" s="221"/>
      <c r="N168" s="221"/>
      <c r="O168" s="221"/>
      <c r="P168" s="221"/>
      <c r="Q168" s="221"/>
      <c r="R168" s="221"/>
      <c r="S168" s="221"/>
      <c r="T168" s="221"/>
      <c r="U168" s="221"/>
      <c r="V168" s="221"/>
      <c r="W168" s="221"/>
      <c r="X168" s="221"/>
      <c r="Y168" s="221"/>
      <c r="Z168" s="221"/>
      <c r="AA168" s="221"/>
      <c r="AB168" s="221"/>
    </row>
    <row r="169">
      <c r="A169" s="294"/>
      <c r="B169" s="294"/>
      <c r="C169" s="295"/>
      <c r="D169" s="295"/>
      <c r="E169" s="295"/>
      <c r="F169" s="295"/>
      <c r="G169" s="295"/>
      <c r="H169" s="295"/>
      <c r="I169" s="221"/>
      <c r="J169" s="221"/>
      <c r="K169" s="221"/>
      <c r="L169" s="221"/>
      <c r="M169" s="221"/>
      <c r="N169" s="221"/>
      <c r="O169" s="221"/>
      <c r="P169" s="221"/>
      <c r="Q169" s="221"/>
      <c r="R169" s="221"/>
      <c r="S169" s="221"/>
      <c r="T169" s="221"/>
      <c r="U169" s="221"/>
      <c r="V169" s="221"/>
      <c r="W169" s="221"/>
      <c r="X169" s="221"/>
      <c r="Y169" s="221"/>
      <c r="Z169" s="221"/>
      <c r="AA169" s="221"/>
      <c r="AB169" s="221"/>
    </row>
    <row r="170">
      <c r="A170" s="294"/>
      <c r="B170" s="294"/>
      <c r="C170" s="295"/>
      <c r="D170" s="295"/>
      <c r="E170" s="295"/>
      <c r="F170" s="295"/>
      <c r="G170" s="295"/>
      <c r="H170" s="295"/>
      <c r="I170" s="221"/>
      <c r="J170" s="221"/>
      <c r="K170" s="221"/>
      <c r="L170" s="221"/>
      <c r="M170" s="221"/>
      <c r="N170" s="221"/>
      <c r="O170" s="221"/>
      <c r="P170" s="221"/>
      <c r="Q170" s="221"/>
      <c r="R170" s="221"/>
      <c r="S170" s="221"/>
      <c r="T170" s="221"/>
      <c r="U170" s="221"/>
      <c r="V170" s="221"/>
      <c r="W170" s="221"/>
      <c r="X170" s="221"/>
      <c r="Y170" s="221"/>
      <c r="Z170" s="221"/>
      <c r="AA170" s="221"/>
      <c r="AB170" s="221"/>
    </row>
    <row r="171">
      <c r="A171" s="294"/>
      <c r="B171" s="294"/>
      <c r="C171" s="295"/>
      <c r="D171" s="295"/>
      <c r="E171" s="295"/>
      <c r="F171" s="295"/>
      <c r="G171" s="295"/>
      <c r="H171" s="295"/>
      <c r="I171" s="221"/>
      <c r="J171" s="221"/>
      <c r="K171" s="221"/>
      <c r="L171" s="221"/>
      <c r="M171" s="221"/>
      <c r="N171" s="221"/>
      <c r="O171" s="221"/>
      <c r="P171" s="221"/>
      <c r="Q171" s="221"/>
      <c r="R171" s="221"/>
      <c r="S171" s="221"/>
      <c r="T171" s="221"/>
      <c r="U171" s="221"/>
      <c r="V171" s="221"/>
      <c r="W171" s="221"/>
      <c r="X171" s="221"/>
      <c r="Y171" s="221"/>
      <c r="Z171" s="221"/>
      <c r="AA171" s="221"/>
      <c r="AB171" s="221"/>
    </row>
    <row r="172">
      <c r="A172" s="294"/>
      <c r="B172" s="294"/>
      <c r="C172" s="295"/>
      <c r="D172" s="295"/>
      <c r="E172" s="295"/>
      <c r="F172" s="295"/>
      <c r="G172" s="295"/>
      <c r="H172" s="295"/>
      <c r="I172" s="221"/>
      <c r="J172" s="221"/>
      <c r="K172" s="221"/>
      <c r="L172" s="221"/>
      <c r="M172" s="221"/>
      <c r="N172" s="221"/>
      <c r="O172" s="221"/>
      <c r="P172" s="221"/>
      <c r="Q172" s="221"/>
      <c r="R172" s="221"/>
      <c r="S172" s="221"/>
      <c r="T172" s="221"/>
      <c r="U172" s="221"/>
      <c r="V172" s="221"/>
      <c r="W172" s="221"/>
      <c r="X172" s="221"/>
      <c r="Y172" s="221"/>
      <c r="Z172" s="221"/>
      <c r="AA172" s="221"/>
      <c r="AB172" s="221"/>
    </row>
    <row r="173">
      <c r="A173" s="294"/>
      <c r="B173" s="294"/>
      <c r="C173" s="295"/>
      <c r="D173" s="295"/>
      <c r="E173" s="295"/>
      <c r="F173" s="295"/>
      <c r="G173" s="295"/>
      <c r="H173" s="295"/>
      <c r="I173" s="221"/>
      <c r="J173" s="221"/>
      <c r="K173" s="221"/>
      <c r="L173" s="221"/>
      <c r="M173" s="221"/>
      <c r="N173" s="221"/>
      <c r="O173" s="221"/>
      <c r="P173" s="221"/>
      <c r="Q173" s="221"/>
      <c r="R173" s="221"/>
      <c r="S173" s="221"/>
      <c r="T173" s="221"/>
      <c r="U173" s="221"/>
      <c r="V173" s="221"/>
      <c r="W173" s="221"/>
      <c r="X173" s="221"/>
      <c r="Y173" s="221"/>
      <c r="Z173" s="221"/>
      <c r="AA173" s="221"/>
      <c r="AB173" s="221"/>
    </row>
    <row r="174">
      <c r="A174" s="294"/>
      <c r="B174" s="294"/>
      <c r="C174" s="295"/>
      <c r="D174" s="295"/>
      <c r="E174" s="295"/>
      <c r="F174" s="295"/>
      <c r="G174" s="295"/>
      <c r="H174" s="295"/>
      <c r="I174" s="221"/>
      <c r="J174" s="221"/>
      <c r="K174" s="221"/>
      <c r="L174" s="221"/>
      <c r="M174" s="221"/>
      <c r="N174" s="221"/>
      <c r="O174" s="221"/>
      <c r="P174" s="221"/>
      <c r="Q174" s="221"/>
      <c r="R174" s="221"/>
      <c r="S174" s="221"/>
      <c r="T174" s="221"/>
      <c r="U174" s="221"/>
      <c r="V174" s="221"/>
      <c r="W174" s="221"/>
      <c r="X174" s="221"/>
      <c r="Y174" s="221"/>
      <c r="Z174" s="221"/>
      <c r="AA174" s="221"/>
      <c r="AB174" s="221"/>
    </row>
    <row r="175">
      <c r="A175" s="294"/>
      <c r="B175" s="294"/>
      <c r="C175" s="295"/>
      <c r="D175" s="295"/>
      <c r="E175" s="295"/>
      <c r="F175" s="295"/>
      <c r="G175" s="295"/>
      <c r="H175" s="295"/>
      <c r="I175" s="221"/>
      <c r="J175" s="221"/>
      <c r="K175" s="221"/>
      <c r="L175" s="221"/>
      <c r="M175" s="221"/>
      <c r="N175" s="221"/>
      <c r="O175" s="221"/>
      <c r="P175" s="221"/>
      <c r="Q175" s="221"/>
      <c r="R175" s="221"/>
      <c r="S175" s="221"/>
      <c r="T175" s="221"/>
      <c r="U175" s="221"/>
      <c r="V175" s="221"/>
      <c r="W175" s="221"/>
      <c r="X175" s="221"/>
      <c r="Y175" s="221"/>
      <c r="Z175" s="221"/>
      <c r="AA175" s="221"/>
      <c r="AB175" s="221"/>
    </row>
    <row r="176">
      <c r="A176" s="294"/>
      <c r="B176" s="294"/>
      <c r="C176" s="295"/>
      <c r="D176" s="295"/>
      <c r="E176" s="295"/>
      <c r="F176" s="295"/>
      <c r="G176" s="295"/>
      <c r="H176" s="295"/>
      <c r="I176" s="221"/>
      <c r="J176" s="221"/>
      <c r="K176" s="221"/>
      <c r="L176" s="221"/>
      <c r="M176" s="221"/>
      <c r="N176" s="221"/>
      <c r="O176" s="221"/>
      <c r="P176" s="221"/>
      <c r="Q176" s="221"/>
      <c r="R176" s="221"/>
      <c r="S176" s="221"/>
      <c r="T176" s="221"/>
      <c r="U176" s="221"/>
      <c r="V176" s="221"/>
      <c r="W176" s="221"/>
      <c r="X176" s="221"/>
      <c r="Y176" s="221"/>
      <c r="Z176" s="221"/>
      <c r="AA176" s="221"/>
      <c r="AB176" s="221"/>
    </row>
    <row r="177">
      <c r="A177" s="294"/>
      <c r="B177" s="294"/>
      <c r="C177" s="295"/>
      <c r="D177" s="295"/>
      <c r="E177" s="295"/>
      <c r="F177" s="295"/>
      <c r="G177" s="295"/>
      <c r="H177" s="295"/>
      <c r="I177" s="221"/>
      <c r="J177" s="221"/>
      <c r="K177" s="221"/>
      <c r="L177" s="221"/>
      <c r="M177" s="221"/>
      <c r="N177" s="221"/>
      <c r="O177" s="221"/>
      <c r="P177" s="221"/>
      <c r="Q177" s="221"/>
      <c r="R177" s="221"/>
      <c r="S177" s="221"/>
      <c r="T177" s="221"/>
      <c r="U177" s="221"/>
      <c r="V177" s="221"/>
      <c r="W177" s="221"/>
      <c r="X177" s="221"/>
      <c r="Y177" s="221"/>
      <c r="Z177" s="221"/>
      <c r="AA177" s="221"/>
      <c r="AB177" s="221"/>
    </row>
    <row r="178">
      <c r="A178" s="294"/>
      <c r="B178" s="294"/>
      <c r="C178" s="295"/>
      <c r="D178" s="295"/>
      <c r="E178" s="295"/>
      <c r="F178" s="295"/>
      <c r="G178" s="295"/>
      <c r="H178" s="295"/>
      <c r="I178" s="221"/>
      <c r="J178" s="221"/>
      <c r="K178" s="221"/>
      <c r="L178" s="221"/>
      <c r="M178" s="221"/>
      <c r="N178" s="221"/>
      <c r="O178" s="221"/>
      <c r="P178" s="221"/>
      <c r="Q178" s="221"/>
      <c r="R178" s="221"/>
      <c r="S178" s="221"/>
      <c r="T178" s="221"/>
      <c r="U178" s="221"/>
      <c r="V178" s="221"/>
      <c r="W178" s="221"/>
      <c r="X178" s="221"/>
      <c r="Y178" s="221"/>
      <c r="Z178" s="221"/>
      <c r="AA178" s="221"/>
      <c r="AB178" s="221"/>
    </row>
    <row r="179">
      <c r="A179" s="294"/>
      <c r="B179" s="294"/>
      <c r="C179" s="295"/>
      <c r="D179" s="295"/>
      <c r="E179" s="295"/>
      <c r="F179" s="295"/>
      <c r="G179" s="295"/>
      <c r="H179" s="295"/>
      <c r="I179" s="221"/>
      <c r="J179" s="221"/>
      <c r="K179" s="221"/>
      <c r="L179" s="221"/>
      <c r="M179" s="221"/>
      <c r="N179" s="221"/>
      <c r="O179" s="221"/>
      <c r="P179" s="221"/>
      <c r="Q179" s="221"/>
      <c r="R179" s="221"/>
      <c r="S179" s="221"/>
      <c r="T179" s="221"/>
      <c r="U179" s="221"/>
      <c r="V179" s="221"/>
      <c r="W179" s="221"/>
      <c r="X179" s="221"/>
      <c r="Y179" s="221"/>
      <c r="Z179" s="221"/>
      <c r="AA179" s="221"/>
      <c r="AB179" s="221"/>
    </row>
    <row r="180">
      <c r="A180" s="294"/>
      <c r="B180" s="294"/>
      <c r="C180" s="295"/>
      <c r="D180" s="295"/>
      <c r="E180" s="295"/>
      <c r="F180" s="295"/>
      <c r="G180" s="295"/>
      <c r="H180" s="295"/>
      <c r="I180" s="221"/>
      <c r="J180" s="221"/>
      <c r="K180" s="221"/>
      <c r="L180" s="221"/>
      <c r="M180" s="221"/>
      <c r="N180" s="221"/>
      <c r="O180" s="221"/>
      <c r="P180" s="221"/>
      <c r="Q180" s="221"/>
      <c r="R180" s="221"/>
      <c r="S180" s="221"/>
      <c r="T180" s="221"/>
      <c r="U180" s="221"/>
      <c r="V180" s="221"/>
      <c r="W180" s="221"/>
      <c r="X180" s="221"/>
      <c r="Y180" s="221"/>
      <c r="Z180" s="221"/>
      <c r="AA180" s="221"/>
      <c r="AB180" s="221"/>
    </row>
    <row r="181">
      <c r="A181" s="294"/>
      <c r="B181" s="294"/>
      <c r="C181" s="295"/>
      <c r="D181" s="295"/>
      <c r="E181" s="295"/>
      <c r="F181" s="295"/>
      <c r="G181" s="295"/>
      <c r="H181" s="295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1"/>
      <c r="T181" s="221"/>
      <c r="U181" s="221"/>
      <c r="V181" s="221"/>
      <c r="W181" s="221"/>
      <c r="X181" s="221"/>
      <c r="Y181" s="221"/>
      <c r="Z181" s="221"/>
      <c r="AA181" s="221"/>
      <c r="AB181" s="221"/>
    </row>
    <row r="182">
      <c r="A182" s="294"/>
      <c r="B182" s="294"/>
      <c r="C182" s="295"/>
      <c r="D182" s="295"/>
      <c r="E182" s="295"/>
      <c r="F182" s="295"/>
      <c r="G182" s="295"/>
      <c r="H182" s="295"/>
      <c r="I182" s="221"/>
      <c r="J182" s="221"/>
      <c r="K182" s="221"/>
      <c r="L182" s="221"/>
      <c r="M182" s="221"/>
      <c r="N182" s="221"/>
      <c r="O182" s="221"/>
      <c r="P182" s="221"/>
      <c r="Q182" s="221"/>
      <c r="R182" s="221"/>
      <c r="S182" s="221"/>
      <c r="T182" s="221"/>
      <c r="U182" s="221"/>
      <c r="V182" s="221"/>
      <c r="W182" s="221"/>
      <c r="X182" s="221"/>
      <c r="Y182" s="221"/>
      <c r="Z182" s="221"/>
      <c r="AA182" s="221"/>
      <c r="AB182" s="221"/>
    </row>
    <row r="183">
      <c r="A183" s="294"/>
      <c r="B183" s="294"/>
      <c r="C183" s="295"/>
      <c r="D183" s="295"/>
      <c r="E183" s="295"/>
      <c r="F183" s="295"/>
      <c r="G183" s="295"/>
      <c r="H183" s="295"/>
      <c r="I183" s="221"/>
      <c r="J183" s="221"/>
      <c r="K183" s="221"/>
      <c r="L183" s="221"/>
      <c r="M183" s="221"/>
      <c r="N183" s="221"/>
      <c r="O183" s="221"/>
      <c r="P183" s="221"/>
      <c r="Q183" s="221"/>
      <c r="R183" s="221"/>
      <c r="S183" s="221"/>
      <c r="T183" s="221"/>
      <c r="U183" s="221"/>
      <c r="V183" s="221"/>
      <c r="W183" s="221"/>
      <c r="X183" s="221"/>
      <c r="Y183" s="221"/>
      <c r="Z183" s="221"/>
      <c r="AA183" s="221"/>
      <c r="AB183" s="221"/>
    </row>
    <row r="184">
      <c r="A184" s="294"/>
      <c r="B184" s="294"/>
      <c r="C184" s="295"/>
      <c r="D184" s="295"/>
      <c r="E184" s="295"/>
      <c r="F184" s="295"/>
      <c r="G184" s="295"/>
      <c r="H184" s="295"/>
      <c r="I184" s="221"/>
      <c r="J184" s="221"/>
      <c r="K184" s="221"/>
      <c r="L184" s="221"/>
      <c r="M184" s="221"/>
      <c r="N184" s="221"/>
      <c r="O184" s="221"/>
      <c r="P184" s="221"/>
      <c r="Q184" s="221"/>
      <c r="R184" s="221"/>
      <c r="S184" s="221"/>
      <c r="T184" s="221"/>
      <c r="U184" s="221"/>
      <c r="V184" s="221"/>
      <c r="W184" s="221"/>
      <c r="X184" s="221"/>
      <c r="Y184" s="221"/>
      <c r="Z184" s="221"/>
      <c r="AA184" s="221"/>
      <c r="AB184" s="221"/>
    </row>
    <row r="185">
      <c r="A185" s="294"/>
      <c r="B185" s="294"/>
      <c r="C185" s="295"/>
      <c r="D185" s="295"/>
      <c r="E185" s="295"/>
      <c r="F185" s="295"/>
      <c r="G185" s="295"/>
      <c r="H185" s="295"/>
      <c r="I185" s="221"/>
      <c r="J185" s="221"/>
      <c r="K185" s="221"/>
      <c r="L185" s="221"/>
      <c r="M185" s="221"/>
      <c r="N185" s="221"/>
      <c r="O185" s="221"/>
      <c r="P185" s="221"/>
      <c r="Q185" s="221"/>
      <c r="R185" s="221"/>
      <c r="S185" s="221"/>
      <c r="T185" s="221"/>
      <c r="U185" s="221"/>
      <c r="V185" s="221"/>
      <c r="W185" s="221"/>
      <c r="X185" s="221"/>
      <c r="Y185" s="221"/>
      <c r="Z185" s="221"/>
      <c r="AA185" s="221"/>
      <c r="AB185" s="221"/>
    </row>
    <row r="186">
      <c r="A186" s="294"/>
      <c r="B186" s="294"/>
      <c r="C186" s="295"/>
      <c r="D186" s="295"/>
      <c r="E186" s="295"/>
      <c r="F186" s="295"/>
      <c r="G186" s="295"/>
      <c r="H186" s="295"/>
      <c r="I186" s="221"/>
      <c r="J186" s="221"/>
      <c r="K186" s="221"/>
      <c r="L186" s="221"/>
      <c r="M186" s="221"/>
      <c r="N186" s="221"/>
      <c r="O186" s="221"/>
      <c r="P186" s="221"/>
      <c r="Q186" s="221"/>
      <c r="R186" s="221"/>
      <c r="S186" s="221"/>
      <c r="T186" s="221"/>
      <c r="U186" s="221"/>
      <c r="V186" s="221"/>
      <c r="W186" s="221"/>
      <c r="X186" s="221"/>
      <c r="Y186" s="221"/>
      <c r="Z186" s="221"/>
      <c r="AA186" s="221"/>
      <c r="AB186" s="221"/>
    </row>
    <row r="187">
      <c r="A187" s="294"/>
      <c r="B187" s="294"/>
      <c r="C187" s="295"/>
      <c r="D187" s="295"/>
      <c r="E187" s="295"/>
      <c r="F187" s="295"/>
      <c r="G187" s="295"/>
      <c r="H187" s="295"/>
      <c r="I187" s="221"/>
      <c r="J187" s="221"/>
      <c r="K187" s="221"/>
      <c r="L187" s="221"/>
      <c r="M187" s="221"/>
      <c r="N187" s="221"/>
      <c r="O187" s="221"/>
      <c r="P187" s="221"/>
      <c r="Q187" s="221"/>
      <c r="R187" s="221"/>
      <c r="S187" s="221"/>
      <c r="T187" s="221"/>
      <c r="U187" s="221"/>
      <c r="V187" s="221"/>
      <c r="W187" s="221"/>
      <c r="X187" s="221"/>
      <c r="Y187" s="221"/>
      <c r="Z187" s="221"/>
      <c r="AA187" s="221"/>
      <c r="AB187" s="221"/>
    </row>
    <row r="188">
      <c r="A188" s="294"/>
      <c r="B188" s="294"/>
      <c r="C188" s="295"/>
      <c r="D188" s="295"/>
      <c r="E188" s="295"/>
      <c r="F188" s="295"/>
      <c r="G188" s="295"/>
      <c r="H188" s="295"/>
      <c r="I188" s="221"/>
      <c r="J188" s="221"/>
      <c r="K188" s="221"/>
      <c r="L188" s="221"/>
      <c r="M188" s="221"/>
      <c r="N188" s="221"/>
      <c r="O188" s="221"/>
      <c r="P188" s="221"/>
      <c r="Q188" s="221"/>
      <c r="R188" s="221"/>
      <c r="S188" s="221"/>
      <c r="T188" s="221"/>
      <c r="U188" s="221"/>
      <c r="V188" s="221"/>
      <c r="W188" s="221"/>
      <c r="X188" s="221"/>
      <c r="Y188" s="221"/>
      <c r="Z188" s="221"/>
      <c r="AA188" s="221"/>
      <c r="AB188" s="221"/>
    </row>
    <row r="189">
      <c r="A189" s="294"/>
      <c r="B189" s="294"/>
      <c r="C189" s="295"/>
      <c r="D189" s="295"/>
      <c r="E189" s="295"/>
      <c r="F189" s="295"/>
      <c r="G189" s="295"/>
      <c r="H189" s="295"/>
      <c r="I189" s="221"/>
      <c r="J189" s="221"/>
      <c r="K189" s="221"/>
      <c r="L189" s="221"/>
      <c r="M189" s="221"/>
      <c r="N189" s="221"/>
      <c r="O189" s="221"/>
      <c r="P189" s="221"/>
      <c r="Q189" s="221"/>
      <c r="R189" s="221"/>
      <c r="S189" s="221"/>
      <c r="T189" s="221"/>
      <c r="U189" s="221"/>
      <c r="V189" s="221"/>
      <c r="W189" s="221"/>
      <c r="X189" s="221"/>
      <c r="Y189" s="221"/>
      <c r="Z189" s="221"/>
      <c r="AA189" s="221"/>
      <c r="AB189" s="221"/>
    </row>
    <row r="190">
      <c r="A190" s="294"/>
      <c r="B190" s="294"/>
      <c r="C190" s="295"/>
      <c r="D190" s="295"/>
      <c r="E190" s="295"/>
      <c r="F190" s="295"/>
      <c r="G190" s="295"/>
      <c r="H190" s="295"/>
      <c r="I190" s="221"/>
      <c r="J190" s="221"/>
      <c r="K190" s="221"/>
      <c r="L190" s="221"/>
      <c r="M190" s="221"/>
      <c r="N190" s="221"/>
      <c r="O190" s="221"/>
      <c r="P190" s="221"/>
      <c r="Q190" s="221"/>
      <c r="R190" s="221"/>
      <c r="S190" s="221"/>
      <c r="T190" s="221"/>
      <c r="U190" s="221"/>
      <c r="V190" s="221"/>
      <c r="W190" s="221"/>
      <c r="X190" s="221"/>
      <c r="Y190" s="221"/>
      <c r="Z190" s="221"/>
      <c r="AA190" s="221"/>
      <c r="AB190" s="221"/>
    </row>
    <row r="191">
      <c r="A191" s="294"/>
      <c r="B191" s="294"/>
      <c r="C191" s="295"/>
      <c r="D191" s="295"/>
      <c r="E191" s="295"/>
      <c r="F191" s="295"/>
      <c r="G191" s="295"/>
      <c r="H191" s="295"/>
      <c r="I191" s="221"/>
      <c r="J191" s="221"/>
      <c r="K191" s="221"/>
      <c r="L191" s="221"/>
      <c r="M191" s="221"/>
      <c r="N191" s="221"/>
      <c r="O191" s="221"/>
      <c r="P191" s="221"/>
      <c r="Q191" s="221"/>
      <c r="R191" s="221"/>
      <c r="S191" s="221"/>
      <c r="T191" s="221"/>
      <c r="U191" s="221"/>
      <c r="V191" s="221"/>
      <c r="W191" s="221"/>
      <c r="X191" s="221"/>
      <c r="Y191" s="221"/>
      <c r="Z191" s="221"/>
      <c r="AA191" s="221"/>
      <c r="AB191" s="221"/>
    </row>
    <row r="192">
      <c r="A192" s="294"/>
      <c r="B192" s="294"/>
      <c r="C192" s="295"/>
      <c r="D192" s="295"/>
      <c r="E192" s="295"/>
      <c r="F192" s="295"/>
      <c r="G192" s="295"/>
      <c r="H192" s="295"/>
      <c r="I192" s="221"/>
      <c r="J192" s="221"/>
      <c r="K192" s="221"/>
      <c r="L192" s="221"/>
      <c r="M192" s="221"/>
      <c r="N192" s="221"/>
      <c r="O192" s="221"/>
      <c r="P192" s="221"/>
      <c r="Q192" s="221"/>
      <c r="R192" s="221"/>
      <c r="S192" s="221"/>
      <c r="T192" s="221"/>
      <c r="U192" s="221"/>
      <c r="V192" s="221"/>
      <c r="W192" s="221"/>
      <c r="X192" s="221"/>
      <c r="Y192" s="221"/>
      <c r="Z192" s="221"/>
      <c r="AA192" s="221"/>
      <c r="AB192" s="221"/>
    </row>
    <row r="193">
      <c r="A193" s="294"/>
      <c r="B193" s="294"/>
      <c r="C193" s="295"/>
      <c r="D193" s="295"/>
      <c r="E193" s="295"/>
      <c r="F193" s="295"/>
      <c r="G193" s="295"/>
      <c r="H193" s="295"/>
      <c r="I193" s="221"/>
      <c r="J193" s="221"/>
      <c r="K193" s="221"/>
      <c r="L193" s="221"/>
      <c r="M193" s="221"/>
      <c r="N193" s="221"/>
      <c r="O193" s="221"/>
      <c r="P193" s="221"/>
      <c r="Q193" s="221"/>
      <c r="R193" s="221"/>
      <c r="S193" s="221"/>
      <c r="T193" s="221"/>
      <c r="U193" s="221"/>
      <c r="V193" s="221"/>
      <c r="W193" s="221"/>
      <c r="X193" s="221"/>
      <c r="Y193" s="221"/>
      <c r="Z193" s="221"/>
      <c r="AA193" s="221"/>
      <c r="AB193" s="221"/>
    </row>
    <row r="194">
      <c r="A194" s="294"/>
      <c r="B194" s="294"/>
      <c r="C194" s="295"/>
      <c r="D194" s="295"/>
      <c r="E194" s="295"/>
      <c r="F194" s="295"/>
      <c r="G194" s="295"/>
      <c r="H194" s="295"/>
      <c r="I194" s="221"/>
      <c r="J194" s="221"/>
      <c r="K194" s="221"/>
      <c r="L194" s="221"/>
      <c r="M194" s="221"/>
      <c r="N194" s="221"/>
      <c r="O194" s="221"/>
      <c r="P194" s="221"/>
      <c r="Q194" s="221"/>
      <c r="R194" s="221"/>
      <c r="S194" s="221"/>
      <c r="T194" s="221"/>
      <c r="U194" s="221"/>
      <c r="V194" s="221"/>
      <c r="W194" s="221"/>
      <c r="X194" s="221"/>
      <c r="Y194" s="221"/>
      <c r="Z194" s="221"/>
      <c r="AA194" s="221"/>
      <c r="AB194" s="221"/>
    </row>
    <row r="195">
      <c r="A195" s="294"/>
      <c r="B195" s="294"/>
      <c r="C195" s="295"/>
      <c r="D195" s="295"/>
      <c r="E195" s="295"/>
      <c r="F195" s="295"/>
      <c r="G195" s="295"/>
      <c r="H195" s="295"/>
      <c r="I195" s="221"/>
      <c r="J195" s="221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221"/>
      <c r="Z195" s="221"/>
      <c r="AA195" s="221"/>
      <c r="AB195" s="221"/>
    </row>
    <row r="196">
      <c r="A196" s="294"/>
      <c r="B196" s="294"/>
      <c r="C196" s="295"/>
      <c r="D196" s="295"/>
      <c r="E196" s="295"/>
      <c r="F196" s="295"/>
      <c r="G196" s="295"/>
      <c r="H196" s="295"/>
      <c r="I196" s="221"/>
      <c r="J196" s="221"/>
      <c r="K196" s="221"/>
      <c r="L196" s="221"/>
      <c r="M196" s="221"/>
      <c r="N196" s="221"/>
      <c r="O196" s="221"/>
      <c r="P196" s="221"/>
      <c r="Q196" s="221"/>
      <c r="R196" s="221"/>
      <c r="S196" s="221"/>
      <c r="T196" s="221"/>
      <c r="U196" s="221"/>
      <c r="V196" s="221"/>
      <c r="W196" s="221"/>
      <c r="X196" s="221"/>
      <c r="Y196" s="221"/>
      <c r="Z196" s="221"/>
      <c r="AA196" s="221"/>
      <c r="AB196" s="221"/>
    </row>
    <row r="197">
      <c r="A197" s="294"/>
      <c r="B197" s="294"/>
      <c r="C197" s="295"/>
      <c r="D197" s="295"/>
      <c r="E197" s="295"/>
      <c r="F197" s="295"/>
      <c r="G197" s="295"/>
      <c r="H197" s="295"/>
      <c r="I197" s="221"/>
      <c r="J197" s="221"/>
      <c r="K197" s="221"/>
      <c r="L197" s="221"/>
      <c r="M197" s="221"/>
      <c r="N197" s="221"/>
      <c r="O197" s="221"/>
      <c r="P197" s="221"/>
      <c r="Q197" s="221"/>
      <c r="R197" s="221"/>
      <c r="S197" s="221"/>
      <c r="T197" s="221"/>
      <c r="U197" s="221"/>
      <c r="V197" s="221"/>
      <c r="W197" s="221"/>
      <c r="X197" s="221"/>
      <c r="Y197" s="221"/>
      <c r="Z197" s="221"/>
      <c r="AA197" s="221"/>
      <c r="AB197" s="221"/>
    </row>
    <row r="198">
      <c r="A198" s="294"/>
      <c r="B198" s="294"/>
      <c r="C198" s="295"/>
      <c r="D198" s="295"/>
      <c r="E198" s="295"/>
      <c r="F198" s="295"/>
      <c r="G198" s="295"/>
      <c r="H198" s="295"/>
      <c r="I198" s="221"/>
      <c r="J198" s="221"/>
      <c r="K198" s="221"/>
      <c r="L198" s="221"/>
      <c r="M198" s="221"/>
      <c r="N198" s="221"/>
      <c r="O198" s="221"/>
      <c r="P198" s="221"/>
      <c r="Q198" s="221"/>
      <c r="R198" s="221"/>
      <c r="S198" s="221"/>
      <c r="T198" s="221"/>
      <c r="U198" s="221"/>
      <c r="V198" s="221"/>
      <c r="W198" s="221"/>
      <c r="X198" s="221"/>
      <c r="Y198" s="221"/>
      <c r="Z198" s="221"/>
      <c r="AA198" s="221"/>
      <c r="AB198" s="221"/>
    </row>
    <row r="199">
      <c r="A199" s="294"/>
      <c r="B199" s="294"/>
      <c r="C199" s="295"/>
      <c r="D199" s="295"/>
      <c r="E199" s="295"/>
      <c r="F199" s="295"/>
      <c r="G199" s="295"/>
      <c r="H199" s="295"/>
      <c r="I199" s="221"/>
      <c r="J199" s="221"/>
      <c r="K199" s="221"/>
      <c r="L199" s="221"/>
      <c r="M199" s="221"/>
      <c r="N199" s="221"/>
      <c r="O199" s="221"/>
      <c r="P199" s="221"/>
      <c r="Q199" s="221"/>
      <c r="R199" s="221"/>
      <c r="S199" s="221"/>
      <c r="T199" s="221"/>
      <c r="U199" s="221"/>
      <c r="V199" s="221"/>
      <c r="W199" s="221"/>
      <c r="X199" s="221"/>
      <c r="Y199" s="221"/>
      <c r="Z199" s="221"/>
      <c r="AA199" s="221"/>
      <c r="AB199" s="221"/>
    </row>
    <row r="200">
      <c r="A200" s="294"/>
      <c r="B200" s="294"/>
      <c r="C200" s="295"/>
      <c r="D200" s="295"/>
      <c r="E200" s="295"/>
      <c r="F200" s="295"/>
      <c r="G200" s="295"/>
      <c r="H200" s="295"/>
      <c r="I200" s="221"/>
      <c r="J200" s="221"/>
      <c r="K200" s="221"/>
      <c r="L200" s="221"/>
      <c r="M200" s="221"/>
      <c r="N200" s="221"/>
      <c r="O200" s="221"/>
      <c r="P200" s="221"/>
      <c r="Q200" s="221"/>
      <c r="R200" s="221"/>
      <c r="S200" s="221"/>
      <c r="T200" s="221"/>
      <c r="U200" s="221"/>
      <c r="V200" s="221"/>
      <c r="W200" s="221"/>
      <c r="X200" s="221"/>
      <c r="Y200" s="221"/>
      <c r="Z200" s="221"/>
      <c r="AA200" s="221"/>
      <c r="AB200" s="221"/>
    </row>
    <row r="201">
      <c r="A201" s="294"/>
      <c r="B201" s="294"/>
      <c r="C201" s="295"/>
      <c r="D201" s="295"/>
      <c r="E201" s="295"/>
      <c r="F201" s="295"/>
      <c r="G201" s="295"/>
      <c r="H201" s="295"/>
      <c r="I201" s="221"/>
      <c r="J201" s="221"/>
      <c r="K201" s="221"/>
      <c r="L201" s="221"/>
      <c r="M201" s="221"/>
      <c r="N201" s="221"/>
      <c r="O201" s="221"/>
      <c r="P201" s="221"/>
      <c r="Q201" s="221"/>
      <c r="R201" s="221"/>
      <c r="S201" s="221"/>
      <c r="T201" s="221"/>
      <c r="U201" s="221"/>
      <c r="V201" s="221"/>
      <c r="W201" s="221"/>
      <c r="X201" s="221"/>
      <c r="Y201" s="221"/>
      <c r="Z201" s="221"/>
      <c r="AA201" s="221"/>
      <c r="AB201" s="221"/>
    </row>
    <row r="202">
      <c r="A202" s="294"/>
      <c r="B202" s="294"/>
      <c r="C202" s="295"/>
      <c r="D202" s="295"/>
      <c r="E202" s="295"/>
      <c r="F202" s="295"/>
      <c r="G202" s="295"/>
      <c r="H202" s="295"/>
      <c r="I202" s="221"/>
      <c r="J202" s="221"/>
      <c r="K202" s="221"/>
      <c r="L202" s="221"/>
      <c r="M202" s="221"/>
      <c r="N202" s="221"/>
      <c r="O202" s="221"/>
      <c r="P202" s="221"/>
      <c r="Q202" s="221"/>
      <c r="R202" s="221"/>
      <c r="S202" s="221"/>
      <c r="T202" s="221"/>
      <c r="U202" s="221"/>
      <c r="V202" s="221"/>
      <c r="W202" s="221"/>
      <c r="X202" s="221"/>
      <c r="Y202" s="221"/>
      <c r="Z202" s="221"/>
      <c r="AA202" s="221"/>
      <c r="AB202" s="221"/>
    </row>
    <row r="203">
      <c r="A203" s="294"/>
      <c r="B203" s="294"/>
      <c r="C203" s="295"/>
      <c r="D203" s="295"/>
      <c r="E203" s="295"/>
      <c r="F203" s="295"/>
      <c r="G203" s="295"/>
      <c r="H203" s="295"/>
      <c r="I203" s="221"/>
      <c r="J203" s="221"/>
      <c r="K203" s="221"/>
      <c r="L203" s="221"/>
      <c r="M203" s="221"/>
      <c r="N203" s="221"/>
      <c r="O203" s="221"/>
      <c r="P203" s="221"/>
      <c r="Q203" s="221"/>
      <c r="R203" s="221"/>
      <c r="S203" s="221"/>
      <c r="T203" s="221"/>
      <c r="U203" s="221"/>
      <c r="V203" s="221"/>
      <c r="W203" s="221"/>
      <c r="X203" s="221"/>
      <c r="Y203" s="221"/>
      <c r="Z203" s="221"/>
      <c r="AA203" s="221"/>
      <c r="AB203" s="221"/>
    </row>
    <row r="204">
      <c r="A204" s="294"/>
      <c r="B204" s="294"/>
      <c r="C204" s="295"/>
      <c r="D204" s="295"/>
      <c r="E204" s="295"/>
      <c r="F204" s="295"/>
      <c r="G204" s="295"/>
      <c r="H204" s="295"/>
      <c r="I204" s="221"/>
      <c r="J204" s="221"/>
      <c r="K204" s="221"/>
      <c r="L204" s="221"/>
      <c r="M204" s="221"/>
      <c r="N204" s="221"/>
      <c r="O204" s="221"/>
      <c r="P204" s="221"/>
      <c r="Q204" s="221"/>
      <c r="R204" s="221"/>
      <c r="S204" s="221"/>
      <c r="T204" s="221"/>
      <c r="U204" s="221"/>
      <c r="V204" s="221"/>
      <c r="W204" s="221"/>
      <c r="X204" s="221"/>
      <c r="Y204" s="221"/>
      <c r="Z204" s="221"/>
      <c r="AA204" s="221"/>
      <c r="AB204" s="221"/>
    </row>
    <row r="205">
      <c r="A205" s="294"/>
      <c r="B205" s="294"/>
      <c r="C205" s="295"/>
      <c r="D205" s="295"/>
      <c r="E205" s="295"/>
      <c r="F205" s="295"/>
      <c r="G205" s="295"/>
      <c r="H205" s="295"/>
      <c r="I205" s="221"/>
      <c r="J205" s="221"/>
      <c r="K205" s="221"/>
      <c r="L205" s="221"/>
      <c r="M205" s="221"/>
      <c r="N205" s="221"/>
      <c r="O205" s="221"/>
      <c r="P205" s="221"/>
      <c r="Q205" s="221"/>
      <c r="R205" s="221"/>
      <c r="S205" s="221"/>
      <c r="T205" s="221"/>
      <c r="U205" s="221"/>
      <c r="V205" s="221"/>
      <c r="W205" s="221"/>
      <c r="X205" s="221"/>
      <c r="Y205" s="221"/>
      <c r="Z205" s="221"/>
      <c r="AA205" s="221"/>
      <c r="AB205" s="221"/>
    </row>
    <row r="206">
      <c r="A206" s="294"/>
      <c r="B206" s="294"/>
      <c r="C206" s="295"/>
      <c r="D206" s="295"/>
      <c r="E206" s="295"/>
      <c r="F206" s="295"/>
      <c r="G206" s="295"/>
      <c r="H206" s="295"/>
      <c r="I206" s="221"/>
      <c r="J206" s="221"/>
      <c r="K206" s="221"/>
      <c r="L206" s="221"/>
      <c r="M206" s="221"/>
      <c r="N206" s="221"/>
      <c r="O206" s="221"/>
      <c r="P206" s="221"/>
      <c r="Q206" s="221"/>
      <c r="R206" s="221"/>
      <c r="S206" s="221"/>
      <c r="T206" s="221"/>
      <c r="U206" s="221"/>
      <c r="V206" s="221"/>
      <c r="W206" s="221"/>
      <c r="X206" s="221"/>
      <c r="Y206" s="221"/>
      <c r="Z206" s="221"/>
      <c r="AA206" s="221"/>
      <c r="AB206" s="221"/>
    </row>
    <row r="207">
      <c r="A207" s="294"/>
      <c r="B207" s="294"/>
      <c r="C207" s="295"/>
      <c r="D207" s="295"/>
      <c r="E207" s="295"/>
      <c r="F207" s="295"/>
      <c r="G207" s="295"/>
      <c r="H207" s="295"/>
      <c r="I207" s="221"/>
      <c r="J207" s="221"/>
      <c r="K207" s="221"/>
      <c r="L207" s="221"/>
      <c r="M207" s="221"/>
      <c r="N207" s="221"/>
      <c r="O207" s="221"/>
      <c r="P207" s="221"/>
      <c r="Q207" s="221"/>
      <c r="R207" s="221"/>
      <c r="S207" s="221"/>
      <c r="T207" s="221"/>
      <c r="U207" s="221"/>
      <c r="V207" s="221"/>
      <c r="W207" s="221"/>
      <c r="X207" s="221"/>
      <c r="Y207" s="221"/>
      <c r="Z207" s="221"/>
      <c r="AA207" s="221"/>
      <c r="AB207" s="221"/>
    </row>
    <row r="208">
      <c r="A208" s="294"/>
      <c r="B208" s="294"/>
      <c r="C208" s="295"/>
      <c r="D208" s="295"/>
      <c r="E208" s="295"/>
      <c r="F208" s="295"/>
      <c r="G208" s="295"/>
      <c r="H208" s="295"/>
      <c r="I208" s="221"/>
      <c r="J208" s="221"/>
      <c r="K208" s="221"/>
      <c r="L208" s="221"/>
      <c r="M208" s="221"/>
      <c r="N208" s="221"/>
      <c r="O208" s="221"/>
      <c r="P208" s="221"/>
      <c r="Q208" s="221"/>
      <c r="R208" s="221"/>
      <c r="S208" s="221"/>
      <c r="T208" s="221"/>
      <c r="U208" s="221"/>
      <c r="V208" s="221"/>
      <c r="W208" s="221"/>
      <c r="X208" s="221"/>
      <c r="Y208" s="221"/>
      <c r="Z208" s="221"/>
      <c r="AA208" s="221"/>
      <c r="AB208" s="221"/>
    </row>
    <row r="209">
      <c r="A209" s="294"/>
      <c r="B209" s="294"/>
      <c r="C209" s="295"/>
      <c r="D209" s="295"/>
      <c r="E209" s="295"/>
      <c r="F209" s="295"/>
      <c r="G209" s="295"/>
      <c r="H209" s="295"/>
      <c r="I209" s="221"/>
      <c r="J209" s="221"/>
      <c r="K209" s="221"/>
      <c r="L209" s="221"/>
      <c r="M209" s="221"/>
      <c r="N209" s="221"/>
      <c r="O209" s="221"/>
      <c r="P209" s="221"/>
      <c r="Q209" s="221"/>
      <c r="R209" s="221"/>
      <c r="S209" s="221"/>
      <c r="T209" s="221"/>
      <c r="U209" s="221"/>
      <c r="V209" s="221"/>
      <c r="W209" s="221"/>
      <c r="X209" s="221"/>
      <c r="Y209" s="221"/>
      <c r="Z209" s="221"/>
      <c r="AA209" s="221"/>
      <c r="AB209" s="221"/>
    </row>
    <row r="210">
      <c r="A210" s="294"/>
      <c r="B210" s="294"/>
      <c r="C210" s="295"/>
      <c r="D210" s="295"/>
      <c r="E210" s="295"/>
      <c r="F210" s="295"/>
      <c r="G210" s="295"/>
      <c r="H210" s="295"/>
      <c r="I210" s="221"/>
      <c r="J210" s="221"/>
      <c r="K210" s="221"/>
      <c r="L210" s="221"/>
      <c r="M210" s="221"/>
      <c r="N210" s="221"/>
      <c r="O210" s="221"/>
      <c r="P210" s="221"/>
      <c r="Q210" s="221"/>
      <c r="R210" s="221"/>
      <c r="S210" s="221"/>
      <c r="T210" s="221"/>
      <c r="U210" s="221"/>
      <c r="V210" s="221"/>
      <c r="W210" s="221"/>
      <c r="X210" s="221"/>
      <c r="Y210" s="221"/>
      <c r="Z210" s="221"/>
      <c r="AA210" s="221"/>
      <c r="AB210" s="221"/>
    </row>
    <row r="211">
      <c r="A211" s="294"/>
      <c r="B211" s="294"/>
      <c r="C211" s="295"/>
      <c r="D211" s="295"/>
      <c r="E211" s="295"/>
      <c r="F211" s="295"/>
      <c r="G211" s="295"/>
      <c r="H211" s="295"/>
      <c r="I211" s="221"/>
      <c r="J211" s="221"/>
      <c r="K211" s="221"/>
      <c r="L211" s="221"/>
      <c r="M211" s="221"/>
      <c r="N211" s="221"/>
      <c r="O211" s="221"/>
      <c r="P211" s="221"/>
      <c r="Q211" s="221"/>
      <c r="R211" s="221"/>
      <c r="S211" s="221"/>
      <c r="T211" s="221"/>
      <c r="U211" s="221"/>
      <c r="V211" s="221"/>
      <c r="W211" s="221"/>
      <c r="X211" s="221"/>
      <c r="Y211" s="221"/>
      <c r="Z211" s="221"/>
      <c r="AA211" s="221"/>
      <c r="AB211" s="221"/>
    </row>
    <row r="212">
      <c r="A212" s="294"/>
      <c r="B212" s="294"/>
      <c r="C212" s="295"/>
      <c r="D212" s="295"/>
      <c r="E212" s="295"/>
      <c r="F212" s="295"/>
      <c r="G212" s="295"/>
      <c r="H212" s="295"/>
      <c r="I212" s="221"/>
      <c r="J212" s="221"/>
      <c r="K212" s="221"/>
      <c r="L212" s="221"/>
      <c r="M212" s="221"/>
      <c r="N212" s="221"/>
      <c r="O212" s="221"/>
      <c r="P212" s="221"/>
      <c r="Q212" s="221"/>
      <c r="R212" s="221"/>
      <c r="S212" s="221"/>
      <c r="T212" s="221"/>
      <c r="U212" s="221"/>
      <c r="V212" s="221"/>
      <c r="W212" s="221"/>
      <c r="X212" s="221"/>
      <c r="Y212" s="221"/>
      <c r="Z212" s="221"/>
      <c r="AA212" s="221"/>
      <c r="AB212" s="221"/>
    </row>
    <row r="213">
      <c r="A213" s="294"/>
      <c r="B213" s="294"/>
      <c r="C213" s="295"/>
      <c r="D213" s="295"/>
      <c r="E213" s="295"/>
      <c r="F213" s="295"/>
      <c r="G213" s="295"/>
      <c r="H213" s="295"/>
      <c r="I213" s="221"/>
      <c r="J213" s="221"/>
      <c r="K213" s="221"/>
      <c r="L213" s="221"/>
      <c r="M213" s="221"/>
      <c r="N213" s="221"/>
      <c r="O213" s="221"/>
      <c r="P213" s="221"/>
      <c r="Q213" s="221"/>
      <c r="R213" s="221"/>
      <c r="S213" s="221"/>
      <c r="T213" s="221"/>
      <c r="U213" s="221"/>
      <c r="V213" s="221"/>
      <c r="W213" s="221"/>
      <c r="X213" s="221"/>
      <c r="Y213" s="221"/>
      <c r="Z213" s="221"/>
      <c r="AA213" s="221"/>
      <c r="AB213" s="221"/>
    </row>
    <row r="214">
      <c r="A214" s="294"/>
      <c r="B214" s="294"/>
      <c r="C214" s="295"/>
      <c r="D214" s="295"/>
      <c r="E214" s="295"/>
      <c r="F214" s="295"/>
      <c r="G214" s="295"/>
      <c r="H214" s="295"/>
      <c r="I214" s="221"/>
      <c r="J214" s="221"/>
      <c r="K214" s="221"/>
      <c r="L214" s="221"/>
      <c r="M214" s="221"/>
      <c r="N214" s="221"/>
      <c r="O214" s="221"/>
      <c r="P214" s="221"/>
      <c r="Q214" s="221"/>
      <c r="R214" s="221"/>
      <c r="S214" s="221"/>
      <c r="T214" s="221"/>
      <c r="U214" s="221"/>
      <c r="V214" s="221"/>
      <c r="W214" s="221"/>
      <c r="X214" s="221"/>
      <c r="Y214" s="221"/>
      <c r="Z214" s="221"/>
      <c r="AA214" s="221"/>
      <c r="AB214" s="221"/>
    </row>
    <row r="215">
      <c r="A215" s="294"/>
      <c r="B215" s="294"/>
      <c r="C215" s="295"/>
      <c r="D215" s="295"/>
      <c r="E215" s="295"/>
      <c r="F215" s="295"/>
      <c r="G215" s="295"/>
      <c r="H215" s="295"/>
      <c r="I215" s="221"/>
      <c r="J215" s="221"/>
      <c r="K215" s="221"/>
      <c r="L215" s="221"/>
      <c r="M215" s="221"/>
      <c r="N215" s="221"/>
      <c r="O215" s="221"/>
      <c r="P215" s="221"/>
      <c r="Q215" s="221"/>
      <c r="R215" s="221"/>
      <c r="S215" s="221"/>
      <c r="T215" s="221"/>
      <c r="U215" s="221"/>
      <c r="V215" s="221"/>
      <c r="W215" s="221"/>
      <c r="X215" s="221"/>
      <c r="Y215" s="221"/>
      <c r="Z215" s="221"/>
      <c r="AA215" s="221"/>
      <c r="AB215" s="221"/>
    </row>
    <row r="216">
      <c r="A216" s="294"/>
      <c r="B216" s="294"/>
      <c r="C216" s="295"/>
      <c r="D216" s="295"/>
      <c r="E216" s="295"/>
      <c r="F216" s="295"/>
      <c r="G216" s="295"/>
      <c r="H216" s="295"/>
      <c r="I216" s="221"/>
      <c r="J216" s="221"/>
      <c r="K216" s="221"/>
      <c r="L216" s="221"/>
      <c r="M216" s="221"/>
      <c r="N216" s="221"/>
      <c r="O216" s="221"/>
      <c r="P216" s="221"/>
      <c r="Q216" s="221"/>
      <c r="R216" s="221"/>
      <c r="S216" s="221"/>
      <c r="T216" s="221"/>
      <c r="U216" s="221"/>
      <c r="V216" s="221"/>
      <c r="W216" s="221"/>
      <c r="X216" s="221"/>
      <c r="Y216" s="221"/>
      <c r="Z216" s="221"/>
      <c r="AA216" s="221"/>
      <c r="AB216" s="221"/>
    </row>
    <row r="217">
      <c r="A217" s="294"/>
      <c r="B217" s="294"/>
      <c r="C217" s="295"/>
      <c r="D217" s="295"/>
      <c r="E217" s="295"/>
      <c r="F217" s="295"/>
      <c r="G217" s="295"/>
      <c r="H217" s="295"/>
      <c r="I217" s="221"/>
      <c r="J217" s="221"/>
      <c r="K217" s="221"/>
      <c r="L217" s="221"/>
      <c r="M217" s="221"/>
      <c r="N217" s="221"/>
      <c r="O217" s="221"/>
      <c r="P217" s="221"/>
      <c r="Q217" s="221"/>
      <c r="R217" s="221"/>
      <c r="S217" s="221"/>
      <c r="T217" s="221"/>
      <c r="U217" s="221"/>
      <c r="V217" s="221"/>
      <c r="W217" s="221"/>
      <c r="X217" s="221"/>
      <c r="Y217" s="221"/>
      <c r="Z217" s="221"/>
      <c r="AA217" s="221"/>
      <c r="AB217" s="221"/>
    </row>
    <row r="218">
      <c r="A218" s="294"/>
      <c r="B218" s="294"/>
      <c r="C218" s="295"/>
      <c r="D218" s="295"/>
      <c r="E218" s="295"/>
      <c r="F218" s="295"/>
      <c r="G218" s="295"/>
      <c r="H218" s="295"/>
      <c r="I218" s="221"/>
      <c r="J218" s="221"/>
      <c r="K218" s="221"/>
      <c r="L218" s="221"/>
      <c r="M218" s="221"/>
      <c r="N218" s="221"/>
      <c r="O218" s="221"/>
      <c r="P218" s="221"/>
      <c r="Q218" s="221"/>
      <c r="R218" s="221"/>
      <c r="S218" s="221"/>
      <c r="T218" s="221"/>
      <c r="U218" s="221"/>
      <c r="V218" s="221"/>
      <c r="W218" s="221"/>
      <c r="X218" s="221"/>
      <c r="Y218" s="221"/>
      <c r="Z218" s="221"/>
      <c r="AA218" s="221"/>
      <c r="AB218" s="221"/>
    </row>
    <row r="219">
      <c r="A219" s="294"/>
      <c r="B219" s="294"/>
      <c r="C219" s="295"/>
      <c r="D219" s="295"/>
      <c r="E219" s="295"/>
      <c r="F219" s="295"/>
      <c r="G219" s="295"/>
      <c r="H219" s="295"/>
      <c r="I219" s="221"/>
      <c r="J219" s="221"/>
      <c r="K219" s="221"/>
      <c r="L219" s="221"/>
      <c r="M219" s="221"/>
      <c r="N219" s="221"/>
      <c r="O219" s="221"/>
      <c r="P219" s="221"/>
      <c r="Q219" s="221"/>
      <c r="R219" s="221"/>
      <c r="S219" s="221"/>
      <c r="T219" s="221"/>
      <c r="U219" s="221"/>
      <c r="V219" s="221"/>
      <c r="W219" s="221"/>
      <c r="X219" s="221"/>
      <c r="Y219" s="221"/>
      <c r="Z219" s="221"/>
      <c r="AA219" s="221"/>
      <c r="AB219" s="221"/>
    </row>
    <row r="220">
      <c r="A220" s="294"/>
      <c r="B220" s="294"/>
      <c r="C220" s="295"/>
      <c r="D220" s="295"/>
      <c r="E220" s="295"/>
      <c r="F220" s="295"/>
      <c r="G220" s="295"/>
      <c r="H220" s="295"/>
      <c r="I220" s="221"/>
      <c r="J220" s="221"/>
      <c r="K220" s="221"/>
      <c r="L220" s="221"/>
      <c r="M220" s="221"/>
      <c r="N220" s="221"/>
      <c r="O220" s="221"/>
      <c r="P220" s="221"/>
      <c r="Q220" s="221"/>
      <c r="R220" s="221"/>
      <c r="S220" s="221"/>
      <c r="T220" s="221"/>
      <c r="U220" s="221"/>
      <c r="V220" s="221"/>
      <c r="W220" s="221"/>
      <c r="X220" s="221"/>
      <c r="Y220" s="221"/>
      <c r="Z220" s="221"/>
      <c r="AA220" s="221"/>
      <c r="AB220" s="221"/>
    </row>
    <row r="221">
      <c r="A221" s="294"/>
      <c r="B221" s="294"/>
      <c r="C221" s="295"/>
      <c r="D221" s="295"/>
      <c r="E221" s="295"/>
      <c r="F221" s="295"/>
      <c r="G221" s="295"/>
      <c r="H221" s="295"/>
      <c r="I221" s="221"/>
      <c r="J221" s="221"/>
      <c r="K221" s="221"/>
      <c r="L221" s="221"/>
      <c r="M221" s="221"/>
      <c r="N221" s="221"/>
      <c r="O221" s="221"/>
      <c r="P221" s="221"/>
      <c r="Q221" s="221"/>
      <c r="R221" s="221"/>
      <c r="S221" s="221"/>
      <c r="T221" s="221"/>
      <c r="U221" s="221"/>
      <c r="V221" s="221"/>
      <c r="W221" s="221"/>
      <c r="X221" s="221"/>
      <c r="Y221" s="221"/>
      <c r="Z221" s="221"/>
      <c r="AA221" s="221"/>
      <c r="AB221" s="221"/>
    </row>
    <row r="222">
      <c r="A222" s="294"/>
      <c r="B222" s="294"/>
      <c r="C222" s="295"/>
      <c r="D222" s="295"/>
      <c r="E222" s="295"/>
      <c r="F222" s="295"/>
      <c r="G222" s="295"/>
      <c r="H222" s="295"/>
      <c r="I222" s="221"/>
      <c r="J222" s="221"/>
      <c r="K222" s="221"/>
      <c r="L222" s="221"/>
      <c r="M222" s="221"/>
      <c r="N222" s="221"/>
      <c r="O222" s="221"/>
      <c r="P222" s="221"/>
      <c r="Q222" s="221"/>
      <c r="R222" s="221"/>
      <c r="S222" s="221"/>
      <c r="T222" s="221"/>
      <c r="U222" s="221"/>
      <c r="V222" s="221"/>
      <c r="W222" s="221"/>
      <c r="X222" s="221"/>
      <c r="Y222" s="221"/>
      <c r="Z222" s="221"/>
      <c r="AA222" s="221"/>
      <c r="AB222" s="221"/>
    </row>
    <row r="223">
      <c r="A223" s="294"/>
      <c r="B223" s="294"/>
      <c r="C223" s="295"/>
      <c r="D223" s="295"/>
      <c r="E223" s="295"/>
      <c r="F223" s="295"/>
      <c r="G223" s="295"/>
      <c r="H223" s="295"/>
      <c r="I223" s="221"/>
      <c r="J223" s="221"/>
      <c r="K223" s="221"/>
      <c r="L223" s="221"/>
      <c r="M223" s="221"/>
      <c r="N223" s="221"/>
      <c r="O223" s="221"/>
      <c r="P223" s="221"/>
      <c r="Q223" s="221"/>
      <c r="R223" s="221"/>
      <c r="S223" s="221"/>
      <c r="T223" s="221"/>
      <c r="U223" s="221"/>
      <c r="V223" s="221"/>
      <c r="W223" s="221"/>
      <c r="X223" s="221"/>
      <c r="Y223" s="221"/>
      <c r="Z223" s="221"/>
      <c r="AA223" s="221"/>
      <c r="AB223" s="221"/>
    </row>
    <row r="224">
      <c r="A224" s="294"/>
      <c r="B224" s="294"/>
      <c r="C224" s="295"/>
      <c r="D224" s="295"/>
      <c r="E224" s="295"/>
      <c r="F224" s="295"/>
      <c r="G224" s="295"/>
      <c r="H224" s="295"/>
      <c r="I224" s="221"/>
      <c r="J224" s="221"/>
      <c r="K224" s="221"/>
      <c r="L224" s="221"/>
      <c r="M224" s="221"/>
      <c r="N224" s="221"/>
      <c r="O224" s="221"/>
      <c r="P224" s="221"/>
      <c r="Q224" s="221"/>
      <c r="R224" s="221"/>
      <c r="S224" s="221"/>
      <c r="T224" s="221"/>
      <c r="U224" s="221"/>
      <c r="V224" s="221"/>
      <c r="W224" s="221"/>
      <c r="X224" s="221"/>
      <c r="Y224" s="221"/>
      <c r="Z224" s="221"/>
      <c r="AA224" s="221"/>
      <c r="AB224" s="221"/>
    </row>
    <row r="225">
      <c r="A225" s="294"/>
      <c r="B225" s="294"/>
      <c r="C225" s="295"/>
      <c r="D225" s="295"/>
      <c r="E225" s="295"/>
      <c r="F225" s="295"/>
      <c r="G225" s="295"/>
      <c r="H225" s="295"/>
      <c r="I225" s="221"/>
      <c r="J225" s="221"/>
      <c r="K225" s="221"/>
      <c r="L225" s="221"/>
      <c r="M225" s="221"/>
      <c r="N225" s="221"/>
      <c r="O225" s="221"/>
      <c r="P225" s="221"/>
      <c r="Q225" s="221"/>
      <c r="R225" s="221"/>
      <c r="S225" s="221"/>
      <c r="T225" s="221"/>
      <c r="U225" s="221"/>
      <c r="V225" s="221"/>
      <c r="W225" s="221"/>
      <c r="X225" s="221"/>
      <c r="Y225" s="221"/>
      <c r="Z225" s="221"/>
      <c r="AA225" s="221"/>
      <c r="AB225" s="221"/>
    </row>
    <row r="226">
      <c r="A226" s="294"/>
      <c r="B226" s="294"/>
      <c r="C226" s="295"/>
      <c r="D226" s="295"/>
      <c r="E226" s="295"/>
      <c r="F226" s="295"/>
      <c r="G226" s="295"/>
      <c r="H226" s="295"/>
      <c r="I226" s="221"/>
      <c r="J226" s="221"/>
      <c r="K226" s="221"/>
      <c r="L226" s="221"/>
      <c r="M226" s="221"/>
      <c r="N226" s="221"/>
      <c r="O226" s="221"/>
      <c r="P226" s="221"/>
      <c r="Q226" s="221"/>
      <c r="R226" s="221"/>
      <c r="S226" s="221"/>
      <c r="T226" s="221"/>
      <c r="U226" s="221"/>
      <c r="V226" s="221"/>
      <c r="W226" s="221"/>
      <c r="X226" s="221"/>
      <c r="Y226" s="221"/>
      <c r="Z226" s="221"/>
      <c r="AA226" s="221"/>
      <c r="AB226" s="221"/>
    </row>
    <row r="227">
      <c r="A227" s="294"/>
      <c r="B227" s="294"/>
      <c r="C227" s="295"/>
      <c r="D227" s="295"/>
      <c r="E227" s="295"/>
      <c r="F227" s="295"/>
      <c r="G227" s="295"/>
      <c r="H227" s="295"/>
      <c r="I227" s="221"/>
      <c r="J227" s="221"/>
      <c r="K227" s="221"/>
      <c r="L227" s="221"/>
      <c r="M227" s="221"/>
      <c r="N227" s="221"/>
      <c r="O227" s="221"/>
      <c r="P227" s="221"/>
      <c r="Q227" s="221"/>
      <c r="R227" s="221"/>
      <c r="S227" s="221"/>
      <c r="T227" s="221"/>
      <c r="U227" s="221"/>
      <c r="V227" s="221"/>
      <c r="W227" s="221"/>
      <c r="X227" s="221"/>
      <c r="Y227" s="221"/>
      <c r="Z227" s="221"/>
      <c r="AA227" s="221"/>
      <c r="AB227" s="221"/>
    </row>
    <row r="228">
      <c r="A228" s="294"/>
      <c r="B228" s="294"/>
      <c r="C228" s="295"/>
      <c r="D228" s="295"/>
      <c r="E228" s="295"/>
      <c r="F228" s="295"/>
      <c r="G228" s="295"/>
      <c r="H228" s="295"/>
      <c r="I228" s="221"/>
      <c r="J228" s="221"/>
      <c r="K228" s="221"/>
      <c r="L228" s="221"/>
      <c r="M228" s="221"/>
      <c r="N228" s="221"/>
      <c r="O228" s="221"/>
      <c r="P228" s="221"/>
      <c r="Q228" s="221"/>
      <c r="R228" s="221"/>
      <c r="S228" s="221"/>
      <c r="T228" s="221"/>
      <c r="U228" s="221"/>
      <c r="V228" s="221"/>
      <c r="W228" s="221"/>
      <c r="X228" s="221"/>
      <c r="Y228" s="221"/>
      <c r="Z228" s="221"/>
      <c r="AA228" s="221"/>
      <c r="AB228" s="221"/>
    </row>
    <row r="229">
      <c r="A229" s="294"/>
      <c r="B229" s="294"/>
      <c r="C229" s="295"/>
      <c r="D229" s="295"/>
      <c r="E229" s="295"/>
      <c r="F229" s="295"/>
      <c r="G229" s="295"/>
      <c r="H229" s="295"/>
      <c r="I229" s="221"/>
      <c r="J229" s="221"/>
      <c r="K229" s="221"/>
      <c r="L229" s="221"/>
      <c r="M229" s="221"/>
      <c r="N229" s="221"/>
      <c r="O229" s="221"/>
      <c r="P229" s="221"/>
      <c r="Q229" s="221"/>
      <c r="R229" s="221"/>
      <c r="S229" s="221"/>
      <c r="T229" s="221"/>
      <c r="U229" s="221"/>
      <c r="V229" s="221"/>
      <c r="W229" s="221"/>
      <c r="X229" s="221"/>
      <c r="Y229" s="221"/>
      <c r="Z229" s="221"/>
      <c r="AA229" s="221"/>
      <c r="AB229" s="221"/>
    </row>
    <row r="230">
      <c r="A230" s="294"/>
      <c r="B230" s="294"/>
      <c r="C230" s="295"/>
      <c r="D230" s="295"/>
      <c r="E230" s="295"/>
      <c r="F230" s="295"/>
      <c r="G230" s="295"/>
      <c r="H230" s="295"/>
      <c r="I230" s="221"/>
      <c r="J230" s="221"/>
      <c r="K230" s="221"/>
      <c r="L230" s="221"/>
      <c r="M230" s="221"/>
      <c r="N230" s="221"/>
      <c r="O230" s="221"/>
      <c r="P230" s="221"/>
      <c r="Q230" s="221"/>
      <c r="R230" s="221"/>
      <c r="S230" s="221"/>
      <c r="T230" s="221"/>
      <c r="U230" s="221"/>
      <c r="V230" s="221"/>
      <c r="W230" s="221"/>
      <c r="X230" s="221"/>
      <c r="Y230" s="221"/>
      <c r="Z230" s="221"/>
      <c r="AA230" s="221"/>
      <c r="AB230" s="221"/>
    </row>
    <row r="231">
      <c r="A231" s="294"/>
      <c r="B231" s="294"/>
      <c r="C231" s="295"/>
      <c r="D231" s="295"/>
      <c r="E231" s="295"/>
      <c r="F231" s="295"/>
      <c r="G231" s="295"/>
      <c r="H231" s="295"/>
      <c r="I231" s="221"/>
      <c r="J231" s="221"/>
      <c r="K231" s="221"/>
      <c r="L231" s="221"/>
      <c r="M231" s="221"/>
      <c r="N231" s="221"/>
      <c r="O231" s="221"/>
      <c r="P231" s="221"/>
      <c r="Q231" s="221"/>
      <c r="R231" s="221"/>
      <c r="S231" s="221"/>
      <c r="T231" s="221"/>
      <c r="U231" s="221"/>
      <c r="V231" s="221"/>
      <c r="W231" s="221"/>
      <c r="X231" s="221"/>
      <c r="Y231" s="221"/>
      <c r="Z231" s="221"/>
      <c r="AA231" s="221"/>
      <c r="AB231" s="221"/>
    </row>
    <row r="232">
      <c r="A232" s="294"/>
      <c r="B232" s="294"/>
      <c r="C232" s="295"/>
      <c r="D232" s="295"/>
      <c r="E232" s="295"/>
      <c r="F232" s="295"/>
      <c r="G232" s="295"/>
      <c r="H232" s="295"/>
      <c r="I232" s="221"/>
      <c r="J232" s="221"/>
      <c r="K232" s="221"/>
      <c r="L232" s="221"/>
      <c r="M232" s="221"/>
      <c r="N232" s="221"/>
      <c r="O232" s="221"/>
      <c r="P232" s="221"/>
      <c r="Q232" s="221"/>
      <c r="R232" s="221"/>
      <c r="S232" s="221"/>
      <c r="T232" s="221"/>
      <c r="U232" s="221"/>
      <c r="V232" s="221"/>
      <c r="W232" s="221"/>
      <c r="X232" s="221"/>
      <c r="Y232" s="221"/>
      <c r="Z232" s="221"/>
      <c r="AA232" s="221"/>
      <c r="AB232" s="221"/>
    </row>
    <row r="233">
      <c r="A233" s="294"/>
      <c r="B233" s="294"/>
      <c r="C233" s="295"/>
      <c r="D233" s="295"/>
      <c r="E233" s="295"/>
      <c r="F233" s="295"/>
      <c r="G233" s="295"/>
      <c r="H233" s="295"/>
      <c r="I233" s="221"/>
      <c r="J233" s="221"/>
      <c r="K233" s="221"/>
      <c r="L233" s="221"/>
      <c r="M233" s="221"/>
      <c r="N233" s="221"/>
      <c r="O233" s="221"/>
      <c r="P233" s="221"/>
      <c r="Q233" s="221"/>
      <c r="R233" s="221"/>
      <c r="S233" s="221"/>
      <c r="T233" s="221"/>
      <c r="U233" s="221"/>
      <c r="V233" s="221"/>
      <c r="W233" s="221"/>
      <c r="X233" s="221"/>
      <c r="Y233" s="221"/>
      <c r="Z233" s="221"/>
      <c r="AA233" s="221"/>
      <c r="AB233" s="221"/>
    </row>
    <row r="234">
      <c r="A234" s="294"/>
      <c r="B234" s="294"/>
      <c r="C234" s="295"/>
      <c r="D234" s="295"/>
      <c r="E234" s="295"/>
      <c r="F234" s="295"/>
      <c r="G234" s="295"/>
      <c r="H234" s="295"/>
      <c r="I234" s="221"/>
      <c r="J234" s="221"/>
      <c r="K234" s="221"/>
      <c r="L234" s="221"/>
      <c r="M234" s="221"/>
      <c r="N234" s="221"/>
      <c r="O234" s="221"/>
      <c r="P234" s="221"/>
      <c r="Q234" s="221"/>
      <c r="R234" s="221"/>
      <c r="S234" s="221"/>
      <c r="T234" s="221"/>
      <c r="U234" s="221"/>
      <c r="V234" s="221"/>
      <c r="W234" s="221"/>
      <c r="X234" s="221"/>
      <c r="Y234" s="221"/>
      <c r="Z234" s="221"/>
      <c r="AA234" s="221"/>
      <c r="AB234" s="221"/>
    </row>
    <row r="235">
      <c r="A235" s="294"/>
      <c r="B235" s="294"/>
      <c r="C235" s="295"/>
      <c r="D235" s="295"/>
      <c r="E235" s="295"/>
      <c r="F235" s="295"/>
      <c r="G235" s="295"/>
      <c r="H235" s="295"/>
      <c r="I235" s="221"/>
      <c r="J235" s="221"/>
      <c r="K235" s="221"/>
      <c r="L235" s="221"/>
      <c r="M235" s="221"/>
      <c r="N235" s="221"/>
      <c r="O235" s="221"/>
      <c r="P235" s="221"/>
      <c r="Q235" s="221"/>
      <c r="R235" s="221"/>
      <c r="S235" s="221"/>
      <c r="T235" s="221"/>
      <c r="U235" s="221"/>
      <c r="V235" s="221"/>
      <c r="W235" s="221"/>
      <c r="X235" s="221"/>
      <c r="Y235" s="221"/>
      <c r="Z235" s="221"/>
      <c r="AA235" s="221"/>
      <c r="AB235" s="221"/>
    </row>
    <row r="236">
      <c r="A236" s="294"/>
      <c r="B236" s="294"/>
      <c r="C236" s="295"/>
      <c r="D236" s="295"/>
      <c r="E236" s="295"/>
      <c r="F236" s="295"/>
      <c r="G236" s="295"/>
      <c r="H236" s="295"/>
      <c r="I236" s="221"/>
      <c r="J236" s="221"/>
      <c r="K236" s="221"/>
      <c r="L236" s="221"/>
      <c r="M236" s="221"/>
      <c r="N236" s="221"/>
      <c r="O236" s="221"/>
      <c r="P236" s="221"/>
      <c r="Q236" s="221"/>
      <c r="R236" s="221"/>
      <c r="S236" s="221"/>
      <c r="T236" s="221"/>
      <c r="U236" s="221"/>
      <c r="V236" s="221"/>
      <c r="W236" s="221"/>
      <c r="X236" s="221"/>
      <c r="Y236" s="221"/>
      <c r="Z236" s="221"/>
      <c r="AA236" s="221"/>
      <c r="AB236" s="221"/>
    </row>
    <row r="237">
      <c r="A237" s="294"/>
      <c r="B237" s="294"/>
      <c r="C237" s="295"/>
      <c r="D237" s="295"/>
      <c r="E237" s="295"/>
      <c r="F237" s="295"/>
      <c r="G237" s="295"/>
      <c r="H237" s="295"/>
      <c r="I237" s="221"/>
      <c r="J237" s="221"/>
      <c r="K237" s="221"/>
      <c r="L237" s="221"/>
      <c r="M237" s="221"/>
      <c r="N237" s="221"/>
      <c r="O237" s="221"/>
      <c r="P237" s="221"/>
      <c r="Q237" s="221"/>
      <c r="R237" s="221"/>
      <c r="S237" s="221"/>
      <c r="T237" s="221"/>
      <c r="U237" s="221"/>
      <c r="V237" s="221"/>
      <c r="W237" s="221"/>
      <c r="X237" s="221"/>
      <c r="Y237" s="221"/>
      <c r="Z237" s="221"/>
      <c r="AA237" s="221"/>
      <c r="AB237" s="221"/>
    </row>
    <row r="238">
      <c r="A238" s="294"/>
      <c r="B238" s="294"/>
      <c r="C238" s="295"/>
      <c r="D238" s="295"/>
      <c r="E238" s="295"/>
      <c r="F238" s="295"/>
      <c r="G238" s="295"/>
      <c r="H238" s="295"/>
      <c r="I238" s="221"/>
      <c r="J238" s="221"/>
      <c r="K238" s="221"/>
      <c r="L238" s="221"/>
      <c r="M238" s="221"/>
      <c r="N238" s="221"/>
      <c r="O238" s="221"/>
      <c r="P238" s="221"/>
      <c r="Q238" s="221"/>
      <c r="R238" s="221"/>
      <c r="S238" s="221"/>
      <c r="T238" s="221"/>
      <c r="U238" s="221"/>
      <c r="V238" s="221"/>
      <c r="W238" s="221"/>
      <c r="X238" s="221"/>
      <c r="Y238" s="221"/>
      <c r="Z238" s="221"/>
      <c r="AA238" s="221"/>
      <c r="AB238" s="221"/>
    </row>
    <row r="239">
      <c r="A239" s="294"/>
      <c r="B239" s="294"/>
      <c r="C239" s="295"/>
      <c r="D239" s="295"/>
      <c r="E239" s="295"/>
      <c r="F239" s="295"/>
      <c r="G239" s="295"/>
      <c r="H239" s="295"/>
      <c r="I239" s="221"/>
      <c r="J239" s="221"/>
      <c r="K239" s="221"/>
      <c r="L239" s="221"/>
      <c r="M239" s="221"/>
      <c r="N239" s="221"/>
      <c r="O239" s="221"/>
      <c r="P239" s="221"/>
      <c r="Q239" s="221"/>
      <c r="R239" s="221"/>
      <c r="S239" s="221"/>
      <c r="T239" s="221"/>
      <c r="U239" s="221"/>
      <c r="V239" s="221"/>
      <c r="W239" s="221"/>
      <c r="X239" s="221"/>
      <c r="Y239" s="221"/>
      <c r="Z239" s="221"/>
      <c r="AA239" s="221"/>
      <c r="AB239" s="221"/>
    </row>
    <row r="240">
      <c r="A240" s="294"/>
      <c r="B240" s="294"/>
      <c r="C240" s="295"/>
      <c r="D240" s="295"/>
      <c r="E240" s="295"/>
      <c r="F240" s="295"/>
      <c r="G240" s="295"/>
      <c r="H240" s="295"/>
      <c r="I240" s="221"/>
      <c r="J240" s="221"/>
      <c r="K240" s="221"/>
      <c r="L240" s="221"/>
      <c r="M240" s="221"/>
      <c r="N240" s="221"/>
      <c r="O240" s="221"/>
      <c r="P240" s="221"/>
      <c r="Q240" s="221"/>
      <c r="R240" s="221"/>
      <c r="S240" s="221"/>
      <c r="T240" s="221"/>
      <c r="U240" s="221"/>
      <c r="V240" s="221"/>
      <c r="W240" s="221"/>
      <c r="X240" s="221"/>
      <c r="Y240" s="221"/>
      <c r="Z240" s="221"/>
      <c r="AA240" s="221"/>
      <c r="AB240" s="221"/>
    </row>
    <row r="241">
      <c r="A241" s="294"/>
      <c r="B241" s="294"/>
      <c r="C241" s="295"/>
      <c r="D241" s="295"/>
      <c r="E241" s="295"/>
      <c r="F241" s="295"/>
      <c r="G241" s="295"/>
      <c r="H241" s="295"/>
      <c r="I241" s="221"/>
      <c r="J241" s="221"/>
      <c r="K241" s="221"/>
      <c r="L241" s="221"/>
      <c r="M241" s="221"/>
      <c r="N241" s="221"/>
      <c r="O241" s="221"/>
      <c r="P241" s="221"/>
      <c r="Q241" s="221"/>
      <c r="R241" s="221"/>
      <c r="S241" s="221"/>
      <c r="T241" s="221"/>
      <c r="U241" s="221"/>
      <c r="V241" s="221"/>
      <c r="W241" s="221"/>
      <c r="X241" s="221"/>
      <c r="Y241" s="221"/>
      <c r="Z241" s="221"/>
      <c r="AA241" s="221"/>
      <c r="AB241" s="221"/>
    </row>
    <row r="242">
      <c r="A242" s="294"/>
      <c r="B242" s="294"/>
      <c r="C242" s="295"/>
      <c r="D242" s="295"/>
      <c r="E242" s="295"/>
      <c r="F242" s="295"/>
      <c r="G242" s="295"/>
      <c r="H242" s="295"/>
      <c r="I242" s="221"/>
      <c r="J242" s="221"/>
      <c r="K242" s="221"/>
      <c r="L242" s="221"/>
      <c r="M242" s="221"/>
      <c r="N242" s="221"/>
      <c r="O242" s="221"/>
      <c r="P242" s="221"/>
      <c r="Q242" s="221"/>
      <c r="R242" s="221"/>
      <c r="S242" s="221"/>
      <c r="T242" s="221"/>
      <c r="U242" s="221"/>
      <c r="V242" s="221"/>
      <c r="W242" s="221"/>
      <c r="X242" s="221"/>
      <c r="Y242" s="221"/>
      <c r="Z242" s="221"/>
      <c r="AA242" s="221"/>
      <c r="AB242" s="221"/>
    </row>
    <row r="243">
      <c r="A243" s="294"/>
      <c r="B243" s="294"/>
      <c r="C243" s="295"/>
      <c r="D243" s="295"/>
      <c r="E243" s="295"/>
      <c r="F243" s="295"/>
      <c r="G243" s="295"/>
      <c r="H243" s="295"/>
      <c r="I243" s="221"/>
      <c r="J243" s="221"/>
      <c r="K243" s="221"/>
      <c r="L243" s="221"/>
      <c r="M243" s="221"/>
      <c r="N243" s="221"/>
      <c r="O243" s="221"/>
      <c r="P243" s="221"/>
      <c r="Q243" s="221"/>
      <c r="R243" s="221"/>
      <c r="S243" s="221"/>
      <c r="T243" s="221"/>
      <c r="U243" s="221"/>
      <c r="V243" s="221"/>
      <c r="W243" s="221"/>
      <c r="X243" s="221"/>
      <c r="Y243" s="221"/>
      <c r="Z243" s="221"/>
      <c r="AA243" s="221"/>
      <c r="AB243" s="221"/>
    </row>
    <row r="244">
      <c r="A244" s="294"/>
      <c r="B244" s="294"/>
      <c r="C244" s="295"/>
      <c r="D244" s="295"/>
      <c r="E244" s="295"/>
      <c r="F244" s="295"/>
      <c r="G244" s="295"/>
      <c r="H244" s="295"/>
      <c r="I244" s="221"/>
      <c r="J244" s="221"/>
      <c r="K244" s="221"/>
      <c r="L244" s="221"/>
      <c r="M244" s="221"/>
      <c r="N244" s="221"/>
      <c r="O244" s="221"/>
      <c r="P244" s="221"/>
      <c r="Q244" s="221"/>
      <c r="R244" s="221"/>
      <c r="S244" s="221"/>
      <c r="T244" s="221"/>
      <c r="U244" s="221"/>
      <c r="V244" s="221"/>
      <c r="W244" s="221"/>
      <c r="X244" s="221"/>
      <c r="Y244" s="221"/>
      <c r="Z244" s="221"/>
      <c r="AA244" s="221"/>
      <c r="AB244" s="221"/>
    </row>
    <row r="245">
      <c r="A245" s="294"/>
      <c r="B245" s="294"/>
      <c r="C245" s="295"/>
      <c r="D245" s="295"/>
      <c r="E245" s="295"/>
      <c r="F245" s="295"/>
      <c r="G245" s="295"/>
      <c r="H245" s="295"/>
      <c r="I245" s="221"/>
      <c r="J245" s="221"/>
      <c r="K245" s="221"/>
      <c r="L245" s="221"/>
      <c r="M245" s="221"/>
      <c r="N245" s="221"/>
      <c r="O245" s="221"/>
      <c r="P245" s="221"/>
      <c r="Q245" s="221"/>
      <c r="R245" s="221"/>
      <c r="S245" s="221"/>
      <c r="T245" s="221"/>
      <c r="U245" s="221"/>
      <c r="V245" s="221"/>
      <c r="W245" s="221"/>
      <c r="X245" s="221"/>
      <c r="Y245" s="221"/>
      <c r="Z245" s="221"/>
      <c r="AA245" s="221"/>
      <c r="AB245" s="221"/>
    </row>
    <row r="246">
      <c r="A246" s="294"/>
      <c r="B246" s="294"/>
      <c r="C246" s="295"/>
      <c r="D246" s="295"/>
      <c r="E246" s="295"/>
      <c r="F246" s="295"/>
      <c r="G246" s="295"/>
      <c r="H246" s="295"/>
      <c r="I246" s="221"/>
      <c r="J246" s="221"/>
      <c r="K246" s="221"/>
      <c r="L246" s="221"/>
      <c r="M246" s="221"/>
      <c r="N246" s="221"/>
      <c r="O246" s="221"/>
      <c r="P246" s="221"/>
      <c r="Q246" s="221"/>
      <c r="R246" s="221"/>
      <c r="S246" s="221"/>
      <c r="T246" s="221"/>
      <c r="U246" s="221"/>
      <c r="V246" s="221"/>
      <c r="W246" s="221"/>
      <c r="X246" s="221"/>
      <c r="Y246" s="221"/>
      <c r="Z246" s="221"/>
      <c r="AA246" s="221"/>
      <c r="AB246" s="221"/>
    </row>
    <row r="247">
      <c r="A247" s="294"/>
      <c r="B247" s="294"/>
      <c r="C247" s="295"/>
      <c r="D247" s="295"/>
      <c r="E247" s="295"/>
      <c r="F247" s="295"/>
      <c r="G247" s="295"/>
      <c r="H247" s="295"/>
      <c r="I247" s="221"/>
      <c r="J247" s="221"/>
      <c r="K247" s="221"/>
      <c r="L247" s="221"/>
      <c r="M247" s="221"/>
      <c r="N247" s="221"/>
      <c r="O247" s="221"/>
      <c r="P247" s="221"/>
      <c r="Q247" s="221"/>
      <c r="R247" s="221"/>
      <c r="S247" s="221"/>
      <c r="T247" s="221"/>
      <c r="U247" s="221"/>
      <c r="V247" s="221"/>
      <c r="W247" s="221"/>
      <c r="X247" s="221"/>
      <c r="Y247" s="221"/>
      <c r="Z247" s="221"/>
      <c r="AA247" s="221"/>
      <c r="AB247" s="221"/>
    </row>
    <row r="248">
      <c r="A248" s="294"/>
      <c r="B248" s="294"/>
      <c r="C248" s="295"/>
      <c r="D248" s="295"/>
      <c r="E248" s="295"/>
      <c r="F248" s="295"/>
      <c r="G248" s="295"/>
      <c r="H248" s="295"/>
      <c r="I248" s="221"/>
      <c r="J248" s="221"/>
      <c r="K248" s="221"/>
      <c r="L248" s="221"/>
      <c r="M248" s="221"/>
      <c r="N248" s="221"/>
      <c r="O248" s="221"/>
      <c r="P248" s="221"/>
      <c r="Q248" s="221"/>
      <c r="R248" s="221"/>
      <c r="S248" s="221"/>
      <c r="T248" s="221"/>
      <c r="U248" s="221"/>
      <c r="V248" s="221"/>
      <c r="W248" s="221"/>
      <c r="X248" s="221"/>
      <c r="Y248" s="221"/>
      <c r="Z248" s="221"/>
      <c r="AA248" s="221"/>
      <c r="AB248" s="221"/>
    </row>
    <row r="249">
      <c r="A249" s="294"/>
      <c r="B249" s="294"/>
      <c r="C249" s="295"/>
      <c r="D249" s="295"/>
      <c r="E249" s="295"/>
      <c r="F249" s="295"/>
      <c r="G249" s="295"/>
      <c r="H249" s="295"/>
      <c r="I249" s="221"/>
      <c r="J249" s="221"/>
      <c r="K249" s="221"/>
      <c r="L249" s="221"/>
      <c r="M249" s="221"/>
      <c r="N249" s="221"/>
      <c r="O249" s="221"/>
      <c r="P249" s="221"/>
      <c r="Q249" s="221"/>
      <c r="R249" s="221"/>
      <c r="S249" s="221"/>
      <c r="T249" s="221"/>
      <c r="U249" s="221"/>
      <c r="V249" s="221"/>
      <c r="W249" s="221"/>
      <c r="X249" s="221"/>
      <c r="Y249" s="221"/>
      <c r="Z249" s="221"/>
      <c r="AA249" s="221"/>
      <c r="AB249" s="221"/>
    </row>
    <row r="250">
      <c r="A250" s="296"/>
      <c r="B250" s="296"/>
      <c r="C250" s="232"/>
      <c r="D250" s="232"/>
      <c r="E250" s="232"/>
      <c r="F250" s="232"/>
      <c r="G250" s="232"/>
      <c r="H250" s="232"/>
      <c r="I250" s="221"/>
      <c r="J250" s="221"/>
      <c r="K250" s="221"/>
      <c r="L250" s="221"/>
      <c r="M250" s="221"/>
      <c r="N250" s="221"/>
      <c r="O250" s="221"/>
      <c r="P250" s="221"/>
      <c r="Q250" s="221"/>
      <c r="R250" s="221"/>
      <c r="S250" s="221"/>
      <c r="T250" s="221"/>
      <c r="U250" s="221"/>
      <c r="V250" s="221"/>
      <c r="W250" s="221"/>
      <c r="X250" s="221"/>
      <c r="Y250" s="221"/>
      <c r="Z250" s="221"/>
      <c r="AA250" s="221"/>
      <c r="AB250" s="221"/>
    </row>
    <row r="251">
      <c r="A251" s="296"/>
      <c r="B251" s="296"/>
      <c r="C251" s="232"/>
      <c r="D251" s="232"/>
      <c r="E251" s="232"/>
      <c r="F251" s="232"/>
      <c r="G251" s="232"/>
      <c r="H251" s="232"/>
      <c r="I251" s="221"/>
      <c r="J251" s="221"/>
      <c r="K251" s="221"/>
      <c r="L251" s="221"/>
      <c r="M251" s="221"/>
      <c r="N251" s="221"/>
      <c r="O251" s="221"/>
      <c r="P251" s="221"/>
      <c r="Q251" s="221"/>
      <c r="R251" s="221"/>
      <c r="S251" s="221"/>
      <c r="T251" s="221"/>
      <c r="U251" s="221"/>
      <c r="V251" s="221"/>
      <c r="W251" s="221"/>
      <c r="X251" s="221"/>
      <c r="Y251" s="221"/>
      <c r="Z251" s="221"/>
      <c r="AA251" s="221"/>
      <c r="AB251" s="221"/>
    </row>
    <row r="252">
      <c r="A252" s="296"/>
      <c r="B252" s="296"/>
      <c r="C252" s="232"/>
      <c r="D252" s="232"/>
      <c r="E252" s="232"/>
      <c r="F252" s="232"/>
      <c r="G252" s="232"/>
      <c r="H252" s="232"/>
      <c r="I252" s="221"/>
      <c r="J252" s="221"/>
      <c r="K252" s="221"/>
      <c r="L252" s="221"/>
      <c r="M252" s="221"/>
      <c r="N252" s="221"/>
      <c r="O252" s="221"/>
      <c r="P252" s="221"/>
      <c r="Q252" s="221"/>
      <c r="R252" s="221"/>
      <c r="S252" s="221"/>
      <c r="T252" s="221"/>
      <c r="U252" s="221"/>
      <c r="V252" s="221"/>
      <c r="W252" s="221"/>
      <c r="X252" s="221"/>
      <c r="Y252" s="221"/>
      <c r="Z252" s="221"/>
      <c r="AA252" s="221"/>
      <c r="AB252" s="221"/>
    </row>
    <row r="253">
      <c r="A253" s="296"/>
      <c r="B253" s="296"/>
      <c r="C253" s="232"/>
      <c r="D253" s="232"/>
      <c r="E253" s="232"/>
      <c r="F253" s="232"/>
      <c r="G253" s="232"/>
      <c r="H253" s="232"/>
      <c r="I253" s="221"/>
      <c r="J253" s="221"/>
      <c r="K253" s="221"/>
      <c r="L253" s="221"/>
      <c r="M253" s="221"/>
      <c r="N253" s="221"/>
      <c r="O253" s="221"/>
      <c r="P253" s="221"/>
      <c r="Q253" s="221"/>
      <c r="R253" s="221"/>
      <c r="S253" s="221"/>
      <c r="T253" s="221"/>
      <c r="U253" s="221"/>
      <c r="V253" s="221"/>
      <c r="W253" s="221"/>
      <c r="X253" s="221"/>
      <c r="Y253" s="221"/>
      <c r="Z253" s="221"/>
      <c r="AA253" s="221"/>
      <c r="AB253" s="221"/>
    </row>
    <row r="254">
      <c r="A254" s="296"/>
      <c r="B254" s="296"/>
      <c r="C254" s="232"/>
      <c r="D254" s="232"/>
      <c r="E254" s="232"/>
      <c r="F254" s="232"/>
      <c r="G254" s="232"/>
      <c r="H254" s="232"/>
      <c r="I254" s="221"/>
      <c r="J254" s="221"/>
      <c r="K254" s="221"/>
      <c r="L254" s="221"/>
      <c r="M254" s="221"/>
      <c r="N254" s="221"/>
      <c r="O254" s="221"/>
      <c r="P254" s="221"/>
      <c r="Q254" s="221"/>
      <c r="R254" s="221"/>
      <c r="S254" s="221"/>
      <c r="T254" s="221"/>
      <c r="U254" s="221"/>
      <c r="V254" s="221"/>
      <c r="W254" s="221"/>
      <c r="X254" s="221"/>
      <c r="Y254" s="221"/>
      <c r="Z254" s="221"/>
      <c r="AA254" s="221"/>
      <c r="AB254" s="221"/>
    </row>
    <row r="255">
      <c r="A255" s="296"/>
      <c r="B255" s="296"/>
      <c r="C255" s="232"/>
      <c r="D255" s="232"/>
      <c r="E255" s="232"/>
      <c r="F255" s="232"/>
      <c r="G255" s="232"/>
      <c r="H255" s="232"/>
      <c r="I255" s="221"/>
      <c r="J255" s="221"/>
      <c r="K255" s="221"/>
      <c r="L255" s="221"/>
      <c r="M255" s="221"/>
      <c r="N255" s="221"/>
      <c r="O255" s="221"/>
      <c r="P255" s="221"/>
      <c r="Q255" s="221"/>
      <c r="R255" s="221"/>
      <c r="S255" s="221"/>
      <c r="T255" s="221"/>
      <c r="U255" s="221"/>
      <c r="V255" s="221"/>
      <c r="W255" s="221"/>
      <c r="X255" s="221"/>
      <c r="Y255" s="221"/>
      <c r="Z255" s="221"/>
      <c r="AA255" s="221"/>
      <c r="AB255" s="221"/>
    </row>
    <row r="256">
      <c r="A256" s="296"/>
      <c r="B256" s="296"/>
      <c r="C256" s="232"/>
      <c r="D256" s="232"/>
      <c r="E256" s="232"/>
      <c r="F256" s="232"/>
      <c r="G256" s="232"/>
      <c r="H256" s="232"/>
      <c r="I256" s="221"/>
      <c r="J256" s="221"/>
      <c r="K256" s="221"/>
      <c r="L256" s="221"/>
      <c r="M256" s="221"/>
      <c r="N256" s="221"/>
      <c r="O256" s="221"/>
      <c r="P256" s="221"/>
      <c r="Q256" s="221"/>
      <c r="R256" s="221"/>
      <c r="S256" s="221"/>
      <c r="T256" s="221"/>
      <c r="U256" s="221"/>
      <c r="V256" s="221"/>
      <c r="W256" s="221"/>
      <c r="X256" s="221"/>
      <c r="Y256" s="221"/>
      <c r="Z256" s="221"/>
      <c r="AA256" s="221"/>
      <c r="AB256" s="221"/>
    </row>
    <row r="257">
      <c r="A257" s="296"/>
      <c r="B257" s="296"/>
      <c r="C257" s="232"/>
      <c r="D257" s="232"/>
      <c r="E257" s="232"/>
      <c r="F257" s="232"/>
      <c r="G257" s="232"/>
      <c r="H257" s="232"/>
      <c r="I257" s="221"/>
      <c r="J257" s="221"/>
      <c r="K257" s="221"/>
      <c r="L257" s="221"/>
      <c r="M257" s="221"/>
      <c r="N257" s="221"/>
      <c r="O257" s="221"/>
      <c r="P257" s="221"/>
      <c r="Q257" s="221"/>
      <c r="R257" s="221"/>
      <c r="S257" s="221"/>
      <c r="T257" s="221"/>
      <c r="U257" s="221"/>
      <c r="V257" s="221"/>
      <c r="W257" s="221"/>
      <c r="X257" s="221"/>
      <c r="Y257" s="221"/>
      <c r="Z257" s="221"/>
      <c r="AA257" s="221"/>
      <c r="AB257" s="221"/>
    </row>
    <row r="258">
      <c r="A258" s="296"/>
      <c r="B258" s="296"/>
      <c r="C258" s="232"/>
      <c r="D258" s="232"/>
      <c r="E258" s="232"/>
      <c r="F258" s="232"/>
      <c r="G258" s="232"/>
      <c r="H258" s="232"/>
      <c r="I258" s="221"/>
      <c r="J258" s="221"/>
      <c r="K258" s="221"/>
      <c r="L258" s="221"/>
      <c r="M258" s="221"/>
      <c r="N258" s="221"/>
      <c r="O258" s="221"/>
      <c r="P258" s="221"/>
      <c r="Q258" s="221"/>
      <c r="R258" s="221"/>
      <c r="S258" s="221"/>
      <c r="T258" s="221"/>
      <c r="U258" s="221"/>
      <c r="V258" s="221"/>
      <c r="W258" s="221"/>
      <c r="X258" s="221"/>
      <c r="Y258" s="221"/>
      <c r="Z258" s="221"/>
      <c r="AA258" s="221"/>
      <c r="AB258" s="221"/>
    </row>
    <row r="259">
      <c r="A259" s="296"/>
      <c r="B259" s="296"/>
      <c r="C259" s="232"/>
      <c r="D259" s="232"/>
      <c r="E259" s="232"/>
      <c r="F259" s="232"/>
      <c r="G259" s="232"/>
      <c r="H259" s="232"/>
      <c r="I259" s="221"/>
      <c r="J259" s="221"/>
      <c r="K259" s="221"/>
      <c r="L259" s="221"/>
      <c r="M259" s="221"/>
      <c r="N259" s="221"/>
      <c r="O259" s="221"/>
      <c r="P259" s="221"/>
      <c r="Q259" s="221"/>
      <c r="R259" s="221"/>
      <c r="S259" s="221"/>
      <c r="T259" s="221"/>
      <c r="U259" s="221"/>
      <c r="V259" s="221"/>
      <c r="W259" s="221"/>
      <c r="X259" s="221"/>
      <c r="Y259" s="221"/>
      <c r="Z259" s="221"/>
      <c r="AA259" s="221"/>
      <c r="AB259" s="221"/>
    </row>
    <row r="260">
      <c r="A260" s="296"/>
      <c r="B260" s="296"/>
      <c r="C260" s="232"/>
      <c r="D260" s="232"/>
      <c r="E260" s="232"/>
      <c r="F260" s="232"/>
      <c r="G260" s="232"/>
      <c r="H260" s="232"/>
      <c r="I260" s="221"/>
      <c r="J260" s="221"/>
      <c r="K260" s="221"/>
      <c r="L260" s="221"/>
      <c r="M260" s="221"/>
      <c r="N260" s="221"/>
      <c r="O260" s="221"/>
      <c r="P260" s="221"/>
      <c r="Q260" s="221"/>
      <c r="R260" s="221"/>
      <c r="S260" s="221"/>
      <c r="T260" s="221"/>
      <c r="U260" s="221"/>
      <c r="V260" s="221"/>
      <c r="W260" s="221"/>
      <c r="X260" s="221"/>
      <c r="Y260" s="221"/>
      <c r="Z260" s="221"/>
      <c r="AA260" s="221"/>
      <c r="AB260" s="221"/>
    </row>
    <row r="261">
      <c r="A261" s="296"/>
      <c r="B261" s="296"/>
      <c r="C261" s="232"/>
      <c r="D261" s="232"/>
      <c r="E261" s="232"/>
      <c r="F261" s="232"/>
      <c r="G261" s="232"/>
      <c r="H261" s="232"/>
      <c r="I261" s="221"/>
      <c r="J261" s="221"/>
      <c r="K261" s="221"/>
      <c r="L261" s="221"/>
      <c r="M261" s="221"/>
      <c r="N261" s="221"/>
      <c r="O261" s="221"/>
      <c r="P261" s="221"/>
      <c r="Q261" s="221"/>
      <c r="R261" s="221"/>
      <c r="S261" s="221"/>
      <c r="T261" s="221"/>
      <c r="U261" s="221"/>
      <c r="V261" s="221"/>
      <c r="W261" s="221"/>
      <c r="X261" s="221"/>
      <c r="Y261" s="221"/>
      <c r="Z261" s="221"/>
      <c r="AA261" s="221"/>
      <c r="AB261" s="221"/>
    </row>
    <row r="262">
      <c r="A262" s="296"/>
      <c r="B262" s="296"/>
      <c r="C262" s="232"/>
      <c r="D262" s="232"/>
      <c r="E262" s="232"/>
      <c r="F262" s="232"/>
      <c r="G262" s="232"/>
      <c r="H262" s="232"/>
      <c r="I262" s="221"/>
      <c r="J262" s="221"/>
      <c r="K262" s="221"/>
      <c r="L262" s="221"/>
      <c r="M262" s="221"/>
      <c r="N262" s="221"/>
      <c r="O262" s="221"/>
      <c r="P262" s="221"/>
      <c r="Q262" s="221"/>
      <c r="R262" s="221"/>
      <c r="S262" s="221"/>
      <c r="T262" s="221"/>
      <c r="U262" s="221"/>
      <c r="V262" s="221"/>
      <c r="W262" s="221"/>
      <c r="X262" s="221"/>
      <c r="Y262" s="221"/>
      <c r="Z262" s="221"/>
      <c r="AA262" s="221"/>
      <c r="AB262" s="221"/>
    </row>
    <row r="263">
      <c r="A263" s="296"/>
      <c r="B263" s="296"/>
      <c r="C263" s="232"/>
      <c r="D263" s="232"/>
      <c r="E263" s="232"/>
      <c r="F263" s="232"/>
      <c r="G263" s="232"/>
      <c r="H263" s="232"/>
      <c r="I263" s="221"/>
      <c r="J263" s="221"/>
      <c r="K263" s="221"/>
      <c r="L263" s="221"/>
      <c r="M263" s="221"/>
      <c r="N263" s="221"/>
      <c r="O263" s="221"/>
      <c r="P263" s="221"/>
      <c r="Q263" s="221"/>
      <c r="R263" s="221"/>
      <c r="S263" s="221"/>
      <c r="T263" s="221"/>
      <c r="U263" s="221"/>
      <c r="V263" s="221"/>
      <c r="W263" s="221"/>
      <c r="X263" s="221"/>
      <c r="Y263" s="221"/>
      <c r="Z263" s="221"/>
      <c r="AA263" s="221"/>
      <c r="AB263" s="221"/>
    </row>
    <row r="264">
      <c r="A264" s="296"/>
      <c r="B264" s="296"/>
      <c r="C264" s="232"/>
      <c r="D264" s="232"/>
      <c r="E264" s="232"/>
      <c r="F264" s="232"/>
      <c r="G264" s="232"/>
      <c r="H264" s="232"/>
      <c r="I264" s="221"/>
      <c r="J264" s="221"/>
      <c r="K264" s="221"/>
      <c r="L264" s="221"/>
      <c r="M264" s="221"/>
      <c r="N264" s="221"/>
      <c r="O264" s="221"/>
      <c r="P264" s="221"/>
      <c r="Q264" s="221"/>
      <c r="R264" s="221"/>
      <c r="S264" s="221"/>
      <c r="T264" s="221"/>
      <c r="U264" s="221"/>
      <c r="V264" s="221"/>
      <c r="W264" s="221"/>
      <c r="X264" s="221"/>
      <c r="Y264" s="221"/>
      <c r="Z264" s="221"/>
      <c r="AA264" s="221"/>
      <c r="AB264" s="221"/>
    </row>
    <row r="265">
      <c r="A265" s="296"/>
      <c r="B265" s="296"/>
      <c r="C265" s="232"/>
      <c r="D265" s="232"/>
      <c r="E265" s="232"/>
      <c r="F265" s="232"/>
      <c r="G265" s="232"/>
      <c r="H265" s="232"/>
      <c r="I265" s="221"/>
      <c r="J265" s="221"/>
      <c r="K265" s="221"/>
      <c r="L265" s="221"/>
      <c r="M265" s="221"/>
      <c r="N265" s="221"/>
      <c r="O265" s="221"/>
      <c r="P265" s="221"/>
      <c r="Q265" s="221"/>
      <c r="R265" s="221"/>
      <c r="S265" s="221"/>
      <c r="T265" s="221"/>
      <c r="U265" s="221"/>
      <c r="V265" s="221"/>
      <c r="W265" s="221"/>
      <c r="X265" s="221"/>
      <c r="Y265" s="221"/>
      <c r="Z265" s="221"/>
      <c r="AA265" s="221"/>
      <c r="AB265" s="221"/>
    </row>
    <row r="266">
      <c r="A266" s="296"/>
      <c r="B266" s="296"/>
      <c r="C266" s="232"/>
      <c r="D266" s="232"/>
      <c r="E266" s="232"/>
      <c r="F266" s="232"/>
      <c r="G266" s="232"/>
      <c r="H266" s="232"/>
      <c r="I266" s="221"/>
      <c r="J266" s="221"/>
      <c r="K266" s="221"/>
      <c r="L266" s="221"/>
      <c r="M266" s="221"/>
      <c r="N266" s="221"/>
      <c r="O266" s="221"/>
      <c r="P266" s="221"/>
      <c r="Q266" s="221"/>
      <c r="R266" s="221"/>
      <c r="S266" s="221"/>
      <c r="T266" s="221"/>
      <c r="U266" s="221"/>
      <c r="V266" s="221"/>
      <c r="W266" s="221"/>
      <c r="X266" s="221"/>
      <c r="Y266" s="221"/>
      <c r="Z266" s="221"/>
      <c r="AA266" s="221"/>
      <c r="AB266" s="221"/>
    </row>
    <row r="267">
      <c r="A267" s="296"/>
      <c r="B267" s="296"/>
      <c r="C267" s="232"/>
      <c r="D267" s="232"/>
      <c r="E267" s="232"/>
      <c r="F267" s="232"/>
      <c r="G267" s="232"/>
      <c r="H267" s="232"/>
      <c r="I267" s="221"/>
      <c r="J267" s="221"/>
      <c r="K267" s="221"/>
      <c r="L267" s="221"/>
      <c r="M267" s="221"/>
      <c r="N267" s="221"/>
      <c r="O267" s="221"/>
      <c r="P267" s="221"/>
      <c r="Q267" s="221"/>
      <c r="R267" s="221"/>
      <c r="S267" s="221"/>
      <c r="T267" s="221"/>
      <c r="U267" s="221"/>
      <c r="V267" s="221"/>
      <c r="W267" s="221"/>
      <c r="X267" s="221"/>
      <c r="Y267" s="221"/>
      <c r="Z267" s="221"/>
      <c r="AA267" s="221"/>
      <c r="AB267" s="221"/>
    </row>
    <row r="268">
      <c r="A268" s="296"/>
      <c r="B268" s="296"/>
      <c r="C268" s="232"/>
      <c r="D268" s="232"/>
      <c r="E268" s="232"/>
      <c r="F268" s="232"/>
      <c r="G268" s="232"/>
      <c r="H268" s="232"/>
      <c r="I268" s="221"/>
      <c r="J268" s="221"/>
      <c r="K268" s="221"/>
      <c r="L268" s="221"/>
      <c r="M268" s="221"/>
      <c r="N268" s="221"/>
      <c r="O268" s="221"/>
      <c r="P268" s="221"/>
      <c r="Q268" s="221"/>
      <c r="R268" s="221"/>
      <c r="S268" s="221"/>
      <c r="T268" s="221"/>
      <c r="U268" s="221"/>
      <c r="V268" s="221"/>
      <c r="W268" s="221"/>
      <c r="X268" s="221"/>
      <c r="Y268" s="221"/>
      <c r="Z268" s="221"/>
      <c r="AA268" s="221"/>
      <c r="AB268" s="221"/>
    </row>
    <row r="269">
      <c r="A269" s="296"/>
      <c r="B269" s="296"/>
      <c r="C269" s="232"/>
      <c r="D269" s="232"/>
      <c r="E269" s="232"/>
      <c r="F269" s="232"/>
      <c r="G269" s="232"/>
      <c r="H269" s="232"/>
      <c r="I269" s="221"/>
      <c r="J269" s="221"/>
      <c r="K269" s="221"/>
      <c r="L269" s="221"/>
      <c r="M269" s="221"/>
      <c r="N269" s="221"/>
      <c r="O269" s="221"/>
      <c r="P269" s="221"/>
      <c r="Q269" s="221"/>
      <c r="R269" s="221"/>
      <c r="S269" s="221"/>
      <c r="T269" s="221"/>
      <c r="U269" s="221"/>
      <c r="V269" s="221"/>
      <c r="W269" s="221"/>
      <c r="X269" s="221"/>
      <c r="Y269" s="221"/>
      <c r="Z269" s="221"/>
      <c r="AA269" s="221"/>
      <c r="AB269" s="221"/>
    </row>
    <row r="270">
      <c r="A270" s="296"/>
      <c r="B270" s="296"/>
      <c r="C270" s="232"/>
      <c r="D270" s="232"/>
      <c r="E270" s="232"/>
      <c r="F270" s="232"/>
      <c r="G270" s="232"/>
      <c r="H270" s="232"/>
      <c r="I270" s="221"/>
      <c r="J270" s="221"/>
      <c r="K270" s="221"/>
      <c r="L270" s="221"/>
      <c r="M270" s="221"/>
      <c r="N270" s="221"/>
      <c r="O270" s="221"/>
      <c r="P270" s="221"/>
      <c r="Q270" s="221"/>
      <c r="R270" s="221"/>
      <c r="S270" s="221"/>
      <c r="T270" s="221"/>
      <c r="U270" s="221"/>
      <c r="V270" s="221"/>
      <c r="W270" s="221"/>
      <c r="X270" s="221"/>
      <c r="Y270" s="221"/>
      <c r="Z270" s="221"/>
      <c r="AA270" s="221"/>
      <c r="AB270" s="221"/>
    </row>
    <row r="271">
      <c r="A271" s="296"/>
      <c r="B271" s="296"/>
      <c r="C271" s="232"/>
      <c r="D271" s="232"/>
      <c r="E271" s="232"/>
      <c r="F271" s="232"/>
      <c r="G271" s="232"/>
      <c r="H271" s="232"/>
      <c r="I271" s="221"/>
      <c r="J271" s="221"/>
      <c r="K271" s="221"/>
      <c r="L271" s="221"/>
      <c r="M271" s="221"/>
      <c r="N271" s="221"/>
      <c r="O271" s="221"/>
      <c r="P271" s="221"/>
      <c r="Q271" s="221"/>
      <c r="R271" s="221"/>
      <c r="S271" s="221"/>
      <c r="T271" s="221"/>
      <c r="U271" s="221"/>
      <c r="V271" s="221"/>
      <c r="W271" s="221"/>
      <c r="X271" s="221"/>
      <c r="Y271" s="221"/>
      <c r="Z271" s="221"/>
      <c r="AA271" s="221"/>
      <c r="AB271" s="221"/>
    </row>
    <row r="272">
      <c r="A272" s="296"/>
      <c r="B272" s="296"/>
      <c r="C272" s="232"/>
      <c r="D272" s="232"/>
      <c r="E272" s="232"/>
      <c r="F272" s="232"/>
      <c r="G272" s="232"/>
      <c r="H272" s="232"/>
      <c r="I272" s="221"/>
      <c r="J272" s="221"/>
      <c r="K272" s="221"/>
      <c r="L272" s="221"/>
      <c r="M272" s="221"/>
      <c r="N272" s="221"/>
      <c r="O272" s="221"/>
      <c r="P272" s="221"/>
      <c r="Q272" s="221"/>
      <c r="R272" s="221"/>
      <c r="S272" s="221"/>
      <c r="T272" s="221"/>
      <c r="U272" s="221"/>
      <c r="V272" s="221"/>
      <c r="W272" s="221"/>
      <c r="X272" s="221"/>
      <c r="Y272" s="221"/>
      <c r="Z272" s="221"/>
      <c r="AA272" s="221"/>
      <c r="AB272" s="221"/>
    </row>
    <row r="273">
      <c r="A273" s="296"/>
      <c r="B273" s="296"/>
      <c r="C273" s="232"/>
      <c r="D273" s="232"/>
      <c r="E273" s="232"/>
      <c r="F273" s="232"/>
      <c r="G273" s="232"/>
      <c r="H273" s="232"/>
      <c r="I273" s="221"/>
      <c r="J273" s="221"/>
      <c r="K273" s="221"/>
      <c r="L273" s="221"/>
      <c r="M273" s="221"/>
      <c r="N273" s="221"/>
      <c r="O273" s="221"/>
      <c r="P273" s="221"/>
      <c r="Q273" s="221"/>
      <c r="R273" s="221"/>
      <c r="S273" s="221"/>
      <c r="T273" s="221"/>
      <c r="U273" s="221"/>
      <c r="V273" s="221"/>
      <c r="W273" s="221"/>
      <c r="X273" s="221"/>
      <c r="Y273" s="221"/>
      <c r="Z273" s="221"/>
      <c r="AA273" s="221"/>
      <c r="AB273" s="221"/>
    </row>
    <row r="274">
      <c r="A274" s="296"/>
      <c r="B274" s="296"/>
      <c r="C274" s="232"/>
      <c r="D274" s="232"/>
      <c r="E274" s="232"/>
      <c r="F274" s="232"/>
      <c r="G274" s="232"/>
      <c r="H274" s="232"/>
      <c r="I274" s="221"/>
      <c r="J274" s="221"/>
      <c r="K274" s="221"/>
      <c r="L274" s="221"/>
      <c r="M274" s="221"/>
      <c r="N274" s="221"/>
      <c r="O274" s="221"/>
      <c r="P274" s="221"/>
      <c r="Q274" s="221"/>
      <c r="R274" s="221"/>
      <c r="S274" s="221"/>
      <c r="T274" s="221"/>
      <c r="U274" s="221"/>
      <c r="V274" s="221"/>
      <c r="W274" s="221"/>
      <c r="X274" s="221"/>
      <c r="Y274" s="221"/>
      <c r="Z274" s="221"/>
      <c r="AA274" s="221"/>
      <c r="AB274" s="221"/>
    </row>
    <row r="275">
      <c r="A275" s="296"/>
      <c r="B275" s="296"/>
      <c r="C275" s="232"/>
      <c r="D275" s="232"/>
      <c r="E275" s="232"/>
      <c r="F275" s="232"/>
      <c r="G275" s="232"/>
      <c r="H275" s="232"/>
      <c r="I275" s="221"/>
      <c r="J275" s="221"/>
      <c r="K275" s="221"/>
      <c r="L275" s="221"/>
      <c r="M275" s="221"/>
      <c r="N275" s="221"/>
      <c r="O275" s="221"/>
      <c r="P275" s="221"/>
      <c r="Q275" s="221"/>
      <c r="R275" s="221"/>
      <c r="S275" s="221"/>
      <c r="T275" s="221"/>
      <c r="U275" s="221"/>
      <c r="V275" s="221"/>
      <c r="W275" s="221"/>
      <c r="X275" s="221"/>
      <c r="Y275" s="221"/>
      <c r="Z275" s="221"/>
      <c r="AA275" s="221"/>
      <c r="AB275" s="221"/>
    </row>
    <row r="276">
      <c r="A276" s="296"/>
      <c r="B276" s="296"/>
      <c r="C276" s="232"/>
      <c r="D276" s="232"/>
      <c r="E276" s="232"/>
      <c r="F276" s="232"/>
      <c r="G276" s="232"/>
      <c r="H276" s="232"/>
      <c r="I276" s="221"/>
      <c r="J276" s="221"/>
      <c r="K276" s="221"/>
      <c r="L276" s="221"/>
      <c r="M276" s="221"/>
      <c r="N276" s="221"/>
      <c r="O276" s="221"/>
      <c r="P276" s="221"/>
      <c r="Q276" s="221"/>
      <c r="R276" s="221"/>
      <c r="S276" s="221"/>
      <c r="T276" s="221"/>
      <c r="U276" s="221"/>
      <c r="V276" s="221"/>
      <c r="W276" s="221"/>
      <c r="X276" s="221"/>
      <c r="Y276" s="221"/>
      <c r="Z276" s="221"/>
      <c r="AA276" s="221"/>
      <c r="AB276" s="221"/>
    </row>
    <row r="277">
      <c r="A277" s="296"/>
      <c r="B277" s="296"/>
      <c r="C277" s="232"/>
      <c r="D277" s="232"/>
      <c r="E277" s="232"/>
      <c r="F277" s="232"/>
      <c r="G277" s="232"/>
      <c r="H277" s="232"/>
      <c r="I277" s="221"/>
      <c r="J277" s="221"/>
      <c r="K277" s="221"/>
      <c r="L277" s="221"/>
      <c r="M277" s="221"/>
      <c r="N277" s="221"/>
      <c r="O277" s="221"/>
      <c r="P277" s="221"/>
      <c r="Q277" s="221"/>
      <c r="R277" s="221"/>
      <c r="S277" s="221"/>
      <c r="T277" s="221"/>
      <c r="U277" s="221"/>
      <c r="V277" s="221"/>
      <c r="W277" s="221"/>
      <c r="X277" s="221"/>
      <c r="Y277" s="221"/>
      <c r="Z277" s="221"/>
      <c r="AA277" s="221"/>
      <c r="AB277" s="221"/>
    </row>
    <row r="278">
      <c r="A278" s="296"/>
      <c r="B278" s="296"/>
      <c r="C278" s="232"/>
      <c r="D278" s="232"/>
      <c r="E278" s="232"/>
      <c r="F278" s="232"/>
      <c r="G278" s="232"/>
      <c r="H278" s="232"/>
      <c r="I278" s="221"/>
      <c r="J278" s="221"/>
      <c r="K278" s="221"/>
      <c r="L278" s="221"/>
      <c r="M278" s="221"/>
      <c r="N278" s="221"/>
      <c r="O278" s="221"/>
      <c r="P278" s="221"/>
      <c r="Q278" s="221"/>
      <c r="R278" s="221"/>
      <c r="S278" s="221"/>
      <c r="T278" s="221"/>
      <c r="U278" s="221"/>
      <c r="V278" s="221"/>
      <c r="W278" s="221"/>
      <c r="X278" s="221"/>
      <c r="Y278" s="221"/>
      <c r="Z278" s="221"/>
      <c r="AA278" s="221"/>
      <c r="AB278" s="221"/>
    </row>
    <row r="279">
      <c r="A279" s="296"/>
      <c r="B279" s="296"/>
      <c r="C279" s="232"/>
      <c r="D279" s="232"/>
      <c r="E279" s="232"/>
      <c r="F279" s="232"/>
      <c r="G279" s="232"/>
      <c r="H279" s="232"/>
      <c r="I279" s="221"/>
      <c r="J279" s="221"/>
      <c r="K279" s="221"/>
      <c r="L279" s="221"/>
      <c r="M279" s="221"/>
      <c r="N279" s="221"/>
      <c r="O279" s="221"/>
      <c r="P279" s="221"/>
      <c r="Q279" s="221"/>
      <c r="R279" s="221"/>
      <c r="S279" s="221"/>
      <c r="T279" s="221"/>
      <c r="U279" s="221"/>
      <c r="V279" s="221"/>
      <c r="W279" s="221"/>
      <c r="X279" s="221"/>
      <c r="Y279" s="221"/>
      <c r="Z279" s="221"/>
      <c r="AA279" s="221"/>
      <c r="AB279" s="221"/>
    </row>
    <row r="280">
      <c r="A280" s="296"/>
      <c r="B280" s="296"/>
      <c r="C280" s="232"/>
      <c r="D280" s="232"/>
      <c r="E280" s="232"/>
      <c r="F280" s="232"/>
      <c r="G280" s="232"/>
      <c r="H280" s="232"/>
      <c r="I280" s="221"/>
      <c r="J280" s="221"/>
      <c r="K280" s="221"/>
      <c r="L280" s="221"/>
      <c r="M280" s="221"/>
      <c r="N280" s="221"/>
      <c r="O280" s="221"/>
      <c r="P280" s="221"/>
      <c r="Q280" s="221"/>
      <c r="R280" s="221"/>
      <c r="S280" s="221"/>
      <c r="T280" s="221"/>
      <c r="U280" s="221"/>
      <c r="V280" s="221"/>
      <c r="W280" s="221"/>
      <c r="X280" s="221"/>
      <c r="Y280" s="221"/>
      <c r="Z280" s="221"/>
      <c r="AA280" s="221"/>
      <c r="AB280" s="221"/>
    </row>
    <row r="281">
      <c r="A281" s="296"/>
      <c r="B281" s="296"/>
      <c r="C281" s="232"/>
      <c r="D281" s="232"/>
      <c r="E281" s="232"/>
      <c r="F281" s="232"/>
      <c r="G281" s="232"/>
      <c r="H281" s="232"/>
      <c r="I281" s="221"/>
      <c r="J281" s="221"/>
      <c r="K281" s="221"/>
      <c r="L281" s="221"/>
      <c r="M281" s="221"/>
      <c r="N281" s="221"/>
      <c r="O281" s="221"/>
      <c r="P281" s="221"/>
      <c r="Q281" s="221"/>
      <c r="R281" s="221"/>
      <c r="S281" s="221"/>
      <c r="T281" s="221"/>
      <c r="U281" s="221"/>
      <c r="V281" s="221"/>
      <c r="W281" s="221"/>
      <c r="X281" s="221"/>
      <c r="Y281" s="221"/>
      <c r="Z281" s="221"/>
      <c r="AA281" s="221"/>
      <c r="AB281" s="221"/>
    </row>
    <row r="282">
      <c r="A282" s="296"/>
      <c r="B282" s="296"/>
      <c r="C282" s="232"/>
      <c r="D282" s="232"/>
      <c r="E282" s="232"/>
      <c r="F282" s="232"/>
      <c r="G282" s="232"/>
      <c r="H282" s="232"/>
      <c r="I282" s="221"/>
      <c r="J282" s="221"/>
      <c r="K282" s="221"/>
      <c r="L282" s="221"/>
      <c r="M282" s="221"/>
      <c r="N282" s="221"/>
      <c r="O282" s="221"/>
      <c r="P282" s="221"/>
      <c r="Q282" s="221"/>
      <c r="R282" s="221"/>
      <c r="S282" s="221"/>
      <c r="T282" s="221"/>
      <c r="U282" s="221"/>
      <c r="V282" s="221"/>
      <c r="W282" s="221"/>
      <c r="X282" s="221"/>
      <c r="Y282" s="221"/>
      <c r="Z282" s="221"/>
      <c r="AA282" s="221"/>
      <c r="AB282" s="221"/>
    </row>
    <row r="283">
      <c r="A283" s="296"/>
      <c r="B283" s="296"/>
      <c r="C283" s="232"/>
      <c r="D283" s="232"/>
      <c r="E283" s="232"/>
      <c r="F283" s="232"/>
      <c r="G283" s="232"/>
      <c r="H283" s="232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</row>
    <row r="284">
      <c r="A284" s="296"/>
      <c r="B284" s="296"/>
      <c r="C284" s="232"/>
      <c r="D284" s="232"/>
      <c r="E284" s="232"/>
      <c r="F284" s="232"/>
      <c r="G284" s="232"/>
      <c r="H284" s="232"/>
      <c r="I284" s="221"/>
      <c r="J284" s="221"/>
      <c r="K284" s="221"/>
      <c r="L284" s="221"/>
      <c r="M284" s="221"/>
      <c r="N284" s="221"/>
      <c r="O284" s="221"/>
      <c r="P284" s="221"/>
      <c r="Q284" s="221"/>
      <c r="R284" s="221"/>
      <c r="S284" s="221"/>
      <c r="T284" s="221"/>
      <c r="U284" s="221"/>
      <c r="V284" s="221"/>
      <c r="W284" s="221"/>
      <c r="X284" s="221"/>
      <c r="Y284" s="221"/>
      <c r="Z284" s="221"/>
      <c r="AA284" s="221"/>
      <c r="AB284" s="221"/>
    </row>
    <row r="285">
      <c r="A285" s="296"/>
      <c r="B285" s="296"/>
      <c r="C285" s="232"/>
      <c r="D285" s="232"/>
      <c r="E285" s="232"/>
      <c r="F285" s="232"/>
      <c r="G285" s="232"/>
      <c r="H285" s="232"/>
      <c r="I285" s="221"/>
      <c r="J285" s="221"/>
      <c r="K285" s="221"/>
      <c r="L285" s="221"/>
      <c r="M285" s="221"/>
      <c r="N285" s="221"/>
      <c r="O285" s="221"/>
      <c r="P285" s="221"/>
      <c r="Q285" s="221"/>
      <c r="R285" s="221"/>
      <c r="S285" s="221"/>
      <c r="T285" s="221"/>
      <c r="U285" s="221"/>
      <c r="V285" s="221"/>
      <c r="W285" s="221"/>
      <c r="X285" s="221"/>
      <c r="Y285" s="221"/>
      <c r="Z285" s="221"/>
      <c r="AA285" s="221"/>
      <c r="AB285" s="221"/>
    </row>
    <row r="286">
      <c r="A286" s="296"/>
      <c r="B286" s="296"/>
      <c r="C286" s="232"/>
      <c r="D286" s="232"/>
      <c r="E286" s="232"/>
      <c r="F286" s="232"/>
      <c r="G286" s="232"/>
      <c r="H286" s="232"/>
      <c r="I286" s="221"/>
      <c r="J286" s="221"/>
      <c r="K286" s="221"/>
      <c r="L286" s="221"/>
      <c r="M286" s="221"/>
      <c r="N286" s="221"/>
      <c r="O286" s="221"/>
      <c r="P286" s="221"/>
      <c r="Q286" s="221"/>
      <c r="R286" s="221"/>
      <c r="S286" s="221"/>
      <c r="T286" s="221"/>
      <c r="U286" s="221"/>
      <c r="V286" s="221"/>
      <c r="W286" s="221"/>
      <c r="X286" s="221"/>
      <c r="Y286" s="221"/>
      <c r="Z286" s="221"/>
      <c r="AA286" s="221"/>
      <c r="AB286" s="221"/>
    </row>
    <row r="287">
      <c r="A287" s="296"/>
      <c r="B287" s="296"/>
      <c r="C287" s="232"/>
      <c r="D287" s="232"/>
      <c r="E287" s="232"/>
      <c r="F287" s="232"/>
      <c r="G287" s="232"/>
      <c r="H287" s="232"/>
      <c r="I287" s="221"/>
      <c r="J287" s="221"/>
      <c r="K287" s="221"/>
      <c r="L287" s="221"/>
      <c r="M287" s="221"/>
      <c r="N287" s="221"/>
      <c r="O287" s="221"/>
      <c r="P287" s="221"/>
      <c r="Q287" s="221"/>
      <c r="R287" s="221"/>
      <c r="S287" s="221"/>
      <c r="T287" s="221"/>
      <c r="U287" s="221"/>
      <c r="V287" s="221"/>
      <c r="W287" s="221"/>
      <c r="X287" s="221"/>
      <c r="Y287" s="221"/>
      <c r="Z287" s="221"/>
      <c r="AA287" s="221"/>
      <c r="AB287" s="221"/>
    </row>
    <row r="288">
      <c r="A288" s="296"/>
      <c r="B288" s="296"/>
      <c r="C288" s="232"/>
      <c r="D288" s="232"/>
      <c r="E288" s="232"/>
      <c r="F288" s="232"/>
      <c r="G288" s="232"/>
      <c r="H288" s="232"/>
      <c r="I288" s="221"/>
      <c r="J288" s="221"/>
      <c r="K288" s="221"/>
      <c r="L288" s="221"/>
      <c r="M288" s="221"/>
      <c r="N288" s="221"/>
      <c r="O288" s="221"/>
      <c r="P288" s="221"/>
      <c r="Q288" s="221"/>
      <c r="R288" s="221"/>
      <c r="S288" s="221"/>
      <c r="T288" s="221"/>
      <c r="U288" s="221"/>
      <c r="V288" s="221"/>
      <c r="W288" s="221"/>
      <c r="X288" s="221"/>
      <c r="Y288" s="221"/>
      <c r="Z288" s="221"/>
      <c r="AA288" s="221"/>
      <c r="AB288" s="221"/>
    </row>
    <row r="289">
      <c r="A289" s="296"/>
      <c r="B289" s="296"/>
      <c r="C289" s="232"/>
      <c r="D289" s="232"/>
      <c r="E289" s="232"/>
      <c r="F289" s="232"/>
      <c r="G289" s="232"/>
      <c r="H289" s="232"/>
      <c r="I289" s="221"/>
      <c r="J289" s="221"/>
      <c r="K289" s="221"/>
      <c r="L289" s="221"/>
      <c r="M289" s="221"/>
      <c r="N289" s="221"/>
      <c r="O289" s="221"/>
      <c r="P289" s="221"/>
      <c r="Q289" s="221"/>
      <c r="R289" s="221"/>
      <c r="S289" s="221"/>
      <c r="T289" s="221"/>
      <c r="U289" s="221"/>
      <c r="V289" s="221"/>
      <c r="W289" s="221"/>
      <c r="X289" s="221"/>
      <c r="Y289" s="221"/>
      <c r="Z289" s="221"/>
      <c r="AA289" s="221"/>
      <c r="AB289" s="221"/>
    </row>
    <row r="290">
      <c r="A290" s="296"/>
      <c r="B290" s="296"/>
      <c r="C290" s="232"/>
      <c r="D290" s="232"/>
      <c r="E290" s="232"/>
      <c r="F290" s="232"/>
      <c r="G290" s="232"/>
      <c r="H290" s="232"/>
      <c r="I290" s="221"/>
      <c r="J290" s="221"/>
      <c r="K290" s="221"/>
      <c r="L290" s="221"/>
      <c r="M290" s="221"/>
      <c r="N290" s="221"/>
      <c r="O290" s="221"/>
      <c r="P290" s="221"/>
      <c r="Q290" s="221"/>
      <c r="R290" s="221"/>
      <c r="S290" s="221"/>
      <c r="T290" s="221"/>
      <c r="U290" s="221"/>
      <c r="V290" s="221"/>
      <c r="W290" s="221"/>
      <c r="X290" s="221"/>
      <c r="Y290" s="221"/>
      <c r="Z290" s="221"/>
      <c r="AA290" s="221"/>
      <c r="AB290" s="221"/>
    </row>
    <row r="291">
      <c r="A291" s="296"/>
      <c r="B291" s="296"/>
      <c r="C291" s="232"/>
      <c r="D291" s="232"/>
      <c r="E291" s="232"/>
      <c r="F291" s="232"/>
      <c r="G291" s="232"/>
      <c r="H291" s="232"/>
      <c r="I291" s="221"/>
      <c r="J291" s="221"/>
      <c r="K291" s="221"/>
      <c r="L291" s="221"/>
      <c r="M291" s="221"/>
      <c r="N291" s="221"/>
      <c r="O291" s="221"/>
      <c r="P291" s="221"/>
      <c r="Q291" s="221"/>
      <c r="R291" s="221"/>
      <c r="S291" s="221"/>
      <c r="T291" s="221"/>
      <c r="U291" s="221"/>
      <c r="V291" s="221"/>
      <c r="W291" s="221"/>
      <c r="X291" s="221"/>
      <c r="Y291" s="221"/>
      <c r="Z291" s="221"/>
      <c r="AA291" s="221"/>
      <c r="AB291" s="221"/>
    </row>
    <row r="292">
      <c r="A292" s="296"/>
      <c r="B292" s="296"/>
      <c r="C292" s="232"/>
      <c r="D292" s="232"/>
      <c r="E292" s="232"/>
      <c r="F292" s="232"/>
      <c r="G292" s="232"/>
      <c r="H292" s="232"/>
      <c r="I292" s="221"/>
      <c r="J292" s="221"/>
      <c r="K292" s="221"/>
      <c r="L292" s="221"/>
      <c r="M292" s="221"/>
      <c r="N292" s="221"/>
      <c r="O292" s="221"/>
      <c r="P292" s="221"/>
      <c r="Q292" s="221"/>
      <c r="R292" s="221"/>
      <c r="S292" s="221"/>
      <c r="T292" s="221"/>
      <c r="U292" s="221"/>
      <c r="V292" s="221"/>
      <c r="W292" s="221"/>
      <c r="X292" s="221"/>
      <c r="Y292" s="221"/>
      <c r="Z292" s="221"/>
      <c r="AA292" s="221"/>
      <c r="AB292" s="221"/>
    </row>
    <row r="293">
      <c r="A293" s="296"/>
      <c r="B293" s="296"/>
      <c r="C293" s="232"/>
      <c r="D293" s="232"/>
      <c r="E293" s="232"/>
      <c r="F293" s="232"/>
      <c r="G293" s="232"/>
      <c r="H293" s="232"/>
      <c r="I293" s="221"/>
      <c r="J293" s="221"/>
      <c r="K293" s="221"/>
      <c r="L293" s="221"/>
      <c r="M293" s="221"/>
      <c r="N293" s="221"/>
      <c r="O293" s="221"/>
      <c r="P293" s="221"/>
      <c r="Q293" s="221"/>
      <c r="R293" s="221"/>
      <c r="S293" s="221"/>
      <c r="T293" s="221"/>
      <c r="U293" s="221"/>
      <c r="V293" s="221"/>
      <c r="W293" s="221"/>
      <c r="X293" s="221"/>
      <c r="Y293" s="221"/>
      <c r="Z293" s="221"/>
      <c r="AA293" s="221"/>
      <c r="AB293" s="221"/>
    </row>
    <row r="294">
      <c r="A294" s="296"/>
      <c r="B294" s="296"/>
      <c r="C294" s="232"/>
      <c r="D294" s="232"/>
      <c r="E294" s="232"/>
      <c r="F294" s="232"/>
      <c r="G294" s="232"/>
      <c r="H294" s="232"/>
      <c r="I294" s="221"/>
      <c r="J294" s="221"/>
      <c r="K294" s="221"/>
      <c r="L294" s="221"/>
      <c r="M294" s="221"/>
      <c r="N294" s="221"/>
      <c r="O294" s="221"/>
      <c r="P294" s="221"/>
      <c r="Q294" s="221"/>
      <c r="R294" s="221"/>
      <c r="S294" s="221"/>
      <c r="T294" s="221"/>
      <c r="U294" s="221"/>
      <c r="V294" s="221"/>
      <c r="W294" s="221"/>
      <c r="X294" s="221"/>
      <c r="Y294" s="221"/>
      <c r="Z294" s="221"/>
      <c r="AA294" s="221"/>
      <c r="AB294" s="221"/>
    </row>
    <row r="295">
      <c r="A295" s="296"/>
      <c r="B295" s="296"/>
      <c r="C295" s="232"/>
      <c r="D295" s="232"/>
      <c r="E295" s="232"/>
      <c r="F295" s="232"/>
      <c r="G295" s="232"/>
      <c r="H295" s="232"/>
      <c r="I295" s="221"/>
      <c r="J295" s="221"/>
      <c r="K295" s="221"/>
      <c r="L295" s="221"/>
      <c r="M295" s="221"/>
      <c r="N295" s="221"/>
      <c r="O295" s="221"/>
      <c r="P295" s="221"/>
      <c r="Q295" s="221"/>
      <c r="R295" s="221"/>
      <c r="S295" s="221"/>
      <c r="T295" s="221"/>
      <c r="U295" s="221"/>
      <c r="V295" s="221"/>
      <c r="W295" s="221"/>
      <c r="X295" s="221"/>
      <c r="Y295" s="221"/>
      <c r="Z295" s="221"/>
      <c r="AA295" s="221"/>
      <c r="AB295" s="221"/>
    </row>
    <row r="296">
      <c r="A296" s="296"/>
      <c r="B296" s="296"/>
      <c r="C296" s="232"/>
      <c r="D296" s="232"/>
      <c r="E296" s="232"/>
      <c r="F296" s="232"/>
      <c r="G296" s="232"/>
      <c r="H296" s="232"/>
      <c r="I296" s="221"/>
      <c r="J296" s="221"/>
      <c r="K296" s="221"/>
      <c r="L296" s="221"/>
      <c r="M296" s="221"/>
      <c r="N296" s="221"/>
      <c r="O296" s="221"/>
      <c r="P296" s="221"/>
      <c r="Q296" s="221"/>
      <c r="R296" s="221"/>
      <c r="S296" s="221"/>
      <c r="T296" s="221"/>
      <c r="U296" s="221"/>
      <c r="V296" s="221"/>
      <c r="W296" s="221"/>
      <c r="X296" s="221"/>
      <c r="Y296" s="221"/>
      <c r="Z296" s="221"/>
      <c r="AA296" s="221"/>
      <c r="AB296" s="221"/>
    </row>
    <row r="297">
      <c r="A297" s="296"/>
      <c r="B297" s="296"/>
      <c r="C297" s="232"/>
      <c r="D297" s="232"/>
      <c r="E297" s="232"/>
      <c r="F297" s="232"/>
      <c r="G297" s="232"/>
      <c r="H297" s="232"/>
      <c r="I297" s="221"/>
      <c r="J297" s="221"/>
      <c r="K297" s="221"/>
      <c r="L297" s="221"/>
      <c r="M297" s="221"/>
      <c r="N297" s="221"/>
      <c r="O297" s="221"/>
      <c r="P297" s="221"/>
      <c r="Q297" s="221"/>
      <c r="R297" s="221"/>
      <c r="S297" s="221"/>
      <c r="T297" s="221"/>
      <c r="U297" s="221"/>
      <c r="V297" s="221"/>
      <c r="W297" s="221"/>
      <c r="X297" s="221"/>
      <c r="Y297" s="221"/>
      <c r="Z297" s="221"/>
      <c r="AA297" s="221"/>
      <c r="AB297" s="221"/>
    </row>
    <row r="298">
      <c r="A298" s="296"/>
      <c r="B298" s="296"/>
      <c r="C298" s="232"/>
      <c r="D298" s="232"/>
      <c r="E298" s="232"/>
      <c r="F298" s="232"/>
      <c r="G298" s="232"/>
      <c r="H298" s="232"/>
      <c r="I298" s="221"/>
      <c r="J298" s="221"/>
      <c r="K298" s="221"/>
      <c r="L298" s="221"/>
      <c r="M298" s="221"/>
      <c r="N298" s="221"/>
      <c r="O298" s="221"/>
      <c r="P298" s="221"/>
      <c r="Q298" s="221"/>
      <c r="R298" s="221"/>
      <c r="S298" s="221"/>
      <c r="T298" s="221"/>
      <c r="U298" s="221"/>
      <c r="V298" s="221"/>
      <c r="W298" s="221"/>
      <c r="X298" s="221"/>
      <c r="Y298" s="221"/>
      <c r="Z298" s="221"/>
      <c r="AA298" s="221"/>
      <c r="AB298" s="221"/>
    </row>
    <row r="299">
      <c r="A299" s="296"/>
      <c r="B299" s="296"/>
      <c r="C299" s="232"/>
      <c r="D299" s="232"/>
      <c r="E299" s="232"/>
      <c r="F299" s="232"/>
      <c r="G299" s="232"/>
      <c r="H299" s="232"/>
      <c r="I299" s="221"/>
      <c r="J299" s="221"/>
      <c r="K299" s="221"/>
      <c r="L299" s="221"/>
      <c r="M299" s="221"/>
      <c r="N299" s="221"/>
      <c r="O299" s="221"/>
      <c r="P299" s="221"/>
      <c r="Q299" s="221"/>
      <c r="R299" s="221"/>
      <c r="S299" s="221"/>
      <c r="T299" s="221"/>
      <c r="U299" s="221"/>
      <c r="V299" s="221"/>
      <c r="W299" s="221"/>
      <c r="X299" s="221"/>
      <c r="Y299" s="221"/>
      <c r="Z299" s="221"/>
      <c r="AA299" s="221"/>
      <c r="AB299" s="221"/>
    </row>
    <row r="300">
      <c r="A300" s="296"/>
      <c r="B300" s="296"/>
      <c r="C300" s="232"/>
      <c r="D300" s="232"/>
      <c r="E300" s="232"/>
      <c r="F300" s="232"/>
      <c r="G300" s="232"/>
      <c r="H300" s="232"/>
      <c r="I300" s="221"/>
      <c r="J300" s="221"/>
      <c r="K300" s="221"/>
      <c r="L300" s="221"/>
      <c r="M300" s="221"/>
      <c r="N300" s="221"/>
      <c r="O300" s="221"/>
      <c r="P300" s="221"/>
      <c r="Q300" s="221"/>
      <c r="R300" s="221"/>
      <c r="S300" s="221"/>
      <c r="T300" s="221"/>
      <c r="U300" s="221"/>
      <c r="V300" s="221"/>
      <c r="W300" s="221"/>
      <c r="X300" s="221"/>
      <c r="Y300" s="221"/>
      <c r="Z300" s="221"/>
      <c r="AA300" s="221"/>
      <c r="AB300" s="221"/>
    </row>
    <row r="301">
      <c r="A301" s="296"/>
      <c r="B301" s="296"/>
      <c r="C301" s="232"/>
      <c r="D301" s="232"/>
      <c r="E301" s="232"/>
      <c r="F301" s="232"/>
      <c r="G301" s="232"/>
      <c r="H301" s="232"/>
      <c r="I301" s="221"/>
      <c r="J301" s="221"/>
      <c r="K301" s="221"/>
      <c r="L301" s="221"/>
      <c r="M301" s="221"/>
      <c r="N301" s="221"/>
      <c r="O301" s="221"/>
      <c r="P301" s="221"/>
      <c r="Q301" s="221"/>
      <c r="R301" s="221"/>
      <c r="S301" s="221"/>
      <c r="T301" s="221"/>
      <c r="U301" s="221"/>
      <c r="V301" s="221"/>
      <c r="W301" s="221"/>
      <c r="X301" s="221"/>
      <c r="Y301" s="221"/>
      <c r="Z301" s="221"/>
      <c r="AA301" s="221"/>
      <c r="AB301" s="221"/>
    </row>
    <row r="302">
      <c r="A302" s="296"/>
      <c r="B302" s="296"/>
      <c r="C302" s="232"/>
      <c r="D302" s="232"/>
      <c r="E302" s="232"/>
      <c r="F302" s="232"/>
      <c r="G302" s="232"/>
      <c r="H302" s="232"/>
      <c r="I302" s="221"/>
      <c r="J302" s="221"/>
      <c r="K302" s="221"/>
      <c r="L302" s="221"/>
      <c r="M302" s="221"/>
      <c r="N302" s="221"/>
      <c r="O302" s="221"/>
      <c r="P302" s="221"/>
      <c r="Q302" s="221"/>
      <c r="R302" s="221"/>
      <c r="S302" s="221"/>
      <c r="T302" s="221"/>
      <c r="U302" s="221"/>
      <c r="V302" s="221"/>
      <c r="W302" s="221"/>
      <c r="X302" s="221"/>
      <c r="Y302" s="221"/>
      <c r="Z302" s="221"/>
      <c r="AA302" s="221"/>
      <c r="AB302" s="221"/>
    </row>
    <row r="303">
      <c r="A303" s="296"/>
      <c r="B303" s="296"/>
      <c r="C303" s="232"/>
      <c r="D303" s="232"/>
      <c r="E303" s="232"/>
      <c r="F303" s="232"/>
      <c r="G303" s="232"/>
      <c r="H303" s="232"/>
      <c r="I303" s="221"/>
      <c r="J303" s="221"/>
      <c r="K303" s="221"/>
      <c r="L303" s="221"/>
      <c r="M303" s="221"/>
      <c r="N303" s="221"/>
      <c r="O303" s="221"/>
      <c r="P303" s="221"/>
      <c r="Q303" s="221"/>
      <c r="R303" s="221"/>
      <c r="S303" s="221"/>
      <c r="T303" s="221"/>
      <c r="U303" s="221"/>
      <c r="V303" s="221"/>
      <c r="W303" s="221"/>
      <c r="X303" s="221"/>
      <c r="Y303" s="221"/>
      <c r="Z303" s="221"/>
      <c r="AA303" s="221"/>
      <c r="AB303" s="221"/>
    </row>
    <row r="304">
      <c r="A304" s="296"/>
      <c r="B304" s="296"/>
      <c r="C304" s="232"/>
      <c r="D304" s="232"/>
      <c r="E304" s="232"/>
      <c r="F304" s="232"/>
      <c r="G304" s="232"/>
      <c r="H304" s="232"/>
      <c r="I304" s="221"/>
      <c r="J304" s="221"/>
      <c r="K304" s="221"/>
      <c r="L304" s="221"/>
      <c r="M304" s="221"/>
      <c r="N304" s="221"/>
      <c r="O304" s="221"/>
      <c r="P304" s="221"/>
      <c r="Q304" s="221"/>
      <c r="R304" s="221"/>
      <c r="S304" s="221"/>
      <c r="T304" s="221"/>
      <c r="U304" s="221"/>
      <c r="V304" s="221"/>
      <c r="W304" s="221"/>
      <c r="X304" s="221"/>
      <c r="Y304" s="221"/>
      <c r="Z304" s="221"/>
      <c r="AA304" s="221"/>
      <c r="AB304" s="221"/>
    </row>
    <row r="305">
      <c r="A305" s="296"/>
      <c r="B305" s="296"/>
      <c r="C305" s="232"/>
      <c r="D305" s="232"/>
      <c r="E305" s="232"/>
      <c r="F305" s="232"/>
      <c r="G305" s="232"/>
      <c r="H305" s="232"/>
      <c r="I305" s="221"/>
      <c r="J305" s="221"/>
      <c r="K305" s="221"/>
      <c r="L305" s="221"/>
      <c r="M305" s="221"/>
      <c r="N305" s="221"/>
      <c r="O305" s="221"/>
      <c r="P305" s="221"/>
      <c r="Q305" s="221"/>
      <c r="R305" s="221"/>
      <c r="S305" s="221"/>
      <c r="T305" s="221"/>
      <c r="U305" s="221"/>
      <c r="V305" s="221"/>
      <c r="W305" s="221"/>
      <c r="X305" s="221"/>
      <c r="Y305" s="221"/>
      <c r="Z305" s="221"/>
      <c r="AA305" s="221"/>
      <c r="AB305" s="221"/>
    </row>
    <row r="306">
      <c r="A306" s="296"/>
      <c r="B306" s="296"/>
      <c r="C306" s="232"/>
      <c r="D306" s="232"/>
      <c r="E306" s="232"/>
      <c r="F306" s="232"/>
      <c r="G306" s="232"/>
      <c r="H306" s="232"/>
      <c r="I306" s="221"/>
      <c r="J306" s="221"/>
      <c r="K306" s="221"/>
      <c r="L306" s="221"/>
      <c r="M306" s="221"/>
      <c r="N306" s="221"/>
      <c r="O306" s="221"/>
      <c r="P306" s="221"/>
      <c r="Q306" s="221"/>
      <c r="R306" s="221"/>
      <c r="S306" s="221"/>
      <c r="T306" s="221"/>
      <c r="U306" s="221"/>
      <c r="V306" s="221"/>
      <c r="W306" s="221"/>
      <c r="X306" s="221"/>
      <c r="Y306" s="221"/>
      <c r="Z306" s="221"/>
      <c r="AA306" s="221"/>
      <c r="AB306" s="221"/>
    </row>
    <row r="307">
      <c r="A307" s="296"/>
      <c r="B307" s="296"/>
      <c r="C307" s="232"/>
      <c r="D307" s="232"/>
      <c r="E307" s="232"/>
      <c r="F307" s="232"/>
      <c r="G307" s="232"/>
      <c r="H307" s="232"/>
      <c r="I307" s="221"/>
      <c r="J307" s="221"/>
      <c r="K307" s="221"/>
      <c r="L307" s="221"/>
      <c r="M307" s="221"/>
      <c r="N307" s="221"/>
      <c r="O307" s="221"/>
      <c r="P307" s="221"/>
      <c r="Q307" s="221"/>
      <c r="R307" s="221"/>
      <c r="S307" s="221"/>
      <c r="T307" s="221"/>
      <c r="U307" s="221"/>
      <c r="V307" s="221"/>
      <c r="W307" s="221"/>
      <c r="X307" s="221"/>
      <c r="Y307" s="221"/>
      <c r="Z307" s="221"/>
      <c r="AA307" s="221"/>
      <c r="AB307" s="221"/>
    </row>
    <row r="308">
      <c r="A308" s="296"/>
      <c r="B308" s="296"/>
      <c r="C308" s="232"/>
      <c r="D308" s="232"/>
      <c r="E308" s="232"/>
      <c r="F308" s="232"/>
      <c r="G308" s="232"/>
      <c r="H308" s="232"/>
      <c r="I308" s="221"/>
      <c r="J308" s="221"/>
      <c r="K308" s="221"/>
      <c r="L308" s="221"/>
      <c r="M308" s="221"/>
      <c r="N308" s="221"/>
      <c r="O308" s="221"/>
      <c r="P308" s="221"/>
      <c r="Q308" s="221"/>
      <c r="R308" s="221"/>
      <c r="S308" s="221"/>
      <c r="T308" s="221"/>
      <c r="U308" s="221"/>
      <c r="V308" s="221"/>
      <c r="W308" s="221"/>
      <c r="X308" s="221"/>
      <c r="Y308" s="221"/>
      <c r="Z308" s="221"/>
      <c r="AA308" s="221"/>
      <c r="AB308" s="221"/>
    </row>
    <row r="309">
      <c r="A309" s="296"/>
      <c r="B309" s="296"/>
      <c r="C309" s="232"/>
      <c r="D309" s="232"/>
      <c r="E309" s="232"/>
      <c r="F309" s="232"/>
      <c r="G309" s="232"/>
      <c r="H309" s="232"/>
      <c r="I309" s="221"/>
      <c r="J309" s="221"/>
      <c r="K309" s="221"/>
      <c r="L309" s="221"/>
      <c r="M309" s="221"/>
      <c r="N309" s="221"/>
      <c r="O309" s="221"/>
      <c r="P309" s="221"/>
      <c r="Q309" s="221"/>
      <c r="R309" s="221"/>
      <c r="S309" s="221"/>
      <c r="T309" s="221"/>
      <c r="U309" s="221"/>
      <c r="V309" s="221"/>
      <c r="W309" s="221"/>
      <c r="X309" s="221"/>
      <c r="Y309" s="221"/>
      <c r="Z309" s="221"/>
      <c r="AA309" s="221"/>
      <c r="AB309" s="221"/>
    </row>
    <row r="310">
      <c r="A310" s="296"/>
      <c r="B310" s="296"/>
      <c r="C310" s="232"/>
      <c r="D310" s="232"/>
      <c r="E310" s="232"/>
      <c r="F310" s="232"/>
      <c r="G310" s="232"/>
      <c r="H310" s="232"/>
      <c r="I310" s="221"/>
      <c r="J310" s="221"/>
      <c r="K310" s="221"/>
      <c r="L310" s="221"/>
      <c r="M310" s="221"/>
      <c r="N310" s="221"/>
      <c r="O310" s="221"/>
      <c r="P310" s="221"/>
      <c r="Q310" s="221"/>
      <c r="R310" s="221"/>
      <c r="S310" s="221"/>
      <c r="T310" s="221"/>
      <c r="U310" s="221"/>
      <c r="V310" s="221"/>
      <c r="W310" s="221"/>
      <c r="X310" s="221"/>
      <c r="Y310" s="221"/>
      <c r="Z310" s="221"/>
      <c r="AA310" s="221"/>
      <c r="AB310" s="221"/>
    </row>
    <row r="311">
      <c r="A311" s="296"/>
      <c r="B311" s="296"/>
      <c r="C311" s="232"/>
      <c r="D311" s="232"/>
      <c r="E311" s="232"/>
      <c r="F311" s="232"/>
      <c r="G311" s="232"/>
      <c r="H311" s="232"/>
      <c r="I311" s="221"/>
      <c r="J311" s="221"/>
      <c r="K311" s="221"/>
      <c r="L311" s="221"/>
      <c r="M311" s="221"/>
      <c r="N311" s="221"/>
      <c r="O311" s="221"/>
      <c r="P311" s="221"/>
      <c r="Q311" s="221"/>
      <c r="R311" s="221"/>
      <c r="S311" s="221"/>
      <c r="T311" s="221"/>
      <c r="U311" s="221"/>
      <c r="V311" s="221"/>
      <c r="W311" s="221"/>
      <c r="X311" s="221"/>
      <c r="Y311" s="221"/>
      <c r="Z311" s="221"/>
      <c r="AA311" s="221"/>
      <c r="AB311" s="221"/>
    </row>
    <row r="312">
      <c r="A312" s="296"/>
      <c r="B312" s="296"/>
      <c r="C312" s="232"/>
      <c r="D312" s="232"/>
      <c r="E312" s="232"/>
      <c r="F312" s="232"/>
      <c r="G312" s="232"/>
      <c r="H312" s="232"/>
      <c r="I312" s="221"/>
      <c r="J312" s="221"/>
      <c r="K312" s="221"/>
      <c r="L312" s="221"/>
      <c r="M312" s="221"/>
      <c r="N312" s="221"/>
      <c r="O312" s="221"/>
      <c r="P312" s="221"/>
      <c r="Q312" s="221"/>
      <c r="R312" s="221"/>
      <c r="S312" s="221"/>
      <c r="T312" s="221"/>
      <c r="U312" s="221"/>
      <c r="V312" s="221"/>
      <c r="W312" s="221"/>
      <c r="X312" s="221"/>
      <c r="Y312" s="221"/>
      <c r="Z312" s="221"/>
      <c r="AA312" s="221"/>
      <c r="AB312" s="221"/>
    </row>
    <row r="313">
      <c r="A313" s="296"/>
      <c r="B313" s="296"/>
      <c r="C313" s="232"/>
      <c r="D313" s="232"/>
      <c r="E313" s="232"/>
      <c r="F313" s="232"/>
      <c r="G313" s="232"/>
      <c r="H313" s="232"/>
      <c r="I313" s="221"/>
      <c r="J313" s="221"/>
      <c r="K313" s="221"/>
      <c r="L313" s="221"/>
      <c r="M313" s="221"/>
      <c r="N313" s="221"/>
      <c r="O313" s="221"/>
      <c r="P313" s="221"/>
      <c r="Q313" s="221"/>
      <c r="R313" s="221"/>
      <c r="S313" s="221"/>
      <c r="T313" s="221"/>
      <c r="U313" s="221"/>
      <c r="V313" s="221"/>
      <c r="W313" s="221"/>
      <c r="X313" s="221"/>
      <c r="Y313" s="221"/>
      <c r="Z313" s="221"/>
      <c r="AA313" s="221"/>
      <c r="AB313" s="221"/>
    </row>
    <row r="314">
      <c r="A314" s="296"/>
      <c r="B314" s="296"/>
      <c r="C314" s="232"/>
      <c r="D314" s="232"/>
      <c r="E314" s="232"/>
      <c r="F314" s="232"/>
      <c r="G314" s="232"/>
      <c r="H314" s="232"/>
      <c r="I314" s="221"/>
      <c r="J314" s="221"/>
      <c r="K314" s="221"/>
      <c r="L314" s="221"/>
      <c r="M314" s="221"/>
      <c r="N314" s="221"/>
      <c r="O314" s="221"/>
      <c r="P314" s="221"/>
      <c r="Q314" s="221"/>
      <c r="R314" s="221"/>
      <c r="S314" s="221"/>
      <c r="T314" s="221"/>
      <c r="U314" s="221"/>
      <c r="V314" s="221"/>
      <c r="W314" s="221"/>
      <c r="X314" s="221"/>
      <c r="Y314" s="221"/>
      <c r="Z314" s="221"/>
      <c r="AA314" s="221"/>
      <c r="AB314" s="221"/>
    </row>
    <row r="315">
      <c r="A315" s="296"/>
      <c r="B315" s="296"/>
      <c r="C315" s="232"/>
      <c r="D315" s="232"/>
      <c r="E315" s="232"/>
      <c r="F315" s="232"/>
      <c r="G315" s="232"/>
      <c r="H315" s="232"/>
      <c r="I315" s="221"/>
      <c r="J315" s="221"/>
      <c r="K315" s="221"/>
      <c r="L315" s="221"/>
      <c r="M315" s="221"/>
      <c r="N315" s="221"/>
      <c r="O315" s="221"/>
      <c r="P315" s="221"/>
      <c r="Q315" s="221"/>
      <c r="R315" s="221"/>
      <c r="S315" s="221"/>
      <c r="T315" s="221"/>
      <c r="U315" s="221"/>
      <c r="V315" s="221"/>
      <c r="W315" s="221"/>
      <c r="X315" s="221"/>
      <c r="Y315" s="221"/>
      <c r="Z315" s="221"/>
      <c r="AA315" s="221"/>
      <c r="AB315" s="221"/>
    </row>
    <row r="316">
      <c r="A316" s="296"/>
      <c r="B316" s="296"/>
      <c r="C316" s="232"/>
      <c r="D316" s="232"/>
      <c r="E316" s="232"/>
      <c r="F316" s="232"/>
      <c r="G316" s="232"/>
      <c r="H316" s="232"/>
      <c r="I316" s="221"/>
      <c r="J316" s="221"/>
      <c r="K316" s="221"/>
      <c r="L316" s="221"/>
      <c r="M316" s="221"/>
      <c r="N316" s="221"/>
      <c r="O316" s="221"/>
      <c r="P316" s="221"/>
      <c r="Q316" s="221"/>
      <c r="R316" s="221"/>
      <c r="S316" s="221"/>
      <c r="T316" s="221"/>
      <c r="U316" s="221"/>
      <c r="V316" s="221"/>
      <c r="W316" s="221"/>
      <c r="X316" s="221"/>
      <c r="Y316" s="221"/>
      <c r="Z316" s="221"/>
      <c r="AA316" s="221"/>
      <c r="AB316" s="221"/>
    </row>
    <row r="317">
      <c r="A317" s="296"/>
      <c r="B317" s="296"/>
      <c r="C317" s="232"/>
      <c r="D317" s="232"/>
      <c r="E317" s="232"/>
      <c r="F317" s="232"/>
      <c r="G317" s="232"/>
      <c r="H317" s="232"/>
      <c r="I317" s="221"/>
      <c r="J317" s="221"/>
      <c r="K317" s="221"/>
      <c r="L317" s="221"/>
      <c r="M317" s="221"/>
      <c r="N317" s="221"/>
      <c r="O317" s="221"/>
      <c r="P317" s="221"/>
      <c r="Q317" s="221"/>
      <c r="R317" s="221"/>
      <c r="S317" s="221"/>
      <c r="T317" s="221"/>
      <c r="U317" s="221"/>
      <c r="V317" s="221"/>
      <c r="W317" s="221"/>
      <c r="X317" s="221"/>
      <c r="Y317" s="221"/>
      <c r="Z317" s="221"/>
      <c r="AA317" s="221"/>
      <c r="AB317" s="221"/>
    </row>
    <row r="318">
      <c r="A318" s="296"/>
      <c r="B318" s="296"/>
      <c r="C318" s="232"/>
      <c r="D318" s="232"/>
      <c r="E318" s="232"/>
      <c r="F318" s="232"/>
      <c r="G318" s="232"/>
      <c r="H318" s="232"/>
      <c r="I318" s="221"/>
      <c r="J318" s="221"/>
      <c r="K318" s="221"/>
      <c r="L318" s="221"/>
      <c r="M318" s="221"/>
      <c r="N318" s="221"/>
      <c r="O318" s="221"/>
      <c r="P318" s="221"/>
      <c r="Q318" s="221"/>
      <c r="R318" s="221"/>
      <c r="S318" s="221"/>
      <c r="T318" s="221"/>
      <c r="U318" s="221"/>
      <c r="V318" s="221"/>
      <c r="W318" s="221"/>
      <c r="X318" s="221"/>
      <c r="Y318" s="221"/>
      <c r="Z318" s="221"/>
      <c r="AA318" s="221"/>
      <c r="AB318" s="221"/>
    </row>
    <row r="319">
      <c r="A319" s="296"/>
      <c r="B319" s="296"/>
      <c r="C319" s="232"/>
      <c r="D319" s="232"/>
      <c r="E319" s="232"/>
      <c r="F319" s="232"/>
      <c r="G319" s="232"/>
      <c r="H319" s="232"/>
      <c r="I319" s="221"/>
      <c r="J319" s="221"/>
      <c r="K319" s="221"/>
      <c r="L319" s="221"/>
      <c r="M319" s="221"/>
      <c r="N319" s="221"/>
      <c r="O319" s="221"/>
      <c r="P319" s="221"/>
      <c r="Q319" s="221"/>
      <c r="R319" s="221"/>
      <c r="S319" s="221"/>
      <c r="T319" s="221"/>
      <c r="U319" s="221"/>
      <c r="V319" s="221"/>
      <c r="W319" s="221"/>
      <c r="X319" s="221"/>
      <c r="Y319" s="221"/>
      <c r="Z319" s="221"/>
      <c r="AA319" s="221"/>
      <c r="AB319" s="221"/>
    </row>
    <row r="320">
      <c r="A320" s="296"/>
      <c r="B320" s="296"/>
      <c r="C320" s="232"/>
      <c r="D320" s="232"/>
      <c r="E320" s="232"/>
      <c r="F320" s="232"/>
      <c r="G320" s="232"/>
      <c r="H320" s="232"/>
      <c r="I320" s="221"/>
      <c r="J320" s="221"/>
      <c r="K320" s="221"/>
      <c r="L320" s="221"/>
      <c r="M320" s="221"/>
      <c r="N320" s="221"/>
      <c r="O320" s="221"/>
      <c r="P320" s="221"/>
      <c r="Q320" s="221"/>
      <c r="R320" s="221"/>
      <c r="S320" s="221"/>
      <c r="T320" s="221"/>
      <c r="U320" s="221"/>
      <c r="V320" s="221"/>
      <c r="W320" s="221"/>
      <c r="X320" s="221"/>
      <c r="Y320" s="221"/>
      <c r="Z320" s="221"/>
      <c r="AA320" s="221"/>
      <c r="AB320" s="221"/>
    </row>
    <row r="321">
      <c r="A321" s="296"/>
      <c r="B321" s="296"/>
      <c r="C321" s="232"/>
      <c r="D321" s="232"/>
      <c r="E321" s="232"/>
      <c r="F321" s="232"/>
      <c r="G321" s="232"/>
      <c r="H321" s="232"/>
      <c r="I321" s="221"/>
      <c r="J321" s="221"/>
      <c r="K321" s="221"/>
      <c r="L321" s="221"/>
      <c r="M321" s="221"/>
      <c r="N321" s="221"/>
      <c r="O321" s="221"/>
      <c r="P321" s="221"/>
      <c r="Q321" s="221"/>
      <c r="R321" s="221"/>
      <c r="S321" s="221"/>
      <c r="T321" s="221"/>
      <c r="U321" s="221"/>
      <c r="V321" s="221"/>
      <c r="W321" s="221"/>
      <c r="X321" s="221"/>
      <c r="Y321" s="221"/>
      <c r="Z321" s="221"/>
      <c r="AA321" s="221"/>
      <c r="AB321" s="221"/>
    </row>
    <row r="322">
      <c r="A322" s="296"/>
      <c r="B322" s="296"/>
      <c r="C322" s="232"/>
      <c r="D322" s="232"/>
      <c r="E322" s="232"/>
      <c r="F322" s="232"/>
      <c r="G322" s="232"/>
      <c r="H322" s="232"/>
      <c r="I322" s="221"/>
      <c r="J322" s="221"/>
      <c r="K322" s="221"/>
      <c r="L322" s="221"/>
      <c r="M322" s="221"/>
      <c r="N322" s="221"/>
      <c r="O322" s="221"/>
      <c r="P322" s="221"/>
      <c r="Q322" s="221"/>
      <c r="R322" s="221"/>
      <c r="S322" s="221"/>
      <c r="T322" s="221"/>
      <c r="U322" s="221"/>
      <c r="V322" s="221"/>
      <c r="W322" s="221"/>
      <c r="X322" s="221"/>
      <c r="Y322" s="221"/>
      <c r="Z322" s="221"/>
      <c r="AA322" s="221"/>
      <c r="AB322" s="221"/>
    </row>
    <row r="323">
      <c r="A323" s="296"/>
      <c r="B323" s="296"/>
      <c r="C323" s="232"/>
      <c r="D323" s="232"/>
      <c r="E323" s="232"/>
      <c r="F323" s="232"/>
      <c r="G323" s="232"/>
      <c r="H323" s="232"/>
      <c r="I323" s="221"/>
      <c r="J323" s="221"/>
      <c r="K323" s="221"/>
      <c r="L323" s="221"/>
      <c r="M323" s="221"/>
      <c r="N323" s="221"/>
      <c r="O323" s="221"/>
      <c r="P323" s="221"/>
      <c r="Q323" s="221"/>
      <c r="R323" s="221"/>
      <c r="S323" s="221"/>
      <c r="T323" s="221"/>
      <c r="U323" s="221"/>
      <c r="V323" s="221"/>
      <c r="W323" s="221"/>
      <c r="X323" s="221"/>
      <c r="Y323" s="221"/>
      <c r="Z323" s="221"/>
      <c r="AA323" s="221"/>
      <c r="AB323" s="221"/>
    </row>
    <row r="324">
      <c r="A324" s="296"/>
      <c r="B324" s="296"/>
      <c r="C324" s="232"/>
      <c r="D324" s="232"/>
      <c r="E324" s="232"/>
      <c r="F324" s="232"/>
      <c r="G324" s="232"/>
      <c r="H324" s="232"/>
      <c r="I324" s="221"/>
      <c r="J324" s="221"/>
      <c r="K324" s="221"/>
      <c r="L324" s="221"/>
      <c r="M324" s="221"/>
      <c r="N324" s="221"/>
      <c r="O324" s="221"/>
      <c r="P324" s="221"/>
      <c r="Q324" s="221"/>
      <c r="R324" s="221"/>
      <c r="S324" s="221"/>
      <c r="T324" s="221"/>
      <c r="U324" s="221"/>
      <c r="V324" s="221"/>
      <c r="W324" s="221"/>
      <c r="X324" s="221"/>
      <c r="Y324" s="221"/>
      <c r="Z324" s="221"/>
      <c r="AA324" s="221"/>
      <c r="AB324" s="221"/>
    </row>
    <row r="325">
      <c r="A325" s="296"/>
      <c r="B325" s="296"/>
      <c r="C325" s="232"/>
      <c r="D325" s="232"/>
      <c r="E325" s="232"/>
      <c r="F325" s="232"/>
      <c r="G325" s="232"/>
      <c r="H325" s="232"/>
      <c r="I325" s="221"/>
      <c r="J325" s="221"/>
      <c r="K325" s="221"/>
      <c r="L325" s="221"/>
      <c r="M325" s="221"/>
      <c r="N325" s="221"/>
      <c r="O325" s="221"/>
      <c r="P325" s="221"/>
      <c r="Q325" s="221"/>
      <c r="R325" s="221"/>
      <c r="S325" s="221"/>
      <c r="T325" s="221"/>
      <c r="U325" s="221"/>
      <c r="V325" s="221"/>
      <c r="W325" s="221"/>
      <c r="X325" s="221"/>
      <c r="Y325" s="221"/>
      <c r="Z325" s="221"/>
      <c r="AA325" s="221"/>
      <c r="AB325" s="221"/>
    </row>
    <row r="326">
      <c r="A326" s="296"/>
      <c r="B326" s="296"/>
      <c r="C326" s="232"/>
      <c r="D326" s="232"/>
      <c r="E326" s="232"/>
      <c r="F326" s="232"/>
      <c r="G326" s="232"/>
      <c r="H326" s="232"/>
      <c r="I326" s="221"/>
      <c r="J326" s="221"/>
      <c r="K326" s="221"/>
      <c r="L326" s="221"/>
      <c r="M326" s="221"/>
      <c r="N326" s="221"/>
      <c r="O326" s="221"/>
      <c r="P326" s="221"/>
      <c r="Q326" s="221"/>
      <c r="R326" s="221"/>
      <c r="S326" s="221"/>
      <c r="T326" s="221"/>
      <c r="U326" s="221"/>
      <c r="V326" s="221"/>
      <c r="W326" s="221"/>
      <c r="X326" s="221"/>
      <c r="Y326" s="221"/>
      <c r="Z326" s="221"/>
      <c r="AA326" s="221"/>
      <c r="AB326" s="221"/>
    </row>
    <row r="327">
      <c r="A327" s="296"/>
      <c r="B327" s="296"/>
      <c r="C327" s="232"/>
      <c r="D327" s="232"/>
      <c r="E327" s="232"/>
      <c r="F327" s="232"/>
      <c r="G327" s="232"/>
      <c r="H327" s="232"/>
      <c r="I327" s="221"/>
      <c r="J327" s="221"/>
      <c r="K327" s="221"/>
      <c r="L327" s="221"/>
      <c r="M327" s="221"/>
      <c r="N327" s="221"/>
      <c r="O327" s="221"/>
      <c r="P327" s="221"/>
      <c r="Q327" s="221"/>
      <c r="R327" s="221"/>
      <c r="S327" s="221"/>
      <c r="T327" s="221"/>
      <c r="U327" s="221"/>
      <c r="V327" s="221"/>
      <c r="W327" s="221"/>
      <c r="X327" s="221"/>
      <c r="Y327" s="221"/>
      <c r="Z327" s="221"/>
      <c r="AA327" s="221"/>
      <c r="AB327" s="221"/>
    </row>
    <row r="328">
      <c r="A328" s="296"/>
      <c r="B328" s="296"/>
      <c r="C328" s="232"/>
      <c r="D328" s="232"/>
      <c r="E328" s="232"/>
      <c r="F328" s="232"/>
      <c r="G328" s="232"/>
      <c r="H328" s="232"/>
      <c r="I328" s="221"/>
      <c r="J328" s="221"/>
      <c r="K328" s="221"/>
      <c r="L328" s="221"/>
      <c r="M328" s="221"/>
      <c r="N328" s="221"/>
      <c r="O328" s="221"/>
      <c r="P328" s="221"/>
      <c r="Q328" s="221"/>
      <c r="R328" s="221"/>
      <c r="S328" s="221"/>
      <c r="T328" s="221"/>
      <c r="U328" s="221"/>
      <c r="V328" s="221"/>
      <c r="W328" s="221"/>
      <c r="X328" s="221"/>
      <c r="Y328" s="221"/>
      <c r="Z328" s="221"/>
      <c r="AA328" s="221"/>
      <c r="AB328" s="221"/>
    </row>
    <row r="329">
      <c r="A329" s="296"/>
      <c r="B329" s="296"/>
      <c r="C329" s="232"/>
      <c r="D329" s="232"/>
      <c r="E329" s="232"/>
      <c r="F329" s="232"/>
      <c r="G329" s="232"/>
      <c r="H329" s="232"/>
      <c r="I329" s="221"/>
      <c r="J329" s="221"/>
      <c r="K329" s="221"/>
      <c r="L329" s="221"/>
      <c r="M329" s="221"/>
      <c r="N329" s="221"/>
      <c r="O329" s="221"/>
      <c r="P329" s="221"/>
      <c r="Q329" s="221"/>
      <c r="R329" s="221"/>
      <c r="S329" s="221"/>
      <c r="T329" s="221"/>
      <c r="U329" s="221"/>
      <c r="V329" s="221"/>
      <c r="W329" s="221"/>
      <c r="X329" s="221"/>
      <c r="Y329" s="221"/>
      <c r="Z329" s="221"/>
      <c r="AA329" s="221"/>
      <c r="AB329" s="221"/>
    </row>
    <row r="330">
      <c r="A330" s="296"/>
      <c r="B330" s="296"/>
      <c r="C330" s="232"/>
      <c r="D330" s="232"/>
      <c r="E330" s="232"/>
      <c r="F330" s="232"/>
      <c r="G330" s="232"/>
      <c r="H330" s="232"/>
      <c r="I330" s="221"/>
      <c r="J330" s="221"/>
      <c r="K330" s="221"/>
      <c r="L330" s="221"/>
      <c r="M330" s="221"/>
      <c r="N330" s="221"/>
      <c r="O330" s="221"/>
      <c r="P330" s="221"/>
      <c r="Q330" s="221"/>
      <c r="R330" s="221"/>
      <c r="S330" s="221"/>
      <c r="T330" s="221"/>
      <c r="U330" s="221"/>
      <c r="V330" s="221"/>
      <c r="W330" s="221"/>
      <c r="X330" s="221"/>
      <c r="Y330" s="221"/>
      <c r="Z330" s="221"/>
      <c r="AA330" s="221"/>
      <c r="AB330" s="221"/>
    </row>
    <row r="331">
      <c r="A331" s="296"/>
      <c r="B331" s="296"/>
      <c r="C331" s="232"/>
      <c r="D331" s="232"/>
      <c r="E331" s="232"/>
      <c r="F331" s="232"/>
      <c r="G331" s="232"/>
      <c r="H331" s="232"/>
      <c r="I331" s="221"/>
      <c r="J331" s="221"/>
      <c r="K331" s="221"/>
      <c r="L331" s="221"/>
      <c r="M331" s="221"/>
      <c r="N331" s="221"/>
      <c r="O331" s="221"/>
      <c r="P331" s="221"/>
      <c r="Q331" s="221"/>
      <c r="R331" s="221"/>
      <c r="S331" s="221"/>
      <c r="T331" s="221"/>
      <c r="U331" s="221"/>
      <c r="V331" s="221"/>
      <c r="W331" s="221"/>
      <c r="X331" s="221"/>
      <c r="Y331" s="221"/>
      <c r="Z331" s="221"/>
      <c r="AA331" s="221"/>
      <c r="AB331" s="221"/>
    </row>
    <row r="332">
      <c r="A332" s="296"/>
      <c r="B332" s="296"/>
      <c r="C332" s="232"/>
      <c r="D332" s="232"/>
      <c r="E332" s="232"/>
      <c r="F332" s="232"/>
      <c r="G332" s="232"/>
      <c r="H332" s="232"/>
      <c r="I332" s="221"/>
      <c r="J332" s="221"/>
      <c r="K332" s="221"/>
      <c r="L332" s="221"/>
      <c r="M332" s="221"/>
      <c r="N332" s="221"/>
      <c r="O332" s="221"/>
      <c r="P332" s="221"/>
      <c r="Q332" s="221"/>
      <c r="R332" s="221"/>
      <c r="S332" s="221"/>
      <c r="T332" s="221"/>
      <c r="U332" s="221"/>
      <c r="V332" s="221"/>
      <c r="W332" s="221"/>
      <c r="X332" s="221"/>
      <c r="Y332" s="221"/>
      <c r="Z332" s="221"/>
      <c r="AA332" s="221"/>
      <c r="AB332" s="221"/>
    </row>
    <row r="333">
      <c r="A333" s="296"/>
      <c r="B333" s="296"/>
      <c r="C333" s="232"/>
      <c r="D333" s="232"/>
      <c r="E333" s="232"/>
      <c r="F333" s="232"/>
      <c r="G333" s="232"/>
      <c r="H333" s="232"/>
      <c r="I333" s="221"/>
      <c r="J333" s="221"/>
      <c r="K333" s="221"/>
      <c r="L333" s="221"/>
      <c r="M333" s="221"/>
      <c r="N333" s="221"/>
      <c r="O333" s="221"/>
      <c r="P333" s="221"/>
      <c r="Q333" s="221"/>
      <c r="R333" s="221"/>
      <c r="S333" s="221"/>
      <c r="T333" s="221"/>
      <c r="U333" s="221"/>
      <c r="V333" s="221"/>
      <c r="W333" s="221"/>
      <c r="X333" s="221"/>
      <c r="Y333" s="221"/>
      <c r="Z333" s="221"/>
      <c r="AA333" s="221"/>
      <c r="AB333" s="221"/>
    </row>
    <row r="334">
      <c r="A334" s="296"/>
      <c r="B334" s="296"/>
      <c r="C334" s="232"/>
      <c r="D334" s="232"/>
      <c r="E334" s="232"/>
      <c r="F334" s="232"/>
      <c r="G334" s="232"/>
      <c r="H334" s="232"/>
      <c r="I334" s="221"/>
      <c r="J334" s="221"/>
      <c r="K334" s="221"/>
      <c r="L334" s="221"/>
      <c r="M334" s="221"/>
      <c r="N334" s="221"/>
      <c r="O334" s="221"/>
      <c r="P334" s="221"/>
      <c r="Q334" s="221"/>
      <c r="R334" s="221"/>
      <c r="S334" s="221"/>
      <c r="T334" s="221"/>
      <c r="U334" s="221"/>
      <c r="V334" s="221"/>
      <c r="W334" s="221"/>
      <c r="X334" s="221"/>
      <c r="Y334" s="221"/>
      <c r="Z334" s="221"/>
      <c r="AA334" s="221"/>
      <c r="AB334" s="221"/>
    </row>
    <row r="335">
      <c r="A335" s="296"/>
      <c r="B335" s="296"/>
      <c r="C335" s="232"/>
      <c r="D335" s="232"/>
      <c r="E335" s="232"/>
      <c r="F335" s="232"/>
      <c r="G335" s="232"/>
      <c r="H335" s="232"/>
      <c r="I335" s="221"/>
      <c r="J335" s="221"/>
      <c r="K335" s="221"/>
      <c r="L335" s="221"/>
      <c r="M335" s="221"/>
      <c r="N335" s="221"/>
      <c r="O335" s="221"/>
      <c r="P335" s="221"/>
      <c r="Q335" s="221"/>
      <c r="R335" s="221"/>
      <c r="S335" s="221"/>
      <c r="T335" s="221"/>
      <c r="U335" s="221"/>
      <c r="V335" s="221"/>
      <c r="W335" s="221"/>
      <c r="X335" s="221"/>
      <c r="Y335" s="221"/>
      <c r="Z335" s="221"/>
      <c r="AA335" s="221"/>
      <c r="AB335" s="221"/>
    </row>
    <row r="336">
      <c r="A336" s="296"/>
      <c r="B336" s="296"/>
      <c r="C336" s="232"/>
      <c r="D336" s="232"/>
      <c r="E336" s="232"/>
      <c r="F336" s="232"/>
      <c r="G336" s="232"/>
      <c r="H336" s="232"/>
      <c r="I336" s="221"/>
      <c r="J336" s="221"/>
      <c r="K336" s="221"/>
      <c r="L336" s="221"/>
      <c r="M336" s="221"/>
      <c r="N336" s="221"/>
      <c r="O336" s="221"/>
      <c r="P336" s="221"/>
      <c r="Q336" s="221"/>
      <c r="R336" s="221"/>
      <c r="S336" s="221"/>
      <c r="T336" s="221"/>
      <c r="U336" s="221"/>
      <c r="V336" s="221"/>
      <c r="W336" s="221"/>
      <c r="X336" s="221"/>
      <c r="Y336" s="221"/>
      <c r="Z336" s="221"/>
      <c r="AA336" s="221"/>
      <c r="AB336" s="221"/>
    </row>
    <row r="337">
      <c r="A337" s="296"/>
      <c r="B337" s="296"/>
      <c r="C337" s="232"/>
      <c r="D337" s="232"/>
      <c r="E337" s="232"/>
      <c r="F337" s="232"/>
      <c r="G337" s="232"/>
      <c r="H337" s="232"/>
      <c r="I337" s="221"/>
      <c r="J337" s="221"/>
      <c r="K337" s="221"/>
      <c r="L337" s="221"/>
      <c r="M337" s="221"/>
      <c r="N337" s="221"/>
      <c r="O337" s="221"/>
      <c r="P337" s="221"/>
      <c r="Q337" s="221"/>
      <c r="R337" s="221"/>
      <c r="S337" s="221"/>
      <c r="T337" s="221"/>
      <c r="U337" s="221"/>
      <c r="V337" s="221"/>
      <c r="W337" s="221"/>
      <c r="X337" s="221"/>
      <c r="Y337" s="221"/>
      <c r="Z337" s="221"/>
      <c r="AA337" s="221"/>
      <c r="AB337" s="221"/>
    </row>
    <row r="338">
      <c r="A338" s="296"/>
      <c r="B338" s="296"/>
      <c r="C338" s="232"/>
      <c r="D338" s="232"/>
      <c r="E338" s="232"/>
      <c r="F338" s="232"/>
      <c r="G338" s="232"/>
      <c r="H338" s="232"/>
      <c r="I338" s="221"/>
      <c r="J338" s="221"/>
      <c r="K338" s="221"/>
      <c r="L338" s="221"/>
      <c r="M338" s="221"/>
      <c r="N338" s="221"/>
      <c r="O338" s="221"/>
      <c r="P338" s="221"/>
      <c r="Q338" s="221"/>
      <c r="R338" s="221"/>
      <c r="S338" s="221"/>
      <c r="T338" s="221"/>
      <c r="U338" s="221"/>
      <c r="V338" s="221"/>
      <c r="W338" s="221"/>
      <c r="X338" s="221"/>
      <c r="Y338" s="221"/>
      <c r="Z338" s="221"/>
      <c r="AA338" s="221"/>
      <c r="AB338" s="221"/>
    </row>
    <row r="339">
      <c r="A339" s="296"/>
      <c r="B339" s="296"/>
      <c r="C339" s="232"/>
      <c r="D339" s="232"/>
      <c r="E339" s="232"/>
      <c r="F339" s="232"/>
      <c r="G339" s="232"/>
      <c r="H339" s="232"/>
      <c r="I339" s="221"/>
      <c r="J339" s="221"/>
      <c r="K339" s="221"/>
      <c r="L339" s="221"/>
      <c r="M339" s="221"/>
      <c r="N339" s="221"/>
      <c r="O339" s="221"/>
      <c r="P339" s="221"/>
      <c r="Q339" s="221"/>
      <c r="R339" s="221"/>
      <c r="S339" s="221"/>
      <c r="T339" s="221"/>
      <c r="U339" s="221"/>
      <c r="V339" s="221"/>
      <c r="W339" s="221"/>
      <c r="X339" s="221"/>
      <c r="Y339" s="221"/>
      <c r="Z339" s="221"/>
      <c r="AA339" s="221"/>
      <c r="AB339" s="221"/>
    </row>
    <row r="340">
      <c r="A340" s="296"/>
      <c r="B340" s="296"/>
      <c r="C340" s="232"/>
      <c r="D340" s="232"/>
      <c r="E340" s="232"/>
      <c r="F340" s="232"/>
      <c r="G340" s="232"/>
      <c r="H340" s="232"/>
      <c r="I340" s="221"/>
      <c r="J340" s="221"/>
      <c r="K340" s="221"/>
      <c r="L340" s="221"/>
      <c r="M340" s="221"/>
      <c r="N340" s="221"/>
      <c r="O340" s="221"/>
      <c r="P340" s="221"/>
      <c r="Q340" s="221"/>
      <c r="R340" s="221"/>
      <c r="S340" s="221"/>
      <c r="T340" s="221"/>
      <c r="U340" s="221"/>
      <c r="V340" s="221"/>
      <c r="W340" s="221"/>
      <c r="X340" s="221"/>
      <c r="Y340" s="221"/>
      <c r="Z340" s="221"/>
      <c r="AA340" s="221"/>
      <c r="AB340" s="221"/>
    </row>
    <row r="341">
      <c r="A341" s="296"/>
      <c r="B341" s="296"/>
      <c r="C341" s="232"/>
      <c r="D341" s="232"/>
      <c r="E341" s="232"/>
      <c r="F341" s="232"/>
      <c r="G341" s="232"/>
      <c r="H341" s="232"/>
      <c r="I341" s="221"/>
      <c r="J341" s="221"/>
      <c r="K341" s="221"/>
      <c r="L341" s="221"/>
      <c r="M341" s="221"/>
      <c r="N341" s="221"/>
      <c r="O341" s="221"/>
      <c r="P341" s="221"/>
      <c r="Q341" s="221"/>
      <c r="R341" s="221"/>
      <c r="S341" s="221"/>
      <c r="T341" s="221"/>
      <c r="U341" s="221"/>
      <c r="V341" s="221"/>
      <c r="W341" s="221"/>
      <c r="X341" s="221"/>
      <c r="Y341" s="221"/>
      <c r="Z341" s="221"/>
      <c r="AA341" s="221"/>
      <c r="AB341" s="221"/>
    </row>
    <row r="342">
      <c r="A342" s="296"/>
      <c r="B342" s="296"/>
      <c r="C342" s="232"/>
      <c r="D342" s="232"/>
      <c r="E342" s="232"/>
      <c r="F342" s="232"/>
      <c r="G342" s="232"/>
      <c r="H342" s="232"/>
      <c r="I342" s="221"/>
      <c r="J342" s="221"/>
      <c r="K342" s="221"/>
      <c r="L342" s="221"/>
      <c r="M342" s="221"/>
      <c r="N342" s="221"/>
      <c r="O342" s="221"/>
      <c r="P342" s="221"/>
      <c r="Q342" s="221"/>
      <c r="R342" s="221"/>
      <c r="S342" s="221"/>
      <c r="T342" s="221"/>
      <c r="U342" s="221"/>
      <c r="V342" s="221"/>
      <c r="W342" s="221"/>
      <c r="X342" s="221"/>
      <c r="Y342" s="221"/>
      <c r="Z342" s="221"/>
      <c r="AA342" s="221"/>
      <c r="AB342" s="221"/>
    </row>
    <row r="343">
      <c r="A343" s="296"/>
      <c r="B343" s="296"/>
      <c r="C343" s="232"/>
      <c r="D343" s="232"/>
      <c r="E343" s="232"/>
      <c r="F343" s="232"/>
      <c r="G343" s="232"/>
      <c r="H343" s="232"/>
      <c r="I343" s="221"/>
      <c r="J343" s="221"/>
      <c r="K343" s="221"/>
      <c r="L343" s="221"/>
      <c r="M343" s="221"/>
      <c r="N343" s="221"/>
      <c r="O343" s="221"/>
      <c r="P343" s="221"/>
      <c r="Q343" s="221"/>
      <c r="R343" s="221"/>
      <c r="S343" s="221"/>
      <c r="T343" s="221"/>
      <c r="U343" s="221"/>
      <c r="V343" s="221"/>
      <c r="W343" s="221"/>
      <c r="X343" s="221"/>
      <c r="Y343" s="221"/>
      <c r="Z343" s="221"/>
      <c r="AA343" s="221"/>
      <c r="AB343" s="221"/>
    </row>
    <row r="344">
      <c r="A344" s="296"/>
      <c r="B344" s="296"/>
      <c r="C344" s="232"/>
      <c r="D344" s="232"/>
      <c r="E344" s="232"/>
      <c r="F344" s="232"/>
      <c r="G344" s="232"/>
      <c r="H344" s="232"/>
      <c r="I344" s="221"/>
      <c r="J344" s="221"/>
      <c r="K344" s="221"/>
      <c r="L344" s="221"/>
      <c r="M344" s="221"/>
      <c r="N344" s="221"/>
      <c r="O344" s="221"/>
      <c r="P344" s="221"/>
      <c r="Q344" s="221"/>
      <c r="R344" s="221"/>
      <c r="S344" s="221"/>
      <c r="T344" s="221"/>
      <c r="U344" s="221"/>
      <c r="V344" s="221"/>
      <c r="W344" s="221"/>
      <c r="X344" s="221"/>
      <c r="Y344" s="221"/>
      <c r="Z344" s="221"/>
      <c r="AA344" s="221"/>
      <c r="AB344" s="221"/>
    </row>
    <row r="345">
      <c r="A345" s="296"/>
      <c r="B345" s="296"/>
      <c r="C345" s="232"/>
      <c r="D345" s="232"/>
      <c r="E345" s="232"/>
      <c r="F345" s="232"/>
      <c r="G345" s="232"/>
      <c r="H345" s="232"/>
      <c r="I345" s="221"/>
      <c r="J345" s="221"/>
      <c r="K345" s="221"/>
      <c r="L345" s="221"/>
      <c r="M345" s="221"/>
      <c r="N345" s="221"/>
      <c r="O345" s="221"/>
      <c r="P345" s="221"/>
      <c r="Q345" s="221"/>
      <c r="R345" s="221"/>
      <c r="S345" s="221"/>
      <c r="T345" s="221"/>
      <c r="U345" s="221"/>
      <c r="V345" s="221"/>
      <c r="W345" s="221"/>
      <c r="X345" s="221"/>
      <c r="Y345" s="221"/>
      <c r="Z345" s="221"/>
      <c r="AA345" s="221"/>
      <c r="AB345" s="221"/>
    </row>
    <row r="346">
      <c r="A346" s="296"/>
      <c r="B346" s="296"/>
      <c r="C346" s="232"/>
      <c r="D346" s="232"/>
      <c r="E346" s="232"/>
      <c r="F346" s="232"/>
      <c r="G346" s="232"/>
      <c r="H346" s="232"/>
      <c r="I346" s="221"/>
      <c r="J346" s="221"/>
      <c r="K346" s="221"/>
      <c r="L346" s="221"/>
      <c r="M346" s="221"/>
      <c r="N346" s="221"/>
      <c r="O346" s="221"/>
      <c r="P346" s="221"/>
      <c r="Q346" s="221"/>
      <c r="R346" s="221"/>
      <c r="S346" s="221"/>
      <c r="T346" s="221"/>
      <c r="U346" s="221"/>
      <c r="V346" s="221"/>
      <c r="W346" s="221"/>
      <c r="X346" s="221"/>
      <c r="Y346" s="221"/>
      <c r="Z346" s="221"/>
      <c r="AA346" s="221"/>
      <c r="AB346" s="221"/>
    </row>
    <row r="347">
      <c r="A347" s="296"/>
      <c r="B347" s="296"/>
      <c r="C347" s="232"/>
      <c r="D347" s="232"/>
      <c r="E347" s="232"/>
      <c r="F347" s="232"/>
      <c r="G347" s="232"/>
      <c r="H347" s="232"/>
      <c r="I347" s="221"/>
      <c r="J347" s="221"/>
      <c r="K347" s="221"/>
      <c r="L347" s="221"/>
      <c r="M347" s="221"/>
      <c r="N347" s="221"/>
      <c r="O347" s="221"/>
      <c r="P347" s="221"/>
      <c r="Q347" s="221"/>
      <c r="R347" s="221"/>
      <c r="S347" s="221"/>
      <c r="T347" s="221"/>
      <c r="U347" s="221"/>
      <c r="V347" s="221"/>
      <c r="W347" s="221"/>
      <c r="X347" s="221"/>
      <c r="Y347" s="221"/>
      <c r="Z347" s="221"/>
      <c r="AA347" s="221"/>
      <c r="AB347" s="221"/>
    </row>
    <row r="348">
      <c r="A348" s="296"/>
      <c r="B348" s="296"/>
      <c r="C348" s="232"/>
      <c r="D348" s="232"/>
      <c r="E348" s="232"/>
      <c r="F348" s="232"/>
      <c r="G348" s="232"/>
      <c r="H348" s="232"/>
      <c r="I348" s="221"/>
      <c r="J348" s="221"/>
      <c r="K348" s="221"/>
      <c r="L348" s="221"/>
      <c r="M348" s="221"/>
      <c r="N348" s="221"/>
      <c r="O348" s="221"/>
      <c r="P348" s="221"/>
      <c r="Q348" s="221"/>
      <c r="R348" s="221"/>
      <c r="S348" s="221"/>
      <c r="T348" s="221"/>
      <c r="U348" s="221"/>
      <c r="V348" s="221"/>
      <c r="W348" s="221"/>
      <c r="X348" s="221"/>
      <c r="Y348" s="221"/>
      <c r="Z348" s="221"/>
      <c r="AA348" s="221"/>
      <c r="AB348" s="221"/>
    </row>
    <row r="349">
      <c r="A349" s="296"/>
      <c r="B349" s="296"/>
      <c r="C349" s="232"/>
      <c r="D349" s="232"/>
      <c r="E349" s="232"/>
      <c r="F349" s="232"/>
      <c r="G349" s="232"/>
      <c r="H349" s="232"/>
      <c r="I349" s="221"/>
      <c r="J349" s="221"/>
      <c r="K349" s="221"/>
      <c r="L349" s="221"/>
      <c r="M349" s="221"/>
      <c r="N349" s="221"/>
      <c r="O349" s="221"/>
      <c r="P349" s="221"/>
      <c r="Q349" s="221"/>
      <c r="R349" s="221"/>
      <c r="S349" s="221"/>
      <c r="T349" s="221"/>
      <c r="U349" s="221"/>
      <c r="V349" s="221"/>
      <c r="W349" s="221"/>
      <c r="X349" s="221"/>
      <c r="Y349" s="221"/>
      <c r="Z349" s="221"/>
      <c r="AA349" s="221"/>
      <c r="AB349" s="221"/>
    </row>
    <row r="350">
      <c r="A350" s="296"/>
      <c r="B350" s="296"/>
      <c r="C350" s="232"/>
      <c r="D350" s="232"/>
      <c r="E350" s="232"/>
      <c r="F350" s="232"/>
      <c r="G350" s="232"/>
      <c r="H350" s="232"/>
      <c r="I350" s="221"/>
      <c r="J350" s="221"/>
      <c r="K350" s="221"/>
      <c r="L350" s="221"/>
      <c r="M350" s="221"/>
      <c r="N350" s="221"/>
      <c r="O350" s="221"/>
      <c r="P350" s="221"/>
      <c r="Q350" s="221"/>
      <c r="R350" s="221"/>
      <c r="S350" s="221"/>
      <c r="T350" s="221"/>
      <c r="U350" s="221"/>
      <c r="V350" s="221"/>
      <c r="W350" s="221"/>
      <c r="X350" s="221"/>
      <c r="Y350" s="221"/>
      <c r="Z350" s="221"/>
      <c r="AA350" s="221"/>
      <c r="AB350" s="221"/>
    </row>
    <row r="351">
      <c r="A351" s="296"/>
      <c r="B351" s="296"/>
      <c r="C351" s="232"/>
      <c r="D351" s="232"/>
      <c r="E351" s="232"/>
      <c r="F351" s="232"/>
      <c r="G351" s="232"/>
      <c r="H351" s="232"/>
      <c r="I351" s="221"/>
      <c r="J351" s="221"/>
      <c r="K351" s="221"/>
      <c r="L351" s="221"/>
      <c r="M351" s="221"/>
      <c r="N351" s="221"/>
      <c r="O351" s="221"/>
      <c r="P351" s="221"/>
      <c r="Q351" s="221"/>
      <c r="R351" s="221"/>
      <c r="S351" s="221"/>
      <c r="T351" s="221"/>
      <c r="U351" s="221"/>
      <c r="V351" s="221"/>
      <c r="W351" s="221"/>
      <c r="X351" s="221"/>
      <c r="Y351" s="221"/>
      <c r="Z351" s="221"/>
      <c r="AA351" s="221"/>
      <c r="AB351" s="221"/>
    </row>
    <row r="352">
      <c r="A352" s="296"/>
      <c r="B352" s="296"/>
      <c r="C352" s="232"/>
      <c r="D352" s="232"/>
      <c r="E352" s="232"/>
      <c r="F352" s="232"/>
      <c r="G352" s="232"/>
      <c r="H352" s="232"/>
      <c r="I352" s="221"/>
      <c r="J352" s="221"/>
      <c r="K352" s="221"/>
      <c r="L352" s="221"/>
      <c r="M352" s="221"/>
      <c r="N352" s="221"/>
      <c r="O352" s="221"/>
      <c r="P352" s="221"/>
      <c r="Q352" s="221"/>
      <c r="R352" s="221"/>
      <c r="S352" s="221"/>
      <c r="T352" s="221"/>
      <c r="U352" s="221"/>
      <c r="V352" s="221"/>
      <c r="W352" s="221"/>
      <c r="X352" s="221"/>
      <c r="Y352" s="221"/>
      <c r="Z352" s="221"/>
      <c r="AA352" s="221"/>
      <c r="AB352" s="221"/>
    </row>
    <row r="353">
      <c r="A353" s="296"/>
      <c r="B353" s="296"/>
      <c r="C353" s="232"/>
      <c r="D353" s="232"/>
      <c r="E353" s="232"/>
      <c r="F353" s="232"/>
      <c r="G353" s="232"/>
      <c r="H353" s="232"/>
      <c r="I353" s="221"/>
      <c r="J353" s="221"/>
      <c r="K353" s="221"/>
      <c r="L353" s="221"/>
      <c r="M353" s="221"/>
      <c r="N353" s="221"/>
      <c r="O353" s="221"/>
      <c r="P353" s="221"/>
      <c r="Q353" s="221"/>
      <c r="R353" s="221"/>
      <c r="S353" s="221"/>
      <c r="T353" s="221"/>
      <c r="U353" s="221"/>
      <c r="V353" s="221"/>
      <c r="W353" s="221"/>
      <c r="X353" s="221"/>
      <c r="Y353" s="221"/>
      <c r="Z353" s="221"/>
      <c r="AA353" s="221"/>
      <c r="AB353" s="221"/>
    </row>
    <row r="354">
      <c r="A354" s="296"/>
      <c r="B354" s="296"/>
      <c r="C354" s="232"/>
      <c r="D354" s="232"/>
      <c r="E354" s="232"/>
      <c r="F354" s="232"/>
      <c r="G354" s="232"/>
      <c r="H354" s="232"/>
      <c r="I354" s="221"/>
      <c r="J354" s="221"/>
      <c r="K354" s="221"/>
      <c r="L354" s="221"/>
      <c r="M354" s="221"/>
      <c r="N354" s="221"/>
      <c r="O354" s="221"/>
      <c r="P354" s="221"/>
      <c r="Q354" s="221"/>
      <c r="R354" s="221"/>
      <c r="S354" s="221"/>
      <c r="T354" s="221"/>
      <c r="U354" s="221"/>
      <c r="V354" s="221"/>
      <c r="W354" s="221"/>
      <c r="X354" s="221"/>
      <c r="Y354" s="221"/>
      <c r="Z354" s="221"/>
      <c r="AA354" s="221"/>
      <c r="AB354" s="221"/>
    </row>
    <row r="355">
      <c r="A355" s="296"/>
      <c r="B355" s="296"/>
      <c r="C355" s="232"/>
      <c r="D355" s="232"/>
      <c r="E355" s="232"/>
      <c r="F355" s="232"/>
      <c r="G355" s="232"/>
      <c r="H355" s="232"/>
      <c r="I355" s="221"/>
      <c r="J355" s="221"/>
      <c r="K355" s="221"/>
      <c r="L355" s="221"/>
      <c r="M355" s="221"/>
      <c r="N355" s="221"/>
      <c r="O355" s="221"/>
      <c r="P355" s="221"/>
      <c r="Q355" s="221"/>
      <c r="R355" s="221"/>
      <c r="S355" s="221"/>
      <c r="T355" s="221"/>
      <c r="U355" s="221"/>
      <c r="V355" s="221"/>
      <c r="W355" s="221"/>
      <c r="X355" s="221"/>
      <c r="Y355" s="221"/>
      <c r="Z355" s="221"/>
      <c r="AA355" s="221"/>
      <c r="AB355" s="221"/>
    </row>
    <row r="356">
      <c r="A356" s="296"/>
      <c r="B356" s="296"/>
      <c r="C356" s="232"/>
      <c r="D356" s="232"/>
      <c r="E356" s="232"/>
      <c r="F356" s="232"/>
      <c r="G356" s="232"/>
      <c r="H356" s="232"/>
      <c r="I356" s="221"/>
      <c r="J356" s="221"/>
      <c r="K356" s="221"/>
      <c r="L356" s="221"/>
      <c r="M356" s="221"/>
      <c r="N356" s="221"/>
      <c r="O356" s="221"/>
      <c r="P356" s="221"/>
      <c r="Q356" s="221"/>
      <c r="R356" s="221"/>
      <c r="S356" s="221"/>
      <c r="T356" s="221"/>
      <c r="U356" s="221"/>
      <c r="V356" s="221"/>
      <c r="W356" s="221"/>
      <c r="X356" s="221"/>
      <c r="Y356" s="221"/>
      <c r="Z356" s="221"/>
      <c r="AA356" s="221"/>
      <c r="AB356" s="221"/>
    </row>
    <row r="357">
      <c r="A357" s="296"/>
      <c r="B357" s="296"/>
      <c r="C357" s="232"/>
      <c r="D357" s="232"/>
      <c r="E357" s="232"/>
      <c r="F357" s="232"/>
      <c r="G357" s="232"/>
      <c r="H357" s="232"/>
      <c r="I357" s="221"/>
      <c r="J357" s="221"/>
      <c r="K357" s="221"/>
      <c r="L357" s="221"/>
      <c r="M357" s="221"/>
      <c r="N357" s="221"/>
      <c r="O357" s="221"/>
      <c r="P357" s="221"/>
      <c r="Q357" s="221"/>
      <c r="R357" s="221"/>
      <c r="S357" s="221"/>
      <c r="T357" s="221"/>
      <c r="U357" s="221"/>
      <c r="V357" s="221"/>
      <c r="W357" s="221"/>
      <c r="X357" s="221"/>
      <c r="Y357" s="221"/>
      <c r="Z357" s="221"/>
      <c r="AA357" s="221"/>
      <c r="AB357" s="221"/>
    </row>
    <row r="358">
      <c r="A358" s="296"/>
      <c r="B358" s="296"/>
      <c r="C358" s="232"/>
      <c r="D358" s="232"/>
      <c r="E358" s="232"/>
      <c r="F358" s="232"/>
      <c r="G358" s="232"/>
      <c r="H358" s="232"/>
      <c r="I358" s="221"/>
      <c r="J358" s="221"/>
      <c r="K358" s="221"/>
      <c r="L358" s="221"/>
      <c r="M358" s="221"/>
      <c r="N358" s="221"/>
      <c r="O358" s="221"/>
      <c r="P358" s="221"/>
      <c r="Q358" s="221"/>
      <c r="R358" s="221"/>
      <c r="S358" s="221"/>
      <c r="T358" s="221"/>
      <c r="U358" s="221"/>
      <c r="V358" s="221"/>
      <c r="W358" s="221"/>
      <c r="X358" s="221"/>
      <c r="Y358" s="221"/>
      <c r="Z358" s="221"/>
      <c r="AA358" s="221"/>
      <c r="AB358" s="221"/>
    </row>
    <row r="359">
      <c r="A359" s="296"/>
      <c r="B359" s="296"/>
      <c r="C359" s="232"/>
      <c r="D359" s="232"/>
      <c r="E359" s="232"/>
      <c r="F359" s="232"/>
      <c r="G359" s="232"/>
      <c r="H359" s="232"/>
      <c r="I359" s="221"/>
      <c r="J359" s="221"/>
      <c r="K359" s="221"/>
      <c r="L359" s="221"/>
      <c r="M359" s="221"/>
      <c r="N359" s="221"/>
      <c r="O359" s="221"/>
      <c r="P359" s="221"/>
      <c r="Q359" s="221"/>
      <c r="R359" s="221"/>
      <c r="S359" s="221"/>
      <c r="T359" s="221"/>
      <c r="U359" s="221"/>
      <c r="V359" s="221"/>
      <c r="W359" s="221"/>
      <c r="X359" s="221"/>
      <c r="Y359" s="221"/>
      <c r="Z359" s="221"/>
      <c r="AA359" s="221"/>
      <c r="AB359" s="221"/>
    </row>
    <row r="360">
      <c r="A360" s="296"/>
      <c r="B360" s="296"/>
      <c r="C360" s="232"/>
      <c r="D360" s="232"/>
      <c r="E360" s="232"/>
      <c r="F360" s="232"/>
      <c r="G360" s="232"/>
      <c r="H360" s="232"/>
      <c r="I360" s="221"/>
      <c r="J360" s="221"/>
      <c r="K360" s="221"/>
      <c r="L360" s="221"/>
      <c r="M360" s="221"/>
      <c r="N360" s="221"/>
      <c r="O360" s="221"/>
      <c r="P360" s="221"/>
      <c r="Q360" s="221"/>
      <c r="R360" s="221"/>
      <c r="S360" s="221"/>
      <c r="T360" s="221"/>
      <c r="U360" s="221"/>
      <c r="V360" s="221"/>
      <c r="W360" s="221"/>
      <c r="X360" s="221"/>
      <c r="Y360" s="221"/>
      <c r="Z360" s="221"/>
      <c r="AA360" s="221"/>
      <c r="AB360" s="221"/>
    </row>
    <row r="361">
      <c r="A361" s="296"/>
      <c r="B361" s="296"/>
      <c r="C361" s="232"/>
      <c r="D361" s="232"/>
      <c r="E361" s="232"/>
      <c r="F361" s="232"/>
      <c r="G361" s="232"/>
      <c r="H361" s="232"/>
      <c r="I361" s="221"/>
      <c r="J361" s="221"/>
      <c r="K361" s="221"/>
      <c r="L361" s="221"/>
      <c r="M361" s="221"/>
      <c r="N361" s="221"/>
      <c r="O361" s="221"/>
      <c r="P361" s="221"/>
      <c r="Q361" s="221"/>
      <c r="R361" s="221"/>
      <c r="S361" s="221"/>
      <c r="T361" s="221"/>
      <c r="U361" s="221"/>
      <c r="V361" s="221"/>
      <c r="W361" s="221"/>
      <c r="X361" s="221"/>
      <c r="Y361" s="221"/>
      <c r="Z361" s="221"/>
      <c r="AA361" s="221"/>
      <c r="AB361" s="221"/>
    </row>
    <row r="362">
      <c r="A362" s="296"/>
      <c r="B362" s="296"/>
      <c r="C362" s="232"/>
      <c r="D362" s="232"/>
      <c r="E362" s="232"/>
      <c r="F362" s="232"/>
      <c r="G362" s="232"/>
      <c r="H362" s="232"/>
      <c r="I362" s="221"/>
      <c r="J362" s="221"/>
      <c r="K362" s="221"/>
      <c r="L362" s="221"/>
      <c r="M362" s="221"/>
      <c r="N362" s="221"/>
      <c r="O362" s="221"/>
      <c r="P362" s="221"/>
      <c r="Q362" s="221"/>
      <c r="R362" s="221"/>
      <c r="S362" s="221"/>
      <c r="T362" s="221"/>
      <c r="U362" s="221"/>
      <c r="V362" s="221"/>
      <c r="W362" s="221"/>
      <c r="X362" s="221"/>
      <c r="Y362" s="221"/>
      <c r="Z362" s="221"/>
      <c r="AA362" s="221"/>
      <c r="AB362" s="221"/>
    </row>
    <row r="363">
      <c r="A363" s="296"/>
      <c r="B363" s="296"/>
      <c r="C363" s="232"/>
      <c r="D363" s="232"/>
      <c r="E363" s="232"/>
      <c r="F363" s="232"/>
      <c r="G363" s="232"/>
      <c r="H363" s="232"/>
      <c r="I363" s="221"/>
      <c r="J363" s="221"/>
      <c r="K363" s="221"/>
      <c r="L363" s="221"/>
      <c r="M363" s="221"/>
      <c r="N363" s="221"/>
      <c r="O363" s="221"/>
      <c r="P363" s="221"/>
      <c r="Q363" s="221"/>
      <c r="R363" s="221"/>
      <c r="S363" s="221"/>
      <c r="T363" s="221"/>
      <c r="U363" s="221"/>
      <c r="V363" s="221"/>
      <c r="W363" s="221"/>
      <c r="X363" s="221"/>
      <c r="Y363" s="221"/>
      <c r="Z363" s="221"/>
      <c r="AA363" s="221"/>
      <c r="AB363" s="221"/>
    </row>
    <row r="364">
      <c r="A364" s="296"/>
      <c r="B364" s="296"/>
      <c r="C364" s="232"/>
      <c r="D364" s="232"/>
      <c r="E364" s="232"/>
      <c r="F364" s="232"/>
      <c r="G364" s="232"/>
      <c r="H364" s="232"/>
      <c r="I364" s="221"/>
      <c r="J364" s="221"/>
      <c r="K364" s="221"/>
      <c r="L364" s="221"/>
      <c r="M364" s="221"/>
      <c r="N364" s="221"/>
      <c r="O364" s="221"/>
      <c r="P364" s="221"/>
      <c r="Q364" s="221"/>
      <c r="R364" s="221"/>
      <c r="S364" s="221"/>
      <c r="T364" s="221"/>
      <c r="U364" s="221"/>
      <c r="V364" s="221"/>
      <c r="W364" s="221"/>
      <c r="X364" s="221"/>
      <c r="Y364" s="221"/>
      <c r="Z364" s="221"/>
      <c r="AA364" s="221"/>
      <c r="AB364" s="221"/>
    </row>
    <row r="365">
      <c r="A365" s="296"/>
      <c r="B365" s="296"/>
      <c r="C365" s="232"/>
      <c r="D365" s="232"/>
      <c r="E365" s="232"/>
      <c r="F365" s="232"/>
      <c r="G365" s="232"/>
      <c r="H365" s="232"/>
      <c r="I365" s="221"/>
      <c r="J365" s="221"/>
      <c r="K365" s="221"/>
      <c r="L365" s="221"/>
      <c r="M365" s="221"/>
      <c r="N365" s="221"/>
      <c r="O365" s="221"/>
      <c r="P365" s="221"/>
      <c r="Q365" s="221"/>
      <c r="R365" s="221"/>
      <c r="S365" s="221"/>
      <c r="T365" s="221"/>
      <c r="U365" s="221"/>
      <c r="V365" s="221"/>
      <c r="W365" s="221"/>
      <c r="X365" s="221"/>
      <c r="Y365" s="221"/>
      <c r="Z365" s="221"/>
      <c r="AA365" s="221"/>
      <c r="AB365" s="221"/>
    </row>
    <row r="366">
      <c r="A366" s="296"/>
      <c r="B366" s="296"/>
      <c r="C366" s="232"/>
      <c r="D366" s="232"/>
      <c r="E366" s="232"/>
      <c r="F366" s="232"/>
      <c r="G366" s="232"/>
      <c r="H366" s="232"/>
      <c r="I366" s="221"/>
      <c r="J366" s="221"/>
      <c r="K366" s="221"/>
      <c r="L366" s="221"/>
      <c r="M366" s="221"/>
      <c r="N366" s="221"/>
      <c r="O366" s="221"/>
      <c r="P366" s="221"/>
      <c r="Q366" s="221"/>
      <c r="R366" s="221"/>
      <c r="S366" s="221"/>
      <c r="T366" s="221"/>
      <c r="U366" s="221"/>
      <c r="V366" s="221"/>
      <c r="W366" s="221"/>
      <c r="X366" s="221"/>
      <c r="Y366" s="221"/>
      <c r="Z366" s="221"/>
      <c r="AA366" s="221"/>
      <c r="AB366" s="221"/>
    </row>
    <row r="367">
      <c r="A367" s="296"/>
      <c r="B367" s="296"/>
      <c r="C367" s="232"/>
      <c r="D367" s="232"/>
      <c r="E367" s="232"/>
      <c r="F367" s="232"/>
      <c r="G367" s="232"/>
      <c r="H367" s="232"/>
      <c r="I367" s="221"/>
      <c r="J367" s="221"/>
      <c r="K367" s="221"/>
      <c r="L367" s="221"/>
      <c r="M367" s="221"/>
      <c r="N367" s="221"/>
      <c r="O367" s="221"/>
      <c r="P367" s="221"/>
      <c r="Q367" s="221"/>
      <c r="R367" s="221"/>
      <c r="S367" s="221"/>
      <c r="T367" s="221"/>
      <c r="U367" s="221"/>
      <c r="V367" s="221"/>
      <c r="W367" s="221"/>
      <c r="X367" s="221"/>
      <c r="Y367" s="221"/>
      <c r="Z367" s="221"/>
      <c r="AA367" s="221"/>
      <c r="AB367" s="221"/>
    </row>
    <row r="368">
      <c r="A368" s="296"/>
      <c r="B368" s="296"/>
      <c r="C368" s="232"/>
      <c r="D368" s="232"/>
      <c r="E368" s="232"/>
      <c r="F368" s="232"/>
      <c r="G368" s="232"/>
      <c r="H368" s="232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</row>
    <row r="369">
      <c r="A369" s="296"/>
      <c r="B369" s="296"/>
      <c r="C369" s="232"/>
      <c r="D369" s="232"/>
      <c r="E369" s="232"/>
      <c r="F369" s="232"/>
      <c r="G369" s="232"/>
      <c r="H369" s="232"/>
      <c r="I369" s="221"/>
      <c r="J369" s="221"/>
      <c r="K369" s="221"/>
      <c r="L369" s="221"/>
      <c r="M369" s="221"/>
      <c r="N369" s="221"/>
      <c r="O369" s="221"/>
      <c r="P369" s="221"/>
      <c r="Q369" s="221"/>
      <c r="R369" s="221"/>
      <c r="S369" s="221"/>
      <c r="T369" s="221"/>
      <c r="U369" s="221"/>
      <c r="V369" s="221"/>
      <c r="W369" s="221"/>
      <c r="X369" s="221"/>
      <c r="Y369" s="221"/>
      <c r="Z369" s="221"/>
      <c r="AA369" s="221"/>
      <c r="AB369" s="221"/>
    </row>
    <row r="370">
      <c r="A370" s="296"/>
      <c r="B370" s="296"/>
      <c r="C370" s="232"/>
      <c r="D370" s="232"/>
      <c r="E370" s="232"/>
      <c r="F370" s="232"/>
      <c r="G370" s="232"/>
      <c r="H370" s="232"/>
      <c r="I370" s="221"/>
      <c r="J370" s="221"/>
      <c r="K370" s="221"/>
      <c r="L370" s="221"/>
      <c r="M370" s="221"/>
      <c r="N370" s="221"/>
      <c r="O370" s="221"/>
      <c r="P370" s="221"/>
      <c r="Q370" s="221"/>
      <c r="R370" s="221"/>
      <c r="S370" s="221"/>
      <c r="T370" s="221"/>
      <c r="U370" s="221"/>
      <c r="V370" s="221"/>
      <c r="W370" s="221"/>
      <c r="X370" s="221"/>
      <c r="Y370" s="221"/>
      <c r="Z370" s="221"/>
      <c r="AA370" s="221"/>
      <c r="AB370" s="221"/>
    </row>
    <row r="371">
      <c r="A371" s="296"/>
      <c r="B371" s="296"/>
      <c r="C371" s="232"/>
      <c r="D371" s="232"/>
      <c r="E371" s="232"/>
      <c r="F371" s="232"/>
      <c r="G371" s="232"/>
      <c r="H371" s="232"/>
      <c r="I371" s="221"/>
      <c r="J371" s="221"/>
      <c r="K371" s="221"/>
      <c r="L371" s="221"/>
      <c r="M371" s="221"/>
      <c r="N371" s="221"/>
      <c r="O371" s="221"/>
      <c r="P371" s="221"/>
      <c r="Q371" s="221"/>
      <c r="R371" s="221"/>
      <c r="S371" s="221"/>
      <c r="T371" s="221"/>
      <c r="U371" s="221"/>
      <c r="V371" s="221"/>
      <c r="W371" s="221"/>
      <c r="X371" s="221"/>
      <c r="Y371" s="221"/>
      <c r="Z371" s="221"/>
      <c r="AA371" s="221"/>
      <c r="AB371" s="221"/>
    </row>
    <row r="372">
      <c r="A372" s="296"/>
      <c r="B372" s="296"/>
      <c r="C372" s="232"/>
      <c r="D372" s="232"/>
      <c r="E372" s="232"/>
      <c r="F372" s="232"/>
      <c r="G372" s="232"/>
      <c r="H372" s="232"/>
      <c r="I372" s="221"/>
      <c r="J372" s="221"/>
      <c r="K372" s="221"/>
      <c r="L372" s="221"/>
      <c r="M372" s="221"/>
      <c r="N372" s="221"/>
      <c r="O372" s="221"/>
      <c r="P372" s="221"/>
      <c r="Q372" s="221"/>
      <c r="R372" s="221"/>
      <c r="S372" s="221"/>
      <c r="T372" s="221"/>
      <c r="U372" s="221"/>
      <c r="V372" s="221"/>
      <c r="W372" s="221"/>
      <c r="X372" s="221"/>
      <c r="Y372" s="221"/>
      <c r="Z372" s="221"/>
      <c r="AA372" s="221"/>
      <c r="AB372" s="221"/>
    </row>
    <row r="373">
      <c r="A373" s="296"/>
      <c r="B373" s="296"/>
      <c r="C373" s="232"/>
      <c r="D373" s="232"/>
      <c r="E373" s="232"/>
      <c r="F373" s="232"/>
      <c r="G373" s="232"/>
      <c r="H373" s="232"/>
      <c r="I373" s="221"/>
      <c r="J373" s="221"/>
      <c r="K373" s="221"/>
      <c r="L373" s="221"/>
      <c r="M373" s="221"/>
      <c r="N373" s="221"/>
      <c r="O373" s="221"/>
      <c r="P373" s="221"/>
      <c r="Q373" s="221"/>
      <c r="R373" s="221"/>
      <c r="S373" s="221"/>
      <c r="T373" s="221"/>
      <c r="U373" s="221"/>
      <c r="V373" s="221"/>
      <c r="W373" s="221"/>
      <c r="X373" s="221"/>
      <c r="Y373" s="221"/>
      <c r="Z373" s="221"/>
      <c r="AA373" s="221"/>
      <c r="AB373" s="221"/>
    </row>
    <row r="374">
      <c r="A374" s="296"/>
      <c r="B374" s="296"/>
      <c r="C374" s="232"/>
      <c r="D374" s="232"/>
      <c r="E374" s="232"/>
      <c r="F374" s="232"/>
      <c r="G374" s="232"/>
      <c r="H374" s="232"/>
      <c r="I374" s="221"/>
      <c r="J374" s="221"/>
      <c r="K374" s="221"/>
      <c r="L374" s="221"/>
      <c r="M374" s="221"/>
      <c r="N374" s="221"/>
      <c r="O374" s="221"/>
      <c r="P374" s="221"/>
      <c r="Q374" s="221"/>
      <c r="R374" s="221"/>
      <c r="S374" s="221"/>
      <c r="T374" s="221"/>
      <c r="U374" s="221"/>
      <c r="V374" s="221"/>
      <c r="W374" s="221"/>
      <c r="X374" s="221"/>
      <c r="Y374" s="221"/>
      <c r="Z374" s="221"/>
      <c r="AA374" s="221"/>
      <c r="AB374" s="221"/>
    </row>
    <row r="375">
      <c r="A375" s="296"/>
      <c r="B375" s="296"/>
      <c r="C375" s="232"/>
      <c r="D375" s="232"/>
      <c r="E375" s="232"/>
      <c r="F375" s="232"/>
      <c r="G375" s="232"/>
      <c r="H375" s="232"/>
      <c r="I375" s="221"/>
      <c r="J375" s="221"/>
      <c r="K375" s="221"/>
      <c r="L375" s="221"/>
      <c r="M375" s="221"/>
      <c r="N375" s="221"/>
      <c r="O375" s="221"/>
      <c r="P375" s="221"/>
      <c r="Q375" s="221"/>
      <c r="R375" s="221"/>
      <c r="S375" s="221"/>
      <c r="T375" s="221"/>
      <c r="U375" s="221"/>
      <c r="V375" s="221"/>
      <c r="W375" s="221"/>
      <c r="X375" s="221"/>
      <c r="Y375" s="221"/>
      <c r="Z375" s="221"/>
      <c r="AA375" s="221"/>
      <c r="AB375" s="221"/>
    </row>
    <row r="376">
      <c r="A376" s="296"/>
      <c r="B376" s="296"/>
      <c r="C376" s="232"/>
      <c r="D376" s="232"/>
      <c r="E376" s="232"/>
      <c r="F376" s="232"/>
      <c r="G376" s="232"/>
      <c r="H376" s="232"/>
      <c r="I376" s="221"/>
      <c r="J376" s="221"/>
      <c r="K376" s="221"/>
      <c r="L376" s="221"/>
      <c r="M376" s="221"/>
      <c r="N376" s="221"/>
      <c r="O376" s="221"/>
      <c r="P376" s="221"/>
      <c r="Q376" s="221"/>
      <c r="R376" s="221"/>
      <c r="S376" s="221"/>
      <c r="T376" s="221"/>
      <c r="U376" s="221"/>
      <c r="V376" s="221"/>
      <c r="W376" s="221"/>
      <c r="X376" s="221"/>
      <c r="Y376" s="221"/>
      <c r="Z376" s="221"/>
      <c r="AA376" s="221"/>
      <c r="AB376" s="221"/>
    </row>
    <row r="377">
      <c r="A377" s="296"/>
      <c r="B377" s="296"/>
      <c r="C377" s="232"/>
      <c r="D377" s="232"/>
      <c r="E377" s="232"/>
      <c r="F377" s="232"/>
      <c r="G377" s="232"/>
      <c r="H377" s="232"/>
      <c r="I377" s="221"/>
      <c r="J377" s="221"/>
      <c r="K377" s="221"/>
      <c r="L377" s="221"/>
      <c r="M377" s="221"/>
      <c r="N377" s="221"/>
      <c r="O377" s="221"/>
      <c r="P377" s="221"/>
      <c r="Q377" s="221"/>
      <c r="R377" s="221"/>
      <c r="S377" s="221"/>
      <c r="T377" s="221"/>
      <c r="U377" s="221"/>
      <c r="V377" s="221"/>
      <c r="W377" s="221"/>
      <c r="X377" s="221"/>
      <c r="Y377" s="221"/>
      <c r="Z377" s="221"/>
      <c r="AA377" s="221"/>
      <c r="AB377" s="221"/>
    </row>
    <row r="378">
      <c r="A378" s="296"/>
      <c r="B378" s="296"/>
      <c r="C378" s="232"/>
      <c r="D378" s="232"/>
      <c r="E378" s="232"/>
      <c r="F378" s="232"/>
      <c r="G378" s="232"/>
      <c r="H378" s="232"/>
      <c r="I378" s="221"/>
      <c r="J378" s="221"/>
      <c r="K378" s="221"/>
      <c r="L378" s="221"/>
      <c r="M378" s="221"/>
      <c r="N378" s="221"/>
      <c r="O378" s="221"/>
      <c r="P378" s="221"/>
      <c r="Q378" s="221"/>
      <c r="R378" s="221"/>
      <c r="S378" s="221"/>
      <c r="T378" s="221"/>
      <c r="U378" s="221"/>
      <c r="V378" s="221"/>
      <c r="W378" s="221"/>
      <c r="X378" s="221"/>
      <c r="Y378" s="221"/>
      <c r="Z378" s="221"/>
      <c r="AA378" s="221"/>
      <c r="AB378" s="221"/>
    </row>
    <row r="379">
      <c r="A379" s="296"/>
      <c r="B379" s="296"/>
      <c r="C379" s="232"/>
      <c r="D379" s="232"/>
      <c r="E379" s="232"/>
      <c r="F379" s="232"/>
      <c r="G379" s="232"/>
      <c r="H379" s="232"/>
      <c r="I379" s="221"/>
      <c r="J379" s="221"/>
      <c r="K379" s="221"/>
      <c r="L379" s="221"/>
      <c r="M379" s="221"/>
      <c r="N379" s="221"/>
      <c r="O379" s="221"/>
      <c r="P379" s="221"/>
      <c r="Q379" s="221"/>
      <c r="R379" s="221"/>
      <c r="S379" s="221"/>
      <c r="T379" s="221"/>
      <c r="U379" s="221"/>
      <c r="V379" s="221"/>
      <c r="W379" s="221"/>
      <c r="X379" s="221"/>
      <c r="Y379" s="221"/>
      <c r="Z379" s="221"/>
      <c r="AA379" s="221"/>
      <c r="AB379" s="221"/>
    </row>
    <row r="380">
      <c r="A380" s="296"/>
      <c r="B380" s="296"/>
      <c r="C380" s="232"/>
      <c r="D380" s="232"/>
      <c r="E380" s="232"/>
      <c r="F380" s="232"/>
      <c r="G380" s="232"/>
      <c r="H380" s="232"/>
      <c r="I380" s="221"/>
      <c r="J380" s="221"/>
      <c r="K380" s="221"/>
      <c r="L380" s="221"/>
      <c r="M380" s="221"/>
      <c r="N380" s="221"/>
      <c r="O380" s="221"/>
      <c r="P380" s="221"/>
      <c r="Q380" s="221"/>
      <c r="R380" s="221"/>
      <c r="S380" s="221"/>
      <c r="T380" s="221"/>
      <c r="U380" s="221"/>
      <c r="V380" s="221"/>
      <c r="W380" s="221"/>
      <c r="X380" s="221"/>
      <c r="Y380" s="221"/>
      <c r="Z380" s="221"/>
      <c r="AA380" s="221"/>
      <c r="AB380" s="221"/>
    </row>
    <row r="381">
      <c r="A381" s="296"/>
      <c r="B381" s="296"/>
      <c r="C381" s="232"/>
      <c r="D381" s="232"/>
      <c r="E381" s="232"/>
      <c r="F381" s="232"/>
      <c r="G381" s="232"/>
      <c r="H381" s="232"/>
      <c r="I381" s="221"/>
      <c r="J381" s="221"/>
      <c r="K381" s="221"/>
      <c r="L381" s="221"/>
      <c r="M381" s="221"/>
      <c r="N381" s="221"/>
      <c r="O381" s="221"/>
      <c r="P381" s="221"/>
      <c r="Q381" s="221"/>
      <c r="R381" s="221"/>
      <c r="S381" s="221"/>
      <c r="T381" s="221"/>
      <c r="U381" s="221"/>
      <c r="V381" s="221"/>
      <c r="W381" s="221"/>
      <c r="X381" s="221"/>
      <c r="Y381" s="221"/>
      <c r="Z381" s="221"/>
      <c r="AA381" s="221"/>
      <c r="AB381" s="221"/>
    </row>
    <row r="382">
      <c r="A382" s="296"/>
      <c r="B382" s="296"/>
      <c r="C382" s="232"/>
      <c r="D382" s="232"/>
      <c r="E382" s="232"/>
      <c r="F382" s="232"/>
      <c r="G382" s="232"/>
      <c r="H382" s="232"/>
      <c r="I382" s="221"/>
      <c r="J382" s="221"/>
      <c r="K382" s="221"/>
      <c r="L382" s="221"/>
      <c r="M382" s="221"/>
      <c r="N382" s="221"/>
      <c r="O382" s="221"/>
      <c r="P382" s="221"/>
      <c r="Q382" s="221"/>
      <c r="R382" s="221"/>
      <c r="S382" s="221"/>
      <c r="T382" s="221"/>
      <c r="U382" s="221"/>
      <c r="V382" s="221"/>
      <c r="W382" s="221"/>
      <c r="X382" s="221"/>
      <c r="Y382" s="221"/>
      <c r="Z382" s="221"/>
      <c r="AA382" s="221"/>
      <c r="AB382" s="221"/>
    </row>
    <row r="383">
      <c r="A383" s="296"/>
      <c r="B383" s="296"/>
      <c r="C383" s="232"/>
      <c r="D383" s="232"/>
      <c r="E383" s="232"/>
      <c r="F383" s="232"/>
      <c r="G383" s="232"/>
      <c r="H383" s="232"/>
      <c r="I383" s="221"/>
      <c r="J383" s="221"/>
      <c r="K383" s="221"/>
      <c r="L383" s="221"/>
      <c r="M383" s="221"/>
      <c r="N383" s="221"/>
      <c r="O383" s="221"/>
      <c r="P383" s="221"/>
      <c r="Q383" s="221"/>
      <c r="R383" s="221"/>
      <c r="S383" s="221"/>
      <c r="T383" s="221"/>
      <c r="U383" s="221"/>
      <c r="V383" s="221"/>
      <c r="W383" s="221"/>
      <c r="X383" s="221"/>
      <c r="Y383" s="221"/>
      <c r="Z383" s="221"/>
      <c r="AA383" s="221"/>
      <c r="AB383" s="221"/>
    </row>
    <row r="384">
      <c r="A384" s="296"/>
      <c r="B384" s="296"/>
      <c r="C384" s="232"/>
      <c r="D384" s="232"/>
      <c r="E384" s="232"/>
      <c r="F384" s="232"/>
      <c r="G384" s="232"/>
      <c r="H384" s="232"/>
      <c r="I384" s="221"/>
      <c r="J384" s="221"/>
      <c r="K384" s="221"/>
      <c r="L384" s="221"/>
      <c r="M384" s="221"/>
      <c r="N384" s="221"/>
      <c r="O384" s="221"/>
      <c r="P384" s="221"/>
      <c r="Q384" s="221"/>
      <c r="R384" s="221"/>
      <c r="S384" s="221"/>
      <c r="T384" s="221"/>
      <c r="U384" s="221"/>
      <c r="V384" s="221"/>
      <c r="W384" s="221"/>
      <c r="X384" s="221"/>
      <c r="Y384" s="221"/>
      <c r="Z384" s="221"/>
      <c r="AA384" s="221"/>
      <c r="AB384" s="221"/>
    </row>
    <row r="385">
      <c r="A385" s="296"/>
      <c r="B385" s="296"/>
      <c r="C385" s="232"/>
      <c r="D385" s="232"/>
      <c r="E385" s="232"/>
      <c r="F385" s="232"/>
      <c r="G385" s="232"/>
      <c r="H385" s="232"/>
      <c r="I385" s="221"/>
      <c r="J385" s="221"/>
      <c r="K385" s="221"/>
      <c r="L385" s="221"/>
      <c r="M385" s="221"/>
      <c r="N385" s="221"/>
      <c r="O385" s="221"/>
      <c r="P385" s="221"/>
      <c r="Q385" s="221"/>
      <c r="R385" s="221"/>
      <c r="S385" s="221"/>
      <c r="T385" s="221"/>
      <c r="U385" s="221"/>
      <c r="V385" s="221"/>
      <c r="W385" s="221"/>
      <c r="X385" s="221"/>
      <c r="Y385" s="221"/>
      <c r="Z385" s="221"/>
      <c r="AA385" s="221"/>
      <c r="AB385" s="221"/>
    </row>
    <row r="386">
      <c r="A386" s="296"/>
      <c r="B386" s="296"/>
      <c r="C386" s="232"/>
      <c r="D386" s="232"/>
      <c r="E386" s="232"/>
      <c r="F386" s="232"/>
      <c r="G386" s="232"/>
      <c r="H386" s="232"/>
      <c r="I386" s="221"/>
      <c r="J386" s="221"/>
      <c r="K386" s="221"/>
      <c r="L386" s="221"/>
      <c r="M386" s="221"/>
      <c r="N386" s="221"/>
      <c r="O386" s="221"/>
      <c r="P386" s="221"/>
      <c r="Q386" s="221"/>
      <c r="R386" s="221"/>
      <c r="S386" s="221"/>
      <c r="T386" s="221"/>
      <c r="U386" s="221"/>
      <c r="V386" s="221"/>
      <c r="W386" s="221"/>
      <c r="X386" s="221"/>
      <c r="Y386" s="221"/>
      <c r="Z386" s="221"/>
      <c r="AA386" s="221"/>
      <c r="AB386" s="221"/>
    </row>
    <row r="387">
      <c r="A387" s="296"/>
      <c r="B387" s="296"/>
      <c r="C387" s="232"/>
      <c r="D387" s="232"/>
      <c r="E387" s="232"/>
      <c r="F387" s="232"/>
      <c r="G387" s="232"/>
      <c r="H387" s="232"/>
      <c r="I387" s="221"/>
      <c r="J387" s="221"/>
      <c r="K387" s="221"/>
      <c r="L387" s="221"/>
      <c r="M387" s="221"/>
      <c r="N387" s="221"/>
      <c r="O387" s="221"/>
      <c r="P387" s="221"/>
      <c r="Q387" s="221"/>
      <c r="R387" s="221"/>
      <c r="S387" s="221"/>
      <c r="T387" s="221"/>
      <c r="U387" s="221"/>
      <c r="V387" s="221"/>
      <c r="W387" s="221"/>
      <c r="X387" s="221"/>
      <c r="Y387" s="221"/>
      <c r="Z387" s="221"/>
      <c r="AA387" s="221"/>
      <c r="AB387" s="221"/>
    </row>
    <row r="388">
      <c r="A388" s="296"/>
      <c r="B388" s="296"/>
      <c r="C388" s="232"/>
      <c r="D388" s="232"/>
      <c r="E388" s="232"/>
      <c r="F388" s="232"/>
      <c r="G388" s="232"/>
      <c r="H388" s="232"/>
      <c r="I388" s="221"/>
      <c r="J388" s="221"/>
      <c r="K388" s="221"/>
      <c r="L388" s="221"/>
      <c r="M388" s="221"/>
      <c r="N388" s="221"/>
      <c r="O388" s="221"/>
      <c r="P388" s="221"/>
      <c r="Q388" s="221"/>
      <c r="R388" s="221"/>
      <c r="S388" s="221"/>
      <c r="T388" s="221"/>
      <c r="U388" s="221"/>
      <c r="V388" s="221"/>
      <c r="W388" s="221"/>
      <c r="X388" s="221"/>
      <c r="Y388" s="221"/>
      <c r="Z388" s="221"/>
      <c r="AA388" s="221"/>
      <c r="AB388" s="221"/>
    </row>
    <row r="389">
      <c r="A389" s="296"/>
      <c r="B389" s="296"/>
      <c r="C389" s="232"/>
      <c r="D389" s="232"/>
      <c r="E389" s="232"/>
      <c r="F389" s="232"/>
      <c r="G389" s="232"/>
      <c r="H389" s="232"/>
      <c r="I389" s="221"/>
      <c r="J389" s="221"/>
      <c r="K389" s="221"/>
      <c r="L389" s="221"/>
      <c r="M389" s="221"/>
      <c r="N389" s="221"/>
      <c r="O389" s="221"/>
      <c r="P389" s="221"/>
      <c r="Q389" s="221"/>
      <c r="R389" s="221"/>
      <c r="S389" s="221"/>
      <c r="T389" s="221"/>
      <c r="U389" s="221"/>
      <c r="V389" s="221"/>
      <c r="W389" s="221"/>
      <c r="X389" s="221"/>
      <c r="Y389" s="221"/>
      <c r="Z389" s="221"/>
      <c r="AA389" s="221"/>
      <c r="AB389" s="221"/>
    </row>
    <row r="390">
      <c r="A390" s="296"/>
      <c r="B390" s="296"/>
      <c r="C390" s="232"/>
      <c r="D390" s="232"/>
      <c r="E390" s="232"/>
      <c r="F390" s="232"/>
      <c r="G390" s="232"/>
      <c r="H390" s="232"/>
      <c r="I390" s="221"/>
      <c r="J390" s="221"/>
      <c r="K390" s="221"/>
      <c r="L390" s="221"/>
      <c r="M390" s="221"/>
      <c r="N390" s="221"/>
      <c r="O390" s="221"/>
      <c r="P390" s="221"/>
      <c r="Q390" s="221"/>
      <c r="R390" s="221"/>
      <c r="S390" s="221"/>
      <c r="T390" s="221"/>
      <c r="U390" s="221"/>
      <c r="V390" s="221"/>
      <c r="W390" s="221"/>
      <c r="X390" s="221"/>
      <c r="Y390" s="221"/>
      <c r="Z390" s="221"/>
      <c r="AA390" s="221"/>
      <c r="AB390" s="221"/>
    </row>
    <row r="391">
      <c r="A391" s="296"/>
      <c r="B391" s="296"/>
      <c r="C391" s="232"/>
      <c r="D391" s="232"/>
      <c r="E391" s="232"/>
      <c r="F391" s="232"/>
      <c r="G391" s="232"/>
      <c r="H391" s="232"/>
      <c r="I391" s="221"/>
      <c r="J391" s="221"/>
      <c r="K391" s="221"/>
      <c r="L391" s="221"/>
      <c r="M391" s="221"/>
      <c r="N391" s="221"/>
      <c r="O391" s="221"/>
      <c r="P391" s="221"/>
      <c r="Q391" s="221"/>
      <c r="R391" s="221"/>
      <c r="S391" s="221"/>
      <c r="T391" s="221"/>
      <c r="U391" s="221"/>
      <c r="V391" s="221"/>
      <c r="W391" s="221"/>
      <c r="X391" s="221"/>
      <c r="Y391" s="221"/>
      <c r="Z391" s="221"/>
      <c r="AA391" s="221"/>
      <c r="AB391" s="221"/>
    </row>
    <row r="392">
      <c r="A392" s="296"/>
      <c r="B392" s="296"/>
      <c r="C392" s="232"/>
      <c r="D392" s="232"/>
      <c r="E392" s="232"/>
      <c r="F392" s="232"/>
      <c r="G392" s="232"/>
      <c r="H392" s="232"/>
      <c r="I392" s="221"/>
      <c r="J392" s="221"/>
      <c r="K392" s="221"/>
      <c r="L392" s="221"/>
      <c r="M392" s="221"/>
      <c r="N392" s="221"/>
      <c r="O392" s="221"/>
      <c r="P392" s="221"/>
      <c r="Q392" s="221"/>
      <c r="R392" s="221"/>
      <c r="S392" s="221"/>
      <c r="T392" s="221"/>
      <c r="U392" s="221"/>
      <c r="V392" s="221"/>
      <c r="W392" s="221"/>
      <c r="X392" s="221"/>
      <c r="Y392" s="221"/>
      <c r="Z392" s="221"/>
      <c r="AA392" s="221"/>
      <c r="AB392" s="221"/>
    </row>
    <row r="393">
      <c r="A393" s="296"/>
      <c r="B393" s="296"/>
      <c r="C393" s="232"/>
      <c r="D393" s="232"/>
      <c r="E393" s="232"/>
      <c r="F393" s="232"/>
      <c r="G393" s="232"/>
      <c r="H393" s="232"/>
      <c r="I393" s="221"/>
      <c r="J393" s="221"/>
      <c r="K393" s="221"/>
      <c r="L393" s="221"/>
      <c r="M393" s="221"/>
      <c r="N393" s="221"/>
      <c r="O393" s="221"/>
      <c r="P393" s="221"/>
      <c r="Q393" s="221"/>
      <c r="R393" s="221"/>
      <c r="S393" s="221"/>
      <c r="T393" s="221"/>
      <c r="U393" s="221"/>
      <c r="V393" s="221"/>
      <c r="W393" s="221"/>
      <c r="X393" s="221"/>
      <c r="Y393" s="221"/>
      <c r="Z393" s="221"/>
      <c r="AA393" s="221"/>
      <c r="AB393" s="221"/>
    </row>
    <row r="394">
      <c r="A394" s="296"/>
      <c r="B394" s="296"/>
      <c r="C394" s="232"/>
      <c r="D394" s="232"/>
      <c r="E394" s="232"/>
      <c r="F394" s="232"/>
      <c r="G394" s="232"/>
      <c r="H394" s="232"/>
      <c r="I394" s="221"/>
      <c r="J394" s="221"/>
      <c r="K394" s="221"/>
      <c r="L394" s="221"/>
      <c r="M394" s="221"/>
      <c r="N394" s="221"/>
      <c r="O394" s="221"/>
      <c r="P394" s="221"/>
      <c r="Q394" s="221"/>
      <c r="R394" s="221"/>
      <c r="S394" s="221"/>
      <c r="T394" s="221"/>
      <c r="U394" s="221"/>
      <c r="V394" s="221"/>
      <c r="W394" s="221"/>
      <c r="X394" s="221"/>
      <c r="Y394" s="221"/>
      <c r="Z394" s="221"/>
      <c r="AA394" s="221"/>
      <c r="AB394" s="221"/>
    </row>
    <row r="395">
      <c r="A395" s="296"/>
      <c r="B395" s="296"/>
      <c r="C395" s="232"/>
      <c r="D395" s="232"/>
      <c r="E395" s="232"/>
      <c r="F395" s="232"/>
      <c r="G395" s="232"/>
      <c r="H395" s="232"/>
      <c r="I395" s="221"/>
      <c r="J395" s="221"/>
      <c r="K395" s="221"/>
      <c r="L395" s="221"/>
      <c r="M395" s="221"/>
      <c r="N395" s="221"/>
      <c r="O395" s="221"/>
      <c r="P395" s="221"/>
      <c r="Q395" s="221"/>
      <c r="R395" s="221"/>
      <c r="S395" s="221"/>
      <c r="T395" s="221"/>
      <c r="U395" s="221"/>
      <c r="V395" s="221"/>
      <c r="W395" s="221"/>
      <c r="X395" s="221"/>
      <c r="Y395" s="221"/>
      <c r="Z395" s="221"/>
      <c r="AA395" s="221"/>
      <c r="AB395" s="221"/>
    </row>
    <row r="396">
      <c r="A396" s="296"/>
      <c r="B396" s="296"/>
      <c r="C396" s="232"/>
      <c r="D396" s="232"/>
      <c r="E396" s="232"/>
      <c r="F396" s="232"/>
      <c r="G396" s="232"/>
      <c r="H396" s="232"/>
      <c r="I396" s="221"/>
      <c r="J396" s="221"/>
      <c r="K396" s="221"/>
      <c r="L396" s="221"/>
      <c r="M396" s="221"/>
      <c r="N396" s="221"/>
      <c r="O396" s="221"/>
      <c r="P396" s="221"/>
      <c r="Q396" s="221"/>
      <c r="R396" s="221"/>
      <c r="S396" s="221"/>
      <c r="T396" s="221"/>
      <c r="U396" s="221"/>
      <c r="V396" s="221"/>
      <c r="W396" s="221"/>
      <c r="X396" s="221"/>
      <c r="Y396" s="221"/>
      <c r="Z396" s="221"/>
      <c r="AA396" s="221"/>
      <c r="AB396" s="221"/>
    </row>
    <row r="397">
      <c r="A397" s="296"/>
      <c r="B397" s="296"/>
      <c r="C397" s="232"/>
      <c r="D397" s="232"/>
      <c r="E397" s="232"/>
      <c r="F397" s="232"/>
      <c r="G397" s="232"/>
      <c r="H397" s="232"/>
      <c r="I397" s="221"/>
      <c r="J397" s="221"/>
      <c r="K397" s="221"/>
      <c r="L397" s="221"/>
      <c r="M397" s="221"/>
      <c r="N397" s="221"/>
      <c r="O397" s="221"/>
      <c r="P397" s="221"/>
      <c r="Q397" s="221"/>
      <c r="R397" s="221"/>
      <c r="S397" s="221"/>
      <c r="T397" s="221"/>
      <c r="U397" s="221"/>
      <c r="V397" s="221"/>
      <c r="W397" s="221"/>
      <c r="X397" s="221"/>
      <c r="Y397" s="221"/>
      <c r="Z397" s="221"/>
      <c r="AA397" s="221"/>
      <c r="AB397" s="221"/>
    </row>
    <row r="398">
      <c r="A398" s="296"/>
      <c r="B398" s="296"/>
      <c r="C398" s="232"/>
      <c r="D398" s="232"/>
      <c r="E398" s="232"/>
      <c r="F398" s="232"/>
      <c r="G398" s="232"/>
      <c r="H398" s="232"/>
      <c r="I398" s="221"/>
      <c r="J398" s="221"/>
      <c r="K398" s="221"/>
      <c r="L398" s="221"/>
      <c r="M398" s="221"/>
      <c r="N398" s="221"/>
      <c r="O398" s="221"/>
      <c r="P398" s="221"/>
      <c r="Q398" s="221"/>
      <c r="R398" s="221"/>
      <c r="S398" s="221"/>
      <c r="T398" s="221"/>
      <c r="U398" s="221"/>
      <c r="V398" s="221"/>
      <c r="W398" s="221"/>
      <c r="X398" s="221"/>
      <c r="Y398" s="221"/>
      <c r="Z398" s="221"/>
      <c r="AA398" s="221"/>
      <c r="AB398" s="221"/>
    </row>
    <row r="399">
      <c r="A399" s="296"/>
      <c r="B399" s="296"/>
      <c r="C399" s="232"/>
      <c r="D399" s="232"/>
      <c r="E399" s="232"/>
      <c r="F399" s="232"/>
      <c r="G399" s="232"/>
      <c r="H399" s="232"/>
      <c r="I399" s="221"/>
      <c r="J399" s="221"/>
      <c r="K399" s="221"/>
      <c r="L399" s="221"/>
      <c r="M399" s="221"/>
      <c r="N399" s="221"/>
      <c r="O399" s="221"/>
      <c r="P399" s="221"/>
      <c r="Q399" s="221"/>
      <c r="R399" s="221"/>
      <c r="S399" s="221"/>
      <c r="T399" s="221"/>
      <c r="U399" s="221"/>
      <c r="V399" s="221"/>
      <c r="W399" s="221"/>
      <c r="X399" s="221"/>
      <c r="Y399" s="221"/>
      <c r="Z399" s="221"/>
      <c r="AA399" s="221"/>
      <c r="AB399" s="221"/>
    </row>
    <row r="400">
      <c r="A400" s="296"/>
      <c r="B400" s="296"/>
      <c r="C400" s="232"/>
      <c r="D400" s="232"/>
      <c r="E400" s="232"/>
      <c r="F400" s="232"/>
      <c r="G400" s="232"/>
      <c r="H400" s="232"/>
      <c r="I400" s="221"/>
      <c r="J400" s="221"/>
      <c r="K400" s="221"/>
      <c r="L400" s="221"/>
      <c r="M400" s="221"/>
      <c r="N400" s="221"/>
      <c r="O400" s="221"/>
      <c r="P400" s="221"/>
      <c r="Q400" s="221"/>
      <c r="R400" s="221"/>
      <c r="S400" s="221"/>
      <c r="T400" s="221"/>
      <c r="U400" s="221"/>
      <c r="V400" s="221"/>
      <c r="W400" s="221"/>
      <c r="X400" s="221"/>
      <c r="Y400" s="221"/>
      <c r="Z400" s="221"/>
      <c r="AA400" s="221"/>
      <c r="AB400" s="221"/>
    </row>
    <row r="401">
      <c r="A401" s="296"/>
      <c r="B401" s="296"/>
      <c r="C401" s="232"/>
      <c r="D401" s="232"/>
      <c r="E401" s="232"/>
      <c r="F401" s="232"/>
      <c r="G401" s="232"/>
      <c r="H401" s="232"/>
      <c r="I401" s="221"/>
      <c r="J401" s="221"/>
      <c r="K401" s="221"/>
      <c r="L401" s="221"/>
      <c r="M401" s="221"/>
      <c r="N401" s="221"/>
      <c r="O401" s="221"/>
      <c r="P401" s="221"/>
      <c r="Q401" s="221"/>
      <c r="R401" s="221"/>
      <c r="S401" s="221"/>
      <c r="T401" s="221"/>
      <c r="U401" s="221"/>
      <c r="V401" s="221"/>
      <c r="W401" s="221"/>
      <c r="X401" s="221"/>
      <c r="Y401" s="221"/>
      <c r="Z401" s="221"/>
      <c r="AA401" s="221"/>
      <c r="AB401" s="221"/>
    </row>
    <row r="402">
      <c r="A402" s="296"/>
      <c r="B402" s="296"/>
      <c r="C402" s="232"/>
      <c r="D402" s="232"/>
      <c r="E402" s="232"/>
      <c r="F402" s="232"/>
      <c r="G402" s="232"/>
      <c r="H402" s="232"/>
      <c r="I402" s="221"/>
      <c r="J402" s="221"/>
      <c r="K402" s="221"/>
      <c r="L402" s="221"/>
      <c r="M402" s="221"/>
      <c r="N402" s="221"/>
      <c r="O402" s="221"/>
      <c r="P402" s="221"/>
      <c r="Q402" s="221"/>
      <c r="R402" s="221"/>
      <c r="S402" s="221"/>
      <c r="T402" s="221"/>
      <c r="U402" s="221"/>
      <c r="V402" s="221"/>
      <c r="W402" s="221"/>
      <c r="X402" s="221"/>
      <c r="Y402" s="221"/>
      <c r="Z402" s="221"/>
      <c r="AA402" s="221"/>
      <c r="AB402" s="221"/>
    </row>
    <row r="403">
      <c r="A403" s="296"/>
      <c r="B403" s="296"/>
      <c r="C403" s="232"/>
      <c r="D403" s="232"/>
      <c r="E403" s="232"/>
      <c r="F403" s="232"/>
      <c r="G403" s="232"/>
      <c r="H403" s="232"/>
      <c r="I403" s="221"/>
      <c r="J403" s="221"/>
      <c r="K403" s="221"/>
      <c r="L403" s="221"/>
      <c r="M403" s="221"/>
      <c r="N403" s="221"/>
      <c r="O403" s="221"/>
      <c r="P403" s="221"/>
      <c r="Q403" s="221"/>
      <c r="R403" s="221"/>
      <c r="S403" s="221"/>
      <c r="T403" s="221"/>
      <c r="U403" s="221"/>
      <c r="V403" s="221"/>
      <c r="W403" s="221"/>
      <c r="X403" s="221"/>
      <c r="Y403" s="221"/>
      <c r="Z403" s="221"/>
      <c r="AA403" s="221"/>
      <c r="AB403" s="221"/>
    </row>
    <row r="404">
      <c r="A404" s="296"/>
      <c r="B404" s="296"/>
      <c r="C404" s="232"/>
      <c r="D404" s="232"/>
      <c r="E404" s="232"/>
      <c r="F404" s="232"/>
      <c r="G404" s="232"/>
      <c r="H404" s="232"/>
      <c r="I404" s="221"/>
      <c r="J404" s="221"/>
      <c r="K404" s="221"/>
      <c r="L404" s="221"/>
      <c r="M404" s="221"/>
      <c r="N404" s="221"/>
      <c r="O404" s="221"/>
      <c r="P404" s="221"/>
      <c r="Q404" s="221"/>
      <c r="R404" s="221"/>
      <c r="S404" s="221"/>
      <c r="T404" s="221"/>
      <c r="U404" s="221"/>
      <c r="V404" s="221"/>
      <c r="W404" s="221"/>
      <c r="X404" s="221"/>
      <c r="Y404" s="221"/>
      <c r="Z404" s="221"/>
      <c r="AA404" s="221"/>
      <c r="AB404" s="221"/>
    </row>
    <row r="405">
      <c r="A405" s="296"/>
      <c r="B405" s="296"/>
      <c r="C405" s="232"/>
      <c r="D405" s="232"/>
      <c r="E405" s="232"/>
      <c r="F405" s="232"/>
      <c r="G405" s="232"/>
      <c r="H405" s="232"/>
      <c r="I405" s="221"/>
      <c r="J405" s="221"/>
      <c r="K405" s="221"/>
      <c r="L405" s="221"/>
      <c r="M405" s="221"/>
      <c r="N405" s="221"/>
      <c r="O405" s="221"/>
      <c r="P405" s="221"/>
      <c r="Q405" s="221"/>
      <c r="R405" s="221"/>
      <c r="S405" s="221"/>
      <c r="T405" s="221"/>
      <c r="U405" s="221"/>
      <c r="V405" s="221"/>
      <c r="W405" s="221"/>
      <c r="X405" s="221"/>
      <c r="Y405" s="221"/>
      <c r="Z405" s="221"/>
      <c r="AA405" s="221"/>
      <c r="AB405" s="221"/>
    </row>
    <row r="406">
      <c r="A406" s="296"/>
      <c r="B406" s="296"/>
      <c r="C406" s="232"/>
      <c r="D406" s="232"/>
      <c r="E406" s="232"/>
      <c r="F406" s="232"/>
      <c r="G406" s="232"/>
      <c r="H406" s="232"/>
      <c r="I406" s="221"/>
      <c r="J406" s="221"/>
      <c r="K406" s="221"/>
      <c r="L406" s="221"/>
      <c r="M406" s="221"/>
      <c r="N406" s="221"/>
      <c r="O406" s="221"/>
      <c r="P406" s="221"/>
      <c r="Q406" s="221"/>
      <c r="R406" s="221"/>
      <c r="S406" s="221"/>
      <c r="T406" s="221"/>
      <c r="U406" s="221"/>
      <c r="V406" s="221"/>
      <c r="W406" s="221"/>
      <c r="X406" s="221"/>
      <c r="Y406" s="221"/>
      <c r="Z406" s="221"/>
      <c r="AA406" s="221"/>
      <c r="AB406" s="221"/>
    </row>
    <row r="407">
      <c r="A407" s="296"/>
      <c r="B407" s="296"/>
      <c r="C407" s="232"/>
      <c r="D407" s="232"/>
      <c r="E407" s="232"/>
      <c r="F407" s="232"/>
      <c r="G407" s="232"/>
      <c r="H407" s="232"/>
      <c r="I407" s="221"/>
      <c r="J407" s="221"/>
      <c r="K407" s="221"/>
      <c r="L407" s="221"/>
      <c r="M407" s="221"/>
      <c r="N407" s="221"/>
      <c r="O407" s="221"/>
      <c r="P407" s="221"/>
      <c r="Q407" s="221"/>
      <c r="R407" s="221"/>
      <c r="S407" s="221"/>
      <c r="T407" s="221"/>
      <c r="U407" s="221"/>
      <c r="V407" s="221"/>
      <c r="W407" s="221"/>
      <c r="X407" s="221"/>
      <c r="Y407" s="221"/>
      <c r="Z407" s="221"/>
      <c r="AA407" s="221"/>
      <c r="AB407" s="221"/>
    </row>
    <row r="408">
      <c r="A408" s="296"/>
      <c r="B408" s="296"/>
      <c r="C408" s="232"/>
      <c r="D408" s="232"/>
      <c r="E408" s="232"/>
      <c r="F408" s="232"/>
      <c r="G408" s="232"/>
      <c r="H408" s="232"/>
      <c r="I408" s="221"/>
      <c r="J408" s="221"/>
      <c r="K408" s="221"/>
      <c r="L408" s="221"/>
      <c r="M408" s="221"/>
      <c r="N408" s="221"/>
      <c r="O408" s="221"/>
      <c r="P408" s="221"/>
      <c r="Q408" s="221"/>
      <c r="R408" s="221"/>
      <c r="S408" s="221"/>
      <c r="T408" s="221"/>
      <c r="U408" s="221"/>
      <c r="V408" s="221"/>
      <c r="W408" s="221"/>
      <c r="X408" s="221"/>
      <c r="Y408" s="221"/>
      <c r="Z408" s="221"/>
      <c r="AA408" s="221"/>
      <c r="AB408" s="221"/>
    </row>
    <row r="409">
      <c r="A409" s="296"/>
      <c r="B409" s="296"/>
      <c r="C409" s="232"/>
      <c r="D409" s="232"/>
      <c r="E409" s="232"/>
      <c r="F409" s="232"/>
      <c r="G409" s="232"/>
      <c r="H409" s="232"/>
      <c r="I409" s="221"/>
      <c r="J409" s="221"/>
      <c r="K409" s="221"/>
      <c r="L409" s="221"/>
      <c r="M409" s="221"/>
      <c r="N409" s="221"/>
      <c r="O409" s="221"/>
      <c r="P409" s="221"/>
      <c r="Q409" s="221"/>
      <c r="R409" s="221"/>
      <c r="S409" s="221"/>
      <c r="T409" s="221"/>
      <c r="U409" s="221"/>
      <c r="V409" s="221"/>
      <c r="W409" s="221"/>
      <c r="X409" s="221"/>
      <c r="Y409" s="221"/>
      <c r="Z409" s="221"/>
      <c r="AA409" s="221"/>
      <c r="AB409" s="221"/>
    </row>
    <row r="410">
      <c r="A410" s="296"/>
      <c r="B410" s="296"/>
      <c r="C410" s="232"/>
      <c r="D410" s="232"/>
      <c r="E410" s="232"/>
      <c r="F410" s="232"/>
      <c r="G410" s="232"/>
      <c r="H410" s="232"/>
      <c r="I410" s="221"/>
      <c r="J410" s="221"/>
      <c r="K410" s="221"/>
      <c r="L410" s="221"/>
      <c r="M410" s="221"/>
      <c r="N410" s="221"/>
      <c r="O410" s="221"/>
      <c r="P410" s="221"/>
      <c r="Q410" s="221"/>
      <c r="R410" s="221"/>
      <c r="S410" s="221"/>
      <c r="T410" s="221"/>
      <c r="U410" s="221"/>
      <c r="V410" s="221"/>
      <c r="W410" s="221"/>
      <c r="X410" s="221"/>
      <c r="Y410" s="221"/>
      <c r="Z410" s="221"/>
      <c r="AA410" s="221"/>
      <c r="AB410" s="221"/>
    </row>
    <row r="411">
      <c r="A411" s="296"/>
      <c r="B411" s="296"/>
      <c r="C411" s="232"/>
      <c r="D411" s="232"/>
      <c r="E411" s="232"/>
      <c r="F411" s="232"/>
      <c r="G411" s="232"/>
      <c r="H411" s="232"/>
      <c r="I411" s="221"/>
      <c r="J411" s="221"/>
      <c r="K411" s="221"/>
      <c r="L411" s="221"/>
      <c r="M411" s="221"/>
      <c r="N411" s="221"/>
      <c r="O411" s="221"/>
      <c r="P411" s="221"/>
      <c r="Q411" s="221"/>
      <c r="R411" s="221"/>
      <c r="S411" s="221"/>
      <c r="T411" s="221"/>
      <c r="U411" s="221"/>
      <c r="V411" s="221"/>
      <c r="W411" s="221"/>
      <c r="X411" s="221"/>
      <c r="Y411" s="221"/>
      <c r="Z411" s="221"/>
      <c r="AA411" s="221"/>
      <c r="AB411" s="221"/>
    </row>
    <row r="412">
      <c r="A412" s="296"/>
      <c r="B412" s="296"/>
      <c r="C412" s="232"/>
      <c r="D412" s="232"/>
      <c r="E412" s="232"/>
      <c r="F412" s="232"/>
      <c r="G412" s="232"/>
      <c r="H412" s="232"/>
      <c r="I412" s="221"/>
      <c r="J412" s="221"/>
      <c r="K412" s="221"/>
      <c r="L412" s="221"/>
      <c r="M412" s="221"/>
      <c r="N412" s="221"/>
      <c r="O412" s="221"/>
      <c r="P412" s="221"/>
      <c r="Q412" s="221"/>
      <c r="R412" s="221"/>
      <c r="S412" s="221"/>
      <c r="T412" s="221"/>
      <c r="U412" s="221"/>
      <c r="V412" s="221"/>
      <c r="W412" s="221"/>
      <c r="X412" s="221"/>
      <c r="Y412" s="221"/>
      <c r="Z412" s="221"/>
      <c r="AA412" s="221"/>
      <c r="AB412" s="221"/>
    </row>
    <row r="413">
      <c r="A413" s="296"/>
      <c r="B413" s="296"/>
      <c r="C413" s="232"/>
      <c r="D413" s="232"/>
      <c r="E413" s="232"/>
      <c r="F413" s="232"/>
      <c r="G413" s="232"/>
      <c r="H413" s="232"/>
      <c r="I413" s="221"/>
      <c r="J413" s="221"/>
      <c r="K413" s="221"/>
      <c r="L413" s="221"/>
      <c r="M413" s="221"/>
      <c r="N413" s="221"/>
      <c r="O413" s="221"/>
      <c r="P413" s="221"/>
      <c r="Q413" s="221"/>
      <c r="R413" s="221"/>
      <c r="S413" s="221"/>
      <c r="T413" s="221"/>
      <c r="U413" s="221"/>
      <c r="V413" s="221"/>
      <c r="W413" s="221"/>
      <c r="X413" s="221"/>
      <c r="Y413" s="221"/>
      <c r="Z413" s="221"/>
      <c r="AA413" s="221"/>
      <c r="AB413" s="221"/>
    </row>
    <row r="414">
      <c r="A414" s="296"/>
      <c r="B414" s="296"/>
      <c r="C414" s="232"/>
      <c r="D414" s="232"/>
      <c r="E414" s="232"/>
      <c r="F414" s="232"/>
      <c r="G414" s="232"/>
      <c r="H414" s="232"/>
      <c r="I414" s="221"/>
      <c r="J414" s="221"/>
      <c r="K414" s="221"/>
      <c r="L414" s="221"/>
      <c r="M414" s="221"/>
      <c r="N414" s="221"/>
      <c r="O414" s="221"/>
      <c r="P414" s="221"/>
      <c r="Q414" s="221"/>
      <c r="R414" s="221"/>
      <c r="S414" s="221"/>
      <c r="T414" s="221"/>
      <c r="U414" s="221"/>
      <c r="V414" s="221"/>
      <c r="W414" s="221"/>
      <c r="X414" s="221"/>
      <c r="Y414" s="221"/>
      <c r="Z414" s="221"/>
      <c r="AA414" s="221"/>
      <c r="AB414" s="221"/>
    </row>
    <row r="415">
      <c r="A415" s="296"/>
      <c r="B415" s="296"/>
      <c r="C415" s="232"/>
      <c r="D415" s="232"/>
      <c r="E415" s="232"/>
      <c r="F415" s="232"/>
      <c r="G415" s="232"/>
      <c r="H415" s="232"/>
      <c r="I415" s="221"/>
      <c r="J415" s="221"/>
      <c r="K415" s="221"/>
      <c r="L415" s="221"/>
      <c r="M415" s="221"/>
      <c r="N415" s="221"/>
      <c r="O415" s="221"/>
      <c r="P415" s="221"/>
      <c r="Q415" s="221"/>
      <c r="R415" s="221"/>
      <c r="S415" s="221"/>
      <c r="T415" s="221"/>
      <c r="U415" s="221"/>
      <c r="V415" s="221"/>
      <c r="W415" s="221"/>
      <c r="X415" s="221"/>
      <c r="Y415" s="221"/>
      <c r="Z415" s="221"/>
      <c r="AA415" s="221"/>
      <c r="AB415" s="221"/>
    </row>
    <row r="416">
      <c r="A416" s="296"/>
      <c r="B416" s="296"/>
      <c r="C416" s="232"/>
      <c r="D416" s="232"/>
      <c r="E416" s="232"/>
      <c r="F416" s="232"/>
      <c r="G416" s="232"/>
      <c r="H416" s="232"/>
      <c r="I416" s="221"/>
      <c r="J416" s="221"/>
      <c r="K416" s="221"/>
      <c r="L416" s="221"/>
      <c r="M416" s="221"/>
      <c r="N416" s="221"/>
      <c r="O416" s="221"/>
      <c r="P416" s="221"/>
      <c r="Q416" s="221"/>
      <c r="R416" s="221"/>
      <c r="S416" s="221"/>
      <c r="T416" s="221"/>
      <c r="U416" s="221"/>
      <c r="V416" s="221"/>
      <c r="W416" s="221"/>
      <c r="X416" s="221"/>
      <c r="Y416" s="221"/>
      <c r="Z416" s="221"/>
      <c r="AA416" s="221"/>
      <c r="AB416" s="221"/>
    </row>
    <row r="417">
      <c r="A417" s="296"/>
      <c r="B417" s="296"/>
      <c r="C417" s="232"/>
      <c r="D417" s="232"/>
      <c r="E417" s="232"/>
      <c r="F417" s="232"/>
      <c r="G417" s="232"/>
      <c r="H417" s="232"/>
      <c r="I417" s="221"/>
      <c r="J417" s="221"/>
      <c r="K417" s="221"/>
      <c r="L417" s="221"/>
      <c r="M417" s="221"/>
      <c r="N417" s="221"/>
      <c r="O417" s="221"/>
      <c r="P417" s="221"/>
      <c r="Q417" s="221"/>
      <c r="R417" s="221"/>
      <c r="S417" s="221"/>
      <c r="T417" s="221"/>
      <c r="U417" s="221"/>
      <c r="V417" s="221"/>
      <c r="W417" s="221"/>
      <c r="X417" s="221"/>
      <c r="Y417" s="221"/>
      <c r="Z417" s="221"/>
      <c r="AA417" s="221"/>
      <c r="AB417" s="221"/>
    </row>
    <row r="418">
      <c r="A418" s="296"/>
      <c r="B418" s="296"/>
      <c r="C418" s="232"/>
      <c r="D418" s="232"/>
      <c r="E418" s="232"/>
      <c r="F418" s="232"/>
      <c r="G418" s="232"/>
      <c r="H418" s="232"/>
      <c r="I418" s="221"/>
      <c r="J418" s="221"/>
      <c r="K418" s="221"/>
      <c r="L418" s="221"/>
      <c r="M418" s="221"/>
      <c r="N418" s="221"/>
      <c r="O418" s="221"/>
      <c r="P418" s="221"/>
      <c r="Q418" s="221"/>
      <c r="R418" s="221"/>
      <c r="S418" s="221"/>
      <c r="T418" s="221"/>
      <c r="U418" s="221"/>
      <c r="V418" s="221"/>
      <c r="W418" s="221"/>
      <c r="X418" s="221"/>
      <c r="Y418" s="221"/>
      <c r="Z418" s="221"/>
      <c r="AA418" s="221"/>
      <c r="AB418" s="221"/>
    </row>
    <row r="419">
      <c r="A419" s="296"/>
      <c r="B419" s="296"/>
      <c r="C419" s="232"/>
      <c r="D419" s="232"/>
      <c r="E419" s="232"/>
      <c r="F419" s="232"/>
      <c r="G419" s="232"/>
      <c r="H419" s="232"/>
      <c r="I419" s="221"/>
      <c r="J419" s="221"/>
      <c r="K419" s="221"/>
      <c r="L419" s="221"/>
      <c r="M419" s="221"/>
      <c r="N419" s="221"/>
      <c r="O419" s="221"/>
      <c r="P419" s="221"/>
      <c r="Q419" s="221"/>
      <c r="R419" s="221"/>
      <c r="S419" s="221"/>
      <c r="T419" s="221"/>
      <c r="U419" s="221"/>
      <c r="V419" s="221"/>
      <c r="W419" s="221"/>
      <c r="X419" s="221"/>
      <c r="Y419" s="221"/>
      <c r="Z419" s="221"/>
      <c r="AA419" s="221"/>
      <c r="AB419" s="221"/>
    </row>
    <row r="420">
      <c r="A420" s="296"/>
      <c r="B420" s="296"/>
      <c r="C420" s="232"/>
      <c r="D420" s="232"/>
      <c r="E420" s="232"/>
      <c r="F420" s="232"/>
      <c r="G420" s="232"/>
      <c r="H420" s="232"/>
      <c r="I420" s="221"/>
      <c r="J420" s="221"/>
      <c r="K420" s="221"/>
      <c r="L420" s="221"/>
      <c r="M420" s="221"/>
      <c r="N420" s="221"/>
      <c r="O420" s="221"/>
      <c r="P420" s="221"/>
      <c r="Q420" s="221"/>
      <c r="R420" s="221"/>
      <c r="S420" s="221"/>
      <c r="T420" s="221"/>
      <c r="U420" s="221"/>
      <c r="V420" s="221"/>
      <c r="W420" s="221"/>
      <c r="X420" s="221"/>
      <c r="Y420" s="221"/>
      <c r="Z420" s="221"/>
      <c r="AA420" s="221"/>
      <c r="AB420" s="221"/>
    </row>
    <row r="421">
      <c r="A421" s="296"/>
      <c r="B421" s="296"/>
      <c r="C421" s="232"/>
      <c r="D421" s="232"/>
      <c r="E421" s="232"/>
      <c r="F421" s="232"/>
      <c r="G421" s="232"/>
      <c r="H421" s="232"/>
      <c r="I421" s="221"/>
      <c r="J421" s="221"/>
      <c r="K421" s="221"/>
      <c r="L421" s="221"/>
      <c r="M421" s="221"/>
      <c r="N421" s="221"/>
      <c r="O421" s="221"/>
      <c r="P421" s="221"/>
      <c r="Q421" s="221"/>
      <c r="R421" s="221"/>
      <c r="S421" s="221"/>
      <c r="T421" s="221"/>
      <c r="U421" s="221"/>
      <c r="V421" s="221"/>
      <c r="W421" s="221"/>
      <c r="X421" s="221"/>
      <c r="Y421" s="221"/>
      <c r="Z421" s="221"/>
      <c r="AA421" s="221"/>
      <c r="AB421" s="221"/>
    </row>
    <row r="422">
      <c r="A422" s="296"/>
      <c r="B422" s="296"/>
      <c r="C422" s="232"/>
      <c r="D422" s="232"/>
      <c r="E422" s="232"/>
      <c r="F422" s="232"/>
      <c r="G422" s="232"/>
      <c r="H422" s="232"/>
      <c r="I422" s="221"/>
      <c r="J422" s="221"/>
      <c r="K422" s="221"/>
      <c r="L422" s="221"/>
      <c r="M422" s="221"/>
      <c r="N422" s="221"/>
      <c r="O422" s="221"/>
      <c r="P422" s="221"/>
      <c r="Q422" s="221"/>
      <c r="R422" s="221"/>
      <c r="S422" s="221"/>
      <c r="T422" s="221"/>
      <c r="U422" s="221"/>
      <c r="V422" s="221"/>
      <c r="W422" s="221"/>
      <c r="X422" s="221"/>
      <c r="Y422" s="221"/>
      <c r="Z422" s="221"/>
      <c r="AA422" s="221"/>
      <c r="AB422" s="221"/>
    </row>
    <row r="423">
      <c r="A423" s="296"/>
      <c r="B423" s="296"/>
      <c r="C423" s="232"/>
      <c r="D423" s="232"/>
      <c r="E423" s="232"/>
      <c r="F423" s="232"/>
      <c r="G423" s="232"/>
      <c r="H423" s="232"/>
      <c r="I423" s="221"/>
      <c r="J423" s="221"/>
      <c r="K423" s="221"/>
      <c r="L423" s="221"/>
      <c r="M423" s="221"/>
      <c r="N423" s="221"/>
      <c r="O423" s="221"/>
      <c r="P423" s="221"/>
      <c r="Q423" s="221"/>
      <c r="R423" s="221"/>
      <c r="S423" s="221"/>
      <c r="T423" s="221"/>
      <c r="U423" s="221"/>
      <c r="V423" s="221"/>
      <c r="W423" s="221"/>
      <c r="X423" s="221"/>
      <c r="Y423" s="221"/>
      <c r="Z423" s="221"/>
      <c r="AA423" s="221"/>
      <c r="AB423" s="221"/>
    </row>
    <row r="424">
      <c r="A424" s="296"/>
      <c r="B424" s="296"/>
      <c r="C424" s="232"/>
      <c r="D424" s="232"/>
      <c r="E424" s="232"/>
      <c r="F424" s="232"/>
      <c r="G424" s="232"/>
      <c r="H424" s="232"/>
      <c r="I424" s="221"/>
      <c r="J424" s="221"/>
      <c r="K424" s="221"/>
      <c r="L424" s="221"/>
      <c r="M424" s="221"/>
      <c r="N424" s="221"/>
      <c r="O424" s="221"/>
      <c r="P424" s="221"/>
      <c r="Q424" s="221"/>
      <c r="R424" s="221"/>
      <c r="S424" s="221"/>
      <c r="T424" s="221"/>
      <c r="U424" s="221"/>
      <c r="V424" s="221"/>
      <c r="W424" s="221"/>
      <c r="X424" s="221"/>
      <c r="Y424" s="221"/>
      <c r="Z424" s="221"/>
      <c r="AA424" s="221"/>
      <c r="AB424" s="221"/>
    </row>
    <row r="425">
      <c r="A425" s="296"/>
      <c r="B425" s="296"/>
      <c r="C425" s="232"/>
      <c r="D425" s="232"/>
      <c r="E425" s="232"/>
      <c r="F425" s="232"/>
      <c r="G425" s="232"/>
      <c r="H425" s="232"/>
      <c r="I425" s="221"/>
      <c r="J425" s="221"/>
      <c r="K425" s="221"/>
      <c r="L425" s="221"/>
      <c r="M425" s="221"/>
      <c r="N425" s="221"/>
      <c r="O425" s="221"/>
      <c r="P425" s="221"/>
      <c r="Q425" s="221"/>
      <c r="R425" s="221"/>
      <c r="S425" s="221"/>
      <c r="T425" s="221"/>
      <c r="U425" s="221"/>
      <c r="V425" s="221"/>
      <c r="W425" s="221"/>
      <c r="X425" s="221"/>
      <c r="Y425" s="221"/>
      <c r="Z425" s="221"/>
      <c r="AA425" s="221"/>
      <c r="AB425" s="221"/>
    </row>
    <row r="426">
      <c r="A426" s="296"/>
      <c r="B426" s="296"/>
      <c r="C426" s="232"/>
      <c r="D426" s="232"/>
      <c r="E426" s="232"/>
      <c r="F426" s="232"/>
      <c r="G426" s="232"/>
      <c r="H426" s="232"/>
      <c r="I426" s="221"/>
      <c r="J426" s="221"/>
      <c r="K426" s="221"/>
      <c r="L426" s="221"/>
      <c r="M426" s="221"/>
      <c r="N426" s="221"/>
      <c r="O426" s="221"/>
      <c r="P426" s="221"/>
      <c r="Q426" s="221"/>
      <c r="R426" s="221"/>
      <c r="S426" s="221"/>
      <c r="T426" s="221"/>
      <c r="U426" s="221"/>
      <c r="V426" s="221"/>
      <c r="W426" s="221"/>
      <c r="X426" s="221"/>
      <c r="Y426" s="221"/>
      <c r="Z426" s="221"/>
      <c r="AA426" s="221"/>
      <c r="AB426" s="221"/>
    </row>
    <row r="427">
      <c r="A427" s="296"/>
      <c r="B427" s="296"/>
      <c r="C427" s="232"/>
      <c r="D427" s="232"/>
      <c r="E427" s="232"/>
      <c r="F427" s="232"/>
      <c r="G427" s="232"/>
      <c r="H427" s="232"/>
      <c r="I427" s="221"/>
      <c r="J427" s="221"/>
      <c r="K427" s="221"/>
      <c r="L427" s="221"/>
      <c r="M427" s="221"/>
      <c r="N427" s="221"/>
      <c r="O427" s="221"/>
      <c r="P427" s="221"/>
      <c r="Q427" s="221"/>
      <c r="R427" s="221"/>
      <c r="S427" s="221"/>
      <c r="T427" s="221"/>
      <c r="U427" s="221"/>
      <c r="V427" s="221"/>
      <c r="W427" s="221"/>
      <c r="X427" s="221"/>
      <c r="Y427" s="221"/>
      <c r="Z427" s="221"/>
      <c r="AA427" s="221"/>
      <c r="AB427" s="221"/>
    </row>
    <row r="428">
      <c r="A428" s="296"/>
      <c r="B428" s="296"/>
      <c r="C428" s="232"/>
      <c r="D428" s="232"/>
      <c r="E428" s="232"/>
      <c r="F428" s="232"/>
      <c r="G428" s="232"/>
      <c r="H428" s="232"/>
      <c r="I428" s="221"/>
      <c r="J428" s="221"/>
      <c r="K428" s="221"/>
      <c r="L428" s="221"/>
      <c r="M428" s="221"/>
      <c r="N428" s="221"/>
      <c r="O428" s="221"/>
      <c r="P428" s="221"/>
      <c r="Q428" s="221"/>
      <c r="R428" s="221"/>
      <c r="S428" s="221"/>
      <c r="T428" s="221"/>
      <c r="U428" s="221"/>
      <c r="V428" s="221"/>
      <c r="W428" s="221"/>
      <c r="X428" s="221"/>
      <c r="Y428" s="221"/>
      <c r="Z428" s="221"/>
      <c r="AA428" s="221"/>
      <c r="AB428" s="221"/>
    </row>
    <row r="429">
      <c r="A429" s="296"/>
      <c r="B429" s="296"/>
      <c r="C429" s="232"/>
      <c r="D429" s="232"/>
      <c r="E429" s="232"/>
      <c r="F429" s="232"/>
      <c r="G429" s="232"/>
      <c r="H429" s="232"/>
      <c r="I429" s="221"/>
      <c r="J429" s="221"/>
      <c r="K429" s="221"/>
      <c r="L429" s="221"/>
      <c r="M429" s="221"/>
      <c r="N429" s="221"/>
      <c r="O429" s="221"/>
      <c r="P429" s="221"/>
      <c r="Q429" s="221"/>
      <c r="R429" s="221"/>
      <c r="S429" s="221"/>
      <c r="T429" s="221"/>
      <c r="U429" s="221"/>
      <c r="V429" s="221"/>
      <c r="W429" s="221"/>
      <c r="X429" s="221"/>
      <c r="Y429" s="221"/>
      <c r="Z429" s="221"/>
      <c r="AA429" s="221"/>
      <c r="AB429" s="221"/>
    </row>
    <row r="430">
      <c r="A430" s="296"/>
      <c r="B430" s="296"/>
      <c r="C430" s="232"/>
      <c r="D430" s="232"/>
      <c r="E430" s="232"/>
      <c r="F430" s="232"/>
      <c r="G430" s="232"/>
      <c r="H430" s="232"/>
      <c r="I430" s="221"/>
      <c r="J430" s="221"/>
      <c r="K430" s="221"/>
      <c r="L430" s="221"/>
      <c r="M430" s="221"/>
      <c r="N430" s="221"/>
      <c r="O430" s="221"/>
      <c r="P430" s="221"/>
      <c r="Q430" s="221"/>
      <c r="R430" s="221"/>
      <c r="S430" s="221"/>
      <c r="T430" s="221"/>
      <c r="U430" s="221"/>
      <c r="V430" s="221"/>
      <c r="W430" s="221"/>
      <c r="X430" s="221"/>
      <c r="Y430" s="221"/>
      <c r="Z430" s="221"/>
      <c r="AA430" s="221"/>
      <c r="AB430" s="221"/>
    </row>
    <row r="431">
      <c r="A431" s="296"/>
      <c r="B431" s="296"/>
      <c r="C431" s="232"/>
      <c r="D431" s="232"/>
      <c r="E431" s="232"/>
      <c r="F431" s="232"/>
      <c r="G431" s="232"/>
      <c r="H431" s="232"/>
      <c r="I431" s="221"/>
      <c r="J431" s="221"/>
      <c r="K431" s="221"/>
      <c r="L431" s="221"/>
      <c r="M431" s="221"/>
      <c r="N431" s="221"/>
      <c r="O431" s="221"/>
      <c r="P431" s="221"/>
      <c r="Q431" s="221"/>
      <c r="R431" s="221"/>
      <c r="S431" s="221"/>
      <c r="T431" s="221"/>
      <c r="U431" s="221"/>
      <c r="V431" s="221"/>
      <c r="W431" s="221"/>
      <c r="X431" s="221"/>
      <c r="Y431" s="221"/>
      <c r="Z431" s="221"/>
      <c r="AA431" s="221"/>
      <c r="AB431" s="221"/>
    </row>
    <row r="432">
      <c r="A432" s="296"/>
      <c r="B432" s="296"/>
      <c r="C432" s="232"/>
      <c r="D432" s="232"/>
      <c r="E432" s="232"/>
      <c r="F432" s="232"/>
      <c r="G432" s="232"/>
      <c r="H432" s="232"/>
      <c r="I432" s="221"/>
      <c r="J432" s="221"/>
      <c r="K432" s="221"/>
      <c r="L432" s="221"/>
      <c r="M432" s="221"/>
      <c r="N432" s="221"/>
      <c r="O432" s="221"/>
      <c r="P432" s="221"/>
      <c r="Q432" s="221"/>
      <c r="R432" s="221"/>
      <c r="S432" s="221"/>
      <c r="T432" s="221"/>
      <c r="U432" s="221"/>
      <c r="V432" s="221"/>
      <c r="W432" s="221"/>
      <c r="X432" s="221"/>
      <c r="Y432" s="221"/>
      <c r="Z432" s="221"/>
      <c r="AA432" s="221"/>
      <c r="AB432" s="221"/>
    </row>
    <row r="433">
      <c r="A433" s="296"/>
      <c r="B433" s="296"/>
      <c r="C433" s="232"/>
      <c r="D433" s="232"/>
      <c r="E433" s="232"/>
      <c r="F433" s="232"/>
      <c r="G433" s="232"/>
      <c r="H433" s="232"/>
      <c r="I433" s="221"/>
      <c r="J433" s="221"/>
      <c r="K433" s="221"/>
      <c r="L433" s="221"/>
      <c r="M433" s="221"/>
      <c r="N433" s="221"/>
      <c r="O433" s="221"/>
      <c r="P433" s="221"/>
      <c r="Q433" s="221"/>
      <c r="R433" s="221"/>
      <c r="S433" s="221"/>
      <c r="T433" s="221"/>
      <c r="U433" s="221"/>
      <c r="V433" s="221"/>
      <c r="W433" s="221"/>
      <c r="X433" s="221"/>
      <c r="Y433" s="221"/>
      <c r="Z433" s="221"/>
      <c r="AA433" s="221"/>
      <c r="AB433" s="221"/>
    </row>
    <row r="434">
      <c r="A434" s="296"/>
      <c r="B434" s="296"/>
      <c r="C434" s="232"/>
      <c r="D434" s="232"/>
      <c r="E434" s="232"/>
      <c r="F434" s="232"/>
      <c r="G434" s="232"/>
      <c r="H434" s="232"/>
      <c r="I434" s="221"/>
      <c r="J434" s="221"/>
      <c r="K434" s="221"/>
      <c r="L434" s="221"/>
      <c r="M434" s="221"/>
      <c r="N434" s="221"/>
      <c r="O434" s="221"/>
      <c r="P434" s="221"/>
      <c r="Q434" s="221"/>
      <c r="R434" s="221"/>
      <c r="S434" s="221"/>
      <c r="T434" s="221"/>
      <c r="U434" s="221"/>
      <c r="V434" s="221"/>
      <c r="W434" s="221"/>
      <c r="X434" s="221"/>
      <c r="Y434" s="221"/>
      <c r="Z434" s="221"/>
      <c r="AA434" s="221"/>
      <c r="AB434" s="221"/>
    </row>
    <row r="435">
      <c r="A435" s="296"/>
      <c r="B435" s="296"/>
      <c r="C435" s="232"/>
      <c r="D435" s="232"/>
      <c r="E435" s="232"/>
      <c r="F435" s="232"/>
      <c r="G435" s="232"/>
      <c r="H435" s="232"/>
      <c r="I435" s="221"/>
      <c r="J435" s="221"/>
      <c r="K435" s="221"/>
      <c r="L435" s="221"/>
      <c r="M435" s="221"/>
      <c r="N435" s="221"/>
      <c r="O435" s="221"/>
      <c r="P435" s="221"/>
      <c r="Q435" s="221"/>
      <c r="R435" s="221"/>
      <c r="S435" s="221"/>
      <c r="T435" s="221"/>
      <c r="U435" s="221"/>
      <c r="V435" s="221"/>
      <c r="W435" s="221"/>
      <c r="X435" s="221"/>
      <c r="Y435" s="221"/>
      <c r="Z435" s="221"/>
      <c r="AA435" s="221"/>
      <c r="AB435" s="221"/>
    </row>
    <row r="436">
      <c r="A436" s="296"/>
      <c r="B436" s="296"/>
      <c r="C436" s="232"/>
      <c r="D436" s="232"/>
      <c r="E436" s="232"/>
      <c r="F436" s="232"/>
      <c r="G436" s="232"/>
      <c r="H436" s="232"/>
      <c r="I436" s="221"/>
      <c r="J436" s="221"/>
      <c r="K436" s="221"/>
      <c r="L436" s="221"/>
      <c r="M436" s="221"/>
      <c r="N436" s="221"/>
      <c r="O436" s="221"/>
      <c r="P436" s="221"/>
      <c r="Q436" s="221"/>
      <c r="R436" s="221"/>
      <c r="S436" s="221"/>
      <c r="T436" s="221"/>
      <c r="U436" s="221"/>
      <c r="V436" s="221"/>
      <c r="W436" s="221"/>
      <c r="X436" s="221"/>
      <c r="Y436" s="221"/>
      <c r="Z436" s="221"/>
      <c r="AA436" s="221"/>
      <c r="AB436" s="221"/>
    </row>
    <row r="437">
      <c r="A437" s="296"/>
      <c r="B437" s="296"/>
      <c r="C437" s="232"/>
      <c r="D437" s="232"/>
      <c r="E437" s="232"/>
      <c r="F437" s="232"/>
      <c r="G437" s="232"/>
      <c r="H437" s="232"/>
      <c r="I437" s="221"/>
      <c r="J437" s="221"/>
      <c r="K437" s="221"/>
      <c r="L437" s="221"/>
      <c r="M437" s="221"/>
      <c r="N437" s="221"/>
      <c r="O437" s="221"/>
      <c r="P437" s="221"/>
      <c r="Q437" s="221"/>
      <c r="R437" s="221"/>
      <c r="S437" s="221"/>
      <c r="T437" s="221"/>
      <c r="U437" s="221"/>
      <c r="V437" s="221"/>
      <c r="W437" s="221"/>
      <c r="X437" s="221"/>
      <c r="Y437" s="221"/>
      <c r="Z437" s="221"/>
      <c r="AA437" s="221"/>
      <c r="AB437" s="221"/>
    </row>
    <row r="438">
      <c r="A438" s="296"/>
      <c r="B438" s="296"/>
      <c r="C438" s="232"/>
      <c r="D438" s="232"/>
      <c r="E438" s="232"/>
      <c r="F438" s="232"/>
      <c r="G438" s="232"/>
      <c r="H438" s="232"/>
      <c r="I438" s="221"/>
      <c r="J438" s="221"/>
      <c r="K438" s="221"/>
      <c r="L438" s="221"/>
      <c r="M438" s="221"/>
      <c r="N438" s="221"/>
      <c r="O438" s="221"/>
      <c r="P438" s="221"/>
      <c r="Q438" s="221"/>
      <c r="R438" s="221"/>
      <c r="S438" s="221"/>
      <c r="T438" s="221"/>
      <c r="U438" s="221"/>
      <c r="V438" s="221"/>
      <c r="W438" s="221"/>
      <c r="X438" s="221"/>
      <c r="Y438" s="221"/>
      <c r="Z438" s="221"/>
      <c r="AA438" s="221"/>
      <c r="AB438" s="221"/>
    </row>
    <row r="439">
      <c r="A439" s="296"/>
      <c r="B439" s="296"/>
      <c r="C439" s="232"/>
      <c r="D439" s="232"/>
      <c r="E439" s="232"/>
      <c r="F439" s="232"/>
      <c r="G439" s="232"/>
      <c r="H439" s="232"/>
      <c r="I439" s="221"/>
      <c r="J439" s="221"/>
      <c r="K439" s="221"/>
      <c r="L439" s="221"/>
      <c r="M439" s="221"/>
      <c r="N439" s="221"/>
      <c r="O439" s="221"/>
      <c r="P439" s="221"/>
      <c r="Q439" s="221"/>
      <c r="R439" s="221"/>
      <c r="S439" s="221"/>
      <c r="T439" s="221"/>
      <c r="U439" s="221"/>
      <c r="V439" s="221"/>
      <c r="W439" s="221"/>
      <c r="X439" s="221"/>
      <c r="Y439" s="221"/>
      <c r="Z439" s="221"/>
      <c r="AA439" s="221"/>
      <c r="AB439" s="221"/>
    </row>
    <row r="440">
      <c r="A440" s="296"/>
      <c r="B440" s="296"/>
      <c r="C440" s="232"/>
      <c r="D440" s="232"/>
      <c r="E440" s="232"/>
      <c r="F440" s="232"/>
      <c r="G440" s="232"/>
      <c r="H440" s="232"/>
      <c r="I440" s="221"/>
      <c r="J440" s="221"/>
      <c r="K440" s="221"/>
      <c r="L440" s="221"/>
      <c r="M440" s="221"/>
      <c r="N440" s="221"/>
      <c r="O440" s="221"/>
      <c r="P440" s="221"/>
      <c r="Q440" s="221"/>
      <c r="R440" s="221"/>
      <c r="S440" s="221"/>
      <c r="T440" s="221"/>
      <c r="U440" s="221"/>
      <c r="V440" s="221"/>
      <c r="W440" s="221"/>
      <c r="X440" s="221"/>
      <c r="Y440" s="221"/>
      <c r="Z440" s="221"/>
      <c r="AA440" s="221"/>
      <c r="AB440" s="221"/>
    </row>
    <row r="441">
      <c r="A441" s="296"/>
      <c r="B441" s="296"/>
      <c r="C441" s="232"/>
      <c r="D441" s="232"/>
      <c r="E441" s="232"/>
      <c r="F441" s="232"/>
      <c r="G441" s="232"/>
      <c r="H441" s="232"/>
      <c r="I441" s="221"/>
      <c r="J441" s="221"/>
      <c r="K441" s="221"/>
      <c r="L441" s="221"/>
      <c r="M441" s="221"/>
      <c r="N441" s="221"/>
      <c r="O441" s="221"/>
      <c r="P441" s="221"/>
      <c r="Q441" s="221"/>
      <c r="R441" s="221"/>
      <c r="S441" s="221"/>
      <c r="T441" s="221"/>
      <c r="U441" s="221"/>
      <c r="V441" s="221"/>
      <c r="W441" s="221"/>
      <c r="X441" s="221"/>
      <c r="Y441" s="221"/>
      <c r="Z441" s="221"/>
      <c r="AA441" s="221"/>
      <c r="AB441" s="221"/>
    </row>
    <row r="442">
      <c r="A442" s="296"/>
      <c r="B442" s="296"/>
      <c r="C442" s="232"/>
      <c r="D442" s="232"/>
      <c r="E442" s="232"/>
      <c r="F442" s="232"/>
      <c r="G442" s="232"/>
      <c r="H442" s="232"/>
      <c r="I442" s="221"/>
      <c r="J442" s="221"/>
      <c r="K442" s="221"/>
      <c r="L442" s="221"/>
      <c r="M442" s="221"/>
      <c r="N442" s="221"/>
      <c r="O442" s="221"/>
      <c r="P442" s="221"/>
      <c r="Q442" s="221"/>
      <c r="R442" s="221"/>
      <c r="S442" s="221"/>
      <c r="T442" s="221"/>
      <c r="U442" s="221"/>
      <c r="V442" s="221"/>
      <c r="W442" s="221"/>
      <c r="X442" s="221"/>
      <c r="Y442" s="221"/>
      <c r="Z442" s="221"/>
      <c r="AA442" s="221"/>
      <c r="AB442" s="221"/>
    </row>
    <row r="443">
      <c r="A443" s="296"/>
      <c r="B443" s="296"/>
      <c r="C443" s="232"/>
      <c r="D443" s="232"/>
      <c r="E443" s="232"/>
      <c r="F443" s="232"/>
      <c r="G443" s="232"/>
      <c r="H443" s="232"/>
      <c r="I443" s="221"/>
      <c r="J443" s="221"/>
      <c r="K443" s="221"/>
      <c r="L443" s="221"/>
      <c r="M443" s="221"/>
      <c r="N443" s="221"/>
      <c r="O443" s="221"/>
      <c r="P443" s="221"/>
      <c r="Q443" s="221"/>
      <c r="R443" s="221"/>
      <c r="S443" s="221"/>
      <c r="T443" s="221"/>
      <c r="U443" s="221"/>
      <c r="V443" s="221"/>
      <c r="W443" s="221"/>
      <c r="X443" s="221"/>
      <c r="Y443" s="221"/>
      <c r="Z443" s="221"/>
      <c r="AA443" s="221"/>
      <c r="AB443" s="221"/>
    </row>
    <row r="444">
      <c r="A444" s="296"/>
      <c r="B444" s="296"/>
      <c r="C444" s="232"/>
      <c r="D444" s="232"/>
      <c r="E444" s="232"/>
      <c r="F444" s="232"/>
      <c r="G444" s="232"/>
      <c r="H444" s="232"/>
      <c r="I444" s="221"/>
      <c r="J444" s="221"/>
      <c r="K444" s="221"/>
      <c r="L444" s="221"/>
      <c r="M444" s="221"/>
      <c r="N444" s="221"/>
      <c r="O444" s="221"/>
      <c r="P444" s="221"/>
      <c r="Q444" s="221"/>
      <c r="R444" s="221"/>
      <c r="S444" s="221"/>
      <c r="T444" s="221"/>
      <c r="U444" s="221"/>
      <c r="V444" s="221"/>
      <c r="W444" s="221"/>
      <c r="X444" s="221"/>
      <c r="Y444" s="221"/>
      <c r="Z444" s="221"/>
      <c r="AA444" s="221"/>
      <c r="AB444" s="221"/>
    </row>
    <row r="445">
      <c r="A445" s="296"/>
      <c r="B445" s="296"/>
      <c r="C445" s="232"/>
      <c r="D445" s="232"/>
      <c r="E445" s="232"/>
      <c r="F445" s="232"/>
      <c r="G445" s="232"/>
      <c r="H445" s="232"/>
      <c r="I445" s="221"/>
      <c r="J445" s="221"/>
      <c r="K445" s="221"/>
      <c r="L445" s="221"/>
      <c r="M445" s="221"/>
      <c r="N445" s="221"/>
      <c r="O445" s="221"/>
      <c r="P445" s="221"/>
      <c r="Q445" s="221"/>
      <c r="R445" s="221"/>
      <c r="S445" s="221"/>
      <c r="T445" s="221"/>
      <c r="U445" s="221"/>
      <c r="V445" s="221"/>
      <c r="W445" s="221"/>
      <c r="X445" s="221"/>
      <c r="Y445" s="221"/>
      <c r="Z445" s="221"/>
      <c r="AA445" s="221"/>
      <c r="AB445" s="221"/>
    </row>
    <row r="446">
      <c r="A446" s="296"/>
      <c r="B446" s="296"/>
      <c r="C446" s="232"/>
      <c r="D446" s="232"/>
      <c r="E446" s="232"/>
      <c r="F446" s="232"/>
      <c r="G446" s="232"/>
      <c r="H446" s="232"/>
      <c r="I446" s="221"/>
      <c r="J446" s="221"/>
      <c r="K446" s="221"/>
      <c r="L446" s="221"/>
      <c r="M446" s="221"/>
      <c r="N446" s="221"/>
      <c r="O446" s="221"/>
      <c r="P446" s="221"/>
      <c r="Q446" s="221"/>
      <c r="R446" s="221"/>
      <c r="S446" s="221"/>
      <c r="T446" s="221"/>
      <c r="U446" s="221"/>
      <c r="V446" s="221"/>
      <c r="W446" s="221"/>
      <c r="X446" s="221"/>
      <c r="Y446" s="221"/>
      <c r="Z446" s="221"/>
      <c r="AA446" s="221"/>
      <c r="AB446" s="221"/>
    </row>
    <row r="447">
      <c r="A447" s="296"/>
      <c r="B447" s="296"/>
      <c r="C447" s="232"/>
      <c r="D447" s="232"/>
      <c r="E447" s="232"/>
      <c r="F447" s="232"/>
      <c r="G447" s="232"/>
      <c r="H447" s="232"/>
      <c r="I447" s="221"/>
      <c r="J447" s="221"/>
      <c r="K447" s="221"/>
      <c r="L447" s="221"/>
      <c r="M447" s="221"/>
      <c r="N447" s="221"/>
      <c r="O447" s="221"/>
      <c r="P447" s="221"/>
      <c r="Q447" s="221"/>
      <c r="R447" s="221"/>
      <c r="S447" s="221"/>
      <c r="T447" s="221"/>
      <c r="U447" s="221"/>
      <c r="V447" s="221"/>
      <c r="W447" s="221"/>
      <c r="X447" s="221"/>
      <c r="Y447" s="221"/>
      <c r="Z447" s="221"/>
      <c r="AA447" s="221"/>
      <c r="AB447" s="221"/>
    </row>
    <row r="448">
      <c r="A448" s="296"/>
      <c r="B448" s="296"/>
      <c r="C448" s="232"/>
      <c r="D448" s="232"/>
      <c r="E448" s="232"/>
      <c r="F448" s="232"/>
      <c r="G448" s="232"/>
      <c r="H448" s="232"/>
      <c r="I448" s="221"/>
      <c r="J448" s="221"/>
      <c r="K448" s="221"/>
      <c r="L448" s="221"/>
      <c r="M448" s="221"/>
      <c r="N448" s="221"/>
      <c r="O448" s="221"/>
      <c r="P448" s="221"/>
      <c r="Q448" s="221"/>
      <c r="R448" s="221"/>
      <c r="S448" s="221"/>
      <c r="T448" s="221"/>
      <c r="U448" s="221"/>
      <c r="V448" s="221"/>
      <c r="W448" s="221"/>
      <c r="X448" s="221"/>
      <c r="Y448" s="221"/>
      <c r="Z448" s="221"/>
      <c r="AA448" s="221"/>
      <c r="AB448" s="221"/>
    </row>
    <row r="449">
      <c r="A449" s="296"/>
      <c r="B449" s="296"/>
      <c r="C449" s="232"/>
      <c r="D449" s="232"/>
      <c r="E449" s="232"/>
      <c r="F449" s="232"/>
      <c r="G449" s="232"/>
      <c r="H449" s="232"/>
      <c r="I449" s="221"/>
      <c r="J449" s="221"/>
      <c r="K449" s="221"/>
      <c r="L449" s="221"/>
      <c r="M449" s="221"/>
      <c r="N449" s="221"/>
      <c r="O449" s="221"/>
      <c r="P449" s="221"/>
      <c r="Q449" s="221"/>
      <c r="R449" s="221"/>
      <c r="S449" s="221"/>
      <c r="T449" s="221"/>
      <c r="U449" s="221"/>
      <c r="V449" s="221"/>
      <c r="W449" s="221"/>
      <c r="X449" s="221"/>
      <c r="Y449" s="221"/>
      <c r="Z449" s="221"/>
      <c r="AA449" s="221"/>
      <c r="AB449" s="221"/>
    </row>
    <row r="450">
      <c r="A450" s="296"/>
      <c r="B450" s="296"/>
      <c r="C450" s="232"/>
      <c r="D450" s="232"/>
      <c r="E450" s="232"/>
      <c r="F450" s="232"/>
      <c r="G450" s="232"/>
      <c r="H450" s="232"/>
      <c r="I450" s="221"/>
      <c r="J450" s="221"/>
      <c r="K450" s="221"/>
      <c r="L450" s="221"/>
      <c r="M450" s="221"/>
      <c r="N450" s="221"/>
      <c r="O450" s="221"/>
      <c r="P450" s="221"/>
      <c r="Q450" s="221"/>
      <c r="R450" s="221"/>
      <c r="S450" s="221"/>
      <c r="T450" s="221"/>
      <c r="U450" s="221"/>
      <c r="V450" s="221"/>
      <c r="W450" s="221"/>
      <c r="X450" s="221"/>
      <c r="Y450" s="221"/>
      <c r="Z450" s="221"/>
      <c r="AA450" s="221"/>
      <c r="AB450" s="221"/>
    </row>
    <row r="451">
      <c r="A451" s="296"/>
      <c r="B451" s="296"/>
      <c r="C451" s="232"/>
      <c r="D451" s="232"/>
      <c r="E451" s="232"/>
      <c r="F451" s="232"/>
      <c r="G451" s="232"/>
      <c r="H451" s="232"/>
      <c r="I451" s="221"/>
      <c r="J451" s="221"/>
      <c r="K451" s="221"/>
      <c r="L451" s="221"/>
      <c r="M451" s="221"/>
      <c r="N451" s="221"/>
      <c r="O451" s="221"/>
      <c r="P451" s="221"/>
      <c r="Q451" s="221"/>
      <c r="R451" s="221"/>
      <c r="S451" s="221"/>
      <c r="T451" s="221"/>
      <c r="U451" s="221"/>
      <c r="V451" s="221"/>
      <c r="W451" s="221"/>
      <c r="X451" s="221"/>
      <c r="Y451" s="221"/>
      <c r="Z451" s="221"/>
      <c r="AA451" s="221"/>
      <c r="AB451" s="221"/>
    </row>
    <row r="452">
      <c r="A452" s="296"/>
      <c r="B452" s="296"/>
      <c r="C452" s="232"/>
      <c r="D452" s="232"/>
      <c r="E452" s="232"/>
      <c r="F452" s="232"/>
      <c r="G452" s="232"/>
      <c r="H452" s="232"/>
      <c r="I452" s="221"/>
      <c r="J452" s="221"/>
      <c r="K452" s="221"/>
      <c r="L452" s="221"/>
      <c r="M452" s="221"/>
      <c r="N452" s="221"/>
      <c r="O452" s="221"/>
      <c r="P452" s="221"/>
      <c r="Q452" s="221"/>
      <c r="R452" s="221"/>
      <c r="S452" s="221"/>
      <c r="T452" s="221"/>
      <c r="U452" s="221"/>
      <c r="V452" s="221"/>
      <c r="W452" s="221"/>
      <c r="X452" s="221"/>
      <c r="Y452" s="221"/>
      <c r="Z452" s="221"/>
      <c r="AA452" s="221"/>
      <c r="AB452" s="221"/>
    </row>
    <row r="453">
      <c r="A453" s="296"/>
      <c r="B453" s="296"/>
      <c r="C453" s="232"/>
      <c r="D453" s="232"/>
      <c r="E453" s="232"/>
      <c r="F453" s="232"/>
      <c r="G453" s="232"/>
      <c r="H453" s="232"/>
      <c r="I453" s="221"/>
      <c r="J453" s="221"/>
      <c r="K453" s="221"/>
      <c r="L453" s="221"/>
      <c r="M453" s="221"/>
      <c r="N453" s="221"/>
      <c r="O453" s="221"/>
      <c r="P453" s="221"/>
      <c r="Q453" s="221"/>
      <c r="R453" s="221"/>
      <c r="S453" s="221"/>
      <c r="T453" s="221"/>
      <c r="U453" s="221"/>
      <c r="V453" s="221"/>
      <c r="W453" s="221"/>
      <c r="X453" s="221"/>
      <c r="Y453" s="221"/>
      <c r="Z453" s="221"/>
      <c r="AA453" s="221"/>
      <c r="AB453" s="221"/>
    </row>
    <row r="454">
      <c r="A454" s="296"/>
      <c r="B454" s="296"/>
      <c r="C454" s="232"/>
      <c r="D454" s="232"/>
      <c r="E454" s="232"/>
      <c r="F454" s="232"/>
      <c r="G454" s="232"/>
      <c r="H454" s="232"/>
      <c r="I454" s="221"/>
      <c r="J454" s="221"/>
      <c r="K454" s="221"/>
      <c r="L454" s="221"/>
      <c r="M454" s="221"/>
      <c r="N454" s="221"/>
      <c r="O454" s="221"/>
      <c r="P454" s="221"/>
      <c r="Q454" s="221"/>
      <c r="R454" s="221"/>
      <c r="S454" s="221"/>
      <c r="T454" s="221"/>
      <c r="U454" s="221"/>
      <c r="V454" s="221"/>
      <c r="W454" s="221"/>
      <c r="X454" s="221"/>
      <c r="Y454" s="221"/>
      <c r="Z454" s="221"/>
      <c r="AA454" s="221"/>
      <c r="AB454" s="221"/>
    </row>
    <row r="455">
      <c r="A455" s="296"/>
      <c r="B455" s="296"/>
      <c r="C455" s="232"/>
      <c r="D455" s="232"/>
      <c r="E455" s="232"/>
      <c r="F455" s="232"/>
      <c r="G455" s="232"/>
      <c r="H455" s="232"/>
      <c r="I455" s="221"/>
      <c r="J455" s="221"/>
      <c r="K455" s="221"/>
      <c r="L455" s="221"/>
      <c r="M455" s="221"/>
      <c r="N455" s="221"/>
      <c r="O455" s="221"/>
      <c r="P455" s="221"/>
      <c r="Q455" s="221"/>
      <c r="R455" s="221"/>
      <c r="S455" s="221"/>
      <c r="T455" s="221"/>
      <c r="U455" s="221"/>
      <c r="V455" s="221"/>
      <c r="W455" s="221"/>
      <c r="X455" s="221"/>
      <c r="Y455" s="221"/>
      <c r="Z455" s="221"/>
      <c r="AA455" s="221"/>
      <c r="AB455" s="221"/>
    </row>
    <row r="456">
      <c r="A456" s="296"/>
      <c r="B456" s="296"/>
      <c r="C456" s="232"/>
      <c r="D456" s="232"/>
      <c r="E456" s="232"/>
      <c r="F456" s="232"/>
      <c r="G456" s="232"/>
      <c r="H456" s="232"/>
      <c r="I456" s="221"/>
      <c r="J456" s="221"/>
      <c r="K456" s="221"/>
      <c r="L456" s="221"/>
      <c r="M456" s="221"/>
      <c r="N456" s="221"/>
      <c r="O456" s="221"/>
      <c r="P456" s="221"/>
      <c r="Q456" s="221"/>
      <c r="R456" s="221"/>
      <c r="S456" s="221"/>
      <c r="T456" s="221"/>
      <c r="U456" s="221"/>
      <c r="V456" s="221"/>
      <c r="W456" s="221"/>
      <c r="X456" s="221"/>
      <c r="Y456" s="221"/>
      <c r="Z456" s="221"/>
      <c r="AA456" s="221"/>
      <c r="AB456" s="221"/>
    </row>
    <row r="457">
      <c r="A457" s="296"/>
      <c r="B457" s="296"/>
      <c r="C457" s="232"/>
      <c r="D457" s="232"/>
      <c r="E457" s="232"/>
      <c r="F457" s="232"/>
      <c r="G457" s="232"/>
      <c r="H457" s="232"/>
      <c r="I457" s="221"/>
      <c r="J457" s="221"/>
      <c r="K457" s="221"/>
      <c r="L457" s="221"/>
      <c r="M457" s="221"/>
      <c r="N457" s="221"/>
      <c r="O457" s="221"/>
      <c r="P457" s="221"/>
      <c r="Q457" s="221"/>
      <c r="R457" s="221"/>
      <c r="S457" s="221"/>
      <c r="T457" s="221"/>
      <c r="U457" s="221"/>
      <c r="V457" s="221"/>
      <c r="W457" s="221"/>
      <c r="X457" s="221"/>
      <c r="Y457" s="221"/>
      <c r="Z457" s="221"/>
      <c r="AA457" s="221"/>
      <c r="AB457" s="221"/>
    </row>
    <row r="458">
      <c r="A458" s="296"/>
      <c r="B458" s="296"/>
      <c r="C458" s="232"/>
      <c r="D458" s="232"/>
      <c r="E458" s="232"/>
      <c r="F458" s="232"/>
      <c r="G458" s="232"/>
      <c r="H458" s="232"/>
      <c r="I458" s="221"/>
      <c r="J458" s="221"/>
      <c r="K458" s="221"/>
      <c r="L458" s="221"/>
      <c r="M458" s="221"/>
      <c r="N458" s="221"/>
      <c r="O458" s="221"/>
      <c r="P458" s="221"/>
      <c r="Q458" s="221"/>
      <c r="R458" s="221"/>
      <c r="S458" s="221"/>
      <c r="T458" s="221"/>
      <c r="U458" s="221"/>
      <c r="V458" s="221"/>
      <c r="W458" s="221"/>
      <c r="X458" s="221"/>
      <c r="Y458" s="221"/>
      <c r="Z458" s="221"/>
      <c r="AA458" s="221"/>
      <c r="AB458" s="221"/>
    </row>
    <row r="459">
      <c r="A459" s="296"/>
      <c r="B459" s="296"/>
      <c r="C459" s="232"/>
      <c r="D459" s="232"/>
      <c r="E459" s="232"/>
      <c r="F459" s="232"/>
      <c r="G459" s="232"/>
      <c r="H459" s="232"/>
      <c r="I459" s="221"/>
      <c r="J459" s="221"/>
      <c r="K459" s="221"/>
      <c r="L459" s="221"/>
      <c r="M459" s="221"/>
      <c r="N459" s="221"/>
      <c r="O459" s="221"/>
      <c r="P459" s="221"/>
      <c r="Q459" s="221"/>
      <c r="R459" s="221"/>
      <c r="S459" s="221"/>
      <c r="T459" s="221"/>
      <c r="U459" s="221"/>
      <c r="V459" s="221"/>
      <c r="W459" s="221"/>
      <c r="X459" s="221"/>
      <c r="Y459" s="221"/>
      <c r="Z459" s="221"/>
      <c r="AA459" s="221"/>
      <c r="AB459" s="221"/>
    </row>
    <row r="460">
      <c r="A460" s="296"/>
      <c r="B460" s="296"/>
      <c r="C460" s="232"/>
      <c r="D460" s="232"/>
      <c r="E460" s="232"/>
      <c r="F460" s="232"/>
      <c r="G460" s="232"/>
      <c r="H460" s="232"/>
      <c r="I460" s="221"/>
      <c r="J460" s="221"/>
      <c r="K460" s="221"/>
      <c r="L460" s="221"/>
      <c r="M460" s="221"/>
      <c r="N460" s="221"/>
      <c r="O460" s="221"/>
      <c r="P460" s="221"/>
      <c r="Q460" s="221"/>
      <c r="R460" s="221"/>
      <c r="S460" s="221"/>
      <c r="T460" s="221"/>
      <c r="U460" s="221"/>
      <c r="V460" s="221"/>
      <c r="W460" s="221"/>
      <c r="X460" s="221"/>
      <c r="Y460" s="221"/>
      <c r="Z460" s="221"/>
      <c r="AA460" s="221"/>
      <c r="AB460" s="221"/>
    </row>
    <row r="461">
      <c r="A461" s="296"/>
      <c r="B461" s="296"/>
      <c r="C461" s="232"/>
      <c r="D461" s="232"/>
      <c r="E461" s="232"/>
      <c r="F461" s="232"/>
      <c r="G461" s="232"/>
      <c r="H461" s="232"/>
      <c r="I461" s="221"/>
      <c r="J461" s="221"/>
      <c r="K461" s="221"/>
      <c r="L461" s="221"/>
      <c r="M461" s="221"/>
      <c r="N461" s="221"/>
      <c r="O461" s="221"/>
      <c r="P461" s="221"/>
      <c r="Q461" s="221"/>
      <c r="R461" s="221"/>
      <c r="S461" s="221"/>
      <c r="T461" s="221"/>
      <c r="U461" s="221"/>
      <c r="V461" s="221"/>
      <c r="W461" s="221"/>
      <c r="X461" s="221"/>
      <c r="Y461" s="221"/>
      <c r="Z461" s="221"/>
      <c r="AA461" s="221"/>
      <c r="AB461" s="221"/>
    </row>
    <row r="462">
      <c r="A462" s="296"/>
      <c r="B462" s="296"/>
      <c r="C462" s="232"/>
      <c r="D462" s="232"/>
      <c r="E462" s="232"/>
      <c r="F462" s="232"/>
      <c r="G462" s="232"/>
      <c r="H462" s="232"/>
      <c r="I462" s="221"/>
      <c r="J462" s="221"/>
      <c r="K462" s="221"/>
      <c r="L462" s="221"/>
      <c r="M462" s="221"/>
      <c r="N462" s="221"/>
      <c r="O462" s="221"/>
      <c r="P462" s="221"/>
      <c r="Q462" s="221"/>
      <c r="R462" s="221"/>
      <c r="S462" s="221"/>
      <c r="T462" s="221"/>
      <c r="U462" s="221"/>
      <c r="V462" s="221"/>
      <c r="W462" s="221"/>
      <c r="X462" s="221"/>
      <c r="Y462" s="221"/>
      <c r="Z462" s="221"/>
      <c r="AA462" s="221"/>
      <c r="AB462" s="221"/>
    </row>
    <row r="463">
      <c r="A463" s="296"/>
      <c r="B463" s="296"/>
      <c r="C463" s="232"/>
      <c r="D463" s="232"/>
      <c r="E463" s="232"/>
      <c r="F463" s="232"/>
      <c r="G463" s="232"/>
      <c r="H463" s="232"/>
      <c r="I463" s="221"/>
      <c r="J463" s="221"/>
      <c r="K463" s="221"/>
      <c r="L463" s="221"/>
      <c r="M463" s="221"/>
      <c r="N463" s="221"/>
      <c r="O463" s="221"/>
      <c r="P463" s="221"/>
      <c r="Q463" s="221"/>
      <c r="R463" s="221"/>
      <c r="S463" s="221"/>
      <c r="T463" s="221"/>
      <c r="U463" s="221"/>
      <c r="V463" s="221"/>
      <c r="W463" s="221"/>
      <c r="X463" s="221"/>
      <c r="Y463" s="221"/>
      <c r="Z463" s="221"/>
      <c r="AA463" s="221"/>
      <c r="AB463" s="221"/>
    </row>
    <row r="464">
      <c r="A464" s="296"/>
      <c r="B464" s="296"/>
      <c r="C464" s="232"/>
      <c r="D464" s="232"/>
      <c r="E464" s="232"/>
      <c r="F464" s="232"/>
      <c r="G464" s="232"/>
      <c r="H464" s="232"/>
      <c r="I464" s="221"/>
      <c r="J464" s="221"/>
      <c r="K464" s="221"/>
      <c r="L464" s="221"/>
      <c r="M464" s="221"/>
      <c r="N464" s="221"/>
      <c r="O464" s="221"/>
      <c r="P464" s="221"/>
      <c r="Q464" s="221"/>
      <c r="R464" s="221"/>
      <c r="S464" s="221"/>
      <c r="T464" s="221"/>
      <c r="U464" s="221"/>
      <c r="V464" s="221"/>
      <c r="W464" s="221"/>
      <c r="X464" s="221"/>
      <c r="Y464" s="221"/>
      <c r="Z464" s="221"/>
      <c r="AA464" s="221"/>
      <c r="AB464" s="221"/>
    </row>
    <row r="465">
      <c r="A465" s="296"/>
      <c r="B465" s="296"/>
      <c r="C465" s="232"/>
      <c r="D465" s="232"/>
      <c r="E465" s="232"/>
      <c r="F465" s="232"/>
      <c r="G465" s="232"/>
      <c r="H465" s="232"/>
      <c r="I465" s="221"/>
      <c r="J465" s="221"/>
      <c r="K465" s="221"/>
      <c r="L465" s="221"/>
      <c r="M465" s="221"/>
      <c r="N465" s="221"/>
      <c r="O465" s="221"/>
      <c r="P465" s="221"/>
      <c r="Q465" s="221"/>
      <c r="R465" s="221"/>
      <c r="S465" s="221"/>
      <c r="T465" s="221"/>
      <c r="U465" s="221"/>
      <c r="V465" s="221"/>
      <c r="W465" s="221"/>
      <c r="X465" s="221"/>
      <c r="Y465" s="221"/>
      <c r="Z465" s="221"/>
      <c r="AA465" s="221"/>
      <c r="AB465" s="221"/>
    </row>
    <row r="466">
      <c r="A466" s="296"/>
      <c r="B466" s="296"/>
      <c r="C466" s="232"/>
      <c r="D466" s="232"/>
      <c r="E466" s="232"/>
      <c r="F466" s="232"/>
      <c r="G466" s="232"/>
      <c r="H466" s="232"/>
      <c r="I466" s="221"/>
      <c r="J466" s="221"/>
      <c r="K466" s="221"/>
      <c r="L466" s="221"/>
      <c r="M466" s="221"/>
      <c r="N466" s="221"/>
      <c r="O466" s="221"/>
      <c r="P466" s="221"/>
      <c r="Q466" s="221"/>
      <c r="R466" s="221"/>
      <c r="S466" s="221"/>
      <c r="T466" s="221"/>
      <c r="U466" s="221"/>
      <c r="V466" s="221"/>
      <c r="W466" s="221"/>
      <c r="X466" s="221"/>
      <c r="Y466" s="221"/>
      <c r="Z466" s="221"/>
      <c r="AA466" s="221"/>
      <c r="AB466" s="221"/>
    </row>
    <row r="467">
      <c r="A467" s="296"/>
      <c r="B467" s="296"/>
      <c r="C467" s="232"/>
      <c r="D467" s="232"/>
      <c r="E467" s="232"/>
      <c r="F467" s="232"/>
      <c r="G467" s="232"/>
      <c r="H467" s="232"/>
      <c r="I467" s="221"/>
      <c r="J467" s="221"/>
      <c r="K467" s="221"/>
      <c r="L467" s="221"/>
      <c r="M467" s="221"/>
      <c r="N467" s="221"/>
      <c r="O467" s="221"/>
      <c r="P467" s="221"/>
      <c r="Q467" s="221"/>
      <c r="R467" s="221"/>
      <c r="S467" s="221"/>
      <c r="T467" s="221"/>
      <c r="U467" s="221"/>
      <c r="V467" s="221"/>
      <c r="W467" s="221"/>
      <c r="X467" s="221"/>
      <c r="Y467" s="221"/>
      <c r="Z467" s="221"/>
      <c r="AA467" s="221"/>
      <c r="AB467" s="221"/>
    </row>
    <row r="468">
      <c r="A468" s="296"/>
      <c r="B468" s="296"/>
      <c r="C468" s="232"/>
      <c r="D468" s="232"/>
      <c r="E468" s="232"/>
      <c r="F468" s="232"/>
      <c r="G468" s="232"/>
      <c r="H468" s="232"/>
      <c r="I468" s="221"/>
      <c r="J468" s="221"/>
      <c r="K468" s="221"/>
      <c r="L468" s="221"/>
      <c r="M468" s="221"/>
      <c r="N468" s="221"/>
      <c r="O468" s="221"/>
      <c r="P468" s="221"/>
      <c r="Q468" s="221"/>
      <c r="R468" s="221"/>
      <c r="S468" s="221"/>
      <c r="T468" s="221"/>
      <c r="U468" s="221"/>
      <c r="V468" s="221"/>
      <c r="W468" s="221"/>
      <c r="X468" s="221"/>
      <c r="Y468" s="221"/>
      <c r="Z468" s="221"/>
      <c r="AA468" s="221"/>
      <c r="AB468" s="221"/>
    </row>
    <row r="469">
      <c r="A469" s="296"/>
      <c r="B469" s="296"/>
      <c r="C469" s="232"/>
      <c r="D469" s="232"/>
      <c r="E469" s="232"/>
      <c r="F469" s="232"/>
      <c r="G469" s="232"/>
      <c r="H469" s="232"/>
      <c r="I469" s="221"/>
      <c r="J469" s="221"/>
      <c r="K469" s="221"/>
      <c r="L469" s="221"/>
      <c r="M469" s="221"/>
      <c r="N469" s="221"/>
      <c r="O469" s="221"/>
      <c r="P469" s="221"/>
      <c r="Q469" s="221"/>
      <c r="R469" s="221"/>
      <c r="S469" s="221"/>
      <c r="T469" s="221"/>
      <c r="U469" s="221"/>
      <c r="V469" s="221"/>
      <c r="W469" s="221"/>
      <c r="X469" s="221"/>
      <c r="Y469" s="221"/>
      <c r="Z469" s="221"/>
      <c r="AA469" s="221"/>
      <c r="AB469" s="221"/>
    </row>
    <row r="470">
      <c r="A470" s="296"/>
      <c r="B470" s="296"/>
      <c r="C470" s="232"/>
      <c r="D470" s="232"/>
      <c r="E470" s="232"/>
      <c r="F470" s="232"/>
      <c r="G470" s="232"/>
      <c r="H470" s="232"/>
      <c r="I470" s="221"/>
      <c r="J470" s="221"/>
      <c r="K470" s="221"/>
      <c r="L470" s="221"/>
      <c r="M470" s="221"/>
      <c r="N470" s="221"/>
      <c r="O470" s="221"/>
      <c r="P470" s="221"/>
      <c r="Q470" s="221"/>
      <c r="R470" s="221"/>
      <c r="S470" s="221"/>
      <c r="T470" s="221"/>
      <c r="U470" s="221"/>
      <c r="V470" s="221"/>
      <c r="W470" s="221"/>
      <c r="X470" s="221"/>
      <c r="Y470" s="221"/>
      <c r="Z470" s="221"/>
      <c r="AA470" s="221"/>
      <c r="AB470" s="221"/>
    </row>
    <row r="471">
      <c r="A471" s="296"/>
      <c r="B471" s="296"/>
      <c r="C471" s="232"/>
      <c r="D471" s="232"/>
      <c r="E471" s="232"/>
      <c r="F471" s="232"/>
      <c r="G471" s="232"/>
      <c r="H471" s="232"/>
      <c r="I471" s="221"/>
      <c r="J471" s="221"/>
      <c r="K471" s="221"/>
      <c r="L471" s="221"/>
      <c r="M471" s="221"/>
      <c r="N471" s="221"/>
      <c r="O471" s="221"/>
      <c r="P471" s="221"/>
      <c r="Q471" s="221"/>
      <c r="R471" s="221"/>
      <c r="S471" s="221"/>
      <c r="T471" s="221"/>
      <c r="U471" s="221"/>
      <c r="V471" s="221"/>
      <c r="W471" s="221"/>
      <c r="X471" s="221"/>
      <c r="Y471" s="221"/>
      <c r="Z471" s="221"/>
      <c r="AA471" s="221"/>
      <c r="AB471" s="221"/>
    </row>
    <row r="472">
      <c r="A472" s="296"/>
      <c r="B472" s="296"/>
      <c r="C472" s="232"/>
      <c r="D472" s="232"/>
      <c r="E472" s="232"/>
      <c r="F472" s="232"/>
      <c r="G472" s="232"/>
      <c r="H472" s="232"/>
      <c r="I472" s="221"/>
      <c r="J472" s="221"/>
      <c r="K472" s="221"/>
      <c r="L472" s="221"/>
      <c r="M472" s="221"/>
      <c r="N472" s="221"/>
      <c r="O472" s="221"/>
      <c r="P472" s="221"/>
      <c r="Q472" s="221"/>
      <c r="R472" s="221"/>
      <c r="S472" s="221"/>
      <c r="T472" s="221"/>
      <c r="U472" s="221"/>
      <c r="V472" s="221"/>
      <c r="W472" s="221"/>
      <c r="X472" s="221"/>
      <c r="Y472" s="221"/>
      <c r="Z472" s="221"/>
      <c r="AA472" s="221"/>
      <c r="AB472" s="221"/>
    </row>
    <row r="473">
      <c r="A473" s="296"/>
      <c r="B473" s="296"/>
      <c r="C473" s="232"/>
      <c r="D473" s="232"/>
      <c r="E473" s="232"/>
      <c r="F473" s="232"/>
      <c r="G473" s="232"/>
      <c r="H473" s="232"/>
      <c r="I473" s="221"/>
      <c r="J473" s="221"/>
      <c r="K473" s="221"/>
      <c r="L473" s="221"/>
      <c r="M473" s="221"/>
      <c r="N473" s="221"/>
      <c r="O473" s="221"/>
      <c r="P473" s="221"/>
      <c r="Q473" s="221"/>
      <c r="R473" s="221"/>
      <c r="S473" s="221"/>
      <c r="T473" s="221"/>
      <c r="U473" s="221"/>
      <c r="V473" s="221"/>
      <c r="W473" s="221"/>
      <c r="X473" s="221"/>
      <c r="Y473" s="221"/>
      <c r="Z473" s="221"/>
      <c r="AA473" s="221"/>
      <c r="AB473" s="221"/>
    </row>
    <row r="474">
      <c r="A474" s="296"/>
      <c r="B474" s="296"/>
      <c r="C474" s="232"/>
      <c r="D474" s="232"/>
      <c r="E474" s="232"/>
      <c r="F474" s="232"/>
      <c r="G474" s="232"/>
      <c r="H474" s="232"/>
      <c r="I474" s="221"/>
      <c r="J474" s="221"/>
      <c r="K474" s="221"/>
      <c r="L474" s="221"/>
      <c r="M474" s="221"/>
      <c r="N474" s="221"/>
      <c r="O474" s="221"/>
      <c r="P474" s="221"/>
      <c r="Q474" s="221"/>
      <c r="R474" s="221"/>
      <c r="S474" s="221"/>
      <c r="T474" s="221"/>
      <c r="U474" s="221"/>
      <c r="V474" s="221"/>
      <c r="W474" s="221"/>
      <c r="X474" s="221"/>
      <c r="Y474" s="221"/>
      <c r="Z474" s="221"/>
      <c r="AA474" s="221"/>
      <c r="AB474" s="221"/>
    </row>
    <row r="475">
      <c r="A475" s="296"/>
      <c r="B475" s="296"/>
      <c r="C475" s="232"/>
      <c r="D475" s="232"/>
      <c r="E475" s="232"/>
      <c r="F475" s="232"/>
      <c r="G475" s="232"/>
      <c r="H475" s="232"/>
      <c r="I475" s="221"/>
      <c r="J475" s="221"/>
      <c r="K475" s="221"/>
      <c r="L475" s="221"/>
      <c r="M475" s="221"/>
      <c r="N475" s="221"/>
      <c r="O475" s="221"/>
      <c r="P475" s="221"/>
      <c r="Q475" s="221"/>
      <c r="R475" s="221"/>
      <c r="S475" s="221"/>
      <c r="T475" s="221"/>
      <c r="U475" s="221"/>
      <c r="V475" s="221"/>
      <c r="W475" s="221"/>
      <c r="X475" s="221"/>
      <c r="Y475" s="221"/>
      <c r="Z475" s="221"/>
      <c r="AA475" s="221"/>
      <c r="AB475" s="221"/>
    </row>
    <row r="476">
      <c r="A476" s="296"/>
      <c r="B476" s="296"/>
      <c r="C476" s="232"/>
      <c r="D476" s="232"/>
      <c r="E476" s="232"/>
      <c r="F476" s="232"/>
      <c r="G476" s="232"/>
      <c r="H476" s="232"/>
      <c r="I476" s="221"/>
      <c r="J476" s="221"/>
      <c r="K476" s="221"/>
      <c r="L476" s="221"/>
      <c r="M476" s="221"/>
      <c r="N476" s="221"/>
      <c r="O476" s="221"/>
      <c r="P476" s="221"/>
      <c r="Q476" s="221"/>
      <c r="R476" s="221"/>
      <c r="S476" s="221"/>
      <c r="T476" s="221"/>
      <c r="U476" s="221"/>
      <c r="V476" s="221"/>
      <c r="W476" s="221"/>
      <c r="X476" s="221"/>
      <c r="Y476" s="221"/>
      <c r="Z476" s="221"/>
      <c r="AA476" s="221"/>
      <c r="AB476" s="221"/>
    </row>
    <row r="477">
      <c r="A477" s="296"/>
      <c r="B477" s="296"/>
      <c r="C477" s="232"/>
      <c r="D477" s="232"/>
      <c r="E477" s="232"/>
      <c r="F477" s="232"/>
      <c r="G477" s="232"/>
      <c r="H477" s="232"/>
      <c r="I477" s="221"/>
      <c r="J477" s="221"/>
      <c r="K477" s="221"/>
      <c r="L477" s="221"/>
      <c r="M477" s="221"/>
      <c r="N477" s="221"/>
      <c r="O477" s="221"/>
      <c r="P477" s="221"/>
      <c r="Q477" s="221"/>
      <c r="R477" s="221"/>
      <c r="S477" s="221"/>
      <c r="T477" s="221"/>
      <c r="U477" s="221"/>
      <c r="V477" s="221"/>
      <c r="W477" s="221"/>
      <c r="X477" s="221"/>
      <c r="Y477" s="221"/>
      <c r="Z477" s="221"/>
      <c r="AA477" s="221"/>
      <c r="AB477" s="221"/>
    </row>
    <row r="478">
      <c r="A478" s="296"/>
      <c r="B478" s="296"/>
      <c r="C478" s="232"/>
      <c r="D478" s="232"/>
      <c r="E478" s="232"/>
      <c r="F478" s="232"/>
      <c r="G478" s="232"/>
      <c r="H478" s="232"/>
      <c r="I478" s="221"/>
      <c r="J478" s="221"/>
      <c r="K478" s="221"/>
      <c r="L478" s="221"/>
      <c r="M478" s="221"/>
      <c r="N478" s="221"/>
      <c r="O478" s="221"/>
      <c r="P478" s="221"/>
      <c r="Q478" s="221"/>
      <c r="R478" s="221"/>
      <c r="S478" s="221"/>
      <c r="T478" s="221"/>
      <c r="U478" s="221"/>
      <c r="V478" s="221"/>
      <c r="W478" s="221"/>
      <c r="X478" s="221"/>
      <c r="Y478" s="221"/>
      <c r="Z478" s="221"/>
      <c r="AA478" s="221"/>
      <c r="AB478" s="221"/>
    </row>
    <row r="479">
      <c r="A479" s="296"/>
      <c r="B479" s="296"/>
      <c r="C479" s="232"/>
      <c r="D479" s="232"/>
      <c r="E479" s="232"/>
      <c r="F479" s="232"/>
      <c r="G479" s="232"/>
      <c r="H479" s="232"/>
      <c r="I479" s="221"/>
      <c r="J479" s="221"/>
      <c r="K479" s="221"/>
      <c r="L479" s="221"/>
      <c r="M479" s="221"/>
      <c r="N479" s="221"/>
      <c r="O479" s="221"/>
      <c r="P479" s="221"/>
      <c r="Q479" s="221"/>
      <c r="R479" s="221"/>
      <c r="S479" s="221"/>
      <c r="T479" s="221"/>
      <c r="U479" s="221"/>
      <c r="V479" s="221"/>
      <c r="W479" s="221"/>
      <c r="X479" s="221"/>
      <c r="Y479" s="221"/>
      <c r="Z479" s="221"/>
      <c r="AA479" s="221"/>
      <c r="AB479" s="221"/>
    </row>
    <row r="480">
      <c r="A480" s="296"/>
      <c r="B480" s="296"/>
      <c r="C480" s="232"/>
      <c r="D480" s="232"/>
      <c r="E480" s="232"/>
      <c r="F480" s="232"/>
      <c r="G480" s="232"/>
      <c r="H480" s="232"/>
      <c r="I480" s="221"/>
      <c r="J480" s="221"/>
      <c r="K480" s="221"/>
      <c r="L480" s="221"/>
      <c r="M480" s="221"/>
      <c r="N480" s="221"/>
      <c r="O480" s="221"/>
      <c r="P480" s="221"/>
      <c r="Q480" s="221"/>
      <c r="R480" s="221"/>
      <c r="S480" s="221"/>
      <c r="T480" s="221"/>
      <c r="U480" s="221"/>
      <c r="V480" s="221"/>
      <c r="W480" s="221"/>
      <c r="X480" s="221"/>
      <c r="Y480" s="221"/>
      <c r="Z480" s="221"/>
      <c r="AA480" s="221"/>
      <c r="AB480" s="221"/>
    </row>
    <row r="481">
      <c r="A481" s="296"/>
      <c r="B481" s="296"/>
      <c r="C481" s="232"/>
      <c r="D481" s="232"/>
      <c r="E481" s="232"/>
      <c r="F481" s="232"/>
      <c r="G481" s="232"/>
      <c r="H481" s="232"/>
      <c r="I481" s="221"/>
      <c r="J481" s="221"/>
      <c r="K481" s="221"/>
      <c r="L481" s="221"/>
      <c r="M481" s="221"/>
      <c r="N481" s="221"/>
      <c r="O481" s="221"/>
      <c r="P481" s="221"/>
      <c r="Q481" s="221"/>
      <c r="R481" s="221"/>
      <c r="S481" s="221"/>
      <c r="T481" s="221"/>
      <c r="U481" s="221"/>
      <c r="V481" s="221"/>
      <c r="W481" s="221"/>
      <c r="X481" s="221"/>
      <c r="Y481" s="221"/>
      <c r="Z481" s="221"/>
      <c r="AA481" s="221"/>
      <c r="AB481" s="221"/>
    </row>
    <row r="482">
      <c r="A482" s="296"/>
      <c r="B482" s="296"/>
      <c r="C482" s="232"/>
      <c r="D482" s="232"/>
      <c r="E482" s="232"/>
      <c r="F482" s="232"/>
      <c r="G482" s="232"/>
      <c r="H482" s="232"/>
      <c r="I482" s="221"/>
      <c r="J482" s="221"/>
      <c r="K482" s="221"/>
      <c r="L482" s="221"/>
      <c r="M482" s="221"/>
      <c r="N482" s="221"/>
      <c r="O482" s="221"/>
      <c r="P482" s="221"/>
      <c r="Q482" s="221"/>
      <c r="R482" s="221"/>
      <c r="S482" s="221"/>
      <c r="T482" s="221"/>
      <c r="U482" s="221"/>
      <c r="V482" s="221"/>
      <c r="W482" s="221"/>
      <c r="X482" s="221"/>
      <c r="Y482" s="221"/>
      <c r="Z482" s="221"/>
      <c r="AA482" s="221"/>
      <c r="AB482" s="221"/>
    </row>
    <row r="483">
      <c r="A483" s="296"/>
      <c r="B483" s="296"/>
      <c r="C483" s="232"/>
      <c r="D483" s="232"/>
      <c r="E483" s="232"/>
      <c r="F483" s="232"/>
      <c r="G483" s="232"/>
      <c r="H483" s="232"/>
      <c r="I483" s="221"/>
      <c r="J483" s="221"/>
      <c r="K483" s="221"/>
      <c r="L483" s="221"/>
      <c r="M483" s="221"/>
      <c r="N483" s="221"/>
      <c r="O483" s="221"/>
      <c r="P483" s="221"/>
      <c r="Q483" s="221"/>
      <c r="R483" s="221"/>
      <c r="S483" s="221"/>
      <c r="T483" s="221"/>
      <c r="U483" s="221"/>
      <c r="V483" s="221"/>
      <c r="W483" s="221"/>
      <c r="X483" s="221"/>
      <c r="Y483" s="221"/>
      <c r="Z483" s="221"/>
      <c r="AA483" s="221"/>
      <c r="AB483" s="221"/>
    </row>
    <row r="484">
      <c r="A484" s="296"/>
      <c r="B484" s="296"/>
      <c r="C484" s="232"/>
      <c r="D484" s="232"/>
      <c r="E484" s="232"/>
      <c r="F484" s="232"/>
      <c r="G484" s="232"/>
      <c r="H484" s="232"/>
      <c r="I484" s="221"/>
      <c r="J484" s="221"/>
      <c r="K484" s="221"/>
      <c r="L484" s="221"/>
      <c r="M484" s="221"/>
      <c r="N484" s="221"/>
      <c r="O484" s="221"/>
      <c r="P484" s="221"/>
      <c r="Q484" s="221"/>
      <c r="R484" s="221"/>
      <c r="S484" s="221"/>
      <c r="T484" s="221"/>
      <c r="U484" s="221"/>
      <c r="V484" s="221"/>
      <c r="W484" s="221"/>
      <c r="X484" s="221"/>
      <c r="Y484" s="221"/>
      <c r="Z484" s="221"/>
      <c r="AA484" s="221"/>
      <c r="AB484" s="221"/>
    </row>
    <row r="485">
      <c r="A485" s="296"/>
      <c r="B485" s="296"/>
      <c r="C485" s="232"/>
      <c r="D485" s="232"/>
      <c r="E485" s="232"/>
      <c r="F485" s="232"/>
      <c r="G485" s="232"/>
      <c r="H485" s="232"/>
      <c r="I485" s="221"/>
      <c r="J485" s="221"/>
      <c r="K485" s="221"/>
      <c r="L485" s="221"/>
      <c r="M485" s="221"/>
      <c r="N485" s="221"/>
      <c r="O485" s="221"/>
      <c r="P485" s="221"/>
      <c r="Q485" s="221"/>
      <c r="R485" s="221"/>
      <c r="S485" s="221"/>
      <c r="T485" s="221"/>
      <c r="U485" s="221"/>
      <c r="V485" s="221"/>
      <c r="W485" s="221"/>
      <c r="X485" s="221"/>
      <c r="Y485" s="221"/>
      <c r="Z485" s="221"/>
      <c r="AA485" s="221"/>
      <c r="AB485" s="221"/>
    </row>
    <row r="486">
      <c r="A486" s="296"/>
      <c r="B486" s="296"/>
      <c r="C486" s="232"/>
      <c r="D486" s="232"/>
      <c r="E486" s="232"/>
      <c r="F486" s="232"/>
      <c r="G486" s="232"/>
      <c r="H486" s="232"/>
      <c r="I486" s="221"/>
      <c r="J486" s="221"/>
      <c r="K486" s="221"/>
      <c r="L486" s="221"/>
      <c r="M486" s="221"/>
      <c r="N486" s="221"/>
      <c r="O486" s="221"/>
      <c r="P486" s="221"/>
      <c r="Q486" s="221"/>
      <c r="R486" s="221"/>
      <c r="S486" s="221"/>
      <c r="T486" s="221"/>
      <c r="U486" s="221"/>
      <c r="V486" s="221"/>
      <c r="W486" s="221"/>
      <c r="X486" s="221"/>
      <c r="Y486" s="221"/>
      <c r="Z486" s="221"/>
      <c r="AA486" s="221"/>
      <c r="AB486" s="221"/>
    </row>
    <row r="487">
      <c r="A487" s="296"/>
      <c r="B487" s="296"/>
      <c r="C487" s="232"/>
      <c r="D487" s="232"/>
      <c r="E487" s="232"/>
      <c r="F487" s="232"/>
      <c r="G487" s="232"/>
      <c r="H487" s="232"/>
      <c r="I487" s="221"/>
      <c r="J487" s="221"/>
      <c r="K487" s="221"/>
      <c r="L487" s="221"/>
      <c r="M487" s="221"/>
      <c r="N487" s="221"/>
      <c r="O487" s="221"/>
      <c r="P487" s="221"/>
      <c r="Q487" s="221"/>
      <c r="R487" s="221"/>
      <c r="S487" s="221"/>
      <c r="T487" s="221"/>
      <c r="U487" s="221"/>
      <c r="V487" s="221"/>
      <c r="W487" s="221"/>
      <c r="X487" s="221"/>
      <c r="Y487" s="221"/>
      <c r="Z487" s="221"/>
      <c r="AA487" s="221"/>
      <c r="AB487" s="221"/>
    </row>
    <row r="488">
      <c r="A488" s="296"/>
      <c r="B488" s="296"/>
      <c r="C488" s="232"/>
      <c r="D488" s="232"/>
      <c r="E488" s="232"/>
      <c r="F488" s="232"/>
      <c r="G488" s="232"/>
      <c r="H488" s="232"/>
      <c r="I488" s="221"/>
      <c r="J488" s="221"/>
      <c r="K488" s="221"/>
      <c r="L488" s="221"/>
      <c r="M488" s="221"/>
      <c r="N488" s="221"/>
      <c r="O488" s="221"/>
      <c r="P488" s="221"/>
      <c r="Q488" s="221"/>
      <c r="R488" s="221"/>
      <c r="S488" s="221"/>
      <c r="T488" s="221"/>
      <c r="U488" s="221"/>
      <c r="V488" s="221"/>
      <c r="W488" s="221"/>
      <c r="X488" s="221"/>
      <c r="Y488" s="221"/>
      <c r="Z488" s="221"/>
      <c r="AA488" s="221"/>
      <c r="AB488" s="221"/>
    </row>
    <row r="489">
      <c r="A489" s="296"/>
      <c r="B489" s="296"/>
      <c r="C489" s="232"/>
      <c r="D489" s="232"/>
      <c r="E489" s="232"/>
      <c r="F489" s="232"/>
      <c r="G489" s="232"/>
      <c r="H489" s="232"/>
      <c r="I489" s="221"/>
      <c r="J489" s="221"/>
      <c r="K489" s="221"/>
      <c r="L489" s="221"/>
      <c r="M489" s="221"/>
      <c r="N489" s="221"/>
      <c r="O489" s="221"/>
      <c r="P489" s="221"/>
      <c r="Q489" s="221"/>
      <c r="R489" s="221"/>
      <c r="S489" s="221"/>
      <c r="T489" s="221"/>
      <c r="U489" s="221"/>
      <c r="V489" s="221"/>
      <c r="W489" s="221"/>
      <c r="X489" s="221"/>
      <c r="Y489" s="221"/>
      <c r="Z489" s="221"/>
      <c r="AA489" s="221"/>
      <c r="AB489" s="221"/>
    </row>
    <row r="490">
      <c r="A490" s="296"/>
      <c r="B490" s="296"/>
      <c r="C490" s="232"/>
      <c r="D490" s="232"/>
      <c r="E490" s="232"/>
      <c r="F490" s="232"/>
      <c r="G490" s="232"/>
      <c r="H490" s="232"/>
      <c r="I490" s="221"/>
      <c r="J490" s="221"/>
      <c r="K490" s="221"/>
      <c r="L490" s="221"/>
      <c r="M490" s="221"/>
      <c r="N490" s="221"/>
      <c r="O490" s="221"/>
      <c r="P490" s="221"/>
      <c r="Q490" s="221"/>
      <c r="R490" s="221"/>
      <c r="S490" s="221"/>
      <c r="T490" s="221"/>
      <c r="U490" s="221"/>
      <c r="V490" s="221"/>
      <c r="W490" s="221"/>
      <c r="X490" s="221"/>
      <c r="Y490" s="221"/>
      <c r="Z490" s="221"/>
      <c r="AA490" s="221"/>
      <c r="AB490" s="221"/>
    </row>
    <row r="491">
      <c r="A491" s="296"/>
      <c r="B491" s="296"/>
      <c r="C491" s="232"/>
      <c r="D491" s="232"/>
      <c r="E491" s="232"/>
      <c r="F491" s="232"/>
      <c r="G491" s="232"/>
      <c r="H491" s="232"/>
      <c r="I491" s="221"/>
      <c r="J491" s="221"/>
      <c r="K491" s="221"/>
      <c r="L491" s="221"/>
      <c r="M491" s="221"/>
      <c r="N491" s="221"/>
      <c r="O491" s="221"/>
      <c r="P491" s="221"/>
      <c r="Q491" s="221"/>
      <c r="R491" s="221"/>
      <c r="S491" s="221"/>
      <c r="T491" s="221"/>
      <c r="U491" s="221"/>
      <c r="V491" s="221"/>
      <c r="W491" s="221"/>
      <c r="X491" s="221"/>
      <c r="Y491" s="221"/>
      <c r="Z491" s="221"/>
      <c r="AA491" s="221"/>
      <c r="AB491" s="221"/>
    </row>
    <row r="492">
      <c r="A492" s="296"/>
      <c r="B492" s="296"/>
      <c r="C492" s="232"/>
      <c r="D492" s="232"/>
      <c r="E492" s="232"/>
      <c r="F492" s="232"/>
      <c r="G492" s="232"/>
      <c r="H492" s="232"/>
      <c r="I492" s="221"/>
      <c r="J492" s="221"/>
      <c r="K492" s="221"/>
      <c r="L492" s="221"/>
      <c r="M492" s="221"/>
      <c r="N492" s="221"/>
      <c r="O492" s="221"/>
      <c r="P492" s="221"/>
      <c r="Q492" s="221"/>
      <c r="R492" s="221"/>
      <c r="S492" s="221"/>
      <c r="T492" s="221"/>
      <c r="U492" s="221"/>
      <c r="V492" s="221"/>
      <c r="W492" s="221"/>
      <c r="X492" s="221"/>
      <c r="Y492" s="221"/>
      <c r="Z492" s="221"/>
      <c r="AA492" s="221"/>
      <c r="AB492" s="221"/>
    </row>
    <row r="493">
      <c r="A493" s="296"/>
      <c r="B493" s="296"/>
      <c r="C493" s="232"/>
      <c r="D493" s="232"/>
      <c r="E493" s="232"/>
      <c r="F493" s="232"/>
      <c r="G493" s="232"/>
      <c r="H493" s="232"/>
      <c r="I493" s="221"/>
      <c r="J493" s="221"/>
      <c r="K493" s="221"/>
      <c r="L493" s="221"/>
      <c r="M493" s="221"/>
      <c r="N493" s="221"/>
      <c r="O493" s="221"/>
      <c r="P493" s="221"/>
      <c r="Q493" s="221"/>
      <c r="R493" s="221"/>
      <c r="S493" s="221"/>
      <c r="T493" s="221"/>
      <c r="U493" s="221"/>
      <c r="V493" s="221"/>
      <c r="W493" s="221"/>
      <c r="X493" s="221"/>
      <c r="Y493" s="221"/>
      <c r="Z493" s="221"/>
      <c r="AA493" s="221"/>
      <c r="AB493" s="221"/>
    </row>
    <row r="494">
      <c r="A494" s="296"/>
      <c r="B494" s="296"/>
      <c r="C494" s="232"/>
      <c r="D494" s="232"/>
      <c r="E494" s="232"/>
      <c r="F494" s="232"/>
      <c r="G494" s="232"/>
      <c r="H494" s="232"/>
      <c r="I494" s="221"/>
      <c r="J494" s="221"/>
      <c r="K494" s="221"/>
      <c r="L494" s="221"/>
      <c r="M494" s="221"/>
      <c r="N494" s="221"/>
      <c r="O494" s="221"/>
      <c r="P494" s="221"/>
      <c r="Q494" s="221"/>
      <c r="R494" s="221"/>
      <c r="S494" s="221"/>
      <c r="T494" s="221"/>
      <c r="U494" s="221"/>
      <c r="V494" s="221"/>
      <c r="W494" s="221"/>
      <c r="X494" s="221"/>
      <c r="Y494" s="221"/>
      <c r="Z494" s="221"/>
      <c r="AA494" s="221"/>
      <c r="AB494" s="221"/>
    </row>
    <row r="495">
      <c r="A495" s="296"/>
      <c r="B495" s="296"/>
      <c r="C495" s="232"/>
      <c r="D495" s="232"/>
      <c r="E495" s="232"/>
      <c r="F495" s="232"/>
      <c r="G495" s="232"/>
      <c r="H495" s="232"/>
      <c r="I495" s="221"/>
      <c r="J495" s="221"/>
      <c r="K495" s="221"/>
      <c r="L495" s="221"/>
      <c r="M495" s="221"/>
      <c r="N495" s="221"/>
      <c r="O495" s="221"/>
      <c r="P495" s="221"/>
      <c r="Q495" s="221"/>
      <c r="R495" s="221"/>
      <c r="S495" s="221"/>
      <c r="T495" s="221"/>
      <c r="U495" s="221"/>
      <c r="V495" s="221"/>
      <c r="W495" s="221"/>
      <c r="X495" s="221"/>
      <c r="Y495" s="221"/>
      <c r="Z495" s="221"/>
      <c r="AA495" s="221"/>
      <c r="AB495" s="221"/>
    </row>
    <row r="496">
      <c r="A496" s="296"/>
      <c r="B496" s="296"/>
      <c r="C496" s="232"/>
      <c r="D496" s="232"/>
      <c r="E496" s="232"/>
      <c r="F496" s="232"/>
      <c r="G496" s="232"/>
      <c r="H496" s="232"/>
      <c r="I496" s="221"/>
      <c r="J496" s="221"/>
      <c r="K496" s="221"/>
      <c r="L496" s="221"/>
      <c r="M496" s="221"/>
      <c r="N496" s="221"/>
      <c r="O496" s="221"/>
      <c r="P496" s="221"/>
      <c r="Q496" s="221"/>
      <c r="R496" s="221"/>
      <c r="S496" s="221"/>
      <c r="T496" s="221"/>
      <c r="U496" s="221"/>
      <c r="V496" s="221"/>
      <c r="W496" s="221"/>
      <c r="X496" s="221"/>
      <c r="Y496" s="221"/>
      <c r="Z496" s="221"/>
      <c r="AA496" s="221"/>
      <c r="AB496" s="221"/>
    </row>
    <row r="497">
      <c r="A497" s="296"/>
      <c r="B497" s="296"/>
      <c r="C497" s="232"/>
      <c r="D497" s="232"/>
      <c r="E497" s="232"/>
      <c r="F497" s="232"/>
      <c r="G497" s="232"/>
      <c r="H497" s="232"/>
      <c r="I497" s="221"/>
      <c r="J497" s="221"/>
      <c r="K497" s="221"/>
      <c r="L497" s="221"/>
      <c r="M497" s="221"/>
      <c r="N497" s="221"/>
      <c r="O497" s="221"/>
      <c r="P497" s="221"/>
      <c r="Q497" s="221"/>
      <c r="R497" s="221"/>
      <c r="S497" s="221"/>
      <c r="T497" s="221"/>
      <c r="U497" s="221"/>
      <c r="V497" s="221"/>
      <c r="W497" s="221"/>
      <c r="X497" s="221"/>
      <c r="Y497" s="221"/>
      <c r="Z497" s="221"/>
      <c r="AA497" s="221"/>
      <c r="AB497" s="221"/>
    </row>
    <row r="498">
      <c r="A498" s="296"/>
      <c r="B498" s="296"/>
      <c r="C498" s="232"/>
      <c r="D498" s="232"/>
      <c r="E498" s="232"/>
      <c r="F498" s="232"/>
      <c r="G498" s="232"/>
      <c r="H498" s="232"/>
      <c r="I498" s="221"/>
      <c r="J498" s="221"/>
      <c r="K498" s="221"/>
      <c r="L498" s="221"/>
      <c r="M498" s="221"/>
      <c r="N498" s="221"/>
      <c r="O498" s="221"/>
      <c r="P498" s="221"/>
      <c r="Q498" s="221"/>
      <c r="R498" s="221"/>
      <c r="S498" s="221"/>
      <c r="T498" s="221"/>
      <c r="U498" s="221"/>
      <c r="V498" s="221"/>
      <c r="W498" s="221"/>
      <c r="X498" s="221"/>
      <c r="Y498" s="221"/>
      <c r="Z498" s="221"/>
      <c r="AA498" s="221"/>
      <c r="AB498" s="221"/>
    </row>
    <row r="499">
      <c r="A499" s="296"/>
      <c r="B499" s="296"/>
      <c r="C499" s="232"/>
      <c r="D499" s="232"/>
      <c r="E499" s="232"/>
      <c r="F499" s="232"/>
      <c r="G499" s="232"/>
      <c r="H499" s="232"/>
      <c r="I499" s="221"/>
      <c r="J499" s="221"/>
      <c r="K499" s="221"/>
      <c r="L499" s="221"/>
      <c r="M499" s="221"/>
      <c r="N499" s="221"/>
      <c r="O499" s="221"/>
      <c r="P499" s="221"/>
      <c r="Q499" s="221"/>
      <c r="R499" s="221"/>
      <c r="S499" s="221"/>
      <c r="T499" s="221"/>
      <c r="U499" s="221"/>
      <c r="V499" s="221"/>
      <c r="W499" s="221"/>
      <c r="X499" s="221"/>
      <c r="Y499" s="221"/>
      <c r="Z499" s="221"/>
      <c r="AA499" s="221"/>
      <c r="AB499" s="221"/>
    </row>
    <row r="500">
      <c r="A500" s="296"/>
      <c r="B500" s="296"/>
      <c r="C500" s="232"/>
      <c r="D500" s="232"/>
      <c r="E500" s="232"/>
      <c r="F500" s="232"/>
      <c r="G500" s="232"/>
      <c r="H500" s="232"/>
      <c r="I500" s="221"/>
      <c r="J500" s="221"/>
      <c r="K500" s="221"/>
      <c r="L500" s="221"/>
      <c r="M500" s="221"/>
      <c r="N500" s="221"/>
      <c r="O500" s="221"/>
      <c r="P500" s="221"/>
      <c r="Q500" s="221"/>
      <c r="R500" s="221"/>
      <c r="S500" s="221"/>
      <c r="T500" s="221"/>
      <c r="U500" s="221"/>
      <c r="V500" s="221"/>
      <c r="W500" s="221"/>
      <c r="X500" s="221"/>
      <c r="Y500" s="221"/>
      <c r="Z500" s="221"/>
      <c r="AA500" s="221"/>
      <c r="AB500" s="221"/>
    </row>
    <row r="501">
      <c r="A501" s="296"/>
      <c r="B501" s="296"/>
      <c r="C501" s="232"/>
      <c r="D501" s="232"/>
      <c r="E501" s="232"/>
      <c r="F501" s="232"/>
      <c r="G501" s="232"/>
      <c r="H501" s="232"/>
      <c r="I501" s="221"/>
      <c r="J501" s="221"/>
      <c r="K501" s="221"/>
      <c r="L501" s="221"/>
      <c r="M501" s="221"/>
      <c r="N501" s="221"/>
      <c r="O501" s="221"/>
      <c r="P501" s="221"/>
      <c r="Q501" s="221"/>
      <c r="R501" s="221"/>
      <c r="S501" s="221"/>
      <c r="T501" s="221"/>
      <c r="U501" s="221"/>
      <c r="V501" s="221"/>
      <c r="W501" s="221"/>
      <c r="X501" s="221"/>
      <c r="Y501" s="221"/>
      <c r="Z501" s="221"/>
      <c r="AA501" s="221"/>
      <c r="AB501" s="221"/>
    </row>
    <row r="502">
      <c r="A502" s="296"/>
      <c r="B502" s="296"/>
      <c r="C502" s="232"/>
      <c r="D502" s="232"/>
      <c r="E502" s="232"/>
      <c r="F502" s="232"/>
      <c r="G502" s="232"/>
      <c r="H502" s="232"/>
      <c r="I502" s="221"/>
      <c r="J502" s="221"/>
      <c r="K502" s="221"/>
      <c r="L502" s="221"/>
      <c r="M502" s="221"/>
      <c r="N502" s="221"/>
      <c r="O502" s="221"/>
      <c r="P502" s="221"/>
      <c r="Q502" s="221"/>
      <c r="R502" s="221"/>
      <c r="S502" s="221"/>
      <c r="T502" s="221"/>
      <c r="U502" s="221"/>
      <c r="V502" s="221"/>
      <c r="W502" s="221"/>
      <c r="X502" s="221"/>
      <c r="Y502" s="221"/>
      <c r="Z502" s="221"/>
      <c r="AA502" s="221"/>
      <c r="AB502" s="221"/>
    </row>
    <row r="503">
      <c r="A503" s="296"/>
      <c r="B503" s="296"/>
      <c r="C503" s="232"/>
      <c r="D503" s="232"/>
      <c r="E503" s="232"/>
      <c r="F503" s="232"/>
      <c r="G503" s="232"/>
      <c r="H503" s="232"/>
      <c r="I503" s="221"/>
      <c r="J503" s="221"/>
      <c r="K503" s="221"/>
      <c r="L503" s="221"/>
      <c r="M503" s="221"/>
      <c r="N503" s="221"/>
      <c r="O503" s="221"/>
      <c r="P503" s="221"/>
      <c r="Q503" s="221"/>
      <c r="R503" s="221"/>
      <c r="S503" s="221"/>
      <c r="T503" s="221"/>
      <c r="U503" s="221"/>
      <c r="V503" s="221"/>
      <c r="W503" s="221"/>
      <c r="X503" s="221"/>
      <c r="Y503" s="221"/>
      <c r="Z503" s="221"/>
      <c r="AA503" s="221"/>
      <c r="AB503" s="221"/>
    </row>
    <row r="504">
      <c r="A504" s="296"/>
      <c r="B504" s="296"/>
      <c r="C504" s="232"/>
      <c r="D504" s="232"/>
      <c r="E504" s="232"/>
      <c r="F504" s="232"/>
      <c r="G504" s="232"/>
      <c r="H504" s="232"/>
      <c r="I504" s="221"/>
      <c r="J504" s="221"/>
      <c r="K504" s="221"/>
      <c r="L504" s="221"/>
      <c r="M504" s="221"/>
      <c r="N504" s="221"/>
      <c r="O504" s="221"/>
      <c r="P504" s="221"/>
      <c r="Q504" s="221"/>
      <c r="R504" s="221"/>
      <c r="S504" s="221"/>
      <c r="T504" s="221"/>
      <c r="U504" s="221"/>
      <c r="V504" s="221"/>
      <c r="W504" s="221"/>
      <c r="X504" s="221"/>
      <c r="Y504" s="221"/>
      <c r="Z504" s="221"/>
      <c r="AA504" s="221"/>
      <c r="AB504" s="221"/>
    </row>
    <row r="505">
      <c r="A505" s="296"/>
      <c r="B505" s="296"/>
      <c r="C505" s="232"/>
      <c r="D505" s="232"/>
      <c r="E505" s="232"/>
      <c r="F505" s="232"/>
      <c r="G505" s="232"/>
      <c r="H505" s="232"/>
      <c r="I505" s="221"/>
      <c r="J505" s="221"/>
      <c r="K505" s="221"/>
      <c r="L505" s="221"/>
      <c r="M505" s="221"/>
      <c r="N505" s="221"/>
      <c r="O505" s="221"/>
      <c r="P505" s="221"/>
      <c r="Q505" s="221"/>
      <c r="R505" s="221"/>
      <c r="S505" s="221"/>
      <c r="T505" s="221"/>
      <c r="U505" s="221"/>
      <c r="V505" s="221"/>
      <c r="W505" s="221"/>
      <c r="X505" s="221"/>
      <c r="Y505" s="221"/>
      <c r="Z505" s="221"/>
      <c r="AA505" s="221"/>
      <c r="AB505" s="221"/>
    </row>
    <row r="506">
      <c r="A506" s="296"/>
      <c r="B506" s="296"/>
      <c r="C506" s="232"/>
      <c r="D506" s="232"/>
      <c r="E506" s="232"/>
      <c r="F506" s="232"/>
      <c r="G506" s="232"/>
      <c r="H506" s="232"/>
      <c r="I506" s="221"/>
      <c r="J506" s="221"/>
      <c r="K506" s="221"/>
      <c r="L506" s="221"/>
      <c r="M506" s="221"/>
      <c r="N506" s="221"/>
      <c r="O506" s="221"/>
      <c r="P506" s="221"/>
      <c r="Q506" s="221"/>
      <c r="R506" s="221"/>
      <c r="S506" s="221"/>
      <c r="T506" s="221"/>
      <c r="U506" s="221"/>
      <c r="V506" s="221"/>
      <c r="W506" s="221"/>
      <c r="X506" s="221"/>
      <c r="Y506" s="221"/>
      <c r="Z506" s="221"/>
      <c r="AA506" s="221"/>
      <c r="AB506" s="221"/>
    </row>
    <row r="507">
      <c r="A507" s="296"/>
      <c r="B507" s="296"/>
      <c r="C507" s="232"/>
      <c r="D507" s="232"/>
      <c r="E507" s="232"/>
      <c r="F507" s="232"/>
      <c r="G507" s="232"/>
      <c r="H507" s="232"/>
      <c r="I507" s="221"/>
      <c r="J507" s="221"/>
      <c r="K507" s="221"/>
      <c r="L507" s="221"/>
      <c r="M507" s="221"/>
      <c r="N507" s="221"/>
      <c r="O507" s="221"/>
      <c r="P507" s="221"/>
      <c r="Q507" s="221"/>
      <c r="R507" s="221"/>
      <c r="S507" s="221"/>
      <c r="T507" s="221"/>
      <c r="U507" s="221"/>
      <c r="V507" s="221"/>
      <c r="W507" s="221"/>
      <c r="X507" s="221"/>
      <c r="Y507" s="221"/>
      <c r="Z507" s="221"/>
      <c r="AA507" s="221"/>
      <c r="AB507" s="221"/>
    </row>
    <row r="508">
      <c r="A508" s="296"/>
      <c r="B508" s="296"/>
      <c r="C508" s="232"/>
      <c r="D508" s="232"/>
      <c r="E508" s="232"/>
      <c r="F508" s="232"/>
      <c r="G508" s="232"/>
      <c r="H508" s="232"/>
      <c r="I508" s="221"/>
      <c r="J508" s="221"/>
      <c r="K508" s="221"/>
      <c r="L508" s="221"/>
      <c r="M508" s="221"/>
      <c r="N508" s="221"/>
      <c r="O508" s="221"/>
      <c r="P508" s="221"/>
      <c r="Q508" s="221"/>
      <c r="R508" s="221"/>
      <c r="S508" s="221"/>
      <c r="T508" s="221"/>
      <c r="U508" s="221"/>
      <c r="V508" s="221"/>
      <c r="W508" s="221"/>
      <c r="X508" s="221"/>
      <c r="Y508" s="221"/>
      <c r="Z508" s="221"/>
      <c r="AA508" s="221"/>
      <c r="AB508" s="221"/>
    </row>
    <row r="509">
      <c r="A509" s="296"/>
      <c r="B509" s="296"/>
      <c r="C509" s="232"/>
      <c r="D509" s="232"/>
      <c r="E509" s="232"/>
      <c r="F509" s="232"/>
      <c r="G509" s="232"/>
      <c r="H509" s="232"/>
      <c r="I509" s="221"/>
      <c r="J509" s="221"/>
      <c r="K509" s="221"/>
      <c r="L509" s="221"/>
      <c r="M509" s="221"/>
      <c r="N509" s="221"/>
      <c r="O509" s="221"/>
      <c r="P509" s="221"/>
      <c r="Q509" s="221"/>
      <c r="R509" s="221"/>
      <c r="S509" s="221"/>
      <c r="T509" s="221"/>
      <c r="U509" s="221"/>
      <c r="V509" s="221"/>
      <c r="W509" s="221"/>
      <c r="X509" s="221"/>
      <c r="Y509" s="221"/>
      <c r="Z509" s="221"/>
      <c r="AA509" s="221"/>
      <c r="AB509" s="221"/>
    </row>
    <row r="510">
      <c r="A510" s="296"/>
      <c r="B510" s="296"/>
      <c r="C510" s="232"/>
      <c r="D510" s="232"/>
      <c r="E510" s="232"/>
      <c r="F510" s="232"/>
      <c r="G510" s="232"/>
      <c r="H510" s="232"/>
      <c r="I510" s="221"/>
      <c r="J510" s="221"/>
      <c r="K510" s="221"/>
      <c r="L510" s="221"/>
      <c r="M510" s="221"/>
      <c r="N510" s="221"/>
      <c r="O510" s="221"/>
      <c r="P510" s="221"/>
      <c r="Q510" s="221"/>
      <c r="R510" s="221"/>
      <c r="S510" s="221"/>
      <c r="T510" s="221"/>
      <c r="U510" s="221"/>
      <c r="V510" s="221"/>
      <c r="W510" s="221"/>
      <c r="X510" s="221"/>
      <c r="Y510" s="221"/>
      <c r="Z510" s="221"/>
      <c r="AA510" s="221"/>
      <c r="AB510" s="221"/>
    </row>
    <row r="511">
      <c r="A511" s="296"/>
      <c r="B511" s="296"/>
      <c r="C511" s="232"/>
      <c r="D511" s="232"/>
      <c r="E511" s="232"/>
      <c r="F511" s="232"/>
      <c r="G511" s="232"/>
      <c r="H511" s="232"/>
      <c r="I511" s="221"/>
      <c r="J511" s="221"/>
      <c r="K511" s="221"/>
      <c r="L511" s="221"/>
      <c r="M511" s="221"/>
      <c r="N511" s="221"/>
      <c r="O511" s="221"/>
      <c r="P511" s="221"/>
      <c r="Q511" s="221"/>
      <c r="R511" s="221"/>
      <c r="S511" s="221"/>
      <c r="T511" s="221"/>
      <c r="U511" s="221"/>
      <c r="V511" s="221"/>
      <c r="W511" s="221"/>
      <c r="X511" s="221"/>
      <c r="Y511" s="221"/>
      <c r="Z511" s="221"/>
      <c r="AA511" s="221"/>
      <c r="AB511" s="221"/>
    </row>
    <row r="512">
      <c r="A512" s="296"/>
      <c r="B512" s="296"/>
      <c r="C512" s="232"/>
      <c r="D512" s="232"/>
      <c r="E512" s="232"/>
      <c r="F512" s="232"/>
      <c r="G512" s="232"/>
      <c r="H512" s="232"/>
      <c r="I512" s="221"/>
      <c r="J512" s="221"/>
      <c r="K512" s="221"/>
      <c r="L512" s="221"/>
      <c r="M512" s="221"/>
      <c r="N512" s="221"/>
      <c r="O512" s="221"/>
      <c r="P512" s="221"/>
      <c r="Q512" s="221"/>
      <c r="R512" s="221"/>
      <c r="S512" s="221"/>
      <c r="T512" s="221"/>
      <c r="U512" s="221"/>
      <c r="V512" s="221"/>
      <c r="W512" s="221"/>
      <c r="X512" s="221"/>
      <c r="Y512" s="221"/>
      <c r="Z512" s="221"/>
      <c r="AA512" s="221"/>
      <c r="AB512" s="221"/>
    </row>
    <row r="513">
      <c r="A513" s="296"/>
      <c r="B513" s="296"/>
      <c r="C513" s="232"/>
      <c r="D513" s="232"/>
      <c r="E513" s="232"/>
      <c r="F513" s="232"/>
      <c r="G513" s="232"/>
      <c r="H513" s="232"/>
      <c r="I513" s="221"/>
      <c r="J513" s="221"/>
      <c r="K513" s="221"/>
      <c r="L513" s="221"/>
      <c r="M513" s="221"/>
      <c r="N513" s="221"/>
      <c r="O513" s="221"/>
      <c r="P513" s="221"/>
      <c r="Q513" s="221"/>
      <c r="R513" s="221"/>
      <c r="S513" s="221"/>
      <c r="T513" s="221"/>
      <c r="U513" s="221"/>
      <c r="V513" s="221"/>
      <c r="W513" s="221"/>
      <c r="X513" s="221"/>
      <c r="Y513" s="221"/>
      <c r="Z513" s="221"/>
      <c r="AA513" s="221"/>
      <c r="AB513" s="221"/>
    </row>
    <row r="514">
      <c r="A514" s="296"/>
      <c r="B514" s="296"/>
      <c r="C514" s="232"/>
      <c r="D514" s="232"/>
      <c r="E514" s="232"/>
      <c r="F514" s="232"/>
      <c r="G514" s="232"/>
      <c r="H514" s="232"/>
      <c r="I514" s="221"/>
      <c r="J514" s="221"/>
      <c r="K514" s="221"/>
      <c r="L514" s="221"/>
      <c r="M514" s="221"/>
      <c r="N514" s="221"/>
      <c r="O514" s="221"/>
      <c r="P514" s="221"/>
      <c r="Q514" s="221"/>
      <c r="R514" s="221"/>
      <c r="S514" s="221"/>
      <c r="T514" s="221"/>
      <c r="U514" s="221"/>
      <c r="V514" s="221"/>
      <c r="W514" s="221"/>
      <c r="X514" s="221"/>
      <c r="Y514" s="221"/>
      <c r="Z514" s="221"/>
      <c r="AA514" s="221"/>
      <c r="AB514" s="221"/>
    </row>
    <row r="515">
      <c r="A515" s="296"/>
      <c r="B515" s="296"/>
      <c r="C515" s="232"/>
      <c r="D515" s="232"/>
      <c r="E515" s="232"/>
      <c r="F515" s="232"/>
      <c r="G515" s="232"/>
      <c r="H515" s="232"/>
      <c r="I515" s="221"/>
      <c r="J515" s="221"/>
      <c r="K515" s="221"/>
      <c r="L515" s="221"/>
      <c r="M515" s="221"/>
      <c r="N515" s="221"/>
      <c r="O515" s="221"/>
      <c r="P515" s="221"/>
      <c r="Q515" s="221"/>
      <c r="R515" s="221"/>
      <c r="S515" s="221"/>
      <c r="T515" s="221"/>
      <c r="U515" s="221"/>
      <c r="V515" s="221"/>
      <c r="W515" s="221"/>
      <c r="X515" s="221"/>
      <c r="Y515" s="221"/>
      <c r="Z515" s="221"/>
      <c r="AA515" s="221"/>
      <c r="AB515" s="221"/>
    </row>
    <row r="516">
      <c r="A516" s="296"/>
      <c r="B516" s="296"/>
      <c r="C516" s="232"/>
      <c r="D516" s="232"/>
      <c r="E516" s="232"/>
      <c r="F516" s="232"/>
      <c r="G516" s="232"/>
      <c r="H516" s="232"/>
      <c r="I516" s="221"/>
      <c r="J516" s="221"/>
      <c r="K516" s="221"/>
      <c r="L516" s="221"/>
      <c r="M516" s="221"/>
      <c r="N516" s="221"/>
      <c r="O516" s="221"/>
      <c r="P516" s="221"/>
      <c r="Q516" s="221"/>
      <c r="R516" s="221"/>
      <c r="S516" s="221"/>
      <c r="T516" s="221"/>
      <c r="U516" s="221"/>
      <c r="V516" s="221"/>
      <c r="W516" s="221"/>
      <c r="X516" s="221"/>
      <c r="Y516" s="221"/>
      <c r="Z516" s="221"/>
      <c r="AA516" s="221"/>
      <c r="AB516" s="221"/>
    </row>
    <row r="517">
      <c r="A517" s="296"/>
      <c r="B517" s="296"/>
      <c r="C517" s="232"/>
      <c r="D517" s="232"/>
      <c r="E517" s="232"/>
      <c r="F517" s="232"/>
      <c r="G517" s="232"/>
      <c r="H517" s="232"/>
      <c r="I517" s="221"/>
      <c r="J517" s="221"/>
      <c r="K517" s="221"/>
      <c r="L517" s="221"/>
      <c r="M517" s="221"/>
      <c r="N517" s="221"/>
      <c r="O517" s="221"/>
      <c r="P517" s="221"/>
      <c r="Q517" s="221"/>
      <c r="R517" s="221"/>
      <c r="S517" s="221"/>
      <c r="T517" s="221"/>
      <c r="U517" s="221"/>
      <c r="V517" s="221"/>
      <c r="W517" s="221"/>
      <c r="X517" s="221"/>
      <c r="Y517" s="221"/>
      <c r="Z517" s="221"/>
      <c r="AA517" s="221"/>
      <c r="AB517" s="221"/>
    </row>
    <row r="518">
      <c r="A518" s="296"/>
      <c r="B518" s="296"/>
      <c r="C518" s="232"/>
      <c r="D518" s="232"/>
      <c r="E518" s="232"/>
      <c r="F518" s="232"/>
      <c r="G518" s="232"/>
      <c r="H518" s="232"/>
      <c r="I518" s="221"/>
      <c r="J518" s="221"/>
      <c r="K518" s="221"/>
      <c r="L518" s="221"/>
      <c r="M518" s="221"/>
      <c r="N518" s="221"/>
      <c r="O518" s="221"/>
      <c r="P518" s="221"/>
      <c r="Q518" s="221"/>
      <c r="R518" s="221"/>
      <c r="S518" s="221"/>
      <c r="T518" s="221"/>
      <c r="U518" s="221"/>
      <c r="V518" s="221"/>
      <c r="W518" s="221"/>
      <c r="X518" s="221"/>
      <c r="Y518" s="221"/>
      <c r="Z518" s="221"/>
      <c r="AA518" s="221"/>
      <c r="AB518" s="221"/>
    </row>
    <row r="519">
      <c r="A519" s="296"/>
      <c r="B519" s="296"/>
      <c r="C519" s="232"/>
      <c r="D519" s="232"/>
      <c r="E519" s="232"/>
      <c r="F519" s="232"/>
      <c r="G519" s="232"/>
      <c r="H519" s="232"/>
      <c r="I519" s="221"/>
      <c r="J519" s="221"/>
      <c r="K519" s="221"/>
      <c r="L519" s="221"/>
      <c r="M519" s="221"/>
      <c r="N519" s="221"/>
      <c r="O519" s="221"/>
      <c r="P519" s="221"/>
      <c r="Q519" s="221"/>
      <c r="R519" s="221"/>
      <c r="S519" s="221"/>
      <c r="T519" s="221"/>
      <c r="U519" s="221"/>
      <c r="V519" s="221"/>
      <c r="W519" s="221"/>
      <c r="X519" s="221"/>
      <c r="Y519" s="221"/>
      <c r="Z519" s="221"/>
      <c r="AA519" s="221"/>
      <c r="AB519" s="221"/>
    </row>
    <row r="520">
      <c r="A520" s="296"/>
      <c r="B520" s="296"/>
      <c r="C520" s="232"/>
      <c r="D520" s="232"/>
      <c r="E520" s="232"/>
      <c r="F520" s="232"/>
      <c r="G520" s="232"/>
      <c r="H520" s="232"/>
      <c r="I520" s="221"/>
      <c r="J520" s="221"/>
      <c r="K520" s="221"/>
      <c r="L520" s="221"/>
      <c r="M520" s="221"/>
      <c r="N520" s="221"/>
      <c r="O520" s="221"/>
      <c r="P520" s="221"/>
      <c r="Q520" s="221"/>
      <c r="R520" s="221"/>
      <c r="S520" s="221"/>
      <c r="T520" s="221"/>
      <c r="U520" s="221"/>
      <c r="V520" s="221"/>
      <c r="W520" s="221"/>
      <c r="X520" s="221"/>
      <c r="Y520" s="221"/>
      <c r="Z520" s="221"/>
      <c r="AA520" s="221"/>
      <c r="AB520" s="221"/>
    </row>
    <row r="521">
      <c r="A521" s="296"/>
      <c r="B521" s="296"/>
      <c r="C521" s="232"/>
      <c r="D521" s="232"/>
      <c r="E521" s="232"/>
      <c r="F521" s="232"/>
      <c r="G521" s="232"/>
      <c r="H521" s="232"/>
      <c r="I521" s="221"/>
      <c r="J521" s="221"/>
      <c r="K521" s="221"/>
      <c r="L521" s="221"/>
      <c r="M521" s="221"/>
      <c r="N521" s="221"/>
      <c r="O521" s="221"/>
      <c r="P521" s="221"/>
      <c r="Q521" s="221"/>
      <c r="R521" s="221"/>
      <c r="S521" s="221"/>
      <c r="T521" s="221"/>
      <c r="U521" s="221"/>
      <c r="V521" s="221"/>
      <c r="W521" s="221"/>
      <c r="X521" s="221"/>
      <c r="Y521" s="221"/>
      <c r="Z521" s="221"/>
      <c r="AA521" s="221"/>
      <c r="AB521" s="221"/>
    </row>
    <row r="522">
      <c r="A522" s="296"/>
      <c r="B522" s="296"/>
      <c r="C522" s="232"/>
      <c r="D522" s="232"/>
      <c r="E522" s="232"/>
      <c r="F522" s="232"/>
      <c r="G522" s="232"/>
      <c r="H522" s="232"/>
      <c r="I522" s="221"/>
      <c r="J522" s="221"/>
      <c r="K522" s="221"/>
      <c r="L522" s="221"/>
      <c r="M522" s="221"/>
      <c r="N522" s="221"/>
      <c r="O522" s="221"/>
      <c r="P522" s="221"/>
      <c r="Q522" s="221"/>
      <c r="R522" s="221"/>
      <c r="S522" s="221"/>
      <c r="T522" s="221"/>
      <c r="U522" s="221"/>
      <c r="V522" s="221"/>
      <c r="W522" s="221"/>
      <c r="X522" s="221"/>
      <c r="Y522" s="221"/>
      <c r="Z522" s="221"/>
      <c r="AA522" s="221"/>
      <c r="AB522" s="221"/>
    </row>
    <row r="523">
      <c r="A523" s="296"/>
      <c r="B523" s="296"/>
      <c r="C523" s="232"/>
      <c r="D523" s="232"/>
      <c r="E523" s="232"/>
      <c r="F523" s="232"/>
      <c r="G523" s="232"/>
      <c r="H523" s="232"/>
      <c r="I523" s="221"/>
      <c r="J523" s="221"/>
      <c r="K523" s="221"/>
      <c r="L523" s="221"/>
      <c r="M523" s="221"/>
      <c r="N523" s="221"/>
      <c r="O523" s="221"/>
      <c r="P523" s="221"/>
      <c r="Q523" s="221"/>
      <c r="R523" s="221"/>
      <c r="S523" s="221"/>
      <c r="T523" s="221"/>
      <c r="U523" s="221"/>
      <c r="V523" s="221"/>
      <c r="W523" s="221"/>
      <c r="X523" s="221"/>
      <c r="Y523" s="221"/>
      <c r="Z523" s="221"/>
      <c r="AA523" s="221"/>
      <c r="AB523" s="221"/>
    </row>
    <row r="524">
      <c r="A524" s="296"/>
      <c r="B524" s="296"/>
      <c r="C524" s="232"/>
      <c r="D524" s="232"/>
      <c r="E524" s="232"/>
      <c r="F524" s="232"/>
      <c r="G524" s="232"/>
      <c r="H524" s="232"/>
      <c r="I524" s="221"/>
      <c r="J524" s="221"/>
      <c r="K524" s="221"/>
      <c r="L524" s="221"/>
      <c r="M524" s="221"/>
      <c r="N524" s="221"/>
      <c r="O524" s="221"/>
      <c r="P524" s="221"/>
      <c r="Q524" s="221"/>
      <c r="R524" s="221"/>
      <c r="S524" s="221"/>
      <c r="T524" s="221"/>
      <c r="U524" s="221"/>
      <c r="V524" s="221"/>
      <c r="W524" s="221"/>
      <c r="X524" s="221"/>
      <c r="Y524" s="221"/>
      <c r="Z524" s="221"/>
      <c r="AA524" s="221"/>
      <c r="AB524" s="221"/>
    </row>
    <row r="525">
      <c r="A525" s="296"/>
      <c r="B525" s="296"/>
      <c r="C525" s="232"/>
      <c r="D525" s="232"/>
      <c r="E525" s="232"/>
      <c r="F525" s="232"/>
      <c r="G525" s="232"/>
      <c r="H525" s="232"/>
      <c r="I525" s="221"/>
      <c r="J525" s="221"/>
      <c r="K525" s="221"/>
      <c r="L525" s="221"/>
      <c r="M525" s="221"/>
      <c r="N525" s="221"/>
      <c r="O525" s="221"/>
      <c r="P525" s="221"/>
      <c r="Q525" s="221"/>
      <c r="R525" s="221"/>
      <c r="S525" s="221"/>
      <c r="T525" s="221"/>
      <c r="U525" s="221"/>
      <c r="V525" s="221"/>
      <c r="W525" s="221"/>
      <c r="X525" s="221"/>
      <c r="Y525" s="221"/>
      <c r="Z525" s="221"/>
      <c r="AA525" s="221"/>
      <c r="AB525" s="221"/>
    </row>
    <row r="526">
      <c r="A526" s="296"/>
      <c r="B526" s="296"/>
      <c r="C526" s="232"/>
      <c r="D526" s="232"/>
      <c r="E526" s="232"/>
      <c r="F526" s="232"/>
      <c r="G526" s="232"/>
      <c r="H526" s="232"/>
      <c r="I526" s="221"/>
      <c r="J526" s="221"/>
      <c r="K526" s="221"/>
      <c r="L526" s="221"/>
      <c r="M526" s="221"/>
      <c r="N526" s="221"/>
      <c r="O526" s="221"/>
      <c r="P526" s="221"/>
      <c r="Q526" s="221"/>
      <c r="R526" s="221"/>
      <c r="S526" s="221"/>
      <c r="T526" s="221"/>
      <c r="U526" s="221"/>
      <c r="V526" s="221"/>
      <c r="W526" s="221"/>
      <c r="X526" s="221"/>
      <c r="Y526" s="221"/>
      <c r="Z526" s="221"/>
      <c r="AA526" s="221"/>
      <c r="AB526" s="221"/>
    </row>
    <row r="527">
      <c r="A527" s="296"/>
      <c r="B527" s="296"/>
      <c r="C527" s="232"/>
      <c r="D527" s="232"/>
      <c r="E527" s="232"/>
      <c r="F527" s="232"/>
      <c r="G527" s="232"/>
      <c r="H527" s="232"/>
      <c r="I527" s="221"/>
      <c r="J527" s="221"/>
      <c r="K527" s="221"/>
      <c r="L527" s="221"/>
      <c r="M527" s="221"/>
      <c r="N527" s="221"/>
      <c r="O527" s="221"/>
      <c r="P527" s="221"/>
      <c r="Q527" s="221"/>
      <c r="R527" s="221"/>
      <c r="S527" s="221"/>
      <c r="T527" s="221"/>
      <c r="U527" s="221"/>
      <c r="V527" s="221"/>
      <c r="W527" s="221"/>
      <c r="X527" s="221"/>
      <c r="Y527" s="221"/>
      <c r="Z527" s="221"/>
      <c r="AA527" s="221"/>
      <c r="AB527" s="221"/>
    </row>
    <row r="528">
      <c r="A528" s="296"/>
      <c r="B528" s="296"/>
      <c r="C528" s="232"/>
      <c r="D528" s="232"/>
      <c r="E528" s="232"/>
      <c r="F528" s="232"/>
      <c r="G528" s="232"/>
      <c r="H528" s="232"/>
      <c r="I528" s="221"/>
      <c r="J528" s="221"/>
      <c r="K528" s="221"/>
      <c r="L528" s="221"/>
      <c r="M528" s="221"/>
      <c r="N528" s="221"/>
      <c r="O528" s="221"/>
      <c r="P528" s="221"/>
      <c r="Q528" s="221"/>
      <c r="R528" s="221"/>
      <c r="S528" s="221"/>
      <c r="T528" s="221"/>
      <c r="U528" s="221"/>
      <c r="V528" s="221"/>
      <c r="W528" s="221"/>
      <c r="X528" s="221"/>
      <c r="Y528" s="221"/>
      <c r="Z528" s="221"/>
      <c r="AA528" s="221"/>
      <c r="AB528" s="221"/>
    </row>
    <row r="529">
      <c r="A529" s="296"/>
      <c r="B529" s="296"/>
      <c r="C529" s="232"/>
      <c r="D529" s="232"/>
      <c r="E529" s="232"/>
      <c r="F529" s="232"/>
      <c r="G529" s="232"/>
      <c r="H529" s="232"/>
      <c r="I529" s="221"/>
      <c r="J529" s="221"/>
      <c r="K529" s="221"/>
      <c r="L529" s="221"/>
      <c r="M529" s="221"/>
      <c r="N529" s="221"/>
      <c r="O529" s="221"/>
      <c r="P529" s="221"/>
      <c r="Q529" s="221"/>
      <c r="R529" s="221"/>
      <c r="S529" s="221"/>
      <c r="T529" s="221"/>
      <c r="U529" s="221"/>
      <c r="V529" s="221"/>
      <c r="W529" s="221"/>
      <c r="X529" s="221"/>
      <c r="Y529" s="221"/>
      <c r="Z529" s="221"/>
      <c r="AA529" s="221"/>
      <c r="AB529" s="221"/>
    </row>
    <row r="530">
      <c r="A530" s="296"/>
      <c r="B530" s="296"/>
      <c r="C530" s="232"/>
      <c r="D530" s="232"/>
      <c r="E530" s="232"/>
      <c r="F530" s="232"/>
      <c r="G530" s="232"/>
      <c r="H530" s="232"/>
      <c r="I530" s="221"/>
      <c r="J530" s="221"/>
      <c r="K530" s="221"/>
      <c r="L530" s="221"/>
      <c r="M530" s="221"/>
      <c r="N530" s="221"/>
      <c r="O530" s="221"/>
      <c r="P530" s="221"/>
      <c r="Q530" s="221"/>
      <c r="R530" s="221"/>
      <c r="S530" s="221"/>
      <c r="T530" s="221"/>
      <c r="U530" s="221"/>
      <c r="V530" s="221"/>
      <c r="W530" s="221"/>
      <c r="X530" s="221"/>
      <c r="Y530" s="221"/>
      <c r="Z530" s="221"/>
      <c r="AA530" s="221"/>
      <c r="AB530" s="221"/>
    </row>
    <row r="531">
      <c r="A531" s="296"/>
      <c r="B531" s="296"/>
      <c r="C531" s="232"/>
      <c r="D531" s="232"/>
      <c r="E531" s="232"/>
      <c r="F531" s="232"/>
      <c r="G531" s="232"/>
      <c r="H531" s="232"/>
      <c r="I531" s="221"/>
      <c r="J531" s="221"/>
      <c r="K531" s="221"/>
      <c r="L531" s="221"/>
      <c r="M531" s="221"/>
      <c r="N531" s="221"/>
      <c r="O531" s="221"/>
      <c r="P531" s="221"/>
      <c r="Q531" s="221"/>
      <c r="R531" s="221"/>
      <c r="S531" s="221"/>
      <c r="T531" s="221"/>
      <c r="U531" s="221"/>
      <c r="V531" s="221"/>
      <c r="W531" s="221"/>
      <c r="X531" s="221"/>
      <c r="Y531" s="221"/>
      <c r="Z531" s="221"/>
      <c r="AA531" s="221"/>
      <c r="AB531" s="221"/>
    </row>
    <row r="532">
      <c r="A532" s="296"/>
      <c r="B532" s="296"/>
      <c r="C532" s="232"/>
      <c r="D532" s="232"/>
      <c r="E532" s="232"/>
      <c r="F532" s="232"/>
      <c r="G532" s="232"/>
      <c r="H532" s="232"/>
      <c r="I532" s="221"/>
      <c r="J532" s="221"/>
      <c r="K532" s="221"/>
      <c r="L532" s="221"/>
      <c r="M532" s="221"/>
      <c r="N532" s="221"/>
      <c r="O532" s="221"/>
      <c r="P532" s="221"/>
      <c r="Q532" s="221"/>
      <c r="R532" s="221"/>
      <c r="S532" s="221"/>
      <c r="T532" s="221"/>
      <c r="U532" s="221"/>
      <c r="V532" s="221"/>
      <c r="W532" s="221"/>
      <c r="X532" s="221"/>
      <c r="Y532" s="221"/>
      <c r="Z532" s="221"/>
      <c r="AA532" s="221"/>
      <c r="AB532" s="221"/>
    </row>
    <row r="533">
      <c r="A533" s="296"/>
      <c r="B533" s="296"/>
      <c r="C533" s="232"/>
      <c r="D533" s="232"/>
      <c r="E533" s="232"/>
      <c r="F533" s="232"/>
      <c r="G533" s="232"/>
      <c r="H533" s="232"/>
      <c r="I533" s="221"/>
      <c r="J533" s="221"/>
      <c r="K533" s="221"/>
      <c r="L533" s="221"/>
      <c r="M533" s="221"/>
      <c r="N533" s="221"/>
      <c r="O533" s="221"/>
      <c r="P533" s="221"/>
      <c r="Q533" s="221"/>
      <c r="R533" s="221"/>
      <c r="S533" s="221"/>
      <c r="T533" s="221"/>
      <c r="U533" s="221"/>
      <c r="V533" s="221"/>
      <c r="W533" s="221"/>
      <c r="X533" s="221"/>
      <c r="Y533" s="221"/>
      <c r="Z533" s="221"/>
      <c r="AA533" s="221"/>
      <c r="AB533" s="221"/>
    </row>
    <row r="534">
      <c r="A534" s="296"/>
      <c r="B534" s="296"/>
      <c r="C534" s="232"/>
      <c r="D534" s="232"/>
      <c r="E534" s="232"/>
      <c r="F534" s="232"/>
      <c r="G534" s="232"/>
      <c r="H534" s="232"/>
      <c r="I534" s="221"/>
      <c r="J534" s="221"/>
      <c r="K534" s="221"/>
      <c r="L534" s="221"/>
      <c r="M534" s="221"/>
      <c r="N534" s="221"/>
      <c r="O534" s="221"/>
      <c r="P534" s="221"/>
      <c r="Q534" s="221"/>
      <c r="R534" s="221"/>
      <c r="S534" s="221"/>
      <c r="T534" s="221"/>
      <c r="U534" s="221"/>
      <c r="V534" s="221"/>
      <c r="W534" s="221"/>
      <c r="X534" s="221"/>
      <c r="Y534" s="221"/>
      <c r="Z534" s="221"/>
      <c r="AA534" s="221"/>
      <c r="AB534" s="221"/>
    </row>
    <row r="535">
      <c r="A535" s="296"/>
      <c r="B535" s="296"/>
      <c r="C535" s="232"/>
      <c r="D535" s="232"/>
      <c r="E535" s="232"/>
      <c r="F535" s="232"/>
      <c r="G535" s="232"/>
      <c r="H535" s="232"/>
      <c r="I535" s="221"/>
      <c r="J535" s="221"/>
      <c r="K535" s="221"/>
      <c r="L535" s="221"/>
      <c r="M535" s="221"/>
      <c r="N535" s="221"/>
      <c r="O535" s="221"/>
      <c r="P535" s="221"/>
      <c r="Q535" s="221"/>
      <c r="R535" s="221"/>
      <c r="S535" s="221"/>
      <c r="T535" s="221"/>
      <c r="U535" s="221"/>
      <c r="V535" s="221"/>
      <c r="W535" s="221"/>
      <c r="X535" s="221"/>
      <c r="Y535" s="221"/>
      <c r="Z535" s="221"/>
      <c r="AA535" s="221"/>
      <c r="AB535" s="221"/>
    </row>
    <row r="536">
      <c r="A536" s="296"/>
      <c r="B536" s="296"/>
      <c r="C536" s="232"/>
      <c r="D536" s="232"/>
      <c r="E536" s="232"/>
      <c r="F536" s="232"/>
      <c r="G536" s="232"/>
      <c r="H536" s="232"/>
      <c r="I536" s="221"/>
      <c r="J536" s="221"/>
      <c r="K536" s="221"/>
      <c r="L536" s="221"/>
      <c r="M536" s="221"/>
      <c r="N536" s="221"/>
      <c r="O536" s="221"/>
      <c r="P536" s="221"/>
      <c r="Q536" s="221"/>
      <c r="R536" s="221"/>
      <c r="S536" s="221"/>
      <c r="T536" s="221"/>
      <c r="U536" s="221"/>
      <c r="V536" s="221"/>
      <c r="W536" s="221"/>
      <c r="X536" s="221"/>
      <c r="Y536" s="221"/>
      <c r="Z536" s="221"/>
      <c r="AA536" s="221"/>
      <c r="AB536" s="221"/>
    </row>
    <row r="537">
      <c r="A537" s="296"/>
      <c r="B537" s="296"/>
      <c r="C537" s="232"/>
      <c r="D537" s="232"/>
      <c r="E537" s="232"/>
      <c r="F537" s="232"/>
      <c r="G537" s="232"/>
      <c r="H537" s="232"/>
      <c r="I537" s="221"/>
      <c r="J537" s="221"/>
      <c r="K537" s="221"/>
      <c r="L537" s="221"/>
      <c r="M537" s="221"/>
      <c r="N537" s="221"/>
      <c r="O537" s="221"/>
      <c r="P537" s="221"/>
      <c r="Q537" s="221"/>
      <c r="R537" s="221"/>
      <c r="S537" s="221"/>
      <c r="T537" s="221"/>
      <c r="U537" s="221"/>
      <c r="V537" s="221"/>
      <c r="W537" s="221"/>
      <c r="X537" s="221"/>
      <c r="Y537" s="221"/>
      <c r="Z537" s="221"/>
      <c r="AA537" s="221"/>
      <c r="AB537" s="221"/>
    </row>
    <row r="538">
      <c r="A538" s="296"/>
      <c r="B538" s="296"/>
      <c r="C538" s="232"/>
      <c r="D538" s="232"/>
      <c r="E538" s="232"/>
      <c r="F538" s="232"/>
      <c r="G538" s="232"/>
      <c r="H538" s="232"/>
      <c r="I538" s="221"/>
      <c r="J538" s="221"/>
      <c r="K538" s="221"/>
      <c r="L538" s="221"/>
      <c r="M538" s="221"/>
      <c r="N538" s="221"/>
      <c r="O538" s="221"/>
      <c r="P538" s="221"/>
      <c r="Q538" s="221"/>
      <c r="R538" s="221"/>
      <c r="S538" s="221"/>
      <c r="T538" s="221"/>
      <c r="U538" s="221"/>
      <c r="V538" s="221"/>
      <c r="W538" s="221"/>
      <c r="X538" s="221"/>
      <c r="Y538" s="221"/>
      <c r="Z538" s="221"/>
      <c r="AA538" s="221"/>
      <c r="AB538" s="221"/>
    </row>
    <row r="539">
      <c r="A539" s="296"/>
      <c r="B539" s="296"/>
      <c r="C539" s="232"/>
      <c r="D539" s="232"/>
      <c r="E539" s="232"/>
      <c r="F539" s="232"/>
      <c r="G539" s="232"/>
      <c r="H539" s="232"/>
      <c r="I539" s="221"/>
      <c r="J539" s="221"/>
      <c r="K539" s="221"/>
      <c r="L539" s="221"/>
      <c r="M539" s="221"/>
      <c r="N539" s="221"/>
      <c r="O539" s="221"/>
      <c r="P539" s="221"/>
      <c r="Q539" s="221"/>
      <c r="R539" s="221"/>
      <c r="S539" s="221"/>
      <c r="T539" s="221"/>
      <c r="U539" s="221"/>
      <c r="V539" s="221"/>
      <c r="W539" s="221"/>
      <c r="X539" s="221"/>
      <c r="Y539" s="221"/>
      <c r="Z539" s="221"/>
      <c r="AA539" s="221"/>
      <c r="AB539" s="221"/>
    </row>
    <row r="540">
      <c r="A540" s="296"/>
      <c r="B540" s="296"/>
      <c r="C540" s="232"/>
      <c r="D540" s="232"/>
      <c r="E540" s="232"/>
      <c r="F540" s="232"/>
      <c r="G540" s="232"/>
      <c r="H540" s="232"/>
      <c r="I540" s="221"/>
      <c r="J540" s="221"/>
      <c r="K540" s="221"/>
      <c r="L540" s="221"/>
      <c r="M540" s="221"/>
      <c r="N540" s="221"/>
      <c r="O540" s="221"/>
      <c r="P540" s="221"/>
      <c r="Q540" s="221"/>
      <c r="R540" s="221"/>
      <c r="S540" s="221"/>
      <c r="T540" s="221"/>
      <c r="U540" s="221"/>
      <c r="V540" s="221"/>
      <c r="W540" s="221"/>
      <c r="X540" s="221"/>
      <c r="Y540" s="221"/>
      <c r="Z540" s="221"/>
      <c r="AA540" s="221"/>
      <c r="AB540" s="221"/>
    </row>
    <row r="541">
      <c r="A541" s="296"/>
      <c r="B541" s="296"/>
      <c r="C541" s="232"/>
      <c r="D541" s="232"/>
      <c r="E541" s="232"/>
      <c r="F541" s="232"/>
      <c r="G541" s="232"/>
      <c r="H541" s="232"/>
      <c r="I541" s="221"/>
      <c r="J541" s="221"/>
      <c r="K541" s="221"/>
      <c r="L541" s="221"/>
      <c r="M541" s="221"/>
      <c r="N541" s="221"/>
      <c r="O541" s="221"/>
      <c r="P541" s="221"/>
      <c r="Q541" s="221"/>
      <c r="R541" s="221"/>
      <c r="S541" s="221"/>
      <c r="T541" s="221"/>
      <c r="U541" s="221"/>
      <c r="V541" s="221"/>
      <c r="W541" s="221"/>
      <c r="X541" s="221"/>
      <c r="Y541" s="221"/>
      <c r="Z541" s="221"/>
      <c r="AA541" s="221"/>
      <c r="AB541" s="221"/>
    </row>
    <row r="542">
      <c r="A542" s="296"/>
      <c r="B542" s="296"/>
      <c r="C542" s="232"/>
      <c r="D542" s="232"/>
      <c r="E542" s="232"/>
      <c r="F542" s="232"/>
      <c r="G542" s="232"/>
      <c r="H542" s="232"/>
      <c r="I542" s="221"/>
      <c r="J542" s="221"/>
      <c r="K542" s="221"/>
      <c r="L542" s="221"/>
      <c r="M542" s="221"/>
      <c r="N542" s="221"/>
      <c r="O542" s="221"/>
      <c r="P542" s="221"/>
      <c r="Q542" s="221"/>
      <c r="R542" s="221"/>
      <c r="S542" s="221"/>
      <c r="T542" s="221"/>
      <c r="U542" s="221"/>
      <c r="V542" s="221"/>
      <c r="W542" s="221"/>
      <c r="X542" s="221"/>
      <c r="Y542" s="221"/>
      <c r="Z542" s="221"/>
      <c r="AA542" s="221"/>
      <c r="AB542" s="221"/>
    </row>
    <row r="543">
      <c r="A543" s="296"/>
      <c r="B543" s="296"/>
      <c r="C543" s="232"/>
      <c r="D543" s="232"/>
      <c r="E543" s="232"/>
      <c r="F543" s="232"/>
      <c r="G543" s="232"/>
      <c r="H543" s="232"/>
      <c r="I543" s="221"/>
      <c r="J543" s="221"/>
      <c r="K543" s="221"/>
      <c r="L543" s="221"/>
      <c r="M543" s="221"/>
      <c r="N543" s="221"/>
      <c r="O543" s="221"/>
      <c r="P543" s="221"/>
      <c r="Q543" s="221"/>
      <c r="R543" s="221"/>
      <c r="S543" s="221"/>
      <c r="T543" s="221"/>
      <c r="U543" s="221"/>
      <c r="V543" s="221"/>
      <c r="W543" s="221"/>
      <c r="X543" s="221"/>
      <c r="Y543" s="221"/>
      <c r="Z543" s="221"/>
      <c r="AA543" s="221"/>
      <c r="AB543" s="221"/>
    </row>
    <row r="544">
      <c r="A544" s="296"/>
      <c r="B544" s="296"/>
      <c r="C544" s="232"/>
      <c r="D544" s="232"/>
      <c r="E544" s="232"/>
      <c r="F544" s="232"/>
      <c r="G544" s="232"/>
      <c r="H544" s="232"/>
      <c r="I544" s="221"/>
      <c r="J544" s="221"/>
      <c r="K544" s="221"/>
      <c r="L544" s="221"/>
      <c r="M544" s="221"/>
      <c r="N544" s="221"/>
      <c r="O544" s="221"/>
      <c r="P544" s="221"/>
      <c r="Q544" s="221"/>
      <c r="R544" s="221"/>
      <c r="S544" s="221"/>
      <c r="T544" s="221"/>
      <c r="U544" s="221"/>
      <c r="V544" s="221"/>
      <c r="W544" s="221"/>
      <c r="X544" s="221"/>
      <c r="Y544" s="221"/>
      <c r="Z544" s="221"/>
      <c r="AA544" s="221"/>
      <c r="AB544" s="221"/>
    </row>
    <row r="545">
      <c r="A545" s="296"/>
      <c r="B545" s="296"/>
      <c r="C545" s="232"/>
      <c r="D545" s="232"/>
      <c r="E545" s="232"/>
      <c r="F545" s="232"/>
      <c r="G545" s="232"/>
      <c r="H545" s="232"/>
      <c r="I545" s="221"/>
      <c r="J545" s="221"/>
      <c r="K545" s="221"/>
      <c r="L545" s="221"/>
      <c r="M545" s="221"/>
      <c r="N545" s="221"/>
      <c r="O545" s="221"/>
      <c r="P545" s="221"/>
      <c r="Q545" s="221"/>
      <c r="R545" s="221"/>
      <c r="S545" s="221"/>
      <c r="T545" s="221"/>
      <c r="U545" s="221"/>
      <c r="V545" s="221"/>
      <c r="W545" s="221"/>
      <c r="X545" s="221"/>
      <c r="Y545" s="221"/>
      <c r="Z545" s="221"/>
      <c r="AA545" s="221"/>
      <c r="AB545" s="221"/>
    </row>
    <row r="546">
      <c r="A546" s="296"/>
      <c r="B546" s="296"/>
      <c r="C546" s="232"/>
      <c r="D546" s="232"/>
      <c r="E546" s="232"/>
      <c r="F546" s="232"/>
      <c r="G546" s="232"/>
      <c r="H546" s="232"/>
      <c r="I546" s="221"/>
      <c r="J546" s="221"/>
      <c r="K546" s="221"/>
      <c r="L546" s="221"/>
      <c r="M546" s="221"/>
      <c r="N546" s="221"/>
      <c r="O546" s="221"/>
      <c r="P546" s="221"/>
      <c r="Q546" s="221"/>
      <c r="R546" s="221"/>
      <c r="S546" s="221"/>
      <c r="T546" s="221"/>
      <c r="U546" s="221"/>
      <c r="V546" s="221"/>
      <c r="W546" s="221"/>
      <c r="X546" s="221"/>
      <c r="Y546" s="221"/>
      <c r="Z546" s="221"/>
      <c r="AA546" s="221"/>
      <c r="AB546" s="221"/>
    </row>
    <row r="547">
      <c r="A547" s="296"/>
      <c r="B547" s="296"/>
      <c r="C547" s="232"/>
      <c r="D547" s="232"/>
      <c r="E547" s="232"/>
      <c r="F547" s="232"/>
      <c r="G547" s="232"/>
      <c r="H547" s="232"/>
      <c r="I547" s="221"/>
      <c r="J547" s="221"/>
      <c r="K547" s="221"/>
      <c r="L547" s="221"/>
      <c r="M547" s="221"/>
      <c r="N547" s="221"/>
      <c r="O547" s="221"/>
      <c r="P547" s="221"/>
      <c r="Q547" s="221"/>
      <c r="R547" s="221"/>
      <c r="S547" s="221"/>
      <c r="T547" s="221"/>
      <c r="U547" s="221"/>
      <c r="V547" s="221"/>
      <c r="W547" s="221"/>
      <c r="X547" s="221"/>
      <c r="Y547" s="221"/>
      <c r="Z547" s="221"/>
      <c r="AA547" s="221"/>
      <c r="AB547" s="221"/>
    </row>
    <row r="548">
      <c r="A548" s="296"/>
      <c r="B548" s="296"/>
      <c r="C548" s="232"/>
      <c r="D548" s="232"/>
      <c r="E548" s="232"/>
      <c r="F548" s="232"/>
      <c r="G548" s="232"/>
      <c r="H548" s="232"/>
      <c r="I548" s="221"/>
      <c r="J548" s="221"/>
      <c r="K548" s="221"/>
      <c r="L548" s="221"/>
      <c r="M548" s="221"/>
      <c r="N548" s="221"/>
      <c r="O548" s="221"/>
      <c r="P548" s="221"/>
      <c r="Q548" s="221"/>
      <c r="R548" s="221"/>
      <c r="S548" s="221"/>
      <c r="T548" s="221"/>
      <c r="U548" s="221"/>
      <c r="V548" s="221"/>
      <c r="W548" s="221"/>
      <c r="X548" s="221"/>
      <c r="Y548" s="221"/>
      <c r="Z548" s="221"/>
      <c r="AA548" s="221"/>
      <c r="AB548" s="221"/>
    </row>
    <row r="549">
      <c r="A549" s="296"/>
      <c r="B549" s="296"/>
      <c r="C549" s="232"/>
      <c r="D549" s="232"/>
      <c r="E549" s="232"/>
      <c r="F549" s="232"/>
      <c r="G549" s="232"/>
      <c r="H549" s="232"/>
      <c r="I549" s="221"/>
      <c r="J549" s="221"/>
      <c r="K549" s="221"/>
      <c r="L549" s="221"/>
      <c r="M549" s="221"/>
      <c r="N549" s="221"/>
      <c r="O549" s="221"/>
      <c r="P549" s="221"/>
      <c r="Q549" s="221"/>
      <c r="R549" s="221"/>
      <c r="S549" s="221"/>
      <c r="T549" s="221"/>
      <c r="U549" s="221"/>
      <c r="V549" s="221"/>
      <c r="W549" s="221"/>
      <c r="X549" s="221"/>
      <c r="Y549" s="221"/>
      <c r="Z549" s="221"/>
      <c r="AA549" s="221"/>
      <c r="AB549" s="221"/>
    </row>
    <row r="550">
      <c r="A550" s="296"/>
      <c r="B550" s="296"/>
      <c r="C550" s="232"/>
      <c r="D550" s="232"/>
      <c r="E550" s="232"/>
      <c r="F550" s="232"/>
      <c r="G550" s="232"/>
      <c r="H550" s="232"/>
      <c r="I550" s="221"/>
      <c r="J550" s="221"/>
      <c r="K550" s="221"/>
      <c r="L550" s="221"/>
      <c r="M550" s="221"/>
      <c r="N550" s="221"/>
      <c r="O550" s="221"/>
      <c r="P550" s="221"/>
      <c r="Q550" s="221"/>
      <c r="R550" s="221"/>
      <c r="S550" s="221"/>
      <c r="T550" s="221"/>
      <c r="U550" s="221"/>
      <c r="V550" s="221"/>
      <c r="W550" s="221"/>
      <c r="X550" s="221"/>
      <c r="Y550" s="221"/>
      <c r="Z550" s="221"/>
      <c r="AA550" s="221"/>
      <c r="AB550" s="221"/>
    </row>
    <row r="551">
      <c r="A551" s="296"/>
      <c r="B551" s="296"/>
      <c r="C551" s="232"/>
      <c r="D551" s="232"/>
      <c r="E551" s="232"/>
      <c r="F551" s="232"/>
      <c r="G551" s="232"/>
      <c r="H551" s="232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</row>
    <row r="552">
      <c r="A552" s="296"/>
      <c r="B552" s="296"/>
      <c r="C552" s="232"/>
      <c r="D552" s="232"/>
      <c r="E552" s="232"/>
      <c r="F552" s="232"/>
      <c r="G552" s="232"/>
      <c r="H552" s="232"/>
      <c r="I552" s="221"/>
      <c r="J552" s="221"/>
      <c r="K552" s="221"/>
      <c r="L552" s="221"/>
      <c r="M552" s="221"/>
      <c r="N552" s="221"/>
      <c r="O552" s="221"/>
      <c r="P552" s="221"/>
      <c r="Q552" s="221"/>
      <c r="R552" s="221"/>
      <c r="S552" s="221"/>
      <c r="T552" s="221"/>
      <c r="U552" s="221"/>
      <c r="V552" s="221"/>
      <c r="W552" s="221"/>
      <c r="X552" s="221"/>
      <c r="Y552" s="221"/>
      <c r="Z552" s="221"/>
      <c r="AA552" s="221"/>
      <c r="AB552" s="221"/>
    </row>
    <row r="553">
      <c r="A553" s="296"/>
      <c r="B553" s="296"/>
      <c r="C553" s="232"/>
      <c r="D553" s="232"/>
      <c r="E553" s="232"/>
      <c r="F553" s="232"/>
      <c r="G553" s="232"/>
      <c r="H553" s="232"/>
      <c r="I553" s="221"/>
      <c r="J553" s="221"/>
      <c r="K553" s="221"/>
      <c r="L553" s="221"/>
      <c r="M553" s="221"/>
      <c r="N553" s="221"/>
      <c r="O553" s="221"/>
      <c r="P553" s="221"/>
      <c r="Q553" s="221"/>
      <c r="R553" s="221"/>
      <c r="S553" s="221"/>
      <c r="T553" s="221"/>
      <c r="U553" s="221"/>
      <c r="V553" s="221"/>
      <c r="W553" s="221"/>
      <c r="X553" s="221"/>
      <c r="Y553" s="221"/>
      <c r="Z553" s="221"/>
      <c r="AA553" s="221"/>
      <c r="AB553" s="221"/>
    </row>
    <row r="554">
      <c r="A554" s="296"/>
      <c r="B554" s="296"/>
      <c r="C554" s="232"/>
      <c r="D554" s="232"/>
      <c r="E554" s="232"/>
      <c r="F554" s="232"/>
      <c r="G554" s="232"/>
      <c r="H554" s="232"/>
      <c r="I554" s="221"/>
      <c r="J554" s="221"/>
      <c r="K554" s="221"/>
      <c r="L554" s="221"/>
      <c r="M554" s="221"/>
      <c r="N554" s="221"/>
      <c r="O554" s="221"/>
      <c r="P554" s="221"/>
      <c r="Q554" s="221"/>
      <c r="R554" s="221"/>
      <c r="S554" s="221"/>
      <c r="T554" s="221"/>
      <c r="U554" s="221"/>
      <c r="V554" s="221"/>
      <c r="W554" s="221"/>
      <c r="X554" s="221"/>
      <c r="Y554" s="221"/>
      <c r="Z554" s="221"/>
      <c r="AA554" s="221"/>
      <c r="AB554" s="221"/>
    </row>
    <row r="555">
      <c r="A555" s="296"/>
      <c r="B555" s="296"/>
      <c r="C555" s="232"/>
      <c r="D555" s="232"/>
      <c r="E555" s="232"/>
      <c r="F555" s="232"/>
      <c r="G555" s="232"/>
      <c r="H555" s="232"/>
      <c r="I555" s="221"/>
      <c r="J555" s="221"/>
      <c r="K555" s="221"/>
      <c r="L555" s="221"/>
      <c r="M555" s="221"/>
      <c r="N555" s="221"/>
      <c r="O555" s="221"/>
      <c r="P555" s="221"/>
      <c r="Q555" s="221"/>
      <c r="R555" s="221"/>
      <c r="S555" s="221"/>
      <c r="T555" s="221"/>
      <c r="U555" s="221"/>
      <c r="V555" s="221"/>
      <c r="W555" s="221"/>
      <c r="X555" s="221"/>
      <c r="Y555" s="221"/>
      <c r="Z555" s="221"/>
      <c r="AA555" s="221"/>
      <c r="AB555" s="221"/>
    </row>
    <row r="556">
      <c r="A556" s="296"/>
      <c r="B556" s="296"/>
      <c r="C556" s="232"/>
      <c r="D556" s="232"/>
      <c r="E556" s="232"/>
      <c r="F556" s="232"/>
      <c r="G556" s="232"/>
      <c r="H556" s="232"/>
      <c r="I556" s="221"/>
      <c r="J556" s="221"/>
      <c r="K556" s="221"/>
      <c r="L556" s="221"/>
      <c r="M556" s="221"/>
      <c r="N556" s="221"/>
      <c r="O556" s="221"/>
      <c r="P556" s="221"/>
      <c r="Q556" s="221"/>
      <c r="R556" s="221"/>
      <c r="S556" s="221"/>
      <c r="T556" s="221"/>
      <c r="U556" s="221"/>
      <c r="V556" s="221"/>
      <c r="W556" s="221"/>
      <c r="X556" s="221"/>
      <c r="Y556" s="221"/>
      <c r="Z556" s="221"/>
      <c r="AA556" s="221"/>
      <c r="AB556" s="221"/>
    </row>
    <row r="557">
      <c r="A557" s="296"/>
      <c r="B557" s="296"/>
      <c r="C557" s="232"/>
      <c r="D557" s="232"/>
      <c r="E557" s="232"/>
      <c r="F557" s="232"/>
      <c r="G557" s="232"/>
      <c r="H557" s="232"/>
      <c r="I557" s="221"/>
      <c r="J557" s="221"/>
      <c r="K557" s="221"/>
      <c r="L557" s="221"/>
      <c r="M557" s="221"/>
      <c r="N557" s="221"/>
      <c r="O557" s="221"/>
      <c r="P557" s="221"/>
      <c r="Q557" s="221"/>
      <c r="R557" s="221"/>
      <c r="S557" s="221"/>
      <c r="T557" s="221"/>
      <c r="U557" s="221"/>
      <c r="V557" s="221"/>
      <c r="W557" s="221"/>
      <c r="X557" s="221"/>
      <c r="Y557" s="221"/>
      <c r="Z557" s="221"/>
      <c r="AA557" s="221"/>
      <c r="AB557" s="221"/>
    </row>
    <row r="558">
      <c r="A558" s="296"/>
      <c r="B558" s="296"/>
      <c r="C558" s="232"/>
      <c r="D558" s="232"/>
      <c r="E558" s="232"/>
      <c r="F558" s="232"/>
      <c r="G558" s="232"/>
      <c r="H558" s="232"/>
      <c r="I558" s="221"/>
      <c r="J558" s="221"/>
      <c r="K558" s="221"/>
      <c r="L558" s="221"/>
      <c r="M558" s="221"/>
      <c r="N558" s="221"/>
      <c r="O558" s="221"/>
      <c r="P558" s="221"/>
      <c r="Q558" s="221"/>
      <c r="R558" s="221"/>
      <c r="S558" s="221"/>
      <c r="T558" s="221"/>
      <c r="U558" s="221"/>
      <c r="V558" s="221"/>
      <c r="W558" s="221"/>
      <c r="X558" s="221"/>
      <c r="Y558" s="221"/>
      <c r="Z558" s="221"/>
      <c r="AA558" s="221"/>
      <c r="AB558" s="221"/>
    </row>
    <row r="559">
      <c r="A559" s="296"/>
      <c r="B559" s="296"/>
      <c r="C559" s="232"/>
      <c r="D559" s="232"/>
      <c r="E559" s="232"/>
      <c r="F559" s="232"/>
      <c r="G559" s="232"/>
      <c r="H559" s="232"/>
      <c r="I559" s="221"/>
      <c r="J559" s="221"/>
      <c r="K559" s="221"/>
      <c r="L559" s="221"/>
      <c r="M559" s="221"/>
      <c r="N559" s="221"/>
      <c r="O559" s="221"/>
      <c r="P559" s="221"/>
      <c r="Q559" s="221"/>
      <c r="R559" s="221"/>
      <c r="S559" s="221"/>
      <c r="T559" s="221"/>
      <c r="U559" s="221"/>
      <c r="V559" s="221"/>
      <c r="W559" s="221"/>
      <c r="X559" s="221"/>
      <c r="Y559" s="221"/>
      <c r="Z559" s="221"/>
      <c r="AA559" s="221"/>
      <c r="AB559" s="221"/>
    </row>
    <row r="560">
      <c r="A560" s="296"/>
      <c r="B560" s="296"/>
      <c r="C560" s="232"/>
      <c r="D560" s="232"/>
      <c r="E560" s="232"/>
      <c r="F560" s="232"/>
      <c r="G560" s="232"/>
      <c r="H560" s="232"/>
      <c r="I560" s="221"/>
      <c r="J560" s="221"/>
      <c r="K560" s="221"/>
      <c r="L560" s="221"/>
      <c r="M560" s="221"/>
      <c r="N560" s="221"/>
      <c r="O560" s="221"/>
      <c r="P560" s="221"/>
      <c r="Q560" s="221"/>
      <c r="R560" s="221"/>
      <c r="S560" s="221"/>
      <c r="T560" s="221"/>
      <c r="U560" s="221"/>
      <c r="V560" s="221"/>
      <c r="W560" s="221"/>
      <c r="X560" s="221"/>
      <c r="Y560" s="221"/>
      <c r="Z560" s="221"/>
      <c r="AA560" s="221"/>
      <c r="AB560" s="221"/>
    </row>
    <row r="561">
      <c r="A561" s="296"/>
      <c r="B561" s="296"/>
      <c r="C561" s="232"/>
      <c r="D561" s="232"/>
      <c r="E561" s="232"/>
      <c r="F561" s="232"/>
      <c r="G561" s="232"/>
      <c r="H561" s="232"/>
      <c r="I561" s="221"/>
      <c r="J561" s="221"/>
      <c r="K561" s="221"/>
      <c r="L561" s="221"/>
      <c r="M561" s="221"/>
      <c r="N561" s="221"/>
      <c r="O561" s="221"/>
      <c r="P561" s="221"/>
      <c r="Q561" s="221"/>
      <c r="R561" s="221"/>
      <c r="S561" s="221"/>
      <c r="T561" s="221"/>
      <c r="U561" s="221"/>
      <c r="V561" s="221"/>
      <c r="W561" s="221"/>
      <c r="X561" s="221"/>
      <c r="Y561" s="221"/>
      <c r="Z561" s="221"/>
      <c r="AA561" s="221"/>
      <c r="AB561" s="221"/>
    </row>
    <row r="562">
      <c r="A562" s="296"/>
      <c r="B562" s="296"/>
      <c r="C562" s="232"/>
      <c r="D562" s="232"/>
      <c r="E562" s="232"/>
      <c r="F562" s="232"/>
      <c r="G562" s="232"/>
      <c r="H562" s="232"/>
      <c r="I562" s="221"/>
      <c r="J562" s="221"/>
      <c r="K562" s="221"/>
      <c r="L562" s="221"/>
      <c r="M562" s="221"/>
      <c r="N562" s="221"/>
      <c r="O562" s="221"/>
      <c r="P562" s="221"/>
      <c r="Q562" s="221"/>
      <c r="R562" s="221"/>
      <c r="S562" s="221"/>
      <c r="T562" s="221"/>
      <c r="U562" s="221"/>
      <c r="V562" s="221"/>
      <c r="W562" s="221"/>
      <c r="X562" s="221"/>
      <c r="Y562" s="221"/>
      <c r="Z562" s="221"/>
      <c r="AA562" s="221"/>
      <c r="AB562" s="221"/>
    </row>
    <row r="563">
      <c r="A563" s="296"/>
      <c r="B563" s="296"/>
      <c r="C563" s="232"/>
      <c r="D563" s="232"/>
      <c r="E563" s="232"/>
      <c r="F563" s="232"/>
      <c r="G563" s="232"/>
      <c r="H563" s="232"/>
      <c r="I563" s="221"/>
      <c r="J563" s="221"/>
      <c r="K563" s="221"/>
      <c r="L563" s="221"/>
      <c r="M563" s="221"/>
      <c r="N563" s="221"/>
      <c r="O563" s="221"/>
      <c r="P563" s="221"/>
      <c r="Q563" s="221"/>
      <c r="R563" s="221"/>
      <c r="S563" s="221"/>
      <c r="T563" s="221"/>
      <c r="U563" s="221"/>
      <c r="V563" s="221"/>
      <c r="W563" s="221"/>
      <c r="X563" s="221"/>
      <c r="Y563" s="221"/>
      <c r="Z563" s="221"/>
      <c r="AA563" s="221"/>
      <c r="AB563" s="221"/>
    </row>
    <row r="564">
      <c r="A564" s="296"/>
      <c r="B564" s="296"/>
      <c r="C564" s="232"/>
      <c r="D564" s="232"/>
      <c r="E564" s="232"/>
      <c r="F564" s="232"/>
      <c r="G564" s="232"/>
      <c r="H564" s="232"/>
      <c r="I564" s="221"/>
      <c r="J564" s="221"/>
      <c r="K564" s="221"/>
      <c r="L564" s="221"/>
      <c r="M564" s="221"/>
      <c r="N564" s="221"/>
      <c r="O564" s="221"/>
      <c r="P564" s="221"/>
      <c r="Q564" s="221"/>
      <c r="R564" s="221"/>
      <c r="S564" s="221"/>
      <c r="T564" s="221"/>
      <c r="U564" s="221"/>
      <c r="V564" s="221"/>
      <c r="W564" s="221"/>
      <c r="X564" s="221"/>
      <c r="Y564" s="221"/>
      <c r="Z564" s="221"/>
      <c r="AA564" s="221"/>
      <c r="AB564" s="221"/>
    </row>
    <row r="565">
      <c r="A565" s="296"/>
      <c r="B565" s="296"/>
      <c r="C565" s="232"/>
      <c r="D565" s="232"/>
      <c r="E565" s="232"/>
      <c r="F565" s="232"/>
      <c r="G565" s="232"/>
      <c r="H565" s="232"/>
      <c r="I565" s="221"/>
      <c r="J565" s="221"/>
      <c r="K565" s="221"/>
      <c r="L565" s="221"/>
      <c r="M565" s="221"/>
      <c r="N565" s="221"/>
      <c r="O565" s="221"/>
      <c r="P565" s="221"/>
      <c r="Q565" s="221"/>
      <c r="R565" s="221"/>
      <c r="S565" s="221"/>
      <c r="T565" s="221"/>
      <c r="U565" s="221"/>
      <c r="V565" s="221"/>
      <c r="W565" s="221"/>
      <c r="X565" s="221"/>
      <c r="Y565" s="221"/>
      <c r="Z565" s="221"/>
      <c r="AA565" s="221"/>
      <c r="AB565" s="221"/>
    </row>
    <row r="566">
      <c r="A566" s="296"/>
      <c r="B566" s="296"/>
      <c r="C566" s="232"/>
      <c r="D566" s="232"/>
      <c r="E566" s="232"/>
      <c r="F566" s="232"/>
      <c r="G566" s="232"/>
      <c r="H566" s="232"/>
      <c r="I566" s="221"/>
      <c r="J566" s="221"/>
      <c r="K566" s="221"/>
      <c r="L566" s="221"/>
      <c r="M566" s="221"/>
      <c r="N566" s="221"/>
      <c r="O566" s="221"/>
      <c r="P566" s="221"/>
      <c r="Q566" s="221"/>
      <c r="R566" s="221"/>
      <c r="S566" s="221"/>
      <c r="T566" s="221"/>
      <c r="U566" s="221"/>
      <c r="V566" s="221"/>
      <c r="W566" s="221"/>
      <c r="X566" s="221"/>
      <c r="Y566" s="221"/>
      <c r="Z566" s="221"/>
      <c r="AA566" s="221"/>
      <c r="AB566" s="221"/>
    </row>
    <row r="567">
      <c r="A567" s="296"/>
      <c r="B567" s="296"/>
      <c r="C567" s="232"/>
      <c r="D567" s="232"/>
      <c r="E567" s="232"/>
      <c r="F567" s="232"/>
      <c r="G567" s="232"/>
      <c r="H567" s="232"/>
      <c r="I567" s="221"/>
      <c r="J567" s="221"/>
      <c r="K567" s="221"/>
      <c r="L567" s="221"/>
      <c r="M567" s="221"/>
      <c r="N567" s="221"/>
      <c r="O567" s="221"/>
      <c r="P567" s="221"/>
      <c r="Q567" s="221"/>
      <c r="R567" s="221"/>
      <c r="S567" s="221"/>
      <c r="T567" s="221"/>
      <c r="U567" s="221"/>
      <c r="V567" s="221"/>
      <c r="W567" s="221"/>
      <c r="X567" s="221"/>
      <c r="Y567" s="221"/>
      <c r="Z567" s="221"/>
      <c r="AA567" s="221"/>
      <c r="AB567" s="221"/>
    </row>
    <row r="568">
      <c r="A568" s="296"/>
      <c r="B568" s="296"/>
      <c r="C568" s="232"/>
      <c r="D568" s="232"/>
      <c r="E568" s="232"/>
      <c r="F568" s="232"/>
      <c r="G568" s="232"/>
      <c r="H568" s="232"/>
      <c r="I568" s="221"/>
      <c r="J568" s="221"/>
      <c r="K568" s="221"/>
      <c r="L568" s="221"/>
      <c r="M568" s="221"/>
      <c r="N568" s="221"/>
      <c r="O568" s="221"/>
      <c r="P568" s="221"/>
      <c r="Q568" s="221"/>
      <c r="R568" s="221"/>
      <c r="S568" s="221"/>
      <c r="T568" s="221"/>
      <c r="U568" s="221"/>
      <c r="V568" s="221"/>
      <c r="W568" s="221"/>
      <c r="X568" s="221"/>
      <c r="Y568" s="221"/>
      <c r="Z568" s="221"/>
      <c r="AA568" s="221"/>
      <c r="AB568" s="221"/>
    </row>
    <row r="569">
      <c r="A569" s="296"/>
      <c r="B569" s="296"/>
      <c r="C569" s="232"/>
      <c r="D569" s="232"/>
      <c r="E569" s="232"/>
      <c r="F569" s="232"/>
      <c r="G569" s="232"/>
      <c r="H569" s="232"/>
      <c r="I569" s="221"/>
      <c r="J569" s="221"/>
      <c r="K569" s="221"/>
      <c r="L569" s="221"/>
      <c r="M569" s="221"/>
      <c r="N569" s="221"/>
      <c r="O569" s="221"/>
      <c r="P569" s="221"/>
      <c r="Q569" s="221"/>
      <c r="R569" s="221"/>
      <c r="S569" s="221"/>
      <c r="T569" s="221"/>
      <c r="U569" s="221"/>
      <c r="V569" s="221"/>
      <c r="W569" s="221"/>
      <c r="X569" s="221"/>
      <c r="Y569" s="221"/>
      <c r="Z569" s="221"/>
      <c r="AA569" s="221"/>
      <c r="AB569" s="221"/>
    </row>
    <row r="570">
      <c r="A570" s="296"/>
      <c r="B570" s="296"/>
      <c r="C570" s="232"/>
      <c r="D570" s="232"/>
      <c r="E570" s="232"/>
      <c r="F570" s="232"/>
      <c r="G570" s="232"/>
      <c r="H570" s="232"/>
      <c r="I570" s="221"/>
      <c r="J570" s="221"/>
      <c r="K570" s="221"/>
      <c r="L570" s="221"/>
      <c r="M570" s="221"/>
      <c r="N570" s="221"/>
      <c r="O570" s="221"/>
      <c r="P570" s="221"/>
      <c r="Q570" s="221"/>
      <c r="R570" s="221"/>
      <c r="S570" s="221"/>
      <c r="T570" s="221"/>
      <c r="U570" s="221"/>
      <c r="V570" s="221"/>
      <c r="W570" s="221"/>
      <c r="X570" s="221"/>
      <c r="Y570" s="221"/>
      <c r="Z570" s="221"/>
      <c r="AA570" s="221"/>
      <c r="AB570" s="221"/>
    </row>
    <row r="571">
      <c r="A571" s="296"/>
      <c r="B571" s="296"/>
      <c r="C571" s="232"/>
      <c r="D571" s="232"/>
      <c r="E571" s="232"/>
      <c r="F571" s="232"/>
      <c r="G571" s="232"/>
      <c r="H571" s="232"/>
      <c r="I571" s="221"/>
      <c r="J571" s="221"/>
      <c r="K571" s="221"/>
      <c r="L571" s="221"/>
      <c r="M571" s="221"/>
      <c r="N571" s="221"/>
      <c r="O571" s="221"/>
      <c r="P571" s="221"/>
      <c r="Q571" s="221"/>
      <c r="R571" s="221"/>
      <c r="S571" s="221"/>
      <c r="T571" s="221"/>
      <c r="U571" s="221"/>
      <c r="V571" s="221"/>
      <c r="W571" s="221"/>
      <c r="X571" s="221"/>
      <c r="Y571" s="221"/>
      <c r="Z571" s="221"/>
      <c r="AA571" s="221"/>
      <c r="AB571" s="221"/>
    </row>
    <row r="572">
      <c r="A572" s="296"/>
      <c r="B572" s="296"/>
      <c r="C572" s="232"/>
      <c r="D572" s="232"/>
      <c r="E572" s="232"/>
      <c r="F572" s="232"/>
      <c r="G572" s="232"/>
      <c r="H572" s="232"/>
      <c r="I572" s="221"/>
      <c r="J572" s="221"/>
      <c r="K572" s="221"/>
      <c r="L572" s="221"/>
      <c r="M572" s="221"/>
      <c r="N572" s="221"/>
      <c r="O572" s="221"/>
      <c r="P572" s="221"/>
      <c r="Q572" s="221"/>
      <c r="R572" s="221"/>
      <c r="S572" s="221"/>
      <c r="T572" s="221"/>
      <c r="U572" s="221"/>
      <c r="V572" s="221"/>
      <c r="W572" s="221"/>
      <c r="X572" s="221"/>
      <c r="Y572" s="221"/>
      <c r="Z572" s="221"/>
      <c r="AA572" s="221"/>
      <c r="AB572" s="221"/>
    </row>
    <row r="573">
      <c r="A573" s="296"/>
      <c r="B573" s="296"/>
      <c r="C573" s="232"/>
      <c r="D573" s="232"/>
      <c r="E573" s="232"/>
      <c r="F573" s="232"/>
      <c r="G573" s="232"/>
      <c r="H573" s="232"/>
      <c r="I573" s="221"/>
      <c r="J573" s="221"/>
      <c r="K573" s="221"/>
      <c r="L573" s="221"/>
      <c r="M573" s="221"/>
      <c r="N573" s="221"/>
      <c r="O573" s="221"/>
      <c r="P573" s="221"/>
      <c r="Q573" s="221"/>
      <c r="R573" s="221"/>
      <c r="S573" s="221"/>
      <c r="T573" s="221"/>
      <c r="U573" s="221"/>
      <c r="V573" s="221"/>
      <c r="W573" s="221"/>
      <c r="X573" s="221"/>
      <c r="Y573" s="221"/>
      <c r="Z573" s="221"/>
      <c r="AA573" s="221"/>
      <c r="AB573" s="221"/>
    </row>
    <row r="574">
      <c r="A574" s="296"/>
      <c r="B574" s="296"/>
      <c r="C574" s="232"/>
      <c r="D574" s="232"/>
      <c r="E574" s="232"/>
      <c r="F574" s="232"/>
      <c r="G574" s="232"/>
      <c r="H574" s="232"/>
      <c r="I574" s="221"/>
      <c r="J574" s="221"/>
      <c r="K574" s="221"/>
      <c r="L574" s="221"/>
      <c r="M574" s="221"/>
      <c r="N574" s="221"/>
      <c r="O574" s="221"/>
      <c r="P574" s="221"/>
      <c r="Q574" s="221"/>
      <c r="R574" s="221"/>
      <c r="S574" s="221"/>
      <c r="T574" s="221"/>
      <c r="U574" s="221"/>
      <c r="V574" s="221"/>
      <c r="W574" s="221"/>
      <c r="X574" s="221"/>
      <c r="Y574" s="221"/>
      <c r="Z574" s="221"/>
      <c r="AA574" s="221"/>
      <c r="AB574" s="221"/>
    </row>
    <row r="575">
      <c r="A575" s="296"/>
      <c r="B575" s="296"/>
      <c r="C575" s="232"/>
      <c r="D575" s="232"/>
      <c r="E575" s="232"/>
      <c r="F575" s="232"/>
      <c r="G575" s="232"/>
      <c r="H575" s="232"/>
      <c r="I575" s="221"/>
      <c r="J575" s="221"/>
      <c r="K575" s="221"/>
      <c r="L575" s="221"/>
      <c r="M575" s="221"/>
      <c r="N575" s="221"/>
      <c r="O575" s="221"/>
      <c r="P575" s="221"/>
      <c r="Q575" s="221"/>
      <c r="R575" s="221"/>
      <c r="S575" s="221"/>
      <c r="T575" s="221"/>
      <c r="U575" s="221"/>
      <c r="V575" s="221"/>
      <c r="W575" s="221"/>
      <c r="X575" s="221"/>
      <c r="Y575" s="221"/>
      <c r="Z575" s="221"/>
      <c r="AA575" s="221"/>
      <c r="AB575" s="221"/>
    </row>
    <row r="576">
      <c r="A576" s="296"/>
      <c r="B576" s="296"/>
      <c r="C576" s="232"/>
      <c r="D576" s="232"/>
      <c r="E576" s="232"/>
      <c r="F576" s="232"/>
      <c r="G576" s="232"/>
      <c r="H576" s="232"/>
      <c r="I576" s="221"/>
      <c r="J576" s="221"/>
      <c r="K576" s="221"/>
      <c r="L576" s="221"/>
      <c r="M576" s="221"/>
      <c r="N576" s="221"/>
      <c r="O576" s="221"/>
      <c r="P576" s="221"/>
      <c r="Q576" s="221"/>
      <c r="R576" s="221"/>
      <c r="S576" s="221"/>
      <c r="T576" s="221"/>
      <c r="U576" s="221"/>
      <c r="V576" s="221"/>
      <c r="W576" s="221"/>
      <c r="X576" s="221"/>
      <c r="Y576" s="221"/>
      <c r="Z576" s="221"/>
      <c r="AA576" s="221"/>
      <c r="AB576" s="221"/>
    </row>
    <row r="577">
      <c r="A577" s="296"/>
      <c r="B577" s="296"/>
      <c r="C577" s="232"/>
      <c r="D577" s="232"/>
      <c r="E577" s="232"/>
      <c r="F577" s="232"/>
      <c r="G577" s="232"/>
      <c r="H577" s="232"/>
      <c r="I577" s="221"/>
      <c r="J577" s="221"/>
      <c r="K577" s="221"/>
      <c r="L577" s="221"/>
      <c r="M577" s="221"/>
      <c r="N577" s="221"/>
      <c r="O577" s="221"/>
      <c r="P577" s="221"/>
      <c r="Q577" s="221"/>
      <c r="R577" s="221"/>
      <c r="S577" s="221"/>
      <c r="T577" s="221"/>
      <c r="U577" s="221"/>
      <c r="V577" s="221"/>
      <c r="W577" s="221"/>
      <c r="X577" s="221"/>
      <c r="Y577" s="221"/>
      <c r="Z577" s="221"/>
      <c r="AA577" s="221"/>
      <c r="AB577" s="221"/>
    </row>
    <row r="578">
      <c r="A578" s="296"/>
      <c r="B578" s="296"/>
      <c r="C578" s="232"/>
      <c r="D578" s="232"/>
      <c r="E578" s="232"/>
      <c r="F578" s="232"/>
      <c r="G578" s="232"/>
      <c r="H578" s="232"/>
      <c r="I578" s="221"/>
      <c r="J578" s="221"/>
      <c r="K578" s="221"/>
      <c r="L578" s="221"/>
      <c r="M578" s="221"/>
      <c r="N578" s="221"/>
      <c r="O578" s="221"/>
      <c r="P578" s="221"/>
      <c r="Q578" s="221"/>
      <c r="R578" s="221"/>
      <c r="S578" s="221"/>
      <c r="T578" s="221"/>
      <c r="U578" s="221"/>
      <c r="V578" s="221"/>
      <c r="W578" s="221"/>
      <c r="X578" s="221"/>
      <c r="Y578" s="221"/>
      <c r="Z578" s="221"/>
      <c r="AA578" s="221"/>
      <c r="AB578" s="221"/>
    </row>
    <row r="579">
      <c r="A579" s="296"/>
      <c r="B579" s="296"/>
      <c r="C579" s="232"/>
      <c r="D579" s="232"/>
      <c r="E579" s="232"/>
      <c r="F579" s="232"/>
      <c r="G579" s="232"/>
      <c r="H579" s="232"/>
      <c r="I579" s="221"/>
      <c r="J579" s="221"/>
      <c r="K579" s="221"/>
      <c r="L579" s="221"/>
      <c r="M579" s="221"/>
      <c r="N579" s="221"/>
      <c r="O579" s="221"/>
      <c r="P579" s="221"/>
      <c r="Q579" s="221"/>
      <c r="R579" s="221"/>
      <c r="S579" s="221"/>
      <c r="T579" s="221"/>
      <c r="U579" s="221"/>
      <c r="V579" s="221"/>
      <c r="W579" s="221"/>
      <c r="X579" s="221"/>
      <c r="Y579" s="221"/>
      <c r="Z579" s="221"/>
      <c r="AA579" s="221"/>
      <c r="AB579" s="221"/>
    </row>
    <row r="580">
      <c r="A580" s="296"/>
      <c r="B580" s="296"/>
      <c r="C580" s="232"/>
      <c r="D580" s="232"/>
      <c r="E580" s="232"/>
      <c r="F580" s="232"/>
      <c r="G580" s="232"/>
      <c r="H580" s="232"/>
      <c r="I580" s="221"/>
      <c r="J580" s="221"/>
      <c r="K580" s="221"/>
      <c r="L580" s="221"/>
      <c r="M580" s="221"/>
      <c r="N580" s="221"/>
      <c r="O580" s="221"/>
      <c r="P580" s="221"/>
      <c r="Q580" s="221"/>
      <c r="R580" s="221"/>
      <c r="S580" s="221"/>
      <c r="T580" s="221"/>
      <c r="U580" s="221"/>
      <c r="V580" s="221"/>
      <c r="W580" s="221"/>
      <c r="X580" s="221"/>
      <c r="Y580" s="221"/>
      <c r="Z580" s="221"/>
      <c r="AA580" s="221"/>
      <c r="AB580" s="221"/>
    </row>
    <row r="581">
      <c r="A581" s="296"/>
      <c r="B581" s="296"/>
      <c r="C581" s="232"/>
      <c r="D581" s="232"/>
      <c r="E581" s="232"/>
      <c r="F581" s="232"/>
      <c r="G581" s="232"/>
      <c r="H581" s="232"/>
      <c r="I581" s="221"/>
      <c r="J581" s="221"/>
      <c r="K581" s="221"/>
      <c r="L581" s="221"/>
      <c r="M581" s="221"/>
      <c r="N581" s="221"/>
      <c r="O581" s="221"/>
      <c r="P581" s="221"/>
      <c r="Q581" s="221"/>
      <c r="R581" s="221"/>
      <c r="S581" s="221"/>
      <c r="T581" s="221"/>
      <c r="U581" s="221"/>
      <c r="V581" s="221"/>
      <c r="W581" s="221"/>
      <c r="X581" s="221"/>
      <c r="Y581" s="221"/>
      <c r="Z581" s="221"/>
      <c r="AA581" s="221"/>
      <c r="AB581" s="221"/>
    </row>
    <row r="582">
      <c r="A582" s="296"/>
      <c r="B582" s="296"/>
      <c r="C582" s="232"/>
      <c r="D582" s="232"/>
      <c r="E582" s="232"/>
      <c r="F582" s="232"/>
      <c r="G582" s="232"/>
      <c r="H582" s="232"/>
      <c r="I582" s="221"/>
      <c r="J582" s="221"/>
      <c r="K582" s="221"/>
      <c r="L582" s="221"/>
      <c r="M582" s="221"/>
      <c r="N582" s="221"/>
      <c r="O582" s="221"/>
      <c r="P582" s="221"/>
      <c r="Q582" s="221"/>
      <c r="R582" s="221"/>
      <c r="S582" s="221"/>
      <c r="T582" s="221"/>
      <c r="U582" s="221"/>
      <c r="V582" s="221"/>
      <c r="W582" s="221"/>
      <c r="X582" s="221"/>
      <c r="Y582" s="221"/>
      <c r="Z582" s="221"/>
      <c r="AA582" s="221"/>
      <c r="AB582" s="221"/>
    </row>
    <row r="583">
      <c r="A583" s="296"/>
      <c r="B583" s="296"/>
      <c r="C583" s="232"/>
      <c r="D583" s="232"/>
      <c r="E583" s="232"/>
      <c r="F583" s="232"/>
      <c r="G583" s="232"/>
      <c r="H583" s="232"/>
      <c r="I583" s="221"/>
      <c r="J583" s="221"/>
      <c r="K583" s="221"/>
      <c r="L583" s="221"/>
      <c r="M583" s="221"/>
      <c r="N583" s="221"/>
      <c r="O583" s="221"/>
      <c r="P583" s="221"/>
      <c r="Q583" s="221"/>
      <c r="R583" s="221"/>
      <c r="S583" s="221"/>
      <c r="T583" s="221"/>
      <c r="U583" s="221"/>
      <c r="V583" s="221"/>
      <c r="W583" s="221"/>
      <c r="X583" s="221"/>
      <c r="Y583" s="221"/>
      <c r="Z583" s="221"/>
      <c r="AA583" s="221"/>
      <c r="AB583" s="221"/>
    </row>
    <row r="584">
      <c r="A584" s="296"/>
      <c r="B584" s="296"/>
      <c r="C584" s="232"/>
      <c r="D584" s="232"/>
      <c r="E584" s="232"/>
      <c r="F584" s="232"/>
      <c r="G584" s="232"/>
      <c r="H584" s="232"/>
      <c r="I584" s="221"/>
      <c r="J584" s="221"/>
      <c r="K584" s="221"/>
      <c r="L584" s="221"/>
      <c r="M584" s="221"/>
      <c r="N584" s="221"/>
      <c r="O584" s="221"/>
      <c r="P584" s="221"/>
      <c r="Q584" s="221"/>
      <c r="R584" s="221"/>
      <c r="S584" s="221"/>
      <c r="T584" s="221"/>
      <c r="U584" s="221"/>
      <c r="V584" s="221"/>
      <c r="W584" s="221"/>
      <c r="X584" s="221"/>
      <c r="Y584" s="221"/>
      <c r="Z584" s="221"/>
      <c r="AA584" s="221"/>
      <c r="AB584" s="221"/>
    </row>
    <row r="585">
      <c r="A585" s="296"/>
      <c r="B585" s="296"/>
      <c r="C585" s="232"/>
      <c r="D585" s="232"/>
      <c r="E585" s="232"/>
      <c r="F585" s="232"/>
      <c r="G585" s="232"/>
      <c r="H585" s="232"/>
      <c r="I585" s="221"/>
      <c r="J585" s="221"/>
      <c r="K585" s="221"/>
      <c r="L585" s="221"/>
      <c r="M585" s="221"/>
      <c r="N585" s="221"/>
      <c r="O585" s="221"/>
      <c r="P585" s="221"/>
      <c r="Q585" s="221"/>
      <c r="R585" s="221"/>
      <c r="S585" s="221"/>
      <c r="T585" s="221"/>
      <c r="U585" s="221"/>
      <c r="V585" s="221"/>
      <c r="W585" s="221"/>
      <c r="X585" s="221"/>
      <c r="Y585" s="221"/>
      <c r="Z585" s="221"/>
      <c r="AA585" s="221"/>
      <c r="AB585" s="221"/>
    </row>
    <row r="586">
      <c r="A586" s="296"/>
      <c r="B586" s="296"/>
      <c r="C586" s="232"/>
      <c r="D586" s="232"/>
      <c r="E586" s="232"/>
      <c r="F586" s="232"/>
      <c r="G586" s="232"/>
      <c r="H586" s="232"/>
      <c r="I586" s="221"/>
      <c r="J586" s="221"/>
      <c r="K586" s="221"/>
      <c r="L586" s="221"/>
      <c r="M586" s="221"/>
      <c r="N586" s="221"/>
      <c r="O586" s="221"/>
      <c r="P586" s="221"/>
      <c r="Q586" s="221"/>
      <c r="R586" s="221"/>
      <c r="S586" s="221"/>
      <c r="T586" s="221"/>
      <c r="U586" s="221"/>
      <c r="V586" s="221"/>
      <c r="W586" s="221"/>
      <c r="X586" s="221"/>
      <c r="Y586" s="221"/>
      <c r="Z586" s="221"/>
      <c r="AA586" s="221"/>
      <c r="AB586" s="221"/>
    </row>
    <row r="587">
      <c r="A587" s="296"/>
      <c r="B587" s="296"/>
      <c r="C587" s="232"/>
      <c r="D587" s="232"/>
      <c r="E587" s="232"/>
      <c r="F587" s="232"/>
      <c r="G587" s="232"/>
      <c r="H587" s="232"/>
      <c r="I587" s="221"/>
      <c r="J587" s="221"/>
      <c r="K587" s="221"/>
      <c r="L587" s="221"/>
      <c r="M587" s="221"/>
      <c r="N587" s="221"/>
      <c r="O587" s="221"/>
      <c r="P587" s="221"/>
      <c r="Q587" s="221"/>
      <c r="R587" s="221"/>
      <c r="S587" s="221"/>
      <c r="T587" s="221"/>
      <c r="U587" s="221"/>
      <c r="V587" s="221"/>
      <c r="W587" s="221"/>
      <c r="X587" s="221"/>
      <c r="Y587" s="221"/>
      <c r="Z587" s="221"/>
      <c r="AA587" s="221"/>
      <c r="AB587" s="221"/>
    </row>
    <row r="588">
      <c r="A588" s="296"/>
      <c r="B588" s="296"/>
      <c r="C588" s="232"/>
      <c r="D588" s="232"/>
      <c r="E588" s="232"/>
      <c r="F588" s="232"/>
      <c r="G588" s="232"/>
      <c r="H588" s="232"/>
      <c r="I588" s="221"/>
      <c r="J588" s="221"/>
      <c r="K588" s="221"/>
      <c r="L588" s="221"/>
      <c r="M588" s="221"/>
      <c r="N588" s="221"/>
      <c r="O588" s="221"/>
      <c r="P588" s="221"/>
      <c r="Q588" s="221"/>
      <c r="R588" s="221"/>
      <c r="S588" s="221"/>
      <c r="T588" s="221"/>
      <c r="U588" s="221"/>
      <c r="V588" s="221"/>
      <c r="W588" s="221"/>
      <c r="X588" s="221"/>
      <c r="Y588" s="221"/>
      <c r="Z588" s="221"/>
      <c r="AA588" s="221"/>
      <c r="AB588" s="221"/>
    </row>
    <row r="589">
      <c r="A589" s="296"/>
      <c r="B589" s="296"/>
      <c r="C589" s="232"/>
      <c r="D589" s="232"/>
      <c r="E589" s="232"/>
      <c r="F589" s="232"/>
      <c r="G589" s="232"/>
      <c r="H589" s="232"/>
      <c r="I589" s="221"/>
      <c r="J589" s="221"/>
      <c r="K589" s="221"/>
      <c r="L589" s="221"/>
      <c r="M589" s="221"/>
      <c r="N589" s="221"/>
      <c r="O589" s="221"/>
      <c r="P589" s="221"/>
      <c r="Q589" s="221"/>
      <c r="R589" s="221"/>
      <c r="S589" s="221"/>
      <c r="T589" s="221"/>
      <c r="U589" s="221"/>
      <c r="V589" s="221"/>
      <c r="W589" s="221"/>
      <c r="X589" s="221"/>
      <c r="Y589" s="221"/>
      <c r="Z589" s="221"/>
      <c r="AA589" s="221"/>
      <c r="AB589" s="221"/>
    </row>
    <row r="590">
      <c r="A590" s="296"/>
      <c r="B590" s="296"/>
      <c r="C590" s="232"/>
      <c r="D590" s="232"/>
      <c r="E590" s="232"/>
      <c r="F590" s="232"/>
      <c r="G590" s="232"/>
      <c r="H590" s="232"/>
      <c r="I590" s="221"/>
      <c r="J590" s="221"/>
      <c r="K590" s="221"/>
      <c r="L590" s="221"/>
      <c r="M590" s="221"/>
      <c r="N590" s="221"/>
      <c r="O590" s="221"/>
      <c r="P590" s="221"/>
      <c r="Q590" s="221"/>
      <c r="R590" s="221"/>
      <c r="S590" s="221"/>
      <c r="T590" s="221"/>
      <c r="U590" s="221"/>
      <c r="V590" s="221"/>
      <c r="W590" s="221"/>
      <c r="X590" s="221"/>
      <c r="Y590" s="221"/>
      <c r="Z590" s="221"/>
      <c r="AA590" s="221"/>
      <c r="AB590" s="221"/>
    </row>
    <row r="591">
      <c r="A591" s="296"/>
      <c r="B591" s="296"/>
      <c r="C591" s="232"/>
      <c r="D591" s="232"/>
      <c r="E591" s="232"/>
      <c r="F591" s="232"/>
      <c r="G591" s="232"/>
      <c r="H591" s="232"/>
      <c r="I591" s="221"/>
      <c r="J591" s="221"/>
      <c r="K591" s="221"/>
      <c r="L591" s="221"/>
      <c r="M591" s="221"/>
      <c r="N591" s="221"/>
      <c r="O591" s="221"/>
      <c r="P591" s="221"/>
      <c r="Q591" s="221"/>
      <c r="R591" s="221"/>
      <c r="S591" s="221"/>
      <c r="T591" s="221"/>
      <c r="U591" s="221"/>
      <c r="V591" s="221"/>
      <c r="W591" s="221"/>
      <c r="X591" s="221"/>
      <c r="Y591" s="221"/>
      <c r="Z591" s="221"/>
      <c r="AA591" s="221"/>
      <c r="AB591" s="221"/>
    </row>
    <row r="592">
      <c r="A592" s="296"/>
      <c r="B592" s="296"/>
      <c r="C592" s="232"/>
      <c r="D592" s="232"/>
      <c r="E592" s="232"/>
      <c r="F592" s="232"/>
      <c r="G592" s="232"/>
      <c r="H592" s="232"/>
      <c r="I592" s="221"/>
      <c r="J592" s="221"/>
      <c r="K592" s="221"/>
      <c r="L592" s="221"/>
      <c r="M592" s="221"/>
      <c r="N592" s="221"/>
      <c r="O592" s="221"/>
      <c r="P592" s="221"/>
      <c r="Q592" s="221"/>
      <c r="R592" s="221"/>
      <c r="S592" s="221"/>
      <c r="T592" s="221"/>
      <c r="U592" s="221"/>
      <c r="V592" s="221"/>
      <c r="W592" s="221"/>
      <c r="X592" s="221"/>
      <c r="Y592" s="221"/>
      <c r="Z592" s="221"/>
      <c r="AA592" s="221"/>
      <c r="AB592" s="221"/>
    </row>
    <row r="593">
      <c r="A593" s="296"/>
      <c r="B593" s="296"/>
      <c r="C593" s="232"/>
      <c r="D593" s="232"/>
      <c r="E593" s="232"/>
      <c r="F593" s="232"/>
      <c r="G593" s="232"/>
      <c r="H593" s="232"/>
      <c r="I593" s="221"/>
      <c r="J593" s="221"/>
      <c r="K593" s="221"/>
      <c r="L593" s="221"/>
      <c r="M593" s="221"/>
      <c r="N593" s="221"/>
      <c r="O593" s="221"/>
      <c r="P593" s="221"/>
      <c r="Q593" s="221"/>
      <c r="R593" s="221"/>
      <c r="S593" s="221"/>
      <c r="T593" s="221"/>
      <c r="U593" s="221"/>
      <c r="V593" s="221"/>
      <c r="W593" s="221"/>
      <c r="X593" s="221"/>
      <c r="Y593" s="221"/>
      <c r="Z593" s="221"/>
      <c r="AA593" s="221"/>
      <c r="AB593" s="221"/>
    </row>
    <row r="594">
      <c r="A594" s="296"/>
      <c r="B594" s="296"/>
      <c r="C594" s="232"/>
      <c r="D594" s="232"/>
      <c r="E594" s="232"/>
      <c r="F594" s="232"/>
      <c r="G594" s="232"/>
      <c r="H594" s="232"/>
      <c r="I594" s="221"/>
      <c r="J594" s="221"/>
      <c r="K594" s="221"/>
      <c r="L594" s="221"/>
      <c r="M594" s="221"/>
      <c r="N594" s="221"/>
      <c r="O594" s="221"/>
      <c r="P594" s="221"/>
      <c r="Q594" s="221"/>
      <c r="R594" s="221"/>
      <c r="S594" s="221"/>
      <c r="T594" s="221"/>
      <c r="U594" s="221"/>
      <c r="V594" s="221"/>
      <c r="W594" s="221"/>
      <c r="X594" s="221"/>
      <c r="Y594" s="221"/>
      <c r="Z594" s="221"/>
      <c r="AA594" s="221"/>
      <c r="AB594" s="221"/>
    </row>
    <row r="595">
      <c r="A595" s="296"/>
      <c r="B595" s="296"/>
      <c r="C595" s="232"/>
      <c r="D595" s="232"/>
      <c r="E595" s="232"/>
      <c r="F595" s="232"/>
      <c r="G595" s="232"/>
      <c r="H595" s="232"/>
      <c r="I595" s="221"/>
      <c r="J595" s="221"/>
      <c r="K595" s="221"/>
      <c r="L595" s="221"/>
      <c r="M595" s="221"/>
      <c r="N595" s="221"/>
      <c r="O595" s="221"/>
      <c r="P595" s="221"/>
      <c r="Q595" s="221"/>
      <c r="R595" s="221"/>
      <c r="S595" s="221"/>
      <c r="T595" s="221"/>
      <c r="U595" s="221"/>
      <c r="V595" s="221"/>
      <c r="W595" s="221"/>
      <c r="X595" s="221"/>
      <c r="Y595" s="221"/>
      <c r="Z595" s="221"/>
      <c r="AA595" s="221"/>
      <c r="AB595" s="221"/>
    </row>
    <row r="596">
      <c r="A596" s="296"/>
      <c r="B596" s="296"/>
      <c r="C596" s="232"/>
      <c r="D596" s="232"/>
      <c r="E596" s="232"/>
      <c r="F596" s="232"/>
      <c r="G596" s="232"/>
      <c r="H596" s="232"/>
      <c r="I596" s="221"/>
      <c r="J596" s="221"/>
      <c r="K596" s="221"/>
      <c r="L596" s="221"/>
      <c r="M596" s="221"/>
      <c r="N596" s="221"/>
      <c r="O596" s="221"/>
      <c r="P596" s="221"/>
      <c r="Q596" s="221"/>
      <c r="R596" s="221"/>
      <c r="S596" s="221"/>
      <c r="T596" s="221"/>
      <c r="U596" s="221"/>
      <c r="V596" s="221"/>
      <c r="W596" s="221"/>
      <c r="X596" s="221"/>
      <c r="Y596" s="221"/>
      <c r="Z596" s="221"/>
      <c r="AA596" s="221"/>
      <c r="AB596" s="221"/>
    </row>
    <row r="597">
      <c r="A597" s="296"/>
      <c r="B597" s="296"/>
      <c r="C597" s="232"/>
      <c r="D597" s="232"/>
      <c r="E597" s="232"/>
      <c r="F597" s="232"/>
      <c r="G597" s="232"/>
      <c r="H597" s="232"/>
      <c r="I597" s="221"/>
      <c r="J597" s="221"/>
      <c r="K597" s="221"/>
      <c r="L597" s="221"/>
      <c r="M597" s="221"/>
      <c r="N597" s="221"/>
      <c r="O597" s="221"/>
      <c r="P597" s="221"/>
      <c r="Q597" s="221"/>
      <c r="R597" s="221"/>
      <c r="S597" s="221"/>
      <c r="T597" s="221"/>
      <c r="U597" s="221"/>
      <c r="V597" s="221"/>
      <c r="W597" s="221"/>
      <c r="X597" s="221"/>
      <c r="Y597" s="221"/>
      <c r="Z597" s="221"/>
      <c r="AA597" s="221"/>
      <c r="AB597" s="221"/>
    </row>
    <row r="598">
      <c r="A598" s="296"/>
      <c r="B598" s="296"/>
      <c r="C598" s="232"/>
      <c r="D598" s="232"/>
      <c r="E598" s="232"/>
      <c r="F598" s="232"/>
      <c r="G598" s="232"/>
      <c r="H598" s="232"/>
      <c r="I598" s="221"/>
      <c r="J598" s="221"/>
      <c r="K598" s="221"/>
      <c r="L598" s="221"/>
      <c r="M598" s="221"/>
      <c r="N598" s="221"/>
      <c r="O598" s="221"/>
      <c r="P598" s="221"/>
      <c r="Q598" s="221"/>
      <c r="R598" s="221"/>
      <c r="S598" s="221"/>
      <c r="T598" s="221"/>
      <c r="U598" s="221"/>
      <c r="V598" s="221"/>
      <c r="W598" s="221"/>
      <c r="X598" s="221"/>
      <c r="Y598" s="221"/>
      <c r="Z598" s="221"/>
      <c r="AA598" s="221"/>
      <c r="AB598" s="221"/>
    </row>
    <row r="599">
      <c r="A599" s="296"/>
      <c r="B599" s="296"/>
      <c r="C599" s="232"/>
      <c r="D599" s="232"/>
      <c r="E599" s="232"/>
      <c r="F599" s="232"/>
      <c r="G599" s="232"/>
      <c r="H599" s="232"/>
      <c r="I599" s="221"/>
      <c r="J599" s="221"/>
      <c r="K599" s="221"/>
      <c r="L599" s="221"/>
      <c r="M599" s="221"/>
      <c r="N599" s="221"/>
      <c r="O599" s="221"/>
      <c r="P599" s="221"/>
      <c r="Q599" s="221"/>
      <c r="R599" s="221"/>
      <c r="S599" s="221"/>
      <c r="T599" s="221"/>
      <c r="U599" s="221"/>
      <c r="V599" s="221"/>
      <c r="W599" s="221"/>
      <c r="X599" s="221"/>
      <c r="Y599" s="221"/>
      <c r="Z599" s="221"/>
      <c r="AA599" s="221"/>
      <c r="AB599" s="221"/>
    </row>
    <row r="600">
      <c r="A600" s="296"/>
      <c r="B600" s="296"/>
      <c r="C600" s="232"/>
      <c r="D600" s="232"/>
      <c r="E600" s="232"/>
      <c r="F600" s="232"/>
      <c r="G600" s="232"/>
      <c r="H600" s="232"/>
      <c r="I600" s="221"/>
      <c r="J600" s="221"/>
      <c r="K600" s="221"/>
      <c r="L600" s="221"/>
      <c r="M600" s="221"/>
      <c r="N600" s="221"/>
      <c r="O600" s="221"/>
      <c r="P600" s="221"/>
      <c r="Q600" s="221"/>
      <c r="R600" s="221"/>
      <c r="S600" s="221"/>
      <c r="T600" s="221"/>
      <c r="U600" s="221"/>
      <c r="V600" s="221"/>
      <c r="W600" s="221"/>
      <c r="X600" s="221"/>
      <c r="Y600" s="221"/>
      <c r="Z600" s="221"/>
      <c r="AA600" s="221"/>
      <c r="AB600" s="221"/>
    </row>
    <row r="601">
      <c r="A601" s="296"/>
      <c r="B601" s="296"/>
      <c r="C601" s="232"/>
      <c r="D601" s="232"/>
      <c r="E601" s="232"/>
      <c r="F601" s="232"/>
      <c r="G601" s="232"/>
      <c r="H601" s="232"/>
      <c r="I601" s="221"/>
      <c r="J601" s="221"/>
      <c r="K601" s="221"/>
      <c r="L601" s="221"/>
      <c r="M601" s="221"/>
      <c r="N601" s="221"/>
      <c r="O601" s="221"/>
      <c r="P601" s="221"/>
      <c r="Q601" s="221"/>
      <c r="R601" s="221"/>
      <c r="S601" s="221"/>
      <c r="T601" s="221"/>
      <c r="U601" s="221"/>
      <c r="V601" s="221"/>
      <c r="W601" s="221"/>
      <c r="X601" s="221"/>
      <c r="Y601" s="221"/>
      <c r="Z601" s="221"/>
      <c r="AA601" s="221"/>
      <c r="AB601" s="221"/>
    </row>
    <row r="602">
      <c r="A602" s="296"/>
      <c r="B602" s="296"/>
      <c r="C602" s="232"/>
      <c r="D602" s="232"/>
      <c r="E602" s="232"/>
      <c r="F602" s="232"/>
      <c r="G602" s="232"/>
      <c r="H602" s="232"/>
      <c r="I602" s="221"/>
      <c r="J602" s="221"/>
      <c r="K602" s="221"/>
      <c r="L602" s="221"/>
      <c r="M602" s="221"/>
      <c r="N602" s="221"/>
      <c r="O602" s="221"/>
      <c r="P602" s="221"/>
      <c r="Q602" s="221"/>
      <c r="R602" s="221"/>
      <c r="S602" s="221"/>
      <c r="T602" s="221"/>
      <c r="U602" s="221"/>
      <c r="V602" s="221"/>
      <c r="W602" s="221"/>
      <c r="X602" s="221"/>
      <c r="Y602" s="221"/>
      <c r="Z602" s="221"/>
      <c r="AA602" s="221"/>
      <c r="AB602" s="221"/>
    </row>
    <row r="603">
      <c r="A603" s="296"/>
      <c r="B603" s="296"/>
      <c r="C603" s="232"/>
      <c r="D603" s="232"/>
      <c r="E603" s="232"/>
      <c r="F603" s="232"/>
      <c r="G603" s="232"/>
      <c r="H603" s="232"/>
      <c r="I603" s="221"/>
      <c r="J603" s="221"/>
      <c r="K603" s="221"/>
      <c r="L603" s="221"/>
      <c r="M603" s="221"/>
      <c r="N603" s="221"/>
      <c r="O603" s="221"/>
      <c r="P603" s="221"/>
      <c r="Q603" s="221"/>
      <c r="R603" s="221"/>
      <c r="S603" s="221"/>
      <c r="T603" s="221"/>
      <c r="U603" s="221"/>
      <c r="V603" s="221"/>
      <c r="W603" s="221"/>
      <c r="X603" s="221"/>
      <c r="Y603" s="221"/>
      <c r="Z603" s="221"/>
      <c r="AA603" s="221"/>
      <c r="AB603" s="221"/>
    </row>
    <row r="604">
      <c r="A604" s="296"/>
      <c r="B604" s="296"/>
      <c r="C604" s="232"/>
      <c r="D604" s="232"/>
      <c r="E604" s="232"/>
      <c r="F604" s="232"/>
      <c r="G604" s="232"/>
      <c r="H604" s="232"/>
      <c r="I604" s="221"/>
      <c r="J604" s="221"/>
      <c r="K604" s="221"/>
      <c r="L604" s="221"/>
      <c r="M604" s="221"/>
      <c r="N604" s="221"/>
      <c r="O604" s="221"/>
      <c r="P604" s="221"/>
      <c r="Q604" s="221"/>
      <c r="R604" s="221"/>
      <c r="S604" s="221"/>
      <c r="T604" s="221"/>
      <c r="U604" s="221"/>
      <c r="V604" s="221"/>
      <c r="W604" s="221"/>
      <c r="X604" s="221"/>
      <c r="Y604" s="221"/>
      <c r="Z604" s="221"/>
      <c r="AA604" s="221"/>
      <c r="AB604" s="221"/>
    </row>
    <row r="605">
      <c r="A605" s="296"/>
      <c r="B605" s="296"/>
      <c r="C605" s="232"/>
      <c r="D605" s="232"/>
      <c r="E605" s="232"/>
      <c r="F605" s="232"/>
      <c r="G605" s="232"/>
      <c r="H605" s="232"/>
      <c r="I605" s="221"/>
      <c r="J605" s="221"/>
      <c r="K605" s="221"/>
      <c r="L605" s="221"/>
      <c r="M605" s="221"/>
      <c r="N605" s="221"/>
      <c r="O605" s="221"/>
      <c r="P605" s="221"/>
      <c r="Q605" s="221"/>
      <c r="R605" s="221"/>
      <c r="S605" s="221"/>
      <c r="T605" s="221"/>
      <c r="U605" s="221"/>
      <c r="V605" s="221"/>
      <c r="W605" s="221"/>
      <c r="X605" s="221"/>
      <c r="Y605" s="221"/>
      <c r="Z605" s="221"/>
      <c r="AA605" s="221"/>
      <c r="AB605" s="221"/>
    </row>
    <row r="606">
      <c r="A606" s="296"/>
      <c r="B606" s="296"/>
      <c r="C606" s="232"/>
      <c r="D606" s="232"/>
      <c r="E606" s="232"/>
      <c r="F606" s="232"/>
      <c r="G606" s="232"/>
      <c r="H606" s="232"/>
      <c r="I606" s="221"/>
      <c r="J606" s="221"/>
      <c r="K606" s="221"/>
      <c r="L606" s="221"/>
      <c r="M606" s="221"/>
      <c r="N606" s="221"/>
      <c r="O606" s="221"/>
      <c r="P606" s="221"/>
      <c r="Q606" s="221"/>
      <c r="R606" s="221"/>
      <c r="S606" s="221"/>
      <c r="T606" s="221"/>
      <c r="U606" s="221"/>
      <c r="V606" s="221"/>
      <c r="W606" s="221"/>
      <c r="X606" s="221"/>
      <c r="Y606" s="221"/>
      <c r="Z606" s="221"/>
      <c r="AA606" s="221"/>
      <c r="AB606" s="221"/>
    </row>
    <row r="607">
      <c r="A607" s="296"/>
      <c r="B607" s="296"/>
      <c r="C607" s="232"/>
      <c r="D607" s="232"/>
      <c r="E607" s="232"/>
      <c r="F607" s="232"/>
      <c r="G607" s="232"/>
      <c r="H607" s="232"/>
      <c r="I607" s="221"/>
      <c r="J607" s="221"/>
      <c r="K607" s="221"/>
      <c r="L607" s="221"/>
      <c r="M607" s="221"/>
      <c r="N607" s="221"/>
      <c r="O607" s="221"/>
      <c r="P607" s="221"/>
      <c r="Q607" s="221"/>
      <c r="R607" s="221"/>
      <c r="S607" s="221"/>
      <c r="T607" s="221"/>
      <c r="U607" s="221"/>
      <c r="V607" s="221"/>
      <c r="W607" s="221"/>
      <c r="X607" s="221"/>
      <c r="Y607" s="221"/>
      <c r="Z607" s="221"/>
      <c r="AA607" s="221"/>
      <c r="AB607" s="221"/>
    </row>
    <row r="608">
      <c r="A608" s="296"/>
      <c r="B608" s="296"/>
      <c r="C608" s="232"/>
      <c r="D608" s="232"/>
      <c r="E608" s="232"/>
      <c r="F608" s="232"/>
      <c r="G608" s="232"/>
      <c r="H608" s="232"/>
      <c r="I608" s="221"/>
      <c r="J608" s="221"/>
      <c r="K608" s="221"/>
      <c r="L608" s="221"/>
      <c r="M608" s="221"/>
      <c r="N608" s="221"/>
      <c r="O608" s="221"/>
      <c r="P608" s="221"/>
      <c r="Q608" s="221"/>
      <c r="R608" s="221"/>
      <c r="S608" s="221"/>
      <c r="T608" s="221"/>
      <c r="U608" s="221"/>
      <c r="V608" s="221"/>
      <c r="W608" s="221"/>
      <c r="X608" s="221"/>
      <c r="Y608" s="221"/>
      <c r="Z608" s="221"/>
      <c r="AA608" s="221"/>
      <c r="AB608" s="221"/>
    </row>
    <row r="609">
      <c r="A609" s="296"/>
      <c r="B609" s="296"/>
      <c r="C609" s="232"/>
      <c r="D609" s="232"/>
      <c r="E609" s="232"/>
      <c r="F609" s="232"/>
      <c r="G609" s="232"/>
      <c r="H609" s="232"/>
      <c r="I609" s="221"/>
      <c r="J609" s="221"/>
      <c r="K609" s="221"/>
      <c r="L609" s="221"/>
      <c r="M609" s="221"/>
      <c r="N609" s="221"/>
      <c r="O609" s="221"/>
      <c r="P609" s="221"/>
      <c r="Q609" s="221"/>
      <c r="R609" s="221"/>
      <c r="S609" s="221"/>
      <c r="T609" s="221"/>
      <c r="U609" s="221"/>
      <c r="V609" s="221"/>
      <c r="W609" s="221"/>
      <c r="X609" s="221"/>
      <c r="Y609" s="221"/>
      <c r="Z609" s="221"/>
      <c r="AA609" s="221"/>
      <c r="AB609" s="221"/>
    </row>
    <row r="610">
      <c r="A610" s="296"/>
      <c r="B610" s="296"/>
      <c r="C610" s="232"/>
      <c r="D610" s="232"/>
      <c r="E610" s="232"/>
      <c r="F610" s="232"/>
      <c r="G610" s="232"/>
      <c r="H610" s="232"/>
      <c r="I610" s="221"/>
      <c r="J610" s="221"/>
      <c r="K610" s="221"/>
      <c r="L610" s="221"/>
      <c r="M610" s="221"/>
      <c r="N610" s="221"/>
      <c r="O610" s="221"/>
      <c r="P610" s="221"/>
      <c r="Q610" s="221"/>
      <c r="R610" s="221"/>
      <c r="S610" s="221"/>
      <c r="T610" s="221"/>
      <c r="U610" s="221"/>
      <c r="V610" s="221"/>
      <c r="W610" s="221"/>
      <c r="X610" s="221"/>
      <c r="Y610" s="221"/>
      <c r="Z610" s="221"/>
      <c r="AA610" s="221"/>
      <c r="AB610" s="221"/>
    </row>
    <row r="611">
      <c r="A611" s="296"/>
      <c r="B611" s="296"/>
      <c r="C611" s="232"/>
      <c r="D611" s="232"/>
      <c r="E611" s="232"/>
      <c r="F611" s="232"/>
      <c r="G611" s="232"/>
      <c r="H611" s="232"/>
      <c r="I611" s="221"/>
      <c r="J611" s="221"/>
      <c r="K611" s="221"/>
      <c r="L611" s="221"/>
      <c r="M611" s="221"/>
      <c r="N611" s="221"/>
      <c r="O611" s="221"/>
      <c r="P611" s="221"/>
      <c r="Q611" s="221"/>
      <c r="R611" s="221"/>
      <c r="S611" s="221"/>
      <c r="T611" s="221"/>
      <c r="U611" s="221"/>
      <c r="V611" s="221"/>
      <c r="W611" s="221"/>
      <c r="X611" s="221"/>
      <c r="Y611" s="221"/>
      <c r="Z611" s="221"/>
      <c r="AA611" s="221"/>
      <c r="AB611" s="221"/>
    </row>
    <row r="612">
      <c r="A612" s="296"/>
      <c r="B612" s="296"/>
      <c r="C612" s="232"/>
      <c r="D612" s="232"/>
      <c r="E612" s="232"/>
      <c r="F612" s="232"/>
      <c r="G612" s="232"/>
      <c r="H612" s="232"/>
      <c r="I612" s="221"/>
      <c r="J612" s="221"/>
      <c r="K612" s="221"/>
      <c r="L612" s="221"/>
      <c r="M612" s="221"/>
      <c r="N612" s="221"/>
      <c r="O612" s="221"/>
      <c r="P612" s="221"/>
      <c r="Q612" s="221"/>
      <c r="R612" s="221"/>
      <c r="S612" s="221"/>
      <c r="T612" s="221"/>
      <c r="U612" s="221"/>
      <c r="V612" s="221"/>
      <c r="W612" s="221"/>
      <c r="X612" s="221"/>
      <c r="Y612" s="221"/>
      <c r="Z612" s="221"/>
      <c r="AA612" s="221"/>
      <c r="AB612" s="221"/>
    </row>
    <row r="613">
      <c r="A613" s="296"/>
      <c r="B613" s="296"/>
      <c r="C613" s="232"/>
      <c r="D613" s="232"/>
      <c r="E613" s="232"/>
      <c r="F613" s="232"/>
      <c r="G613" s="232"/>
      <c r="H613" s="232"/>
      <c r="I613" s="221"/>
      <c r="J613" s="221"/>
      <c r="K613" s="221"/>
      <c r="L613" s="221"/>
      <c r="M613" s="221"/>
      <c r="N613" s="221"/>
      <c r="O613" s="221"/>
      <c r="P613" s="221"/>
      <c r="Q613" s="221"/>
      <c r="R613" s="221"/>
      <c r="S613" s="221"/>
      <c r="T613" s="221"/>
      <c r="U613" s="221"/>
      <c r="V613" s="221"/>
      <c r="W613" s="221"/>
      <c r="X613" s="221"/>
      <c r="Y613" s="221"/>
      <c r="Z613" s="221"/>
      <c r="AA613" s="221"/>
      <c r="AB613" s="221"/>
    </row>
    <row r="614">
      <c r="A614" s="296"/>
      <c r="B614" s="296"/>
      <c r="C614" s="232"/>
      <c r="D614" s="232"/>
      <c r="E614" s="232"/>
      <c r="F614" s="232"/>
      <c r="G614" s="232"/>
      <c r="H614" s="232"/>
      <c r="I614" s="221"/>
      <c r="J614" s="221"/>
      <c r="K614" s="221"/>
      <c r="L614" s="221"/>
      <c r="M614" s="221"/>
      <c r="N614" s="221"/>
      <c r="O614" s="221"/>
      <c r="P614" s="221"/>
      <c r="Q614" s="221"/>
      <c r="R614" s="221"/>
      <c r="S614" s="221"/>
      <c r="T614" s="221"/>
      <c r="U614" s="221"/>
      <c r="V614" s="221"/>
      <c r="W614" s="221"/>
      <c r="X614" s="221"/>
      <c r="Y614" s="221"/>
      <c r="Z614" s="221"/>
      <c r="AA614" s="221"/>
      <c r="AB614" s="221"/>
    </row>
    <row r="615">
      <c r="A615" s="296"/>
      <c r="B615" s="296"/>
      <c r="C615" s="232"/>
      <c r="D615" s="232"/>
      <c r="E615" s="232"/>
      <c r="F615" s="232"/>
      <c r="G615" s="232"/>
      <c r="H615" s="232"/>
      <c r="I615" s="221"/>
      <c r="J615" s="221"/>
      <c r="K615" s="221"/>
      <c r="L615" s="221"/>
      <c r="M615" s="221"/>
      <c r="N615" s="221"/>
      <c r="O615" s="221"/>
      <c r="P615" s="221"/>
      <c r="Q615" s="221"/>
      <c r="R615" s="221"/>
      <c r="S615" s="221"/>
      <c r="T615" s="221"/>
      <c r="U615" s="221"/>
      <c r="V615" s="221"/>
      <c r="W615" s="221"/>
      <c r="X615" s="221"/>
      <c r="Y615" s="221"/>
      <c r="Z615" s="221"/>
      <c r="AA615" s="221"/>
      <c r="AB615" s="221"/>
    </row>
    <row r="616">
      <c r="A616" s="296"/>
      <c r="B616" s="296"/>
      <c r="C616" s="232"/>
      <c r="D616" s="232"/>
      <c r="E616" s="232"/>
      <c r="F616" s="232"/>
      <c r="G616" s="232"/>
      <c r="H616" s="232"/>
      <c r="I616" s="221"/>
      <c r="J616" s="221"/>
      <c r="K616" s="221"/>
      <c r="L616" s="221"/>
      <c r="M616" s="221"/>
      <c r="N616" s="221"/>
      <c r="O616" s="221"/>
      <c r="P616" s="221"/>
      <c r="Q616" s="221"/>
      <c r="R616" s="221"/>
      <c r="S616" s="221"/>
      <c r="T616" s="221"/>
      <c r="U616" s="221"/>
      <c r="V616" s="221"/>
      <c r="W616" s="221"/>
      <c r="X616" s="221"/>
      <c r="Y616" s="221"/>
      <c r="Z616" s="221"/>
      <c r="AA616" s="221"/>
      <c r="AB616" s="221"/>
    </row>
    <row r="617">
      <c r="A617" s="296"/>
      <c r="B617" s="296"/>
      <c r="C617" s="232"/>
      <c r="D617" s="232"/>
      <c r="E617" s="232"/>
      <c r="F617" s="232"/>
      <c r="G617" s="232"/>
      <c r="H617" s="232"/>
      <c r="I617" s="221"/>
      <c r="J617" s="221"/>
      <c r="K617" s="221"/>
      <c r="L617" s="221"/>
      <c r="M617" s="221"/>
      <c r="N617" s="221"/>
      <c r="O617" s="221"/>
      <c r="P617" s="221"/>
      <c r="Q617" s="221"/>
      <c r="R617" s="221"/>
      <c r="S617" s="221"/>
      <c r="T617" s="221"/>
      <c r="U617" s="221"/>
      <c r="V617" s="221"/>
      <c r="W617" s="221"/>
      <c r="X617" s="221"/>
      <c r="Y617" s="221"/>
      <c r="Z617" s="221"/>
      <c r="AA617" s="221"/>
      <c r="AB617" s="221"/>
    </row>
    <row r="618">
      <c r="A618" s="296"/>
      <c r="B618" s="296"/>
      <c r="C618" s="232"/>
      <c r="D618" s="232"/>
      <c r="E618" s="232"/>
      <c r="F618" s="232"/>
      <c r="G618" s="232"/>
      <c r="H618" s="232"/>
      <c r="I618" s="221"/>
      <c r="J618" s="221"/>
      <c r="K618" s="221"/>
      <c r="L618" s="221"/>
      <c r="M618" s="221"/>
      <c r="N618" s="221"/>
      <c r="O618" s="221"/>
      <c r="P618" s="221"/>
      <c r="Q618" s="221"/>
      <c r="R618" s="221"/>
      <c r="S618" s="221"/>
      <c r="T618" s="221"/>
      <c r="U618" s="221"/>
      <c r="V618" s="221"/>
      <c r="W618" s="221"/>
      <c r="X618" s="221"/>
      <c r="Y618" s="221"/>
      <c r="Z618" s="221"/>
      <c r="AA618" s="221"/>
      <c r="AB618" s="221"/>
    </row>
    <row r="619">
      <c r="A619" s="296"/>
      <c r="B619" s="296"/>
      <c r="C619" s="232"/>
      <c r="D619" s="232"/>
      <c r="E619" s="232"/>
      <c r="F619" s="232"/>
      <c r="G619" s="232"/>
      <c r="H619" s="232"/>
      <c r="I619" s="221"/>
      <c r="J619" s="221"/>
      <c r="K619" s="221"/>
      <c r="L619" s="221"/>
      <c r="M619" s="221"/>
      <c r="N619" s="221"/>
      <c r="O619" s="221"/>
      <c r="P619" s="221"/>
      <c r="Q619" s="221"/>
      <c r="R619" s="221"/>
      <c r="S619" s="221"/>
      <c r="T619" s="221"/>
      <c r="U619" s="221"/>
      <c r="V619" s="221"/>
      <c r="W619" s="221"/>
      <c r="X619" s="221"/>
      <c r="Y619" s="221"/>
      <c r="Z619" s="221"/>
      <c r="AA619" s="221"/>
      <c r="AB619" s="221"/>
    </row>
    <row r="620">
      <c r="A620" s="296"/>
      <c r="B620" s="296"/>
      <c r="C620" s="232"/>
      <c r="D620" s="232"/>
      <c r="E620" s="232"/>
      <c r="F620" s="232"/>
      <c r="G620" s="232"/>
      <c r="H620" s="232"/>
      <c r="I620" s="221"/>
      <c r="J620" s="221"/>
      <c r="K620" s="221"/>
      <c r="L620" s="221"/>
      <c r="M620" s="221"/>
      <c r="N620" s="221"/>
      <c r="O620" s="221"/>
      <c r="P620" s="221"/>
      <c r="Q620" s="221"/>
      <c r="R620" s="221"/>
      <c r="S620" s="221"/>
      <c r="T620" s="221"/>
      <c r="U620" s="221"/>
      <c r="V620" s="221"/>
      <c r="W620" s="221"/>
      <c r="X620" s="221"/>
      <c r="Y620" s="221"/>
      <c r="Z620" s="221"/>
      <c r="AA620" s="221"/>
      <c r="AB620" s="221"/>
    </row>
    <row r="621">
      <c r="A621" s="296"/>
      <c r="B621" s="296"/>
      <c r="C621" s="232"/>
      <c r="D621" s="232"/>
      <c r="E621" s="232"/>
      <c r="F621" s="232"/>
      <c r="G621" s="232"/>
      <c r="H621" s="232"/>
      <c r="I621" s="221"/>
      <c r="J621" s="221"/>
      <c r="K621" s="221"/>
      <c r="L621" s="221"/>
      <c r="M621" s="221"/>
      <c r="N621" s="221"/>
      <c r="O621" s="221"/>
      <c r="P621" s="221"/>
      <c r="Q621" s="221"/>
      <c r="R621" s="221"/>
      <c r="S621" s="221"/>
      <c r="T621" s="221"/>
      <c r="U621" s="221"/>
      <c r="V621" s="221"/>
      <c r="W621" s="221"/>
      <c r="X621" s="221"/>
      <c r="Y621" s="221"/>
      <c r="Z621" s="221"/>
      <c r="AA621" s="221"/>
      <c r="AB621" s="221"/>
    </row>
    <row r="622">
      <c r="A622" s="296"/>
      <c r="B622" s="296"/>
      <c r="C622" s="232"/>
      <c r="D622" s="232"/>
      <c r="E622" s="232"/>
      <c r="F622" s="232"/>
      <c r="G622" s="232"/>
      <c r="H622" s="232"/>
      <c r="I622" s="221"/>
      <c r="J622" s="221"/>
      <c r="K622" s="221"/>
      <c r="L622" s="221"/>
      <c r="M622" s="221"/>
      <c r="N622" s="221"/>
      <c r="O622" s="221"/>
      <c r="P622" s="221"/>
      <c r="Q622" s="221"/>
      <c r="R622" s="221"/>
      <c r="S622" s="221"/>
      <c r="T622" s="221"/>
      <c r="U622" s="221"/>
      <c r="V622" s="221"/>
      <c r="W622" s="221"/>
      <c r="X622" s="221"/>
      <c r="Y622" s="221"/>
      <c r="Z622" s="221"/>
      <c r="AA622" s="221"/>
      <c r="AB622" s="221"/>
    </row>
    <row r="623">
      <c r="A623" s="296"/>
      <c r="B623" s="296"/>
      <c r="C623" s="232"/>
      <c r="D623" s="232"/>
      <c r="E623" s="232"/>
      <c r="F623" s="232"/>
      <c r="G623" s="232"/>
      <c r="H623" s="232"/>
      <c r="I623" s="221"/>
      <c r="J623" s="221"/>
      <c r="K623" s="221"/>
      <c r="L623" s="221"/>
      <c r="M623" s="221"/>
      <c r="N623" s="221"/>
      <c r="O623" s="221"/>
      <c r="P623" s="221"/>
      <c r="Q623" s="221"/>
      <c r="R623" s="221"/>
      <c r="S623" s="221"/>
      <c r="T623" s="221"/>
      <c r="U623" s="221"/>
      <c r="V623" s="221"/>
      <c r="W623" s="221"/>
      <c r="X623" s="221"/>
      <c r="Y623" s="221"/>
      <c r="Z623" s="221"/>
      <c r="AA623" s="221"/>
      <c r="AB623" s="221"/>
    </row>
    <row r="624">
      <c r="A624" s="296"/>
      <c r="B624" s="296"/>
      <c r="C624" s="232"/>
      <c r="D624" s="232"/>
      <c r="E624" s="232"/>
      <c r="F624" s="232"/>
      <c r="G624" s="232"/>
      <c r="H624" s="232"/>
      <c r="I624" s="221"/>
      <c r="J624" s="221"/>
      <c r="K624" s="221"/>
      <c r="L624" s="221"/>
      <c r="M624" s="221"/>
      <c r="N624" s="221"/>
      <c r="O624" s="221"/>
      <c r="P624" s="221"/>
      <c r="Q624" s="221"/>
      <c r="R624" s="221"/>
      <c r="S624" s="221"/>
      <c r="T624" s="221"/>
      <c r="U624" s="221"/>
      <c r="V624" s="221"/>
      <c r="W624" s="221"/>
      <c r="X624" s="221"/>
      <c r="Y624" s="221"/>
      <c r="Z624" s="221"/>
      <c r="AA624" s="221"/>
      <c r="AB624" s="221"/>
    </row>
    <row r="625">
      <c r="A625" s="296"/>
      <c r="B625" s="296"/>
      <c r="C625" s="232"/>
      <c r="D625" s="232"/>
      <c r="E625" s="232"/>
      <c r="F625" s="232"/>
      <c r="G625" s="232"/>
      <c r="H625" s="232"/>
      <c r="I625" s="221"/>
      <c r="J625" s="221"/>
      <c r="K625" s="221"/>
      <c r="L625" s="221"/>
      <c r="M625" s="221"/>
      <c r="N625" s="221"/>
      <c r="O625" s="221"/>
      <c r="P625" s="221"/>
      <c r="Q625" s="221"/>
      <c r="R625" s="221"/>
      <c r="S625" s="221"/>
      <c r="T625" s="221"/>
      <c r="U625" s="221"/>
      <c r="V625" s="221"/>
      <c r="W625" s="221"/>
      <c r="X625" s="221"/>
      <c r="Y625" s="221"/>
      <c r="Z625" s="221"/>
      <c r="AA625" s="221"/>
      <c r="AB625" s="221"/>
    </row>
    <row r="626">
      <c r="A626" s="296"/>
      <c r="B626" s="296"/>
      <c r="C626" s="232"/>
      <c r="D626" s="232"/>
      <c r="E626" s="232"/>
      <c r="F626" s="232"/>
      <c r="G626" s="232"/>
      <c r="H626" s="232"/>
      <c r="I626" s="221"/>
      <c r="J626" s="221"/>
      <c r="K626" s="221"/>
      <c r="L626" s="221"/>
      <c r="M626" s="221"/>
      <c r="N626" s="221"/>
      <c r="O626" s="221"/>
      <c r="P626" s="221"/>
      <c r="Q626" s="221"/>
      <c r="R626" s="221"/>
      <c r="S626" s="221"/>
      <c r="T626" s="221"/>
      <c r="U626" s="221"/>
      <c r="V626" s="221"/>
      <c r="W626" s="221"/>
      <c r="X626" s="221"/>
      <c r="Y626" s="221"/>
      <c r="Z626" s="221"/>
      <c r="AA626" s="221"/>
      <c r="AB626" s="221"/>
    </row>
    <row r="627">
      <c r="A627" s="296"/>
      <c r="B627" s="296"/>
      <c r="C627" s="232"/>
      <c r="D627" s="232"/>
      <c r="E627" s="232"/>
      <c r="F627" s="232"/>
      <c r="G627" s="232"/>
      <c r="H627" s="232"/>
      <c r="I627" s="221"/>
      <c r="J627" s="221"/>
      <c r="K627" s="221"/>
      <c r="L627" s="221"/>
      <c r="M627" s="221"/>
      <c r="N627" s="221"/>
      <c r="O627" s="221"/>
      <c r="P627" s="221"/>
      <c r="Q627" s="221"/>
      <c r="R627" s="221"/>
      <c r="S627" s="221"/>
      <c r="T627" s="221"/>
      <c r="U627" s="221"/>
      <c r="V627" s="221"/>
      <c r="W627" s="221"/>
      <c r="X627" s="221"/>
      <c r="Y627" s="221"/>
      <c r="Z627" s="221"/>
      <c r="AA627" s="221"/>
      <c r="AB627" s="221"/>
    </row>
    <row r="628">
      <c r="A628" s="296"/>
      <c r="B628" s="296"/>
      <c r="C628" s="232"/>
      <c r="D628" s="232"/>
      <c r="E628" s="232"/>
      <c r="F628" s="232"/>
      <c r="G628" s="232"/>
      <c r="H628" s="232"/>
      <c r="I628" s="221"/>
      <c r="J628" s="221"/>
      <c r="K628" s="221"/>
      <c r="L628" s="221"/>
      <c r="M628" s="221"/>
      <c r="N628" s="221"/>
      <c r="O628" s="221"/>
      <c r="P628" s="221"/>
      <c r="Q628" s="221"/>
      <c r="R628" s="221"/>
      <c r="S628" s="221"/>
      <c r="T628" s="221"/>
      <c r="U628" s="221"/>
      <c r="V628" s="221"/>
      <c r="W628" s="221"/>
      <c r="X628" s="221"/>
      <c r="Y628" s="221"/>
      <c r="Z628" s="221"/>
      <c r="AA628" s="221"/>
      <c r="AB628" s="221"/>
    </row>
    <row r="629">
      <c r="A629" s="296"/>
      <c r="B629" s="296"/>
      <c r="C629" s="232"/>
      <c r="D629" s="232"/>
      <c r="E629" s="232"/>
      <c r="F629" s="232"/>
      <c r="G629" s="232"/>
      <c r="H629" s="232"/>
      <c r="I629" s="221"/>
      <c r="J629" s="221"/>
      <c r="K629" s="221"/>
      <c r="L629" s="221"/>
      <c r="M629" s="221"/>
      <c r="N629" s="221"/>
      <c r="O629" s="221"/>
      <c r="P629" s="221"/>
      <c r="Q629" s="221"/>
      <c r="R629" s="221"/>
      <c r="S629" s="221"/>
      <c r="T629" s="221"/>
      <c r="U629" s="221"/>
      <c r="V629" s="221"/>
      <c r="W629" s="221"/>
      <c r="X629" s="221"/>
      <c r="Y629" s="221"/>
      <c r="Z629" s="221"/>
      <c r="AA629" s="221"/>
      <c r="AB629" s="221"/>
    </row>
    <row r="630">
      <c r="A630" s="296"/>
      <c r="B630" s="296"/>
      <c r="C630" s="232"/>
      <c r="D630" s="232"/>
      <c r="E630" s="232"/>
      <c r="F630" s="232"/>
      <c r="G630" s="232"/>
      <c r="H630" s="232"/>
      <c r="I630" s="221"/>
      <c r="J630" s="221"/>
      <c r="K630" s="221"/>
      <c r="L630" s="221"/>
      <c r="M630" s="221"/>
      <c r="N630" s="221"/>
      <c r="O630" s="221"/>
      <c r="P630" s="221"/>
      <c r="Q630" s="221"/>
      <c r="R630" s="221"/>
      <c r="S630" s="221"/>
      <c r="T630" s="221"/>
      <c r="U630" s="221"/>
      <c r="V630" s="221"/>
      <c r="W630" s="221"/>
      <c r="X630" s="221"/>
      <c r="Y630" s="221"/>
      <c r="Z630" s="221"/>
      <c r="AA630" s="221"/>
      <c r="AB630" s="221"/>
    </row>
    <row r="631">
      <c r="A631" s="296"/>
      <c r="B631" s="296"/>
      <c r="C631" s="232"/>
      <c r="D631" s="232"/>
      <c r="E631" s="232"/>
      <c r="F631" s="232"/>
      <c r="G631" s="232"/>
      <c r="H631" s="232"/>
      <c r="I631" s="221"/>
      <c r="J631" s="221"/>
      <c r="K631" s="221"/>
      <c r="L631" s="221"/>
      <c r="M631" s="221"/>
      <c r="N631" s="221"/>
      <c r="O631" s="221"/>
      <c r="P631" s="221"/>
      <c r="Q631" s="221"/>
      <c r="R631" s="221"/>
      <c r="S631" s="221"/>
      <c r="T631" s="221"/>
      <c r="U631" s="221"/>
      <c r="V631" s="221"/>
      <c r="W631" s="221"/>
      <c r="X631" s="221"/>
      <c r="Y631" s="221"/>
      <c r="Z631" s="221"/>
      <c r="AA631" s="221"/>
      <c r="AB631" s="221"/>
    </row>
    <row r="632">
      <c r="A632" s="296"/>
      <c r="B632" s="296"/>
      <c r="C632" s="232"/>
      <c r="D632" s="232"/>
      <c r="E632" s="232"/>
      <c r="F632" s="232"/>
      <c r="G632" s="232"/>
      <c r="H632" s="232"/>
      <c r="I632" s="221"/>
      <c r="J632" s="221"/>
      <c r="K632" s="221"/>
      <c r="L632" s="221"/>
      <c r="M632" s="221"/>
      <c r="N632" s="221"/>
      <c r="O632" s="221"/>
      <c r="P632" s="221"/>
      <c r="Q632" s="221"/>
      <c r="R632" s="221"/>
      <c r="S632" s="221"/>
      <c r="T632" s="221"/>
      <c r="U632" s="221"/>
      <c r="V632" s="221"/>
      <c r="W632" s="221"/>
      <c r="X632" s="221"/>
      <c r="Y632" s="221"/>
      <c r="Z632" s="221"/>
      <c r="AA632" s="221"/>
      <c r="AB632" s="221"/>
    </row>
    <row r="633">
      <c r="A633" s="296"/>
      <c r="B633" s="296"/>
      <c r="C633" s="232"/>
      <c r="D633" s="232"/>
      <c r="E633" s="232"/>
      <c r="F633" s="232"/>
      <c r="G633" s="232"/>
      <c r="H633" s="232"/>
      <c r="I633" s="221"/>
      <c r="J633" s="221"/>
      <c r="K633" s="221"/>
      <c r="L633" s="221"/>
      <c r="M633" s="221"/>
      <c r="N633" s="221"/>
      <c r="O633" s="221"/>
      <c r="P633" s="221"/>
      <c r="Q633" s="221"/>
      <c r="R633" s="221"/>
      <c r="S633" s="221"/>
      <c r="T633" s="221"/>
      <c r="U633" s="221"/>
      <c r="V633" s="221"/>
      <c r="W633" s="221"/>
      <c r="X633" s="221"/>
      <c r="Y633" s="221"/>
      <c r="Z633" s="221"/>
      <c r="AA633" s="221"/>
      <c r="AB633" s="221"/>
    </row>
    <row r="634">
      <c r="A634" s="296"/>
      <c r="B634" s="296"/>
      <c r="C634" s="232"/>
      <c r="D634" s="232"/>
      <c r="E634" s="232"/>
      <c r="F634" s="232"/>
      <c r="G634" s="232"/>
      <c r="H634" s="232"/>
      <c r="I634" s="221"/>
      <c r="J634" s="221"/>
      <c r="K634" s="221"/>
      <c r="L634" s="221"/>
      <c r="M634" s="221"/>
      <c r="N634" s="221"/>
      <c r="O634" s="221"/>
      <c r="P634" s="221"/>
      <c r="Q634" s="221"/>
      <c r="R634" s="221"/>
      <c r="S634" s="221"/>
      <c r="T634" s="221"/>
      <c r="U634" s="221"/>
      <c r="V634" s="221"/>
      <c r="W634" s="221"/>
      <c r="X634" s="221"/>
      <c r="Y634" s="221"/>
      <c r="Z634" s="221"/>
      <c r="AA634" s="221"/>
      <c r="AB634" s="221"/>
    </row>
    <row r="635">
      <c r="A635" s="296"/>
      <c r="B635" s="296"/>
      <c r="C635" s="232"/>
      <c r="D635" s="232"/>
      <c r="E635" s="232"/>
      <c r="F635" s="232"/>
      <c r="G635" s="232"/>
      <c r="H635" s="232"/>
      <c r="I635" s="221"/>
      <c r="J635" s="221"/>
      <c r="K635" s="221"/>
      <c r="L635" s="221"/>
      <c r="M635" s="221"/>
      <c r="N635" s="221"/>
      <c r="O635" s="221"/>
      <c r="P635" s="221"/>
      <c r="Q635" s="221"/>
      <c r="R635" s="221"/>
      <c r="S635" s="221"/>
      <c r="T635" s="221"/>
      <c r="U635" s="221"/>
      <c r="V635" s="221"/>
      <c r="W635" s="221"/>
      <c r="X635" s="221"/>
      <c r="Y635" s="221"/>
      <c r="Z635" s="221"/>
      <c r="AA635" s="221"/>
      <c r="AB635" s="221"/>
    </row>
    <row r="636">
      <c r="A636" s="296"/>
      <c r="B636" s="296"/>
      <c r="C636" s="232"/>
      <c r="D636" s="232"/>
      <c r="E636" s="232"/>
      <c r="F636" s="232"/>
      <c r="G636" s="232"/>
      <c r="H636" s="232"/>
      <c r="I636" s="221"/>
      <c r="J636" s="221"/>
      <c r="K636" s="221"/>
      <c r="L636" s="221"/>
      <c r="M636" s="221"/>
      <c r="N636" s="221"/>
      <c r="O636" s="221"/>
      <c r="P636" s="221"/>
      <c r="Q636" s="221"/>
      <c r="R636" s="221"/>
      <c r="S636" s="221"/>
      <c r="T636" s="221"/>
      <c r="U636" s="221"/>
      <c r="V636" s="221"/>
      <c r="W636" s="221"/>
      <c r="X636" s="221"/>
      <c r="Y636" s="221"/>
      <c r="Z636" s="221"/>
      <c r="AA636" s="221"/>
      <c r="AB636" s="221"/>
    </row>
    <row r="637">
      <c r="A637" s="296"/>
      <c r="B637" s="296"/>
      <c r="C637" s="232"/>
      <c r="D637" s="232"/>
      <c r="E637" s="232"/>
      <c r="F637" s="232"/>
      <c r="G637" s="232"/>
      <c r="H637" s="232"/>
      <c r="I637" s="221"/>
      <c r="J637" s="221"/>
      <c r="K637" s="221"/>
      <c r="L637" s="221"/>
      <c r="M637" s="221"/>
      <c r="N637" s="221"/>
      <c r="O637" s="221"/>
      <c r="P637" s="221"/>
      <c r="Q637" s="221"/>
      <c r="R637" s="221"/>
      <c r="S637" s="221"/>
      <c r="T637" s="221"/>
      <c r="U637" s="221"/>
      <c r="V637" s="221"/>
      <c r="W637" s="221"/>
      <c r="X637" s="221"/>
      <c r="Y637" s="221"/>
      <c r="Z637" s="221"/>
      <c r="AA637" s="221"/>
      <c r="AB637" s="221"/>
    </row>
    <row r="638">
      <c r="A638" s="296"/>
      <c r="B638" s="296"/>
      <c r="C638" s="232"/>
      <c r="D638" s="232"/>
      <c r="E638" s="232"/>
      <c r="F638" s="232"/>
      <c r="G638" s="232"/>
      <c r="H638" s="232"/>
      <c r="I638" s="221"/>
      <c r="J638" s="221"/>
      <c r="K638" s="221"/>
      <c r="L638" s="221"/>
      <c r="M638" s="221"/>
      <c r="N638" s="221"/>
      <c r="O638" s="221"/>
      <c r="P638" s="221"/>
      <c r="Q638" s="221"/>
      <c r="R638" s="221"/>
      <c r="S638" s="221"/>
      <c r="T638" s="221"/>
      <c r="U638" s="221"/>
      <c r="V638" s="221"/>
      <c r="W638" s="221"/>
      <c r="X638" s="221"/>
      <c r="Y638" s="221"/>
      <c r="Z638" s="221"/>
      <c r="AA638" s="221"/>
      <c r="AB638" s="221"/>
    </row>
    <row r="639">
      <c r="A639" s="296"/>
      <c r="B639" s="296"/>
      <c r="C639" s="232"/>
      <c r="D639" s="232"/>
      <c r="E639" s="232"/>
      <c r="F639" s="232"/>
      <c r="G639" s="232"/>
      <c r="H639" s="232"/>
      <c r="I639" s="221"/>
      <c r="J639" s="221"/>
      <c r="K639" s="221"/>
      <c r="L639" s="221"/>
      <c r="M639" s="221"/>
      <c r="N639" s="221"/>
      <c r="O639" s="221"/>
      <c r="P639" s="221"/>
      <c r="Q639" s="221"/>
      <c r="R639" s="221"/>
      <c r="S639" s="221"/>
      <c r="T639" s="221"/>
      <c r="U639" s="221"/>
      <c r="V639" s="221"/>
      <c r="W639" s="221"/>
      <c r="X639" s="221"/>
      <c r="Y639" s="221"/>
      <c r="Z639" s="221"/>
      <c r="AA639" s="221"/>
      <c r="AB639" s="221"/>
    </row>
    <row r="640">
      <c r="A640" s="296"/>
      <c r="B640" s="296"/>
      <c r="C640" s="232"/>
      <c r="D640" s="232"/>
      <c r="E640" s="232"/>
      <c r="F640" s="232"/>
      <c r="G640" s="232"/>
      <c r="H640" s="232"/>
      <c r="I640" s="221"/>
      <c r="J640" s="221"/>
      <c r="K640" s="221"/>
      <c r="L640" s="221"/>
      <c r="M640" s="221"/>
      <c r="N640" s="221"/>
      <c r="O640" s="221"/>
      <c r="P640" s="221"/>
      <c r="Q640" s="221"/>
      <c r="R640" s="221"/>
      <c r="S640" s="221"/>
      <c r="T640" s="221"/>
      <c r="U640" s="221"/>
      <c r="V640" s="221"/>
      <c r="W640" s="221"/>
      <c r="X640" s="221"/>
      <c r="Y640" s="221"/>
      <c r="Z640" s="221"/>
      <c r="AA640" s="221"/>
      <c r="AB640" s="221"/>
    </row>
    <row r="641">
      <c r="A641" s="296"/>
      <c r="B641" s="296"/>
      <c r="C641" s="232"/>
      <c r="D641" s="232"/>
      <c r="E641" s="232"/>
      <c r="F641" s="232"/>
      <c r="G641" s="232"/>
      <c r="H641" s="232"/>
      <c r="I641" s="221"/>
      <c r="J641" s="221"/>
      <c r="K641" s="221"/>
      <c r="L641" s="221"/>
      <c r="M641" s="221"/>
      <c r="N641" s="221"/>
      <c r="O641" s="221"/>
      <c r="P641" s="221"/>
      <c r="Q641" s="221"/>
      <c r="R641" s="221"/>
      <c r="S641" s="221"/>
      <c r="T641" s="221"/>
      <c r="U641" s="221"/>
      <c r="V641" s="221"/>
      <c r="W641" s="221"/>
      <c r="X641" s="221"/>
      <c r="Y641" s="221"/>
      <c r="Z641" s="221"/>
      <c r="AA641" s="221"/>
      <c r="AB641" s="221"/>
    </row>
    <row r="642">
      <c r="A642" s="296"/>
      <c r="B642" s="296"/>
      <c r="C642" s="232"/>
      <c r="D642" s="232"/>
      <c r="E642" s="232"/>
      <c r="F642" s="232"/>
      <c r="G642" s="232"/>
      <c r="H642" s="232"/>
      <c r="I642" s="221"/>
      <c r="J642" s="221"/>
      <c r="K642" s="221"/>
      <c r="L642" s="221"/>
      <c r="M642" s="221"/>
      <c r="N642" s="221"/>
      <c r="O642" s="221"/>
      <c r="P642" s="221"/>
      <c r="Q642" s="221"/>
      <c r="R642" s="221"/>
      <c r="S642" s="221"/>
      <c r="T642" s="221"/>
      <c r="U642" s="221"/>
      <c r="V642" s="221"/>
      <c r="W642" s="221"/>
      <c r="X642" s="221"/>
      <c r="Y642" s="221"/>
      <c r="Z642" s="221"/>
      <c r="AA642" s="221"/>
      <c r="AB642" s="221"/>
    </row>
    <row r="643">
      <c r="A643" s="296"/>
      <c r="B643" s="296"/>
      <c r="C643" s="232"/>
      <c r="D643" s="232"/>
      <c r="E643" s="232"/>
      <c r="F643" s="232"/>
      <c r="G643" s="232"/>
      <c r="H643" s="232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</row>
    <row r="644">
      <c r="A644" s="296"/>
      <c r="B644" s="296"/>
      <c r="C644" s="232"/>
      <c r="D644" s="232"/>
      <c r="E644" s="232"/>
      <c r="F644" s="232"/>
      <c r="G644" s="232"/>
      <c r="H644" s="232"/>
      <c r="I644" s="221"/>
      <c r="J644" s="221"/>
      <c r="K644" s="221"/>
      <c r="L644" s="221"/>
      <c r="M644" s="221"/>
      <c r="N644" s="221"/>
      <c r="O644" s="221"/>
      <c r="P644" s="221"/>
      <c r="Q644" s="221"/>
      <c r="R644" s="221"/>
      <c r="S644" s="221"/>
      <c r="T644" s="221"/>
      <c r="U644" s="221"/>
      <c r="V644" s="221"/>
      <c r="W644" s="221"/>
      <c r="X644" s="221"/>
      <c r="Y644" s="221"/>
      <c r="Z644" s="221"/>
      <c r="AA644" s="221"/>
      <c r="AB644" s="221"/>
    </row>
    <row r="645">
      <c r="A645" s="296"/>
      <c r="B645" s="296"/>
      <c r="C645" s="232"/>
      <c r="D645" s="232"/>
      <c r="E645" s="232"/>
      <c r="F645" s="232"/>
      <c r="G645" s="232"/>
      <c r="H645" s="232"/>
      <c r="I645" s="221"/>
      <c r="J645" s="221"/>
      <c r="K645" s="221"/>
      <c r="L645" s="221"/>
      <c r="M645" s="221"/>
      <c r="N645" s="221"/>
      <c r="O645" s="221"/>
      <c r="P645" s="221"/>
      <c r="Q645" s="221"/>
      <c r="R645" s="221"/>
      <c r="S645" s="221"/>
      <c r="T645" s="221"/>
      <c r="U645" s="221"/>
      <c r="V645" s="221"/>
      <c r="W645" s="221"/>
      <c r="X645" s="221"/>
      <c r="Y645" s="221"/>
      <c r="Z645" s="221"/>
      <c r="AA645" s="221"/>
      <c r="AB645" s="221"/>
    </row>
    <row r="646">
      <c r="A646" s="296"/>
      <c r="B646" s="296"/>
      <c r="C646" s="232"/>
      <c r="D646" s="232"/>
      <c r="E646" s="232"/>
      <c r="F646" s="232"/>
      <c r="G646" s="232"/>
      <c r="H646" s="232"/>
      <c r="I646" s="221"/>
      <c r="J646" s="221"/>
      <c r="K646" s="221"/>
      <c r="L646" s="221"/>
      <c r="M646" s="221"/>
      <c r="N646" s="221"/>
      <c r="O646" s="221"/>
      <c r="P646" s="221"/>
      <c r="Q646" s="221"/>
      <c r="R646" s="221"/>
      <c r="S646" s="221"/>
      <c r="T646" s="221"/>
      <c r="U646" s="221"/>
      <c r="V646" s="221"/>
      <c r="W646" s="221"/>
      <c r="X646" s="221"/>
      <c r="Y646" s="221"/>
      <c r="Z646" s="221"/>
      <c r="AA646" s="221"/>
      <c r="AB646" s="221"/>
    </row>
    <row r="647">
      <c r="A647" s="296"/>
      <c r="B647" s="296"/>
      <c r="C647" s="232"/>
      <c r="D647" s="232"/>
      <c r="E647" s="232"/>
      <c r="F647" s="232"/>
      <c r="G647" s="232"/>
      <c r="H647" s="232"/>
      <c r="I647" s="221"/>
      <c r="J647" s="221"/>
      <c r="K647" s="221"/>
      <c r="L647" s="221"/>
      <c r="M647" s="221"/>
      <c r="N647" s="221"/>
      <c r="O647" s="221"/>
      <c r="P647" s="221"/>
      <c r="Q647" s="221"/>
      <c r="R647" s="221"/>
      <c r="S647" s="221"/>
      <c r="T647" s="221"/>
      <c r="U647" s="221"/>
      <c r="V647" s="221"/>
      <c r="W647" s="221"/>
      <c r="X647" s="221"/>
      <c r="Y647" s="221"/>
      <c r="Z647" s="221"/>
      <c r="AA647" s="221"/>
      <c r="AB647" s="221"/>
    </row>
    <row r="648">
      <c r="A648" s="296"/>
      <c r="B648" s="296"/>
      <c r="C648" s="232"/>
      <c r="D648" s="232"/>
      <c r="E648" s="232"/>
      <c r="F648" s="232"/>
      <c r="G648" s="232"/>
      <c r="H648" s="232"/>
      <c r="I648" s="221"/>
      <c r="J648" s="221"/>
      <c r="K648" s="221"/>
      <c r="L648" s="221"/>
      <c r="M648" s="221"/>
      <c r="N648" s="221"/>
      <c r="O648" s="221"/>
      <c r="P648" s="221"/>
      <c r="Q648" s="221"/>
      <c r="R648" s="221"/>
      <c r="S648" s="221"/>
      <c r="T648" s="221"/>
      <c r="U648" s="221"/>
      <c r="V648" s="221"/>
      <c r="W648" s="221"/>
      <c r="X648" s="221"/>
      <c r="Y648" s="221"/>
      <c r="Z648" s="221"/>
      <c r="AA648" s="221"/>
      <c r="AB648" s="221"/>
    </row>
    <row r="649">
      <c r="A649" s="296"/>
      <c r="B649" s="296"/>
      <c r="C649" s="232"/>
      <c r="D649" s="232"/>
      <c r="E649" s="232"/>
      <c r="F649" s="232"/>
      <c r="G649" s="232"/>
      <c r="H649" s="232"/>
      <c r="I649" s="221"/>
      <c r="J649" s="221"/>
      <c r="K649" s="221"/>
      <c r="L649" s="221"/>
      <c r="M649" s="221"/>
      <c r="N649" s="221"/>
      <c r="O649" s="221"/>
      <c r="P649" s="221"/>
      <c r="Q649" s="221"/>
      <c r="R649" s="221"/>
      <c r="S649" s="221"/>
      <c r="T649" s="221"/>
      <c r="U649" s="221"/>
      <c r="V649" s="221"/>
      <c r="W649" s="221"/>
      <c r="X649" s="221"/>
      <c r="Y649" s="221"/>
      <c r="Z649" s="221"/>
      <c r="AA649" s="221"/>
      <c r="AB649" s="221"/>
    </row>
    <row r="650">
      <c r="A650" s="296"/>
      <c r="B650" s="296"/>
      <c r="C650" s="232"/>
      <c r="D650" s="232"/>
      <c r="E650" s="232"/>
      <c r="F650" s="232"/>
      <c r="G650" s="232"/>
      <c r="H650" s="232"/>
      <c r="I650" s="221"/>
      <c r="J650" s="221"/>
      <c r="K650" s="221"/>
      <c r="L650" s="221"/>
      <c r="M650" s="221"/>
      <c r="N650" s="221"/>
      <c r="O650" s="221"/>
      <c r="P650" s="221"/>
      <c r="Q650" s="221"/>
      <c r="R650" s="221"/>
      <c r="S650" s="221"/>
      <c r="T650" s="221"/>
      <c r="U650" s="221"/>
      <c r="V650" s="221"/>
      <c r="W650" s="221"/>
      <c r="X650" s="221"/>
      <c r="Y650" s="221"/>
      <c r="Z650" s="221"/>
      <c r="AA650" s="221"/>
      <c r="AB650" s="221"/>
    </row>
    <row r="651">
      <c r="A651" s="296"/>
      <c r="B651" s="296"/>
      <c r="C651" s="232"/>
      <c r="D651" s="232"/>
      <c r="E651" s="232"/>
      <c r="F651" s="232"/>
      <c r="G651" s="232"/>
      <c r="H651" s="232"/>
      <c r="I651" s="221"/>
      <c r="J651" s="221"/>
      <c r="K651" s="221"/>
      <c r="L651" s="221"/>
      <c r="M651" s="221"/>
      <c r="N651" s="221"/>
      <c r="O651" s="221"/>
      <c r="P651" s="221"/>
      <c r="Q651" s="221"/>
      <c r="R651" s="221"/>
      <c r="S651" s="221"/>
      <c r="T651" s="221"/>
      <c r="U651" s="221"/>
      <c r="V651" s="221"/>
      <c r="W651" s="221"/>
      <c r="X651" s="221"/>
      <c r="Y651" s="221"/>
      <c r="Z651" s="221"/>
      <c r="AA651" s="221"/>
      <c r="AB651" s="221"/>
    </row>
    <row r="652">
      <c r="A652" s="296"/>
      <c r="B652" s="296"/>
      <c r="C652" s="232"/>
      <c r="D652" s="232"/>
      <c r="E652" s="232"/>
      <c r="F652" s="232"/>
      <c r="G652" s="232"/>
      <c r="H652" s="232"/>
      <c r="I652" s="221"/>
      <c r="J652" s="221"/>
      <c r="K652" s="221"/>
      <c r="L652" s="221"/>
      <c r="M652" s="221"/>
      <c r="N652" s="221"/>
      <c r="O652" s="221"/>
      <c r="P652" s="221"/>
      <c r="Q652" s="221"/>
      <c r="R652" s="221"/>
      <c r="S652" s="221"/>
      <c r="T652" s="221"/>
      <c r="U652" s="221"/>
      <c r="V652" s="221"/>
      <c r="W652" s="221"/>
      <c r="X652" s="221"/>
      <c r="Y652" s="221"/>
      <c r="Z652" s="221"/>
      <c r="AA652" s="221"/>
      <c r="AB652" s="221"/>
    </row>
    <row r="653">
      <c r="A653" s="296"/>
      <c r="B653" s="296"/>
      <c r="C653" s="232"/>
      <c r="D653" s="232"/>
      <c r="E653" s="232"/>
      <c r="F653" s="232"/>
      <c r="G653" s="232"/>
      <c r="H653" s="232"/>
      <c r="I653" s="221"/>
      <c r="J653" s="221"/>
      <c r="K653" s="221"/>
      <c r="L653" s="221"/>
      <c r="M653" s="221"/>
      <c r="N653" s="221"/>
      <c r="O653" s="221"/>
      <c r="P653" s="221"/>
      <c r="Q653" s="221"/>
      <c r="R653" s="221"/>
      <c r="S653" s="221"/>
      <c r="T653" s="221"/>
      <c r="U653" s="221"/>
      <c r="V653" s="221"/>
      <c r="W653" s="221"/>
      <c r="X653" s="221"/>
      <c r="Y653" s="221"/>
      <c r="Z653" s="221"/>
      <c r="AA653" s="221"/>
      <c r="AB653" s="221"/>
    </row>
    <row r="654">
      <c r="A654" s="296"/>
      <c r="B654" s="296"/>
      <c r="C654" s="232"/>
      <c r="D654" s="232"/>
      <c r="E654" s="232"/>
      <c r="F654" s="232"/>
      <c r="G654" s="232"/>
      <c r="H654" s="232"/>
      <c r="I654" s="221"/>
      <c r="J654" s="221"/>
      <c r="K654" s="221"/>
      <c r="L654" s="221"/>
      <c r="M654" s="221"/>
      <c r="N654" s="221"/>
      <c r="O654" s="221"/>
      <c r="P654" s="221"/>
      <c r="Q654" s="221"/>
      <c r="R654" s="221"/>
      <c r="S654" s="221"/>
      <c r="T654" s="221"/>
      <c r="U654" s="221"/>
      <c r="V654" s="221"/>
      <c r="W654" s="221"/>
      <c r="X654" s="221"/>
      <c r="Y654" s="221"/>
      <c r="Z654" s="221"/>
      <c r="AA654" s="221"/>
      <c r="AB654" s="221"/>
    </row>
    <row r="655">
      <c r="A655" s="296"/>
      <c r="B655" s="296"/>
      <c r="C655" s="232"/>
      <c r="D655" s="232"/>
      <c r="E655" s="232"/>
      <c r="F655" s="232"/>
      <c r="G655" s="232"/>
      <c r="H655" s="232"/>
      <c r="I655" s="221"/>
      <c r="J655" s="221"/>
      <c r="K655" s="221"/>
      <c r="L655" s="221"/>
      <c r="M655" s="221"/>
      <c r="N655" s="221"/>
      <c r="O655" s="221"/>
      <c r="P655" s="221"/>
      <c r="Q655" s="221"/>
      <c r="R655" s="221"/>
      <c r="S655" s="221"/>
      <c r="T655" s="221"/>
      <c r="U655" s="221"/>
      <c r="V655" s="221"/>
      <c r="W655" s="221"/>
      <c r="X655" s="221"/>
      <c r="Y655" s="221"/>
      <c r="Z655" s="221"/>
      <c r="AA655" s="221"/>
      <c r="AB655" s="221"/>
    </row>
    <row r="656">
      <c r="A656" s="296"/>
      <c r="B656" s="296"/>
      <c r="C656" s="232"/>
      <c r="D656" s="232"/>
      <c r="E656" s="232"/>
      <c r="F656" s="232"/>
      <c r="G656" s="232"/>
      <c r="H656" s="232"/>
      <c r="I656" s="221"/>
      <c r="J656" s="221"/>
      <c r="K656" s="221"/>
      <c r="L656" s="221"/>
      <c r="M656" s="221"/>
      <c r="N656" s="221"/>
      <c r="O656" s="221"/>
      <c r="P656" s="221"/>
      <c r="Q656" s="221"/>
      <c r="R656" s="221"/>
      <c r="S656" s="221"/>
      <c r="T656" s="221"/>
      <c r="U656" s="221"/>
      <c r="V656" s="221"/>
      <c r="W656" s="221"/>
      <c r="X656" s="221"/>
      <c r="Y656" s="221"/>
      <c r="Z656" s="221"/>
      <c r="AA656" s="221"/>
      <c r="AB656" s="221"/>
    </row>
    <row r="657">
      <c r="A657" s="296"/>
      <c r="B657" s="296"/>
      <c r="C657" s="232"/>
      <c r="D657" s="232"/>
      <c r="E657" s="232"/>
      <c r="F657" s="232"/>
      <c r="G657" s="232"/>
      <c r="H657" s="232"/>
      <c r="I657" s="221"/>
      <c r="J657" s="221"/>
      <c r="K657" s="221"/>
      <c r="L657" s="221"/>
      <c r="M657" s="221"/>
      <c r="N657" s="221"/>
      <c r="O657" s="221"/>
      <c r="P657" s="221"/>
      <c r="Q657" s="221"/>
      <c r="R657" s="221"/>
      <c r="S657" s="221"/>
      <c r="T657" s="221"/>
      <c r="U657" s="221"/>
      <c r="V657" s="221"/>
      <c r="W657" s="221"/>
      <c r="X657" s="221"/>
      <c r="Y657" s="221"/>
      <c r="Z657" s="221"/>
      <c r="AA657" s="221"/>
      <c r="AB657" s="221"/>
    </row>
    <row r="658">
      <c r="A658" s="296"/>
      <c r="B658" s="296"/>
      <c r="C658" s="232"/>
      <c r="D658" s="232"/>
      <c r="E658" s="232"/>
      <c r="F658" s="232"/>
      <c r="G658" s="232"/>
      <c r="H658" s="232"/>
      <c r="I658" s="221"/>
      <c r="J658" s="221"/>
      <c r="K658" s="221"/>
      <c r="L658" s="221"/>
      <c r="M658" s="221"/>
      <c r="N658" s="221"/>
      <c r="O658" s="221"/>
      <c r="P658" s="221"/>
      <c r="Q658" s="221"/>
      <c r="R658" s="221"/>
      <c r="S658" s="221"/>
      <c r="T658" s="221"/>
      <c r="U658" s="221"/>
      <c r="V658" s="221"/>
      <c r="W658" s="221"/>
      <c r="X658" s="221"/>
      <c r="Y658" s="221"/>
      <c r="Z658" s="221"/>
      <c r="AA658" s="221"/>
      <c r="AB658" s="221"/>
    </row>
    <row r="659">
      <c r="A659" s="296"/>
      <c r="B659" s="296"/>
      <c r="C659" s="232"/>
      <c r="D659" s="232"/>
      <c r="E659" s="232"/>
      <c r="F659" s="232"/>
      <c r="G659" s="232"/>
      <c r="H659" s="232"/>
      <c r="I659" s="221"/>
      <c r="J659" s="221"/>
      <c r="K659" s="221"/>
      <c r="L659" s="221"/>
      <c r="M659" s="221"/>
      <c r="N659" s="221"/>
      <c r="O659" s="221"/>
      <c r="P659" s="221"/>
      <c r="Q659" s="221"/>
      <c r="R659" s="221"/>
      <c r="S659" s="221"/>
      <c r="T659" s="221"/>
      <c r="U659" s="221"/>
      <c r="V659" s="221"/>
      <c r="W659" s="221"/>
      <c r="X659" s="221"/>
      <c r="Y659" s="221"/>
      <c r="Z659" s="221"/>
      <c r="AA659" s="221"/>
      <c r="AB659" s="221"/>
    </row>
    <row r="660">
      <c r="A660" s="296"/>
      <c r="B660" s="296"/>
      <c r="C660" s="232"/>
      <c r="D660" s="232"/>
      <c r="E660" s="232"/>
      <c r="F660" s="232"/>
      <c r="G660" s="232"/>
      <c r="H660" s="232"/>
      <c r="I660" s="221"/>
      <c r="J660" s="221"/>
      <c r="K660" s="221"/>
      <c r="L660" s="221"/>
      <c r="M660" s="221"/>
      <c r="N660" s="221"/>
      <c r="O660" s="221"/>
      <c r="P660" s="221"/>
      <c r="Q660" s="221"/>
      <c r="R660" s="221"/>
      <c r="S660" s="221"/>
      <c r="T660" s="221"/>
      <c r="U660" s="221"/>
      <c r="V660" s="221"/>
      <c r="W660" s="221"/>
      <c r="X660" s="221"/>
      <c r="Y660" s="221"/>
      <c r="Z660" s="221"/>
      <c r="AA660" s="221"/>
      <c r="AB660" s="221"/>
    </row>
    <row r="661">
      <c r="A661" s="296"/>
      <c r="B661" s="296"/>
      <c r="C661" s="232"/>
      <c r="D661" s="232"/>
      <c r="E661" s="232"/>
      <c r="F661" s="232"/>
      <c r="G661" s="232"/>
      <c r="H661" s="232"/>
      <c r="I661" s="221"/>
      <c r="J661" s="221"/>
      <c r="K661" s="221"/>
      <c r="L661" s="221"/>
      <c r="M661" s="221"/>
      <c r="N661" s="221"/>
      <c r="O661" s="221"/>
      <c r="P661" s="221"/>
      <c r="Q661" s="221"/>
      <c r="R661" s="221"/>
      <c r="S661" s="221"/>
      <c r="T661" s="221"/>
      <c r="U661" s="221"/>
      <c r="V661" s="221"/>
      <c r="W661" s="221"/>
      <c r="X661" s="221"/>
      <c r="Y661" s="221"/>
      <c r="Z661" s="221"/>
      <c r="AA661" s="221"/>
      <c r="AB661" s="221"/>
    </row>
    <row r="662">
      <c r="A662" s="296"/>
      <c r="B662" s="296"/>
      <c r="C662" s="232"/>
      <c r="D662" s="232"/>
      <c r="E662" s="232"/>
      <c r="F662" s="232"/>
      <c r="G662" s="232"/>
      <c r="H662" s="232"/>
      <c r="I662" s="221"/>
      <c r="J662" s="221"/>
      <c r="K662" s="221"/>
      <c r="L662" s="221"/>
      <c r="M662" s="221"/>
      <c r="N662" s="221"/>
      <c r="O662" s="221"/>
      <c r="P662" s="221"/>
      <c r="Q662" s="221"/>
      <c r="R662" s="221"/>
      <c r="S662" s="221"/>
      <c r="T662" s="221"/>
      <c r="U662" s="221"/>
      <c r="V662" s="221"/>
      <c r="W662" s="221"/>
      <c r="X662" s="221"/>
      <c r="Y662" s="221"/>
      <c r="Z662" s="221"/>
      <c r="AA662" s="221"/>
      <c r="AB662" s="221"/>
    </row>
    <row r="663">
      <c r="A663" s="296"/>
      <c r="B663" s="296"/>
      <c r="C663" s="232"/>
      <c r="D663" s="232"/>
      <c r="E663" s="232"/>
      <c r="F663" s="232"/>
      <c r="G663" s="232"/>
      <c r="H663" s="232"/>
      <c r="I663" s="221"/>
      <c r="J663" s="221"/>
      <c r="K663" s="221"/>
      <c r="L663" s="221"/>
      <c r="M663" s="221"/>
      <c r="N663" s="221"/>
      <c r="O663" s="221"/>
      <c r="P663" s="221"/>
      <c r="Q663" s="221"/>
      <c r="R663" s="221"/>
      <c r="S663" s="221"/>
      <c r="T663" s="221"/>
      <c r="U663" s="221"/>
      <c r="V663" s="221"/>
      <c r="W663" s="221"/>
      <c r="X663" s="221"/>
      <c r="Y663" s="221"/>
      <c r="Z663" s="221"/>
      <c r="AA663" s="221"/>
      <c r="AB663" s="221"/>
    </row>
    <row r="664">
      <c r="A664" s="296"/>
      <c r="B664" s="296"/>
      <c r="C664" s="232"/>
      <c r="D664" s="232"/>
      <c r="E664" s="232"/>
      <c r="F664" s="232"/>
      <c r="G664" s="232"/>
      <c r="H664" s="232"/>
      <c r="I664" s="221"/>
      <c r="J664" s="221"/>
      <c r="K664" s="221"/>
      <c r="L664" s="221"/>
      <c r="M664" s="221"/>
      <c r="N664" s="221"/>
      <c r="O664" s="221"/>
      <c r="P664" s="221"/>
      <c r="Q664" s="221"/>
      <c r="R664" s="221"/>
      <c r="S664" s="221"/>
      <c r="T664" s="221"/>
      <c r="U664" s="221"/>
      <c r="V664" s="221"/>
      <c r="W664" s="221"/>
      <c r="X664" s="221"/>
      <c r="Y664" s="221"/>
      <c r="Z664" s="221"/>
      <c r="AA664" s="221"/>
      <c r="AB664" s="221"/>
    </row>
    <row r="665">
      <c r="A665" s="296"/>
      <c r="B665" s="296"/>
      <c r="C665" s="232"/>
      <c r="D665" s="232"/>
      <c r="E665" s="232"/>
      <c r="F665" s="232"/>
      <c r="G665" s="232"/>
      <c r="H665" s="232"/>
      <c r="I665" s="221"/>
      <c r="J665" s="221"/>
      <c r="K665" s="221"/>
      <c r="L665" s="221"/>
      <c r="M665" s="221"/>
      <c r="N665" s="221"/>
      <c r="O665" s="221"/>
      <c r="P665" s="221"/>
      <c r="Q665" s="221"/>
      <c r="R665" s="221"/>
      <c r="S665" s="221"/>
      <c r="T665" s="221"/>
      <c r="U665" s="221"/>
      <c r="V665" s="221"/>
      <c r="W665" s="221"/>
      <c r="X665" s="221"/>
      <c r="Y665" s="221"/>
      <c r="Z665" s="221"/>
      <c r="AA665" s="221"/>
      <c r="AB665" s="221"/>
    </row>
    <row r="666">
      <c r="A666" s="296"/>
      <c r="B666" s="296"/>
      <c r="C666" s="232"/>
      <c r="D666" s="232"/>
      <c r="E666" s="232"/>
      <c r="F666" s="232"/>
      <c r="G666" s="232"/>
      <c r="H666" s="232"/>
      <c r="I666" s="221"/>
      <c r="J666" s="221"/>
      <c r="K666" s="221"/>
      <c r="L666" s="221"/>
      <c r="M666" s="221"/>
      <c r="N666" s="221"/>
      <c r="O666" s="221"/>
      <c r="P666" s="221"/>
      <c r="Q666" s="221"/>
      <c r="R666" s="221"/>
      <c r="S666" s="221"/>
      <c r="T666" s="221"/>
      <c r="U666" s="221"/>
      <c r="V666" s="221"/>
      <c r="W666" s="221"/>
      <c r="X666" s="221"/>
      <c r="Y666" s="221"/>
      <c r="Z666" s="221"/>
      <c r="AA666" s="221"/>
      <c r="AB666" s="221"/>
    </row>
    <row r="667">
      <c r="A667" s="296"/>
      <c r="B667" s="296"/>
      <c r="C667" s="232"/>
      <c r="D667" s="232"/>
      <c r="E667" s="232"/>
      <c r="F667" s="232"/>
      <c r="G667" s="232"/>
      <c r="H667" s="232"/>
      <c r="I667" s="221"/>
      <c r="J667" s="221"/>
      <c r="K667" s="221"/>
      <c r="L667" s="221"/>
      <c r="M667" s="221"/>
      <c r="N667" s="221"/>
      <c r="O667" s="221"/>
      <c r="P667" s="221"/>
      <c r="Q667" s="221"/>
      <c r="R667" s="221"/>
      <c r="S667" s="221"/>
      <c r="T667" s="221"/>
      <c r="U667" s="221"/>
      <c r="V667" s="221"/>
      <c r="W667" s="221"/>
      <c r="X667" s="221"/>
      <c r="Y667" s="221"/>
      <c r="Z667" s="221"/>
      <c r="AA667" s="221"/>
      <c r="AB667" s="221"/>
    </row>
    <row r="668">
      <c r="A668" s="296"/>
      <c r="B668" s="296"/>
      <c r="C668" s="232"/>
      <c r="D668" s="232"/>
      <c r="E668" s="232"/>
      <c r="F668" s="232"/>
      <c r="G668" s="232"/>
      <c r="H668" s="232"/>
      <c r="I668" s="221"/>
      <c r="J668" s="221"/>
      <c r="K668" s="221"/>
      <c r="L668" s="221"/>
      <c r="M668" s="221"/>
      <c r="N668" s="221"/>
      <c r="O668" s="221"/>
      <c r="P668" s="221"/>
      <c r="Q668" s="221"/>
      <c r="R668" s="221"/>
      <c r="S668" s="221"/>
      <c r="T668" s="221"/>
      <c r="U668" s="221"/>
      <c r="V668" s="221"/>
      <c r="W668" s="221"/>
      <c r="X668" s="221"/>
      <c r="Y668" s="221"/>
      <c r="Z668" s="221"/>
      <c r="AA668" s="221"/>
      <c r="AB668" s="221"/>
    </row>
    <row r="669">
      <c r="A669" s="296"/>
      <c r="B669" s="296"/>
      <c r="C669" s="232"/>
      <c r="D669" s="232"/>
      <c r="E669" s="232"/>
      <c r="F669" s="232"/>
      <c r="G669" s="232"/>
      <c r="H669" s="232"/>
      <c r="I669" s="221"/>
      <c r="J669" s="221"/>
      <c r="K669" s="221"/>
      <c r="L669" s="221"/>
      <c r="M669" s="221"/>
      <c r="N669" s="221"/>
      <c r="O669" s="221"/>
      <c r="P669" s="221"/>
      <c r="Q669" s="221"/>
      <c r="R669" s="221"/>
      <c r="S669" s="221"/>
      <c r="T669" s="221"/>
      <c r="U669" s="221"/>
      <c r="V669" s="221"/>
      <c r="W669" s="221"/>
      <c r="X669" s="221"/>
      <c r="Y669" s="221"/>
      <c r="Z669" s="221"/>
      <c r="AA669" s="221"/>
      <c r="AB669" s="221"/>
    </row>
    <row r="670">
      <c r="A670" s="296"/>
      <c r="B670" s="296"/>
      <c r="C670" s="232"/>
      <c r="D670" s="232"/>
      <c r="E670" s="232"/>
      <c r="F670" s="232"/>
      <c r="G670" s="232"/>
      <c r="H670" s="232"/>
      <c r="I670" s="221"/>
      <c r="J670" s="221"/>
      <c r="K670" s="221"/>
      <c r="L670" s="221"/>
      <c r="M670" s="221"/>
      <c r="N670" s="221"/>
      <c r="O670" s="221"/>
      <c r="P670" s="221"/>
      <c r="Q670" s="221"/>
      <c r="R670" s="221"/>
      <c r="S670" s="221"/>
      <c r="T670" s="221"/>
      <c r="U670" s="221"/>
      <c r="V670" s="221"/>
      <c r="W670" s="221"/>
      <c r="X670" s="221"/>
      <c r="Y670" s="221"/>
      <c r="Z670" s="221"/>
      <c r="AA670" s="221"/>
      <c r="AB670" s="221"/>
    </row>
    <row r="671">
      <c r="A671" s="296"/>
      <c r="B671" s="296"/>
      <c r="C671" s="232"/>
      <c r="D671" s="232"/>
      <c r="E671" s="232"/>
      <c r="F671" s="232"/>
      <c r="G671" s="232"/>
      <c r="H671" s="232"/>
      <c r="I671" s="221"/>
      <c r="J671" s="221"/>
      <c r="K671" s="221"/>
      <c r="L671" s="221"/>
      <c r="M671" s="221"/>
      <c r="N671" s="221"/>
      <c r="O671" s="221"/>
      <c r="P671" s="221"/>
      <c r="Q671" s="221"/>
      <c r="R671" s="221"/>
      <c r="S671" s="221"/>
      <c r="T671" s="221"/>
      <c r="U671" s="221"/>
      <c r="V671" s="221"/>
      <c r="W671" s="221"/>
      <c r="X671" s="221"/>
      <c r="Y671" s="221"/>
      <c r="Z671" s="221"/>
      <c r="AA671" s="221"/>
      <c r="AB671" s="221"/>
    </row>
    <row r="672">
      <c r="A672" s="296"/>
      <c r="B672" s="296"/>
      <c r="C672" s="232"/>
      <c r="D672" s="232"/>
      <c r="E672" s="232"/>
      <c r="F672" s="232"/>
      <c r="G672" s="232"/>
      <c r="H672" s="232"/>
      <c r="I672" s="221"/>
      <c r="J672" s="221"/>
      <c r="K672" s="221"/>
      <c r="L672" s="221"/>
      <c r="M672" s="221"/>
      <c r="N672" s="221"/>
      <c r="O672" s="221"/>
      <c r="P672" s="221"/>
      <c r="Q672" s="221"/>
      <c r="R672" s="221"/>
      <c r="S672" s="221"/>
      <c r="T672" s="221"/>
      <c r="U672" s="221"/>
      <c r="V672" s="221"/>
      <c r="W672" s="221"/>
      <c r="X672" s="221"/>
      <c r="Y672" s="221"/>
      <c r="Z672" s="221"/>
      <c r="AA672" s="221"/>
      <c r="AB672" s="221"/>
    </row>
    <row r="673">
      <c r="A673" s="296"/>
      <c r="B673" s="296"/>
      <c r="C673" s="232"/>
      <c r="D673" s="232"/>
      <c r="E673" s="232"/>
      <c r="F673" s="232"/>
      <c r="G673" s="232"/>
      <c r="H673" s="232"/>
      <c r="I673" s="221"/>
      <c r="J673" s="221"/>
      <c r="K673" s="221"/>
      <c r="L673" s="221"/>
      <c r="M673" s="221"/>
      <c r="N673" s="221"/>
      <c r="O673" s="221"/>
      <c r="P673" s="221"/>
      <c r="Q673" s="221"/>
      <c r="R673" s="221"/>
      <c r="S673" s="221"/>
      <c r="T673" s="221"/>
      <c r="U673" s="221"/>
      <c r="V673" s="221"/>
      <c r="W673" s="221"/>
      <c r="X673" s="221"/>
      <c r="Y673" s="221"/>
      <c r="Z673" s="221"/>
      <c r="AA673" s="221"/>
      <c r="AB673" s="221"/>
    </row>
    <row r="674">
      <c r="A674" s="296"/>
      <c r="B674" s="296"/>
      <c r="C674" s="232"/>
      <c r="D674" s="232"/>
      <c r="E674" s="232"/>
      <c r="F674" s="232"/>
      <c r="G674" s="232"/>
      <c r="H674" s="232"/>
      <c r="I674" s="221"/>
      <c r="J674" s="221"/>
      <c r="K674" s="221"/>
      <c r="L674" s="221"/>
      <c r="M674" s="221"/>
      <c r="N674" s="221"/>
      <c r="O674" s="221"/>
      <c r="P674" s="221"/>
      <c r="Q674" s="221"/>
      <c r="R674" s="221"/>
      <c r="S674" s="221"/>
      <c r="T674" s="221"/>
      <c r="U674" s="221"/>
      <c r="V674" s="221"/>
      <c r="W674" s="221"/>
      <c r="X674" s="221"/>
      <c r="Y674" s="221"/>
      <c r="Z674" s="221"/>
      <c r="AA674" s="221"/>
      <c r="AB674" s="221"/>
    </row>
    <row r="675">
      <c r="A675" s="296"/>
      <c r="B675" s="296"/>
      <c r="C675" s="232"/>
      <c r="D675" s="232"/>
      <c r="E675" s="232"/>
      <c r="F675" s="232"/>
      <c r="G675" s="232"/>
      <c r="H675" s="232"/>
      <c r="I675" s="221"/>
      <c r="J675" s="221"/>
      <c r="K675" s="221"/>
      <c r="L675" s="221"/>
      <c r="M675" s="221"/>
      <c r="N675" s="221"/>
      <c r="O675" s="221"/>
      <c r="P675" s="221"/>
      <c r="Q675" s="221"/>
      <c r="R675" s="221"/>
      <c r="S675" s="221"/>
      <c r="T675" s="221"/>
      <c r="U675" s="221"/>
      <c r="V675" s="221"/>
      <c r="W675" s="221"/>
      <c r="X675" s="221"/>
      <c r="Y675" s="221"/>
      <c r="Z675" s="221"/>
      <c r="AA675" s="221"/>
      <c r="AB675" s="221"/>
    </row>
    <row r="676">
      <c r="A676" s="296"/>
      <c r="B676" s="296"/>
      <c r="C676" s="232"/>
      <c r="D676" s="232"/>
      <c r="E676" s="232"/>
      <c r="F676" s="232"/>
      <c r="G676" s="232"/>
      <c r="H676" s="232"/>
      <c r="I676" s="221"/>
      <c r="J676" s="221"/>
      <c r="K676" s="221"/>
      <c r="L676" s="221"/>
      <c r="M676" s="221"/>
      <c r="N676" s="221"/>
      <c r="O676" s="221"/>
      <c r="P676" s="221"/>
      <c r="Q676" s="221"/>
      <c r="R676" s="221"/>
      <c r="S676" s="221"/>
      <c r="T676" s="221"/>
      <c r="U676" s="221"/>
      <c r="V676" s="221"/>
      <c r="W676" s="221"/>
      <c r="X676" s="221"/>
      <c r="Y676" s="221"/>
      <c r="Z676" s="221"/>
      <c r="AA676" s="221"/>
      <c r="AB676" s="221"/>
    </row>
    <row r="677">
      <c r="A677" s="296"/>
      <c r="B677" s="296"/>
      <c r="C677" s="232"/>
      <c r="D677" s="232"/>
      <c r="E677" s="232"/>
      <c r="F677" s="232"/>
      <c r="G677" s="232"/>
      <c r="H677" s="232"/>
      <c r="I677" s="221"/>
      <c r="J677" s="221"/>
      <c r="K677" s="221"/>
      <c r="L677" s="221"/>
      <c r="M677" s="221"/>
      <c r="N677" s="221"/>
      <c r="O677" s="221"/>
      <c r="P677" s="221"/>
      <c r="Q677" s="221"/>
      <c r="R677" s="221"/>
      <c r="S677" s="221"/>
      <c r="T677" s="221"/>
      <c r="U677" s="221"/>
      <c r="V677" s="221"/>
      <c r="W677" s="221"/>
      <c r="X677" s="221"/>
      <c r="Y677" s="221"/>
      <c r="Z677" s="221"/>
      <c r="AA677" s="221"/>
      <c r="AB677" s="221"/>
    </row>
    <row r="678">
      <c r="A678" s="296"/>
      <c r="B678" s="296"/>
      <c r="C678" s="232"/>
      <c r="D678" s="232"/>
      <c r="E678" s="232"/>
      <c r="F678" s="232"/>
      <c r="G678" s="232"/>
      <c r="H678" s="232"/>
      <c r="I678" s="221"/>
      <c r="J678" s="221"/>
      <c r="K678" s="221"/>
      <c r="L678" s="221"/>
      <c r="M678" s="221"/>
      <c r="N678" s="221"/>
      <c r="O678" s="221"/>
      <c r="P678" s="221"/>
      <c r="Q678" s="221"/>
      <c r="R678" s="221"/>
      <c r="S678" s="221"/>
      <c r="T678" s="221"/>
      <c r="U678" s="221"/>
      <c r="V678" s="221"/>
      <c r="W678" s="221"/>
      <c r="X678" s="221"/>
      <c r="Y678" s="221"/>
      <c r="Z678" s="221"/>
      <c r="AA678" s="221"/>
      <c r="AB678" s="221"/>
    </row>
    <row r="679">
      <c r="A679" s="296"/>
      <c r="B679" s="296"/>
      <c r="C679" s="232"/>
      <c r="D679" s="232"/>
      <c r="E679" s="232"/>
      <c r="F679" s="232"/>
      <c r="G679" s="232"/>
      <c r="H679" s="232"/>
      <c r="I679" s="221"/>
      <c r="J679" s="221"/>
      <c r="K679" s="221"/>
      <c r="L679" s="221"/>
      <c r="M679" s="221"/>
      <c r="N679" s="221"/>
      <c r="O679" s="221"/>
      <c r="P679" s="221"/>
      <c r="Q679" s="221"/>
      <c r="R679" s="221"/>
      <c r="S679" s="221"/>
      <c r="T679" s="221"/>
      <c r="U679" s="221"/>
      <c r="V679" s="221"/>
      <c r="W679" s="221"/>
      <c r="X679" s="221"/>
      <c r="Y679" s="221"/>
      <c r="Z679" s="221"/>
      <c r="AA679" s="221"/>
      <c r="AB679" s="221"/>
    </row>
    <row r="680">
      <c r="A680" s="296"/>
      <c r="B680" s="296"/>
      <c r="C680" s="232"/>
      <c r="D680" s="232"/>
      <c r="E680" s="232"/>
      <c r="F680" s="232"/>
      <c r="G680" s="232"/>
      <c r="H680" s="232"/>
      <c r="I680" s="221"/>
      <c r="J680" s="221"/>
      <c r="K680" s="221"/>
      <c r="L680" s="221"/>
      <c r="M680" s="221"/>
      <c r="N680" s="221"/>
      <c r="O680" s="221"/>
      <c r="P680" s="221"/>
      <c r="Q680" s="221"/>
      <c r="R680" s="221"/>
      <c r="S680" s="221"/>
      <c r="T680" s="221"/>
      <c r="U680" s="221"/>
      <c r="V680" s="221"/>
      <c r="W680" s="221"/>
      <c r="X680" s="221"/>
      <c r="Y680" s="221"/>
      <c r="Z680" s="221"/>
      <c r="AA680" s="221"/>
      <c r="AB680" s="221"/>
    </row>
    <row r="681">
      <c r="A681" s="296"/>
      <c r="B681" s="296"/>
      <c r="C681" s="232"/>
      <c r="D681" s="232"/>
      <c r="E681" s="232"/>
      <c r="F681" s="232"/>
      <c r="G681" s="232"/>
      <c r="H681" s="232"/>
      <c r="I681" s="221"/>
      <c r="J681" s="221"/>
      <c r="K681" s="221"/>
      <c r="L681" s="221"/>
      <c r="M681" s="221"/>
      <c r="N681" s="221"/>
      <c r="O681" s="221"/>
      <c r="P681" s="221"/>
      <c r="Q681" s="221"/>
      <c r="R681" s="221"/>
      <c r="S681" s="221"/>
      <c r="T681" s="221"/>
      <c r="U681" s="221"/>
      <c r="V681" s="221"/>
      <c r="W681" s="221"/>
      <c r="X681" s="221"/>
      <c r="Y681" s="221"/>
      <c r="Z681" s="221"/>
      <c r="AA681" s="221"/>
      <c r="AB681" s="221"/>
    </row>
    <row r="682">
      <c r="A682" s="296"/>
      <c r="B682" s="296"/>
      <c r="C682" s="232"/>
      <c r="D682" s="232"/>
      <c r="E682" s="232"/>
      <c r="F682" s="232"/>
      <c r="G682" s="232"/>
      <c r="H682" s="232"/>
      <c r="I682" s="221"/>
      <c r="J682" s="221"/>
      <c r="K682" s="221"/>
      <c r="L682" s="221"/>
      <c r="M682" s="221"/>
      <c r="N682" s="221"/>
      <c r="O682" s="221"/>
      <c r="P682" s="221"/>
      <c r="Q682" s="221"/>
      <c r="R682" s="221"/>
      <c r="S682" s="221"/>
      <c r="T682" s="221"/>
      <c r="U682" s="221"/>
      <c r="V682" s="221"/>
      <c r="W682" s="221"/>
      <c r="X682" s="221"/>
      <c r="Y682" s="221"/>
      <c r="Z682" s="221"/>
      <c r="AA682" s="221"/>
      <c r="AB682" s="221"/>
    </row>
    <row r="683">
      <c r="A683" s="296"/>
      <c r="B683" s="296"/>
      <c r="C683" s="232"/>
      <c r="D683" s="232"/>
      <c r="E683" s="232"/>
      <c r="F683" s="232"/>
      <c r="G683" s="232"/>
      <c r="H683" s="232"/>
      <c r="I683" s="221"/>
      <c r="J683" s="221"/>
      <c r="K683" s="221"/>
      <c r="L683" s="221"/>
      <c r="M683" s="221"/>
      <c r="N683" s="221"/>
      <c r="O683" s="221"/>
      <c r="P683" s="221"/>
      <c r="Q683" s="221"/>
      <c r="R683" s="221"/>
      <c r="S683" s="221"/>
      <c r="T683" s="221"/>
      <c r="U683" s="221"/>
      <c r="V683" s="221"/>
      <c r="W683" s="221"/>
      <c r="X683" s="221"/>
      <c r="Y683" s="221"/>
      <c r="Z683" s="221"/>
      <c r="AA683" s="221"/>
      <c r="AB683" s="221"/>
    </row>
    <row r="684">
      <c r="A684" s="296"/>
      <c r="B684" s="296"/>
      <c r="C684" s="232"/>
      <c r="D684" s="232"/>
      <c r="E684" s="232"/>
      <c r="F684" s="232"/>
      <c r="G684" s="232"/>
      <c r="H684" s="232"/>
      <c r="I684" s="221"/>
      <c r="J684" s="221"/>
      <c r="K684" s="221"/>
      <c r="L684" s="221"/>
      <c r="M684" s="221"/>
      <c r="N684" s="221"/>
      <c r="O684" s="221"/>
      <c r="P684" s="221"/>
      <c r="Q684" s="221"/>
      <c r="R684" s="221"/>
      <c r="S684" s="221"/>
      <c r="T684" s="221"/>
      <c r="U684" s="221"/>
      <c r="V684" s="221"/>
      <c r="W684" s="221"/>
      <c r="X684" s="221"/>
      <c r="Y684" s="221"/>
      <c r="Z684" s="221"/>
      <c r="AA684" s="221"/>
      <c r="AB684" s="221"/>
    </row>
    <row r="685">
      <c r="A685" s="296"/>
      <c r="B685" s="296"/>
      <c r="C685" s="232"/>
      <c r="D685" s="232"/>
      <c r="E685" s="232"/>
      <c r="F685" s="232"/>
      <c r="G685" s="232"/>
      <c r="H685" s="232"/>
      <c r="I685" s="221"/>
      <c r="J685" s="221"/>
      <c r="K685" s="221"/>
      <c r="L685" s="221"/>
      <c r="M685" s="221"/>
      <c r="N685" s="221"/>
      <c r="O685" s="221"/>
      <c r="P685" s="221"/>
      <c r="Q685" s="221"/>
      <c r="R685" s="221"/>
      <c r="S685" s="221"/>
      <c r="T685" s="221"/>
      <c r="U685" s="221"/>
      <c r="V685" s="221"/>
      <c r="W685" s="221"/>
      <c r="X685" s="221"/>
      <c r="Y685" s="221"/>
      <c r="Z685" s="221"/>
      <c r="AA685" s="221"/>
      <c r="AB685" s="221"/>
    </row>
    <row r="686">
      <c r="A686" s="296"/>
      <c r="B686" s="296"/>
      <c r="C686" s="232"/>
      <c r="D686" s="232"/>
      <c r="E686" s="232"/>
      <c r="F686" s="232"/>
      <c r="G686" s="232"/>
      <c r="H686" s="232"/>
      <c r="I686" s="221"/>
      <c r="J686" s="221"/>
      <c r="K686" s="221"/>
      <c r="L686" s="221"/>
      <c r="M686" s="221"/>
      <c r="N686" s="221"/>
      <c r="O686" s="221"/>
      <c r="P686" s="221"/>
      <c r="Q686" s="221"/>
      <c r="R686" s="221"/>
      <c r="S686" s="221"/>
      <c r="T686" s="221"/>
      <c r="U686" s="221"/>
      <c r="V686" s="221"/>
      <c r="W686" s="221"/>
      <c r="X686" s="221"/>
      <c r="Y686" s="221"/>
      <c r="Z686" s="221"/>
      <c r="AA686" s="221"/>
      <c r="AB686" s="221"/>
    </row>
    <row r="687">
      <c r="A687" s="296"/>
      <c r="B687" s="296"/>
      <c r="C687" s="232"/>
      <c r="D687" s="232"/>
      <c r="E687" s="232"/>
      <c r="F687" s="232"/>
      <c r="G687" s="232"/>
      <c r="H687" s="232"/>
      <c r="I687" s="221"/>
      <c r="J687" s="221"/>
      <c r="K687" s="221"/>
      <c r="L687" s="221"/>
      <c r="M687" s="221"/>
      <c r="N687" s="221"/>
      <c r="O687" s="221"/>
      <c r="P687" s="221"/>
      <c r="Q687" s="221"/>
      <c r="R687" s="221"/>
      <c r="S687" s="221"/>
      <c r="T687" s="221"/>
      <c r="U687" s="221"/>
      <c r="V687" s="221"/>
      <c r="W687" s="221"/>
      <c r="X687" s="221"/>
      <c r="Y687" s="221"/>
      <c r="Z687" s="221"/>
      <c r="AA687" s="221"/>
      <c r="AB687" s="221"/>
    </row>
    <row r="688">
      <c r="A688" s="296"/>
      <c r="B688" s="296"/>
      <c r="C688" s="232"/>
      <c r="D688" s="232"/>
      <c r="E688" s="232"/>
      <c r="F688" s="232"/>
      <c r="G688" s="232"/>
      <c r="H688" s="232"/>
      <c r="I688" s="221"/>
      <c r="J688" s="221"/>
      <c r="K688" s="221"/>
      <c r="L688" s="221"/>
      <c r="M688" s="221"/>
      <c r="N688" s="221"/>
      <c r="O688" s="221"/>
      <c r="P688" s="221"/>
      <c r="Q688" s="221"/>
      <c r="R688" s="221"/>
      <c r="S688" s="221"/>
      <c r="T688" s="221"/>
      <c r="U688" s="221"/>
      <c r="V688" s="221"/>
      <c r="W688" s="221"/>
      <c r="X688" s="221"/>
      <c r="Y688" s="221"/>
      <c r="Z688" s="221"/>
      <c r="AA688" s="221"/>
      <c r="AB688" s="221"/>
    </row>
    <row r="689">
      <c r="A689" s="296"/>
      <c r="B689" s="296"/>
      <c r="C689" s="232"/>
      <c r="D689" s="232"/>
      <c r="E689" s="232"/>
      <c r="F689" s="232"/>
      <c r="G689" s="232"/>
      <c r="H689" s="232"/>
      <c r="I689" s="221"/>
      <c r="J689" s="221"/>
      <c r="K689" s="221"/>
      <c r="L689" s="221"/>
      <c r="M689" s="221"/>
      <c r="N689" s="221"/>
      <c r="O689" s="221"/>
      <c r="P689" s="221"/>
      <c r="Q689" s="221"/>
      <c r="R689" s="221"/>
      <c r="S689" s="221"/>
      <c r="T689" s="221"/>
      <c r="U689" s="221"/>
      <c r="V689" s="221"/>
      <c r="W689" s="221"/>
      <c r="X689" s="221"/>
      <c r="Y689" s="221"/>
      <c r="Z689" s="221"/>
      <c r="AA689" s="221"/>
      <c r="AB689" s="221"/>
    </row>
    <row r="690">
      <c r="A690" s="296"/>
      <c r="B690" s="296"/>
      <c r="C690" s="232"/>
      <c r="D690" s="232"/>
      <c r="E690" s="232"/>
      <c r="F690" s="232"/>
      <c r="G690" s="232"/>
      <c r="H690" s="232"/>
      <c r="I690" s="221"/>
      <c r="J690" s="221"/>
      <c r="K690" s="221"/>
      <c r="L690" s="221"/>
      <c r="M690" s="221"/>
      <c r="N690" s="221"/>
      <c r="O690" s="221"/>
      <c r="P690" s="221"/>
      <c r="Q690" s="221"/>
      <c r="R690" s="221"/>
      <c r="S690" s="221"/>
      <c r="T690" s="221"/>
      <c r="U690" s="221"/>
      <c r="V690" s="221"/>
      <c r="W690" s="221"/>
      <c r="X690" s="221"/>
      <c r="Y690" s="221"/>
      <c r="Z690" s="221"/>
      <c r="AA690" s="221"/>
      <c r="AB690" s="221"/>
    </row>
    <row r="691">
      <c r="A691" s="296"/>
      <c r="B691" s="296"/>
      <c r="C691" s="232"/>
      <c r="D691" s="232"/>
      <c r="E691" s="232"/>
      <c r="F691" s="232"/>
      <c r="G691" s="232"/>
      <c r="H691" s="232"/>
      <c r="I691" s="221"/>
      <c r="J691" s="221"/>
      <c r="K691" s="221"/>
      <c r="L691" s="221"/>
      <c r="M691" s="221"/>
      <c r="N691" s="221"/>
      <c r="O691" s="221"/>
      <c r="P691" s="221"/>
      <c r="Q691" s="221"/>
      <c r="R691" s="221"/>
      <c r="S691" s="221"/>
      <c r="T691" s="221"/>
      <c r="U691" s="221"/>
      <c r="V691" s="221"/>
      <c r="W691" s="221"/>
      <c r="X691" s="221"/>
      <c r="Y691" s="221"/>
      <c r="Z691" s="221"/>
      <c r="AA691" s="221"/>
      <c r="AB691" s="221"/>
    </row>
    <row r="692">
      <c r="A692" s="296"/>
      <c r="B692" s="296"/>
      <c r="C692" s="232"/>
      <c r="D692" s="232"/>
      <c r="E692" s="232"/>
      <c r="F692" s="232"/>
      <c r="G692" s="232"/>
      <c r="H692" s="232"/>
      <c r="I692" s="221"/>
      <c r="J692" s="221"/>
      <c r="K692" s="221"/>
      <c r="L692" s="221"/>
      <c r="M692" s="221"/>
      <c r="N692" s="221"/>
      <c r="O692" s="221"/>
      <c r="P692" s="221"/>
      <c r="Q692" s="221"/>
      <c r="R692" s="221"/>
      <c r="S692" s="221"/>
      <c r="T692" s="221"/>
      <c r="U692" s="221"/>
      <c r="V692" s="221"/>
      <c r="W692" s="221"/>
      <c r="X692" s="221"/>
      <c r="Y692" s="221"/>
      <c r="Z692" s="221"/>
      <c r="AA692" s="221"/>
      <c r="AB692" s="221"/>
    </row>
    <row r="693">
      <c r="A693" s="296"/>
      <c r="B693" s="296"/>
      <c r="C693" s="232"/>
      <c r="D693" s="232"/>
      <c r="E693" s="232"/>
      <c r="F693" s="232"/>
      <c r="G693" s="232"/>
      <c r="H693" s="232"/>
      <c r="I693" s="221"/>
      <c r="J693" s="221"/>
      <c r="K693" s="221"/>
      <c r="L693" s="221"/>
      <c r="M693" s="221"/>
      <c r="N693" s="221"/>
      <c r="O693" s="221"/>
      <c r="P693" s="221"/>
      <c r="Q693" s="221"/>
      <c r="R693" s="221"/>
      <c r="S693" s="221"/>
      <c r="T693" s="221"/>
      <c r="U693" s="221"/>
      <c r="V693" s="221"/>
      <c r="W693" s="221"/>
      <c r="X693" s="221"/>
      <c r="Y693" s="221"/>
      <c r="Z693" s="221"/>
      <c r="AA693" s="221"/>
      <c r="AB693" s="221"/>
    </row>
    <row r="694">
      <c r="A694" s="296"/>
      <c r="B694" s="296"/>
      <c r="C694" s="232"/>
      <c r="D694" s="232"/>
      <c r="E694" s="232"/>
      <c r="F694" s="232"/>
      <c r="G694" s="232"/>
      <c r="H694" s="232"/>
      <c r="I694" s="221"/>
      <c r="J694" s="221"/>
      <c r="K694" s="221"/>
      <c r="L694" s="221"/>
      <c r="M694" s="221"/>
      <c r="N694" s="221"/>
      <c r="O694" s="221"/>
      <c r="P694" s="221"/>
      <c r="Q694" s="221"/>
      <c r="R694" s="221"/>
      <c r="S694" s="221"/>
      <c r="T694" s="221"/>
      <c r="U694" s="221"/>
      <c r="V694" s="221"/>
      <c r="W694" s="221"/>
      <c r="X694" s="221"/>
      <c r="Y694" s="221"/>
      <c r="Z694" s="221"/>
      <c r="AA694" s="221"/>
      <c r="AB694" s="221"/>
    </row>
    <row r="695">
      <c r="A695" s="296"/>
      <c r="B695" s="296"/>
      <c r="C695" s="232"/>
      <c r="D695" s="232"/>
      <c r="E695" s="232"/>
      <c r="F695" s="232"/>
      <c r="G695" s="232"/>
      <c r="H695" s="232"/>
      <c r="I695" s="221"/>
      <c r="J695" s="221"/>
      <c r="K695" s="221"/>
      <c r="L695" s="221"/>
      <c r="M695" s="221"/>
      <c r="N695" s="221"/>
      <c r="O695" s="221"/>
      <c r="P695" s="221"/>
      <c r="Q695" s="221"/>
      <c r="R695" s="221"/>
      <c r="S695" s="221"/>
      <c r="T695" s="221"/>
      <c r="U695" s="221"/>
      <c r="V695" s="221"/>
      <c r="W695" s="221"/>
      <c r="X695" s="221"/>
      <c r="Y695" s="221"/>
      <c r="Z695" s="221"/>
      <c r="AA695" s="221"/>
      <c r="AB695" s="221"/>
    </row>
    <row r="696">
      <c r="A696" s="296"/>
      <c r="B696" s="296"/>
      <c r="C696" s="232"/>
      <c r="D696" s="232"/>
      <c r="E696" s="232"/>
      <c r="F696" s="232"/>
      <c r="G696" s="232"/>
      <c r="H696" s="232"/>
      <c r="I696" s="221"/>
      <c r="J696" s="221"/>
      <c r="K696" s="221"/>
      <c r="L696" s="221"/>
      <c r="M696" s="221"/>
      <c r="N696" s="221"/>
      <c r="O696" s="221"/>
      <c r="P696" s="221"/>
      <c r="Q696" s="221"/>
      <c r="R696" s="221"/>
      <c r="S696" s="221"/>
      <c r="T696" s="221"/>
      <c r="U696" s="221"/>
      <c r="V696" s="221"/>
      <c r="W696" s="221"/>
      <c r="X696" s="221"/>
      <c r="Y696" s="221"/>
      <c r="Z696" s="221"/>
      <c r="AA696" s="221"/>
      <c r="AB696" s="221"/>
    </row>
    <row r="697">
      <c r="A697" s="296"/>
      <c r="B697" s="296"/>
      <c r="C697" s="232"/>
      <c r="D697" s="232"/>
      <c r="E697" s="232"/>
      <c r="F697" s="232"/>
      <c r="G697" s="232"/>
      <c r="H697" s="232"/>
      <c r="I697" s="221"/>
      <c r="J697" s="221"/>
      <c r="K697" s="221"/>
      <c r="L697" s="221"/>
      <c r="M697" s="221"/>
      <c r="N697" s="221"/>
      <c r="O697" s="221"/>
      <c r="P697" s="221"/>
      <c r="Q697" s="221"/>
      <c r="R697" s="221"/>
      <c r="S697" s="221"/>
      <c r="T697" s="221"/>
      <c r="U697" s="221"/>
      <c r="V697" s="221"/>
      <c r="W697" s="221"/>
      <c r="X697" s="221"/>
      <c r="Y697" s="221"/>
      <c r="Z697" s="221"/>
      <c r="AA697" s="221"/>
      <c r="AB697" s="221"/>
    </row>
    <row r="698">
      <c r="A698" s="296"/>
      <c r="B698" s="296"/>
      <c r="C698" s="232"/>
      <c r="D698" s="232"/>
      <c r="E698" s="232"/>
      <c r="F698" s="232"/>
      <c r="G698" s="232"/>
      <c r="H698" s="232"/>
      <c r="I698" s="221"/>
      <c r="J698" s="221"/>
      <c r="K698" s="221"/>
      <c r="L698" s="221"/>
      <c r="M698" s="221"/>
      <c r="N698" s="221"/>
      <c r="O698" s="221"/>
      <c r="P698" s="221"/>
      <c r="Q698" s="221"/>
      <c r="R698" s="221"/>
      <c r="S698" s="221"/>
      <c r="T698" s="221"/>
      <c r="U698" s="221"/>
      <c r="V698" s="221"/>
      <c r="W698" s="221"/>
      <c r="X698" s="221"/>
      <c r="Y698" s="221"/>
      <c r="Z698" s="221"/>
      <c r="AA698" s="221"/>
      <c r="AB698" s="221"/>
    </row>
    <row r="699">
      <c r="A699" s="296"/>
      <c r="B699" s="296"/>
      <c r="C699" s="232"/>
      <c r="D699" s="232"/>
      <c r="E699" s="232"/>
      <c r="F699" s="232"/>
      <c r="G699" s="232"/>
      <c r="H699" s="232"/>
      <c r="I699" s="221"/>
      <c r="J699" s="221"/>
      <c r="K699" s="221"/>
      <c r="L699" s="221"/>
      <c r="M699" s="221"/>
      <c r="N699" s="221"/>
      <c r="O699" s="221"/>
      <c r="P699" s="221"/>
      <c r="Q699" s="221"/>
      <c r="R699" s="221"/>
      <c r="S699" s="221"/>
      <c r="T699" s="221"/>
      <c r="U699" s="221"/>
      <c r="V699" s="221"/>
      <c r="W699" s="221"/>
      <c r="X699" s="221"/>
      <c r="Y699" s="221"/>
      <c r="Z699" s="221"/>
      <c r="AA699" s="221"/>
      <c r="AB699" s="221"/>
    </row>
    <row r="700">
      <c r="A700" s="296"/>
      <c r="B700" s="296"/>
      <c r="C700" s="232"/>
      <c r="D700" s="232"/>
      <c r="E700" s="232"/>
      <c r="F700" s="232"/>
      <c r="G700" s="232"/>
      <c r="H700" s="232"/>
      <c r="I700" s="221"/>
      <c r="J700" s="221"/>
      <c r="K700" s="221"/>
      <c r="L700" s="221"/>
      <c r="M700" s="221"/>
      <c r="N700" s="221"/>
      <c r="O700" s="221"/>
      <c r="P700" s="221"/>
      <c r="Q700" s="221"/>
      <c r="R700" s="221"/>
      <c r="S700" s="221"/>
      <c r="T700" s="221"/>
      <c r="U700" s="221"/>
      <c r="V700" s="221"/>
      <c r="W700" s="221"/>
      <c r="X700" s="221"/>
      <c r="Y700" s="221"/>
      <c r="Z700" s="221"/>
      <c r="AA700" s="221"/>
      <c r="AB700" s="221"/>
    </row>
    <row r="701">
      <c r="A701" s="296"/>
      <c r="B701" s="296"/>
      <c r="C701" s="232"/>
      <c r="D701" s="232"/>
      <c r="E701" s="232"/>
      <c r="F701" s="232"/>
      <c r="G701" s="232"/>
      <c r="H701" s="232"/>
      <c r="I701" s="221"/>
      <c r="J701" s="221"/>
      <c r="K701" s="221"/>
      <c r="L701" s="221"/>
      <c r="M701" s="221"/>
      <c r="N701" s="221"/>
      <c r="O701" s="221"/>
      <c r="P701" s="221"/>
      <c r="Q701" s="221"/>
      <c r="R701" s="221"/>
      <c r="S701" s="221"/>
      <c r="T701" s="221"/>
      <c r="U701" s="221"/>
      <c r="V701" s="221"/>
      <c r="W701" s="221"/>
      <c r="X701" s="221"/>
      <c r="Y701" s="221"/>
      <c r="Z701" s="221"/>
      <c r="AA701" s="221"/>
      <c r="AB701" s="221"/>
    </row>
    <row r="702">
      <c r="A702" s="296"/>
      <c r="B702" s="296"/>
      <c r="C702" s="232"/>
      <c r="D702" s="232"/>
      <c r="E702" s="232"/>
      <c r="F702" s="232"/>
      <c r="G702" s="232"/>
      <c r="H702" s="232"/>
      <c r="I702" s="221"/>
      <c r="J702" s="221"/>
      <c r="K702" s="221"/>
      <c r="L702" s="221"/>
      <c r="M702" s="221"/>
      <c r="N702" s="221"/>
      <c r="O702" s="221"/>
      <c r="P702" s="221"/>
      <c r="Q702" s="221"/>
      <c r="R702" s="221"/>
      <c r="S702" s="221"/>
      <c r="T702" s="221"/>
      <c r="U702" s="221"/>
      <c r="V702" s="221"/>
      <c r="W702" s="221"/>
      <c r="X702" s="221"/>
      <c r="Y702" s="221"/>
      <c r="Z702" s="221"/>
      <c r="AA702" s="221"/>
      <c r="AB702" s="221"/>
    </row>
    <row r="703">
      <c r="A703" s="296"/>
      <c r="B703" s="296"/>
      <c r="C703" s="232"/>
      <c r="D703" s="232"/>
      <c r="E703" s="232"/>
      <c r="F703" s="232"/>
      <c r="G703" s="232"/>
      <c r="H703" s="232"/>
      <c r="I703" s="221"/>
      <c r="J703" s="221"/>
      <c r="K703" s="221"/>
      <c r="L703" s="221"/>
      <c r="M703" s="221"/>
      <c r="N703" s="221"/>
      <c r="O703" s="221"/>
      <c r="P703" s="221"/>
      <c r="Q703" s="221"/>
      <c r="R703" s="221"/>
      <c r="S703" s="221"/>
      <c r="T703" s="221"/>
      <c r="U703" s="221"/>
      <c r="V703" s="221"/>
      <c r="W703" s="221"/>
      <c r="X703" s="221"/>
      <c r="Y703" s="221"/>
      <c r="Z703" s="221"/>
      <c r="AA703" s="221"/>
      <c r="AB703" s="221"/>
    </row>
    <row r="704">
      <c r="A704" s="296"/>
      <c r="B704" s="296"/>
      <c r="C704" s="232"/>
      <c r="D704" s="232"/>
      <c r="E704" s="232"/>
      <c r="F704" s="232"/>
      <c r="G704" s="232"/>
      <c r="H704" s="232"/>
      <c r="I704" s="221"/>
      <c r="J704" s="221"/>
      <c r="K704" s="221"/>
      <c r="L704" s="221"/>
      <c r="M704" s="221"/>
      <c r="N704" s="221"/>
      <c r="O704" s="221"/>
      <c r="P704" s="221"/>
      <c r="Q704" s="221"/>
      <c r="R704" s="221"/>
      <c r="S704" s="221"/>
      <c r="T704" s="221"/>
      <c r="U704" s="221"/>
      <c r="V704" s="221"/>
      <c r="W704" s="221"/>
      <c r="X704" s="221"/>
      <c r="Y704" s="221"/>
      <c r="Z704" s="221"/>
      <c r="AA704" s="221"/>
      <c r="AB704" s="221"/>
    </row>
    <row r="705">
      <c r="A705" s="296"/>
      <c r="B705" s="296"/>
      <c r="C705" s="232"/>
      <c r="D705" s="232"/>
      <c r="E705" s="232"/>
      <c r="F705" s="232"/>
      <c r="G705" s="232"/>
      <c r="H705" s="232"/>
      <c r="I705" s="221"/>
      <c r="J705" s="221"/>
      <c r="K705" s="221"/>
      <c r="L705" s="221"/>
      <c r="M705" s="221"/>
      <c r="N705" s="221"/>
      <c r="O705" s="221"/>
      <c r="P705" s="221"/>
      <c r="Q705" s="221"/>
      <c r="R705" s="221"/>
      <c r="S705" s="221"/>
      <c r="T705" s="221"/>
      <c r="U705" s="221"/>
      <c r="V705" s="221"/>
      <c r="W705" s="221"/>
      <c r="X705" s="221"/>
      <c r="Y705" s="221"/>
      <c r="Z705" s="221"/>
      <c r="AA705" s="221"/>
      <c r="AB705" s="221"/>
    </row>
    <row r="706">
      <c r="A706" s="296"/>
      <c r="B706" s="296"/>
      <c r="C706" s="232"/>
      <c r="D706" s="232"/>
      <c r="E706" s="232"/>
      <c r="F706" s="232"/>
      <c r="G706" s="232"/>
      <c r="H706" s="232"/>
      <c r="I706" s="221"/>
      <c r="J706" s="221"/>
      <c r="K706" s="221"/>
      <c r="L706" s="221"/>
      <c r="M706" s="221"/>
      <c r="N706" s="221"/>
      <c r="O706" s="221"/>
      <c r="P706" s="221"/>
      <c r="Q706" s="221"/>
      <c r="R706" s="221"/>
      <c r="S706" s="221"/>
      <c r="T706" s="221"/>
      <c r="U706" s="221"/>
      <c r="V706" s="221"/>
      <c r="W706" s="221"/>
      <c r="X706" s="221"/>
      <c r="Y706" s="221"/>
      <c r="Z706" s="221"/>
      <c r="AA706" s="221"/>
      <c r="AB706" s="221"/>
    </row>
    <row r="707">
      <c r="A707" s="296"/>
      <c r="B707" s="296"/>
      <c r="C707" s="232"/>
      <c r="D707" s="232"/>
      <c r="E707" s="232"/>
      <c r="F707" s="232"/>
      <c r="G707" s="232"/>
      <c r="H707" s="232"/>
      <c r="I707" s="221"/>
      <c r="J707" s="221"/>
      <c r="K707" s="221"/>
      <c r="L707" s="221"/>
      <c r="M707" s="221"/>
      <c r="N707" s="221"/>
      <c r="O707" s="221"/>
      <c r="P707" s="221"/>
      <c r="Q707" s="221"/>
      <c r="R707" s="221"/>
      <c r="S707" s="221"/>
      <c r="T707" s="221"/>
      <c r="U707" s="221"/>
      <c r="V707" s="221"/>
      <c r="W707" s="221"/>
      <c r="X707" s="221"/>
      <c r="Y707" s="221"/>
      <c r="Z707" s="221"/>
      <c r="AA707" s="221"/>
      <c r="AB707" s="221"/>
    </row>
    <row r="708">
      <c r="A708" s="296"/>
      <c r="B708" s="296"/>
      <c r="C708" s="232"/>
      <c r="D708" s="232"/>
      <c r="E708" s="232"/>
      <c r="F708" s="232"/>
      <c r="G708" s="232"/>
      <c r="H708" s="232"/>
      <c r="I708" s="221"/>
      <c r="J708" s="221"/>
      <c r="K708" s="221"/>
      <c r="L708" s="221"/>
      <c r="M708" s="221"/>
      <c r="N708" s="221"/>
      <c r="O708" s="221"/>
      <c r="P708" s="221"/>
      <c r="Q708" s="221"/>
      <c r="R708" s="221"/>
      <c r="S708" s="221"/>
      <c r="T708" s="221"/>
      <c r="U708" s="221"/>
      <c r="V708" s="221"/>
      <c r="W708" s="221"/>
      <c r="X708" s="221"/>
      <c r="Y708" s="221"/>
      <c r="Z708" s="221"/>
      <c r="AA708" s="221"/>
      <c r="AB708" s="221"/>
    </row>
    <row r="709">
      <c r="A709" s="296"/>
      <c r="B709" s="296"/>
      <c r="C709" s="232"/>
      <c r="D709" s="232"/>
      <c r="E709" s="232"/>
      <c r="F709" s="232"/>
      <c r="G709" s="232"/>
      <c r="H709" s="232"/>
      <c r="I709" s="221"/>
      <c r="J709" s="221"/>
      <c r="K709" s="221"/>
      <c r="L709" s="221"/>
      <c r="M709" s="221"/>
      <c r="N709" s="221"/>
      <c r="O709" s="221"/>
      <c r="P709" s="221"/>
      <c r="Q709" s="221"/>
      <c r="R709" s="221"/>
      <c r="S709" s="221"/>
      <c r="T709" s="221"/>
      <c r="U709" s="221"/>
      <c r="V709" s="221"/>
      <c r="W709" s="221"/>
      <c r="X709" s="221"/>
      <c r="Y709" s="221"/>
      <c r="Z709" s="221"/>
      <c r="AA709" s="221"/>
      <c r="AB709" s="221"/>
    </row>
    <row r="710">
      <c r="A710" s="296"/>
      <c r="B710" s="296"/>
      <c r="C710" s="232"/>
      <c r="D710" s="232"/>
      <c r="E710" s="232"/>
      <c r="F710" s="232"/>
      <c r="G710" s="232"/>
      <c r="H710" s="232"/>
      <c r="I710" s="221"/>
      <c r="J710" s="221"/>
      <c r="K710" s="221"/>
      <c r="L710" s="221"/>
      <c r="M710" s="221"/>
      <c r="N710" s="221"/>
      <c r="O710" s="221"/>
      <c r="P710" s="221"/>
      <c r="Q710" s="221"/>
      <c r="R710" s="221"/>
      <c r="S710" s="221"/>
      <c r="T710" s="221"/>
      <c r="U710" s="221"/>
      <c r="V710" s="221"/>
      <c r="W710" s="221"/>
      <c r="X710" s="221"/>
      <c r="Y710" s="221"/>
      <c r="Z710" s="221"/>
      <c r="AA710" s="221"/>
      <c r="AB710" s="221"/>
    </row>
    <row r="711">
      <c r="A711" s="296"/>
      <c r="B711" s="296"/>
      <c r="C711" s="232"/>
      <c r="D711" s="232"/>
      <c r="E711" s="232"/>
      <c r="F711" s="232"/>
      <c r="G711" s="232"/>
      <c r="H711" s="232"/>
      <c r="I711" s="221"/>
      <c r="J711" s="221"/>
      <c r="K711" s="221"/>
      <c r="L711" s="221"/>
      <c r="M711" s="221"/>
      <c r="N711" s="221"/>
      <c r="O711" s="221"/>
      <c r="P711" s="221"/>
      <c r="Q711" s="221"/>
      <c r="R711" s="221"/>
      <c r="S711" s="221"/>
      <c r="T711" s="221"/>
      <c r="U711" s="221"/>
      <c r="V711" s="221"/>
      <c r="W711" s="221"/>
      <c r="X711" s="221"/>
      <c r="Y711" s="221"/>
      <c r="Z711" s="221"/>
      <c r="AA711" s="221"/>
      <c r="AB711" s="221"/>
    </row>
    <row r="712">
      <c r="A712" s="296"/>
      <c r="B712" s="296"/>
      <c r="C712" s="232"/>
      <c r="D712" s="232"/>
      <c r="E712" s="232"/>
      <c r="F712" s="232"/>
      <c r="G712" s="232"/>
      <c r="H712" s="232"/>
      <c r="I712" s="221"/>
      <c r="J712" s="221"/>
      <c r="K712" s="221"/>
      <c r="L712" s="221"/>
      <c r="M712" s="221"/>
      <c r="N712" s="221"/>
      <c r="O712" s="221"/>
      <c r="P712" s="221"/>
      <c r="Q712" s="221"/>
      <c r="R712" s="221"/>
      <c r="S712" s="221"/>
      <c r="T712" s="221"/>
      <c r="U712" s="221"/>
      <c r="V712" s="221"/>
      <c r="W712" s="221"/>
      <c r="X712" s="221"/>
      <c r="Y712" s="221"/>
      <c r="Z712" s="221"/>
      <c r="AA712" s="221"/>
      <c r="AB712" s="221"/>
    </row>
    <row r="713">
      <c r="A713" s="296"/>
      <c r="B713" s="296"/>
      <c r="C713" s="232"/>
      <c r="D713" s="232"/>
      <c r="E713" s="232"/>
      <c r="F713" s="232"/>
      <c r="G713" s="232"/>
      <c r="H713" s="232"/>
      <c r="I713" s="221"/>
      <c r="J713" s="221"/>
      <c r="K713" s="221"/>
      <c r="L713" s="221"/>
      <c r="M713" s="221"/>
      <c r="N713" s="221"/>
      <c r="O713" s="221"/>
      <c r="P713" s="221"/>
      <c r="Q713" s="221"/>
      <c r="R713" s="221"/>
      <c r="S713" s="221"/>
      <c r="T713" s="221"/>
      <c r="U713" s="221"/>
      <c r="V713" s="221"/>
      <c r="W713" s="221"/>
      <c r="X713" s="221"/>
      <c r="Y713" s="221"/>
      <c r="Z713" s="221"/>
      <c r="AA713" s="221"/>
      <c r="AB713" s="221"/>
    </row>
    <row r="714">
      <c r="A714" s="296"/>
      <c r="B714" s="296"/>
      <c r="C714" s="232"/>
      <c r="D714" s="232"/>
      <c r="E714" s="232"/>
      <c r="F714" s="232"/>
      <c r="G714" s="232"/>
      <c r="H714" s="232"/>
      <c r="I714" s="221"/>
      <c r="J714" s="221"/>
      <c r="K714" s="221"/>
      <c r="L714" s="221"/>
      <c r="M714" s="221"/>
      <c r="N714" s="221"/>
      <c r="O714" s="221"/>
      <c r="P714" s="221"/>
      <c r="Q714" s="221"/>
      <c r="R714" s="221"/>
      <c r="S714" s="221"/>
      <c r="T714" s="221"/>
      <c r="U714" s="221"/>
      <c r="V714" s="221"/>
      <c r="W714" s="221"/>
      <c r="X714" s="221"/>
      <c r="Y714" s="221"/>
      <c r="Z714" s="221"/>
      <c r="AA714" s="221"/>
      <c r="AB714" s="221"/>
    </row>
    <row r="715">
      <c r="A715" s="296"/>
      <c r="B715" s="296"/>
      <c r="C715" s="232"/>
      <c r="D715" s="232"/>
      <c r="E715" s="232"/>
      <c r="F715" s="232"/>
      <c r="G715" s="232"/>
      <c r="H715" s="232"/>
      <c r="I715" s="221"/>
      <c r="J715" s="221"/>
      <c r="K715" s="221"/>
      <c r="L715" s="221"/>
      <c r="M715" s="221"/>
      <c r="N715" s="221"/>
      <c r="O715" s="221"/>
      <c r="P715" s="221"/>
      <c r="Q715" s="221"/>
      <c r="R715" s="221"/>
      <c r="S715" s="221"/>
      <c r="T715" s="221"/>
      <c r="U715" s="221"/>
      <c r="V715" s="221"/>
      <c r="W715" s="221"/>
      <c r="X715" s="221"/>
      <c r="Y715" s="221"/>
      <c r="Z715" s="221"/>
      <c r="AA715" s="221"/>
      <c r="AB715" s="221"/>
    </row>
    <row r="716">
      <c r="A716" s="296"/>
      <c r="B716" s="296"/>
      <c r="C716" s="232"/>
      <c r="D716" s="232"/>
      <c r="E716" s="232"/>
      <c r="F716" s="232"/>
      <c r="G716" s="232"/>
      <c r="H716" s="232"/>
      <c r="I716" s="221"/>
      <c r="J716" s="221"/>
      <c r="K716" s="221"/>
      <c r="L716" s="221"/>
      <c r="M716" s="221"/>
      <c r="N716" s="221"/>
      <c r="O716" s="221"/>
      <c r="P716" s="221"/>
      <c r="Q716" s="221"/>
      <c r="R716" s="221"/>
      <c r="S716" s="221"/>
      <c r="T716" s="221"/>
      <c r="U716" s="221"/>
      <c r="V716" s="221"/>
      <c r="W716" s="221"/>
      <c r="X716" s="221"/>
      <c r="Y716" s="221"/>
      <c r="Z716" s="221"/>
      <c r="AA716" s="221"/>
      <c r="AB716" s="221"/>
    </row>
    <row r="717">
      <c r="A717" s="296"/>
      <c r="B717" s="296"/>
      <c r="C717" s="232"/>
      <c r="D717" s="232"/>
      <c r="E717" s="232"/>
      <c r="F717" s="232"/>
      <c r="G717" s="232"/>
      <c r="H717" s="232"/>
      <c r="I717" s="221"/>
      <c r="J717" s="221"/>
      <c r="K717" s="221"/>
      <c r="L717" s="221"/>
      <c r="M717" s="221"/>
      <c r="N717" s="221"/>
      <c r="O717" s="221"/>
      <c r="P717" s="221"/>
      <c r="Q717" s="221"/>
      <c r="R717" s="221"/>
      <c r="S717" s="221"/>
      <c r="T717" s="221"/>
      <c r="U717" s="221"/>
      <c r="V717" s="221"/>
      <c r="W717" s="221"/>
      <c r="X717" s="221"/>
      <c r="Y717" s="221"/>
      <c r="Z717" s="221"/>
      <c r="AA717" s="221"/>
      <c r="AB717" s="221"/>
    </row>
    <row r="718">
      <c r="A718" s="296"/>
      <c r="B718" s="296"/>
      <c r="C718" s="232"/>
      <c r="D718" s="232"/>
      <c r="E718" s="232"/>
      <c r="F718" s="232"/>
      <c r="G718" s="232"/>
      <c r="H718" s="232"/>
      <c r="I718" s="221"/>
      <c r="J718" s="221"/>
      <c r="K718" s="221"/>
      <c r="L718" s="221"/>
      <c r="M718" s="221"/>
      <c r="N718" s="221"/>
      <c r="O718" s="221"/>
      <c r="P718" s="221"/>
      <c r="Q718" s="221"/>
      <c r="R718" s="221"/>
      <c r="S718" s="221"/>
      <c r="T718" s="221"/>
      <c r="U718" s="221"/>
      <c r="V718" s="221"/>
      <c r="W718" s="221"/>
      <c r="X718" s="221"/>
      <c r="Y718" s="221"/>
      <c r="Z718" s="221"/>
      <c r="AA718" s="221"/>
      <c r="AB718" s="221"/>
    </row>
    <row r="719">
      <c r="A719" s="296"/>
      <c r="B719" s="296"/>
      <c r="C719" s="232"/>
      <c r="D719" s="232"/>
      <c r="E719" s="232"/>
      <c r="F719" s="232"/>
      <c r="G719" s="232"/>
      <c r="H719" s="232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</row>
    <row r="720">
      <c r="A720" s="296"/>
      <c r="B720" s="296"/>
      <c r="C720" s="232"/>
      <c r="D720" s="232"/>
      <c r="E720" s="232"/>
      <c r="F720" s="232"/>
      <c r="G720" s="232"/>
      <c r="H720" s="232"/>
      <c r="I720" s="221"/>
      <c r="J720" s="221"/>
      <c r="K720" s="221"/>
      <c r="L720" s="221"/>
      <c r="M720" s="221"/>
      <c r="N720" s="221"/>
      <c r="O720" s="221"/>
      <c r="P720" s="221"/>
      <c r="Q720" s="221"/>
      <c r="R720" s="221"/>
      <c r="S720" s="221"/>
      <c r="T720" s="221"/>
      <c r="U720" s="221"/>
      <c r="V720" s="221"/>
      <c r="W720" s="221"/>
      <c r="X720" s="221"/>
      <c r="Y720" s="221"/>
      <c r="Z720" s="221"/>
      <c r="AA720" s="221"/>
      <c r="AB720" s="221"/>
    </row>
    <row r="721">
      <c r="A721" s="296"/>
      <c r="B721" s="296"/>
      <c r="C721" s="232"/>
      <c r="D721" s="232"/>
      <c r="E721" s="232"/>
      <c r="F721" s="232"/>
      <c r="G721" s="232"/>
      <c r="H721" s="232"/>
      <c r="I721" s="221"/>
      <c r="J721" s="221"/>
      <c r="K721" s="221"/>
      <c r="L721" s="221"/>
      <c r="M721" s="221"/>
      <c r="N721" s="221"/>
      <c r="O721" s="221"/>
      <c r="P721" s="221"/>
      <c r="Q721" s="221"/>
      <c r="R721" s="221"/>
      <c r="S721" s="221"/>
      <c r="T721" s="221"/>
      <c r="U721" s="221"/>
      <c r="V721" s="221"/>
      <c r="W721" s="221"/>
      <c r="X721" s="221"/>
      <c r="Y721" s="221"/>
      <c r="Z721" s="221"/>
      <c r="AA721" s="221"/>
      <c r="AB721" s="221"/>
    </row>
    <row r="722">
      <c r="A722" s="296"/>
      <c r="B722" s="296"/>
      <c r="C722" s="232"/>
      <c r="D722" s="232"/>
      <c r="E722" s="232"/>
      <c r="F722" s="232"/>
      <c r="G722" s="232"/>
      <c r="H722" s="232"/>
      <c r="I722" s="221"/>
      <c r="J722" s="221"/>
      <c r="K722" s="221"/>
      <c r="L722" s="221"/>
      <c r="M722" s="221"/>
      <c r="N722" s="221"/>
      <c r="O722" s="221"/>
      <c r="P722" s="221"/>
      <c r="Q722" s="221"/>
      <c r="R722" s="221"/>
      <c r="S722" s="221"/>
      <c r="T722" s="221"/>
      <c r="U722" s="221"/>
      <c r="V722" s="221"/>
      <c r="W722" s="221"/>
      <c r="X722" s="221"/>
      <c r="Y722" s="221"/>
      <c r="Z722" s="221"/>
      <c r="AA722" s="221"/>
      <c r="AB722" s="221"/>
    </row>
    <row r="723">
      <c r="A723" s="296"/>
      <c r="B723" s="296"/>
      <c r="C723" s="232"/>
      <c r="D723" s="232"/>
      <c r="E723" s="232"/>
      <c r="F723" s="232"/>
      <c r="G723" s="232"/>
      <c r="H723" s="232"/>
      <c r="I723" s="221"/>
      <c r="J723" s="221"/>
      <c r="K723" s="221"/>
      <c r="L723" s="221"/>
      <c r="M723" s="221"/>
      <c r="N723" s="221"/>
      <c r="O723" s="221"/>
      <c r="P723" s="221"/>
      <c r="Q723" s="221"/>
      <c r="R723" s="221"/>
      <c r="S723" s="221"/>
      <c r="T723" s="221"/>
      <c r="U723" s="221"/>
      <c r="V723" s="221"/>
      <c r="W723" s="221"/>
      <c r="X723" s="221"/>
      <c r="Y723" s="221"/>
      <c r="Z723" s="221"/>
      <c r="AA723" s="221"/>
      <c r="AB723" s="221"/>
    </row>
    <row r="724">
      <c r="A724" s="296"/>
      <c r="B724" s="296"/>
      <c r="C724" s="232"/>
      <c r="D724" s="232"/>
      <c r="E724" s="232"/>
      <c r="F724" s="232"/>
      <c r="G724" s="232"/>
      <c r="H724" s="232"/>
      <c r="I724" s="221"/>
      <c r="J724" s="221"/>
      <c r="K724" s="221"/>
      <c r="L724" s="221"/>
      <c r="M724" s="221"/>
      <c r="N724" s="221"/>
      <c r="O724" s="221"/>
      <c r="P724" s="221"/>
      <c r="Q724" s="221"/>
      <c r="R724" s="221"/>
      <c r="S724" s="221"/>
      <c r="T724" s="221"/>
      <c r="U724" s="221"/>
      <c r="V724" s="221"/>
      <c r="W724" s="221"/>
      <c r="X724" s="221"/>
      <c r="Y724" s="221"/>
      <c r="Z724" s="221"/>
      <c r="AA724" s="221"/>
      <c r="AB724" s="221"/>
    </row>
    <row r="725">
      <c r="A725" s="296"/>
      <c r="B725" s="296"/>
      <c r="C725" s="232"/>
      <c r="D725" s="232"/>
      <c r="E725" s="232"/>
      <c r="F725" s="232"/>
      <c r="G725" s="232"/>
      <c r="H725" s="232"/>
      <c r="I725" s="221"/>
      <c r="J725" s="221"/>
      <c r="K725" s="221"/>
      <c r="L725" s="221"/>
      <c r="M725" s="221"/>
      <c r="N725" s="221"/>
      <c r="O725" s="221"/>
      <c r="P725" s="221"/>
      <c r="Q725" s="221"/>
      <c r="R725" s="221"/>
      <c r="S725" s="221"/>
      <c r="T725" s="221"/>
      <c r="U725" s="221"/>
      <c r="V725" s="221"/>
      <c r="W725" s="221"/>
      <c r="X725" s="221"/>
      <c r="Y725" s="221"/>
      <c r="Z725" s="221"/>
      <c r="AA725" s="221"/>
      <c r="AB725" s="221"/>
    </row>
    <row r="726">
      <c r="A726" s="296"/>
      <c r="B726" s="296"/>
      <c r="C726" s="232"/>
      <c r="D726" s="232"/>
      <c r="E726" s="232"/>
      <c r="F726" s="232"/>
      <c r="G726" s="232"/>
      <c r="H726" s="232"/>
      <c r="I726" s="221"/>
      <c r="J726" s="221"/>
      <c r="K726" s="221"/>
      <c r="L726" s="221"/>
      <c r="M726" s="221"/>
      <c r="N726" s="221"/>
      <c r="O726" s="221"/>
      <c r="P726" s="221"/>
      <c r="Q726" s="221"/>
      <c r="R726" s="221"/>
      <c r="S726" s="221"/>
      <c r="T726" s="221"/>
      <c r="U726" s="221"/>
      <c r="V726" s="221"/>
      <c r="W726" s="221"/>
      <c r="X726" s="221"/>
      <c r="Y726" s="221"/>
      <c r="Z726" s="221"/>
      <c r="AA726" s="221"/>
      <c r="AB726" s="221"/>
    </row>
    <row r="727">
      <c r="A727" s="296"/>
      <c r="B727" s="296"/>
      <c r="C727" s="232"/>
      <c r="D727" s="232"/>
      <c r="E727" s="232"/>
      <c r="F727" s="232"/>
      <c r="G727" s="232"/>
      <c r="H727" s="232"/>
      <c r="I727" s="221"/>
      <c r="J727" s="221"/>
      <c r="K727" s="221"/>
      <c r="L727" s="221"/>
      <c r="M727" s="221"/>
      <c r="N727" s="221"/>
      <c r="O727" s="221"/>
      <c r="P727" s="221"/>
      <c r="Q727" s="221"/>
      <c r="R727" s="221"/>
      <c r="S727" s="221"/>
      <c r="T727" s="221"/>
      <c r="U727" s="221"/>
      <c r="V727" s="221"/>
      <c r="W727" s="221"/>
      <c r="X727" s="221"/>
      <c r="Y727" s="221"/>
      <c r="Z727" s="221"/>
      <c r="AA727" s="221"/>
      <c r="AB727" s="221"/>
    </row>
    <row r="728">
      <c r="A728" s="296"/>
      <c r="B728" s="296"/>
      <c r="C728" s="232"/>
      <c r="D728" s="232"/>
      <c r="E728" s="232"/>
      <c r="F728" s="232"/>
      <c r="G728" s="232"/>
      <c r="H728" s="232"/>
      <c r="I728" s="221"/>
      <c r="J728" s="221"/>
      <c r="K728" s="221"/>
      <c r="L728" s="221"/>
      <c r="M728" s="221"/>
      <c r="N728" s="221"/>
      <c r="O728" s="221"/>
      <c r="P728" s="221"/>
      <c r="Q728" s="221"/>
      <c r="R728" s="221"/>
      <c r="S728" s="221"/>
      <c r="T728" s="221"/>
      <c r="U728" s="221"/>
      <c r="V728" s="221"/>
      <c r="W728" s="221"/>
      <c r="X728" s="221"/>
      <c r="Y728" s="221"/>
      <c r="Z728" s="221"/>
      <c r="AA728" s="221"/>
      <c r="AB728" s="221"/>
    </row>
    <row r="729">
      <c r="A729" s="296"/>
      <c r="B729" s="296"/>
      <c r="C729" s="232"/>
      <c r="D729" s="232"/>
      <c r="E729" s="232"/>
      <c r="F729" s="232"/>
      <c r="G729" s="232"/>
      <c r="H729" s="232"/>
      <c r="I729" s="221"/>
      <c r="J729" s="221"/>
      <c r="K729" s="221"/>
      <c r="L729" s="221"/>
      <c r="M729" s="221"/>
      <c r="N729" s="221"/>
      <c r="O729" s="221"/>
      <c r="P729" s="221"/>
      <c r="Q729" s="221"/>
      <c r="R729" s="221"/>
      <c r="S729" s="221"/>
      <c r="T729" s="221"/>
      <c r="U729" s="221"/>
      <c r="V729" s="221"/>
      <c r="W729" s="221"/>
      <c r="X729" s="221"/>
      <c r="Y729" s="221"/>
      <c r="Z729" s="221"/>
      <c r="AA729" s="221"/>
      <c r="AB729" s="221"/>
    </row>
    <row r="730">
      <c r="A730" s="296"/>
      <c r="B730" s="296"/>
      <c r="C730" s="232"/>
      <c r="D730" s="232"/>
      <c r="E730" s="232"/>
      <c r="F730" s="232"/>
      <c r="G730" s="232"/>
      <c r="H730" s="232"/>
      <c r="I730" s="221"/>
      <c r="J730" s="221"/>
      <c r="K730" s="221"/>
      <c r="L730" s="221"/>
      <c r="M730" s="221"/>
      <c r="N730" s="221"/>
      <c r="O730" s="221"/>
      <c r="P730" s="221"/>
      <c r="Q730" s="221"/>
      <c r="R730" s="221"/>
      <c r="S730" s="221"/>
      <c r="T730" s="221"/>
      <c r="U730" s="221"/>
      <c r="V730" s="221"/>
      <c r="W730" s="221"/>
      <c r="X730" s="221"/>
      <c r="Y730" s="221"/>
      <c r="Z730" s="221"/>
      <c r="AA730" s="221"/>
      <c r="AB730" s="221"/>
    </row>
    <row r="731">
      <c r="A731" s="296"/>
      <c r="B731" s="296"/>
      <c r="C731" s="232"/>
      <c r="D731" s="232"/>
      <c r="E731" s="232"/>
      <c r="F731" s="232"/>
      <c r="G731" s="232"/>
      <c r="H731" s="232"/>
      <c r="I731" s="221"/>
      <c r="J731" s="221"/>
      <c r="K731" s="221"/>
      <c r="L731" s="221"/>
      <c r="M731" s="221"/>
      <c r="N731" s="221"/>
      <c r="O731" s="221"/>
      <c r="P731" s="221"/>
      <c r="Q731" s="221"/>
      <c r="R731" s="221"/>
      <c r="S731" s="221"/>
      <c r="T731" s="221"/>
      <c r="U731" s="221"/>
      <c r="V731" s="221"/>
      <c r="W731" s="221"/>
      <c r="X731" s="221"/>
      <c r="Y731" s="221"/>
      <c r="Z731" s="221"/>
      <c r="AA731" s="221"/>
      <c r="AB731" s="221"/>
    </row>
    <row r="732">
      <c r="A732" s="296"/>
      <c r="B732" s="296"/>
      <c r="C732" s="232"/>
      <c r="D732" s="232"/>
      <c r="E732" s="232"/>
      <c r="F732" s="232"/>
      <c r="G732" s="232"/>
      <c r="H732" s="232"/>
      <c r="I732" s="221"/>
      <c r="J732" s="221"/>
      <c r="K732" s="221"/>
      <c r="L732" s="221"/>
      <c r="M732" s="221"/>
      <c r="N732" s="221"/>
      <c r="O732" s="221"/>
      <c r="P732" s="221"/>
      <c r="Q732" s="221"/>
      <c r="R732" s="221"/>
      <c r="S732" s="221"/>
      <c r="T732" s="221"/>
      <c r="U732" s="221"/>
      <c r="V732" s="221"/>
      <c r="W732" s="221"/>
      <c r="X732" s="221"/>
      <c r="Y732" s="221"/>
      <c r="Z732" s="221"/>
      <c r="AA732" s="221"/>
      <c r="AB732" s="221"/>
    </row>
    <row r="733">
      <c r="A733" s="296"/>
      <c r="B733" s="296"/>
      <c r="C733" s="232"/>
      <c r="D733" s="232"/>
      <c r="E733" s="232"/>
      <c r="F733" s="232"/>
      <c r="G733" s="232"/>
      <c r="H733" s="232"/>
      <c r="I733" s="221"/>
      <c r="J733" s="221"/>
      <c r="K733" s="221"/>
      <c r="L733" s="221"/>
      <c r="M733" s="221"/>
      <c r="N733" s="221"/>
      <c r="O733" s="221"/>
      <c r="P733" s="221"/>
      <c r="Q733" s="221"/>
      <c r="R733" s="221"/>
      <c r="S733" s="221"/>
      <c r="T733" s="221"/>
      <c r="U733" s="221"/>
      <c r="V733" s="221"/>
      <c r="W733" s="221"/>
      <c r="X733" s="221"/>
      <c r="Y733" s="221"/>
      <c r="Z733" s="221"/>
      <c r="AA733" s="221"/>
      <c r="AB733" s="221"/>
    </row>
    <row r="734">
      <c r="A734" s="296"/>
      <c r="B734" s="296"/>
      <c r="C734" s="232"/>
      <c r="D734" s="232"/>
      <c r="E734" s="232"/>
      <c r="F734" s="232"/>
      <c r="G734" s="232"/>
      <c r="H734" s="232"/>
      <c r="I734" s="221"/>
      <c r="J734" s="221"/>
      <c r="K734" s="221"/>
      <c r="L734" s="221"/>
      <c r="M734" s="221"/>
      <c r="N734" s="221"/>
      <c r="O734" s="221"/>
      <c r="P734" s="221"/>
      <c r="Q734" s="221"/>
      <c r="R734" s="221"/>
      <c r="S734" s="221"/>
      <c r="T734" s="221"/>
      <c r="U734" s="221"/>
      <c r="V734" s="221"/>
      <c r="W734" s="221"/>
      <c r="X734" s="221"/>
      <c r="Y734" s="221"/>
      <c r="Z734" s="221"/>
      <c r="AA734" s="221"/>
      <c r="AB734" s="221"/>
    </row>
    <row r="735">
      <c r="A735" s="296"/>
      <c r="B735" s="296"/>
      <c r="C735" s="232"/>
      <c r="D735" s="232"/>
      <c r="E735" s="232"/>
      <c r="F735" s="232"/>
      <c r="G735" s="232"/>
      <c r="H735" s="232"/>
      <c r="I735" s="221"/>
      <c r="J735" s="221"/>
      <c r="K735" s="221"/>
      <c r="L735" s="221"/>
      <c r="M735" s="221"/>
      <c r="N735" s="221"/>
      <c r="O735" s="221"/>
      <c r="P735" s="221"/>
      <c r="Q735" s="221"/>
      <c r="R735" s="221"/>
      <c r="S735" s="221"/>
      <c r="T735" s="221"/>
      <c r="U735" s="221"/>
      <c r="V735" s="221"/>
      <c r="W735" s="221"/>
      <c r="X735" s="221"/>
      <c r="Y735" s="221"/>
      <c r="Z735" s="221"/>
      <c r="AA735" s="221"/>
      <c r="AB735" s="221"/>
    </row>
    <row r="736">
      <c r="A736" s="296"/>
      <c r="B736" s="296"/>
      <c r="C736" s="232"/>
      <c r="D736" s="232"/>
      <c r="E736" s="232"/>
      <c r="F736" s="232"/>
      <c r="G736" s="232"/>
      <c r="H736" s="232"/>
      <c r="I736" s="221"/>
      <c r="J736" s="221"/>
      <c r="K736" s="221"/>
      <c r="L736" s="221"/>
      <c r="M736" s="221"/>
      <c r="N736" s="221"/>
      <c r="O736" s="221"/>
      <c r="P736" s="221"/>
      <c r="Q736" s="221"/>
      <c r="R736" s="221"/>
      <c r="S736" s="221"/>
      <c r="T736" s="221"/>
      <c r="U736" s="221"/>
      <c r="V736" s="221"/>
      <c r="W736" s="221"/>
      <c r="X736" s="221"/>
      <c r="Y736" s="221"/>
      <c r="Z736" s="221"/>
      <c r="AA736" s="221"/>
      <c r="AB736" s="221"/>
    </row>
    <row r="737">
      <c r="A737" s="296"/>
      <c r="B737" s="296"/>
      <c r="C737" s="232"/>
      <c r="D737" s="232"/>
      <c r="E737" s="232"/>
      <c r="F737" s="232"/>
      <c r="G737" s="232"/>
      <c r="H737" s="232"/>
      <c r="I737" s="221"/>
      <c r="J737" s="221"/>
      <c r="K737" s="221"/>
      <c r="L737" s="221"/>
      <c r="M737" s="221"/>
      <c r="N737" s="221"/>
      <c r="O737" s="221"/>
      <c r="P737" s="221"/>
      <c r="Q737" s="221"/>
      <c r="R737" s="221"/>
      <c r="S737" s="221"/>
      <c r="T737" s="221"/>
      <c r="U737" s="221"/>
      <c r="V737" s="221"/>
      <c r="W737" s="221"/>
      <c r="X737" s="221"/>
      <c r="Y737" s="221"/>
      <c r="Z737" s="221"/>
      <c r="AA737" s="221"/>
      <c r="AB737" s="221"/>
    </row>
    <row r="738">
      <c r="A738" s="296"/>
      <c r="B738" s="296"/>
      <c r="C738" s="232"/>
      <c r="D738" s="232"/>
      <c r="E738" s="232"/>
      <c r="F738" s="232"/>
      <c r="G738" s="232"/>
      <c r="H738" s="232"/>
      <c r="I738" s="221"/>
      <c r="J738" s="221"/>
      <c r="K738" s="221"/>
      <c r="L738" s="221"/>
      <c r="M738" s="221"/>
      <c r="N738" s="221"/>
      <c r="O738" s="221"/>
      <c r="P738" s="221"/>
      <c r="Q738" s="221"/>
      <c r="R738" s="221"/>
      <c r="S738" s="221"/>
      <c r="T738" s="221"/>
      <c r="U738" s="221"/>
      <c r="V738" s="221"/>
      <c r="W738" s="221"/>
      <c r="X738" s="221"/>
      <c r="Y738" s="221"/>
      <c r="Z738" s="221"/>
      <c r="AA738" s="221"/>
      <c r="AB738" s="221"/>
    </row>
    <row r="739">
      <c r="A739" s="296"/>
      <c r="B739" s="296"/>
      <c r="C739" s="232"/>
      <c r="D739" s="232"/>
      <c r="E739" s="232"/>
      <c r="F739" s="232"/>
      <c r="G739" s="232"/>
      <c r="H739" s="232"/>
      <c r="I739" s="221"/>
      <c r="J739" s="221"/>
      <c r="K739" s="221"/>
      <c r="L739" s="221"/>
      <c r="M739" s="221"/>
      <c r="N739" s="221"/>
      <c r="O739" s="221"/>
      <c r="P739" s="221"/>
      <c r="Q739" s="221"/>
      <c r="R739" s="221"/>
      <c r="S739" s="221"/>
      <c r="T739" s="221"/>
      <c r="U739" s="221"/>
      <c r="V739" s="221"/>
      <c r="W739" s="221"/>
      <c r="X739" s="221"/>
      <c r="Y739" s="221"/>
      <c r="Z739" s="221"/>
      <c r="AA739" s="221"/>
      <c r="AB739" s="221"/>
    </row>
    <row r="740">
      <c r="A740" s="296"/>
      <c r="B740" s="296"/>
      <c r="C740" s="232"/>
      <c r="D740" s="232"/>
      <c r="E740" s="232"/>
      <c r="F740" s="232"/>
      <c r="G740" s="232"/>
      <c r="H740" s="232"/>
      <c r="I740" s="221"/>
      <c r="J740" s="221"/>
      <c r="K740" s="221"/>
      <c r="L740" s="221"/>
      <c r="M740" s="221"/>
      <c r="N740" s="221"/>
      <c r="O740" s="221"/>
      <c r="P740" s="221"/>
      <c r="Q740" s="221"/>
      <c r="R740" s="221"/>
      <c r="S740" s="221"/>
      <c r="T740" s="221"/>
      <c r="U740" s="221"/>
      <c r="V740" s="221"/>
      <c r="W740" s="221"/>
      <c r="X740" s="221"/>
      <c r="Y740" s="221"/>
      <c r="Z740" s="221"/>
      <c r="AA740" s="221"/>
      <c r="AB740" s="221"/>
    </row>
    <row r="741">
      <c r="A741" s="296"/>
      <c r="B741" s="296"/>
      <c r="C741" s="232"/>
      <c r="D741" s="232"/>
      <c r="E741" s="232"/>
      <c r="F741" s="232"/>
      <c r="G741" s="232"/>
      <c r="H741" s="232"/>
      <c r="I741" s="221"/>
      <c r="J741" s="221"/>
      <c r="K741" s="221"/>
      <c r="L741" s="221"/>
      <c r="M741" s="221"/>
      <c r="N741" s="221"/>
      <c r="O741" s="221"/>
      <c r="P741" s="221"/>
      <c r="Q741" s="221"/>
      <c r="R741" s="221"/>
      <c r="S741" s="221"/>
      <c r="T741" s="221"/>
      <c r="U741" s="221"/>
      <c r="V741" s="221"/>
      <c r="W741" s="221"/>
      <c r="X741" s="221"/>
      <c r="Y741" s="221"/>
      <c r="Z741" s="221"/>
      <c r="AA741" s="221"/>
      <c r="AB741" s="221"/>
    </row>
    <row r="742">
      <c r="A742" s="296"/>
      <c r="B742" s="296"/>
      <c r="C742" s="232"/>
      <c r="D742" s="232"/>
      <c r="E742" s="232"/>
      <c r="F742" s="232"/>
      <c r="G742" s="232"/>
      <c r="H742" s="232"/>
      <c r="I742" s="221"/>
      <c r="J742" s="221"/>
      <c r="K742" s="221"/>
      <c r="L742" s="221"/>
      <c r="M742" s="221"/>
      <c r="N742" s="221"/>
      <c r="O742" s="221"/>
      <c r="P742" s="221"/>
      <c r="Q742" s="221"/>
      <c r="R742" s="221"/>
      <c r="S742" s="221"/>
      <c r="T742" s="221"/>
      <c r="U742" s="221"/>
      <c r="V742" s="221"/>
      <c r="W742" s="221"/>
      <c r="X742" s="221"/>
      <c r="Y742" s="221"/>
      <c r="Z742" s="221"/>
      <c r="AA742" s="221"/>
      <c r="AB742" s="221"/>
    </row>
    <row r="743">
      <c r="A743" s="296"/>
      <c r="B743" s="296"/>
      <c r="C743" s="232"/>
      <c r="D743" s="232"/>
      <c r="E743" s="232"/>
      <c r="F743" s="232"/>
      <c r="G743" s="232"/>
      <c r="H743" s="232"/>
      <c r="I743" s="221"/>
      <c r="J743" s="221"/>
      <c r="K743" s="221"/>
      <c r="L743" s="221"/>
      <c r="M743" s="221"/>
      <c r="N743" s="221"/>
      <c r="O743" s="221"/>
      <c r="P743" s="221"/>
      <c r="Q743" s="221"/>
      <c r="R743" s="221"/>
      <c r="S743" s="221"/>
      <c r="T743" s="221"/>
      <c r="U743" s="221"/>
      <c r="V743" s="221"/>
      <c r="W743" s="221"/>
      <c r="X743" s="221"/>
      <c r="Y743" s="221"/>
      <c r="Z743" s="221"/>
      <c r="AA743" s="221"/>
      <c r="AB743" s="221"/>
    </row>
    <row r="744">
      <c r="A744" s="296"/>
      <c r="B744" s="296"/>
      <c r="C744" s="232"/>
      <c r="D744" s="232"/>
      <c r="E744" s="232"/>
      <c r="F744" s="232"/>
      <c r="G744" s="232"/>
      <c r="H744" s="232"/>
      <c r="I744" s="221"/>
      <c r="J744" s="221"/>
      <c r="K744" s="221"/>
      <c r="L744" s="221"/>
      <c r="M744" s="221"/>
      <c r="N744" s="221"/>
      <c r="O744" s="221"/>
      <c r="P744" s="221"/>
      <c r="Q744" s="221"/>
      <c r="R744" s="221"/>
      <c r="S744" s="221"/>
      <c r="T744" s="221"/>
      <c r="U744" s="221"/>
      <c r="V744" s="221"/>
      <c r="W744" s="221"/>
      <c r="X744" s="221"/>
      <c r="Y744" s="221"/>
      <c r="Z744" s="221"/>
      <c r="AA744" s="221"/>
      <c r="AB744" s="221"/>
    </row>
    <row r="745">
      <c r="A745" s="296"/>
      <c r="B745" s="296"/>
      <c r="C745" s="232"/>
      <c r="D745" s="232"/>
      <c r="E745" s="232"/>
      <c r="F745" s="232"/>
      <c r="G745" s="232"/>
      <c r="H745" s="232"/>
      <c r="I745" s="221"/>
      <c r="J745" s="221"/>
      <c r="K745" s="221"/>
      <c r="L745" s="221"/>
      <c r="M745" s="221"/>
      <c r="N745" s="221"/>
      <c r="O745" s="221"/>
      <c r="P745" s="221"/>
      <c r="Q745" s="221"/>
      <c r="R745" s="221"/>
      <c r="S745" s="221"/>
      <c r="T745" s="221"/>
      <c r="U745" s="221"/>
      <c r="V745" s="221"/>
      <c r="W745" s="221"/>
      <c r="X745" s="221"/>
      <c r="Y745" s="221"/>
      <c r="Z745" s="221"/>
      <c r="AA745" s="221"/>
      <c r="AB745" s="221"/>
    </row>
    <row r="746">
      <c r="A746" s="296"/>
      <c r="B746" s="296"/>
      <c r="C746" s="232"/>
      <c r="D746" s="232"/>
      <c r="E746" s="232"/>
      <c r="F746" s="232"/>
      <c r="G746" s="232"/>
      <c r="H746" s="232"/>
      <c r="I746" s="221"/>
      <c r="J746" s="221"/>
      <c r="K746" s="221"/>
      <c r="L746" s="221"/>
      <c r="M746" s="221"/>
      <c r="N746" s="221"/>
      <c r="O746" s="221"/>
      <c r="P746" s="221"/>
      <c r="Q746" s="221"/>
      <c r="R746" s="221"/>
      <c r="S746" s="221"/>
      <c r="T746" s="221"/>
      <c r="U746" s="221"/>
      <c r="V746" s="221"/>
      <c r="W746" s="221"/>
      <c r="X746" s="221"/>
      <c r="Y746" s="221"/>
      <c r="Z746" s="221"/>
      <c r="AA746" s="221"/>
      <c r="AB746" s="221"/>
    </row>
    <row r="747">
      <c r="A747" s="296"/>
      <c r="B747" s="296"/>
      <c r="C747" s="232"/>
      <c r="D747" s="232"/>
      <c r="E747" s="232"/>
      <c r="F747" s="232"/>
      <c r="G747" s="232"/>
      <c r="H747" s="232"/>
      <c r="I747" s="221"/>
      <c r="J747" s="221"/>
      <c r="K747" s="221"/>
      <c r="L747" s="221"/>
      <c r="M747" s="221"/>
      <c r="N747" s="221"/>
      <c r="O747" s="221"/>
      <c r="P747" s="221"/>
      <c r="Q747" s="221"/>
      <c r="R747" s="221"/>
      <c r="S747" s="221"/>
      <c r="T747" s="221"/>
      <c r="U747" s="221"/>
      <c r="V747" s="221"/>
      <c r="W747" s="221"/>
      <c r="X747" s="221"/>
      <c r="Y747" s="221"/>
      <c r="Z747" s="221"/>
      <c r="AA747" s="221"/>
      <c r="AB747" s="221"/>
    </row>
    <row r="748">
      <c r="A748" s="296"/>
      <c r="B748" s="296"/>
      <c r="C748" s="232"/>
      <c r="D748" s="232"/>
      <c r="E748" s="232"/>
      <c r="F748" s="232"/>
      <c r="G748" s="232"/>
      <c r="H748" s="232"/>
      <c r="I748" s="221"/>
      <c r="J748" s="221"/>
      <c r="K748" s="221"/>
      <c r="L748" s="221"/>
      <c r="M748" s="221"/>
      <c r="N748" s="221"/>
      <c r="O748" s="221"/>
      <c r="P748" s="221"/>
      <c r="Q748" s="221"/>
      <c r="R748" s="221"/>
      <c r="S748" s="221"/>
      <c r="T748" s="221"/>
      <c r="U748" s="221"/>
      <c r="V748" s="221"/>
      <c r="W748" s="221"/>
      <c r="X748" s="221"/>
      <c r="Y748" s="221"/>
      <c r="Z748" s="221"/>
      <c r="AA748" s="221"/>
      <c r="AB748" s="221"/>
    </row>
    <row r="749">
      <c r="A749" s="296"/>
      <c r="B749" s="296"/>
      <c r="C749" s="232"/>
      <c r="D749" s="232"/>
      <c r="E749" s="232"/>
      <c r="F749" s="232"/>
      <c r="G749" s="232"/>
      <c r="H749" s="232"/>
      <c r="I749" s="221"/>
      <c r="J749" s="221"/>
      <c r="K749" s="221"/>
      <c r="L749" s="221"/>
      <c r="M749" s="221"/>
      <c r="N749" s="221"/>
      <c r="O749" s="221"/>
      <c r="P749" s="221"/>
      <c r="Q749" s="221"/>
      <c r="R749" s="221"/>
      <c r="S749" s="221"/>
      <c r="T749" s="221"/>
      <c r="U749" s="221"/>
      <c r="V749" s="221"/>
      <c r="W749" s="221"/>
      <c r="X749" s="221"/>
      <c r="Y749" s="221"/>
      <c r="Z749" s="221"/>
      <c r="AA749" s="221"/>
      <c r="AB749" s="221"/>
    </row>
    <row r="750">
      <c r="A750" s="296"/>
      <c r="B750" s="296"/>
      <c r="C750" s="232"/>
      <c r="D750" s="232"/>
      <c r="E750" s="232"/>
      <c r="F750" s="232"/>
      <c r="G750" s="232"/>
      <c r="H750" s="232"/>
      <c r="I750" s="221"/>
      <c r="J750" s="221"/>
      <c r="K750" s="221"/>
      <c r="L750" s="221"/>
      <c r="M750" s="221"/>
      <c r="N750" s="221"/>
      <c r="O750" s="221"/>
      <c r="P750" s="221"/>
      <c r="Q750" s="221"/>
      <c r="R750" s="221"/>
      <c r="S750" s="221"/>
      <c r="T750" s="221"/>
      <c r="U750" s="221"/>
      <c r="V750" s="221"/>
      <c r="W750" s="221"/>
      <c r="X750" s="221"/>
      <c r="Y750" s="221"/>
      <c r="Z750" s="221"/>
      <c r="AA750" s="221"/>
      <c r="AB750" s="221"/>
    </row>
    <row r="751">
      <c r="A751" s="296"/>
      <c r="B751" s="296"/>
      <c r="C751" s="232"/>
      <c r="D751" s="232"/>
      <c r="E751" s="232"/>
      <c r="F751" s="232"/>
      <c r="G751" s="232"/>
      <c r="H751" s="232"/>
      <c r="I751" s="221"/>
      <c r="J751" s="221"/>
      <c r="K751" s="221"/>
      <c r="L751" s="221"/>
      <c r="M751" s="221"/>
      <c r="N751" s="221"/>
      <c r="O751" s="221"/>
      <c r="P751" s="221"/>
      <c r="Q751" s="221"/>
      <c r="R751" s="221"/>
      <c r="S751" s="221"/>
      <c r="T751" s="221"/>
      <c r="U751" s="221"/>
      <c r="V751" s="221"/>
      <c r="W751" s="221"/>
      <c r="X751" s="221"/>
      <c r="Y751" s="221"/>
      <c r="Z751" s="221"/>
      <c r="AA751" s="221"/>
      <c r="AB751" s="221"/>
    </row>
    <row r="752">
      <c r="A752" s="296"/>
      <c r="B752" s="296"/>
      <c r="C752" s="232"/>
      <c r="D752" s="232"/>
      <c r="E752" s="232"/>
      <c r="F752" s="232"/>
      <c r="G752" s="232"/>
      <c r="H752" s="232"/>
      <c r="I752" s="221"/>
      <c r="J752" s="221"/>
      <c r="K752" s="221"/>
      <c r="L752" s="221"/>
      <c r="M752" s="221"/>
      <c r="N752" s="221"/>
      <c r="O752" s="221"/>
      <c r="P752" s="221"/>
      <c r="Q752" s="221"/>
      <c r="R752" s="221"/>
      <c r="S752" s="221"/>
      <c r="T752" s="221"/>
      <c r="U752" s="221"/>
      <c r="V752" s="221"/>
      <c r="W752" s="221"/>
      <c r="X752" s="221"/>
      <c r="Y752" s="221"/>
      <c r="Z752" s="221"/>
      <c r="AA752" s="221"/>
      <c r="AB752" s="221"/>
    </row>
    <row r="753">
      <c r="A753" s="296"/>
      <c r="B753" s="296"/>
      <c r="C753" s="232"/>
      <c r="D753" s="232"/>
      <c r="E753" s="232"/>
      <c r="F753" s="232"/>
      <c r="G753" s="232"/>
      <c r="H753" s="232"/>
      <c r="I753" s="221"/>
      <c r="J753" s="221"/>
      <c r="K753" s="221"/>
      <c r="L753" s="221"/>
      <c r="M753" s="221"/>
      <c r="N753" s="221"/>
      <c r="O753" s="221"/>
      <c r="P753" s="221"/>
      <c r="Q753" s="221"/>
      <c r="R753" s="221"/>
      <c r="S753" s="221"/>
      <c r="T753" s="221"/>
      <c r="U753" s="221"/>
      <c r="V753" s="221"/>
      <c r="W753" s="221"/>
      <c r="X753" s="221"/>
      <c r="Y753" s="221"/>
      <c r="Z753" s="221"/>
      <c r="AA753" s="221"/>
      <c r="AB753" s="221"/>
    </row>
    <row r="754">
      <c r="A754" s="296"/>
      <c r="B754" s="296"/>
      <c r="C754" s="232"/>
      <c r="D754" s="232"/>
      <c r="E754" s="232"/>
      <c r="F754" s="232"/>
      <c r="G754" s="232"/>
      <c r="H754" s="232"/>
      <c r="I754" s="221"/>
      <c r="J754" s="221"/>
      <c r="K754" s="221"/>
      <c r="L754" s="221"/>
      <c r="M754" s="221"/>
      <c r="N754" s="221"/>
      <c r="O754" s="221"/>
      <c r="P754" s="221"/>
      <c r="Q754" s="221"/>
      <c r="R754" s="221"/>
      <c r="S754" s="221"/>
      <c r="T754" s="221"/>
      <c r="U754" s="221"/>
      <c r="V754" s="221"/>
      <c r="W754" s="221"/>
      <c r="X754" s="221"/>
      <c r="Y754" s="221"/>
      <c r="Z754" s="221"/>
      <c r="AA754" s="221"/>
      <c r="AB754" s="221"/>
    </row>
    <row r="755">
      <c r="A755" s="296"/>
      <c r="B755" s="296"/>
      <c r="C755" s="232"/>
      <c r="D755" s="232"/>
      <c r="E755" s="232"/>
      <c r="F755" s="232"/>
      <c r="G755" s="232"/>
      <c r="H755" s="232"/>
      <c r="I755" s="221"/>
      <c r="J755" s="221"/>
      <c r="K755" s="221"/>
      <c r="L755" s="221"/>
      <c r="M755" s="221"/>
      <c r="N755" s="221"/>
      <c r="O755" s="221"/>
      <c r="P755" s="221"/>
      <c r="Q755" s="221"/>
      <c r="R755" s="221"/>
      <c r="S755" s="221"/>
      <c r="T755" s="221"/>
      <c r="U755" s="221"/>
      <c r="V755" s="221"/>
      <c r="W755" s="221"/>
      <c r="X755" s="221"/>
      <c r="Y755" s="221"/>
      <c r="Z755" s="221"/>
      <c r="AA755" s="221"/>
      <c r="AB755" s="221"/>
    </row>
    <row r="756">
      <c r="A756" s="296"/>
      <c r="B756" s="296"/>
      <c r="C756" s="232"/>
      <c r="D756" s="232"/>
      <c r="E756" s="232"/>
      <c r="F756" s="232"/>
      <c r="G756" s="232"/>
      <c r="H756" s="232"/>
      <c r="I756" s="221"/>
      <c r="J756" s="221"/>
      <c r="K756" s="221"/>
      <c r="L756" s="221"/>
      <c r="M756" s="221"/>
      <c r="N756" s="221"/>
      <c r="O756" s="221"/>
      <c r="P756" s="221"/>
      <c r="Q756" s="221"/>
      <c r="R756" s="221"/>
      <c r="S756" s="221"/>
      <c r="T756" s="221"/>
      <c r="U756" s="221"/>
      <c r="V756" s="221"/>
      <c r="W756" s="221"/>
      <c r="X756" s="221"/>
      <c r="Y756" s="221"/>
      <c r="Z756" s="221"/>
      <c r="AA756" s="221"/>
      <c r="AB756" s="221"/>
    </row>
    <row r="757">
      <c r="A757" s="296"/>
      <c r="B757" s="296"/>
      <c r="C757" s="232"/>
      <c r="D757" s="232"/>
      <c r="E757" s="232"/>
      <c r="F757" s="232"/>
      <c r="G757" s="232"/>
      <c r="H757" s="232"/>
      <c r="I757" s="221"/>
      <c r="J757" s="221"/>
      <c r="K757" s="221"/>
      <c r="L757" s="221"/>
      <c r="M757" s="221"/>
      <c r="N757" s="221"/>
      <c r="O757" s="221"/>
      <c r="P757" s="221"/>
      <c r="Q757" s="221"/>
      <c r="R757" s="221"/>
      <c r="S757" s="221"/>
      <c r="T757" s="221"/>
      <c r="U757" s="221"/>
      <c r="V757" s="221"/>
      <c r="W757" s="221"/>
      <c r="X757" s="221"/>
      <c r="Y757" s="221"/>
      <c r="Z757" s="221"/>
      <c r="AA757" s="221"/>
      <c r="AB757" s="221"/>
    </row>
    <row r="758">
      <c r="A758" s="296"/>
      <c r="B758" s="296"/>
      <c r="C758" s="232"/>
      <c r="D758" s="232"/>
      <c r="E758" s="232"/>
      <c r="F758" s="232"/>
      <c r="G758" s="232"/>
      <c r="H758" s="232"/>
      <c r="I758" s="221"/>
      <c r="J758" s="221"/>
      <c r="K758" s="221"/>
      <c r="L758" s="221"/>
      <c r="M758" s="221"/>
      <c r="N758" s="221"/>
      <c r="O758" s="221"/>
      <c r="P758" s="221"/>
      <c r="Q758" s="221"/>
      <c r="R758" s="221"/>
      <c r="S758" s="221"/>
      <c r="T758" s="221"/>
      <c r="U758" s="221"/>
      <c r="V758" s="221"/>
      <c r="W758" s="221"/>
      <c r="X758" s="221"/>
      <c r="Y758" s="221"/>
      <c r="Z758" s="221"/>
      <c r="AA758" s="221"/>
      <c r="AB758" s="221"/>
    </row>
    <row r="759">
      <c r="A759" s="296"/>
      <c r="B759" s="296"/>
      <c r="C759" s="232"/>
      <c r="D759" s="232"/>
      <c r="E759" s="232"/>
      <c r="F759" s="232"/>
      <c r="G759" s="232"/>
      <c r="H759" s="232"/>
      <c r="I759" s="221"/>
      <c r="J759" s="221"/>
      <c r="K759" s="221"/>
      <c r="L759" s="221"/>
      <c r="M759" s="221"/>
      <c r="N759" s="221"/>
      <c r="O759" s="221"/>
      <c r="P759" s="221"/>
      <c r="Q759" s="221"/>
      <c r="R759" s="221"/>
      <c r="S759" s="221"/>
      <c r="T759" s="221"/>
      <c r="U759" s="221"/>
      <c r="V759" s="221"/>
      <c r="W759" s="221"/>
      <c r="X759" s="221"/>
      <c r="Y759" s="221"/>
      <c r="Z759" s="221"/>
      <c r="AA759" s="221"/>
      <c r="AB759" s="221"/>
    </row>
    <row r="760">
      <c r="A760" s="296"/>
      <c r="B760" s="296"/>
      <c r="C760" s="232"/>
      <c r="D760" s="232"/>
      <c r="E760" s="232"/>
      <c r="F760" s="232"/>
      <c r="G760" s="232"/>
      <c r="H760" s="232"/>
      <c r="I760" s="221"/>
      <c r="J760" s="221"/>
      <c r="K760" s="221"/>
      <c r="L760" s="221"/>
      <c r="M760" s="221"/>
      <c r="N760" s="221"/>
      <c r="O760" s="221"/>
      <c r="P760" s="221"/>
      <c r="Q760" s="221"/>
      <c r="R760" s="221"/>
      <c r="S760" s="221"/>
      <c r="T760" s="221"/>
      <c r="U760" s="221"/>
      <c r="V760" s="221"/>
      <c r="W760" s="221"/>
      <c r="X760" s="221"/>
      <c r="Y760" s="221"/>
      <c r="Z760" s="221"/>
      <c r="AA760" s="221"/>
      <c r="AB760" s="221"/>
    </row>
    <row r="761">
      <c r="A761" s="296"/>
      <c r="B761" s="296"/>
      <c r="C761" s="232"/>
      <c r="D761" s="232"/>
      <c r="E761" s="232"/>
      <c r="F761" s="232"/>
      <c r="G761" s="232"/>
      <c r="H761" s="232"/>
      <c r="I761" s="221"/>
      <c r="J761" s="221"/>
      <c r="K761" s="221"/>
      <c r="L761" s="221"/>
      <c r="M761" s="221"/>
      <c r="N761" s="221"/>
      <c r="O761" s="221"/>
      <c r="P761" s="221"/>
      <c r="Q761" s="221"/>
      <c r="R761" s="221"/>
      <c r="S761" s="221"/>
      <c r="T761" s="221"/>
      <c r="U761" s="221"/>
      <c r="V761" s="221"/>
      <c r="W761" s="221"/>
      <c r="X761" s="221"/>
      <c r="Y761" s="221"/>
      <c r="Z761" s="221"/>
      <c r="AA761" s="221"/>
      <c r="AB761" s="221"/>
    </row>
    <row r="762">
      <c r="A762" s="296"/>
      <c r="B762" s="296"/>
      <c r="C762" s="232"/>
      <c r="D762" s="232"/>
      <c r="E762" s="232"/>
      <c r="F762" s="232"/>
      <c r="G762" s="232"/>
      <c r="H762" s="232"/>
      <c r="I762" s="221"/>
      <c r="J762" s="221"/>
      <c r="K762" s="221"/>
      <c r="L762" s="221"/>
      <c r="M762" s="221"/>
      <c r="N762" s="221"/>
      <c r="O762" s="221"/>
      <c r="P762" s="221"/>
      <c r="Q762" s="221"/>
      <c r="R762" s="221"/>
      <c r="S762" s="221"/>
      <c r="T762" s="221"/>
      <c r="U762" s="221"/>
      <c r="V762" s="221"/>
      <c r="W762" s="221"/>
      <c r="X762" s="221"/>
      <c r="Y762" s="221"/>
      <c r="Z762" s="221"/>
      <c r="AA762" s="221"/>
      <c r="AB762" s="221"/>
    </row>
    <row r="763">
      <c r="A763" s="296"/>
      <c r="B763" s="296"/>
      <c r="C763" s="232"/>
      <c r="D763" s="232"/>
      <c r="E763" s="232"/>
      <c r="F763" s="232"/>
      <c r="G763" s="232"/>
      <c r="H763" s="232"/>
      <c r="I763" s="221"/>
      <c r="J763" s="221"/>
      <c r="K763" s="221"/>
      <c r="L763" s="221"/>
      <c r="M763" s="221"/>
      <c r="N763" s="221"/>
      <c r="O763" s="221"/>
      <c r="P763" s="221"/>
      <c r="Q763" s="221"/>
      <c r="R763" s="221"/>
      <c r="S763" s="221"/>
      <c r="T763" s="221"/>
      <c r="U763" s="221"/>
      <c r="V763" s="221"/>
      <c r="W763" s="221"/>
      <c r="X763" s="221"/>
      <c r="Y763" s="221"/>
      <c r="Z763" s="221"/>
      <c r="AA763" s="221"/>
      <c r="AB763" s="221"/>
    </row>
    <row r="764">
      <c r="A764" s="296"/>
      <c r="B764" s="296"/>
      <c r="C764" s="232"/>
      <c r="D764" s="232"/>
      <c r="E764" s="232"/>
      <c r="F764" s="232"/>
      <c r="G764" s="232"/>
      <c r="H764" s="232"/>
      <c r="I764" s="221"/>
      <c r="J764" s="221"/>
      <c r="K764" s="221"/>
      <c r="L764" s="221"/>
      <c r="M764" s="221"/>
      <c r="N764" s="221"/>
      <c r="O764" s="221"/>
      <c r="P764" s="221"/>
      <c r="Q764" s="221"/>
      <c r="R764" s="221"/>
      <c r="S764" s="221"/>
      <c r="T764" s="221"/>
      <c r="U764" s="221"/>
      <c r="V764" s="221"/>
      <c r="W764" s="221"/>
      <c r="X764" s="221"/>
      <c r="Y764" s="221"/>
      <c r="Z764" s="221"/>
      <c r="AA764" s="221"/>
      <c r="AB764" s="221"/>
    </row>
    <row r="765">
      <c r="A765" s="296"/>
      <c r="B765" s="296"/>
      <c r="C765" s="232"/>
      <c r="D765" s="232"/>
      <c r="E765" s="232"/>
      <c r="F765" s="232"/>
      <c r="G765" s="232"/>
      <c r="H765" s="232"/>
      <c r="I765" s="221"/>
      <c r="J765" s="221"/>
      <c r="K765" s="221"/>
      <c r="L765" s="221"/>
      <c r="M765" s="221"/>
      <c r="N765" s="221"/>
      <c r="O765" s="221"/>
      <c r="P765" s="221"/>
      <c r="Q765" s="221"/>
      <c r="R765" s="221"/>
      <c r="S765" s="221"/>
      <c r="T765" s="221"/>
      <c r="U765" s="221"/>
      <c r="V765" s="221"/>
      <c r="W765" s="221"/>
      <c r="X765" s="221"/>
      <c r="Y765" s="221"/>
      <c r="Z765" s="221"/>
      <c r="AA765" s="221"/>
      <c r="AB765" s="221"/>
    </row>
    <row r="766">
      <c r="A766" s="296"/>
      <c r="B766" s="296"/>
      <c r="C766" s="232"/>
      <c r="D766" s="232"/>
      <c r="E766" s="232"/>
      <c r="F766" s="232"/>
      <c r="G766" s="232"/>
      <c r="H766" s="232"/>
      <c r="I766" s="221"/>
      <c r="J766" s="221"/>
      <c r="K766" s="221"/>
      <c r="L766" s="221"/>
      <c r="M766" s="221"/>
      <c r="N766" s="221"/>
      <c r="O766" s="221"/>
      <c r="P766" s="221"/>
      <c r="Q766" s="221"/>
      <c r="R766" s="221"/>
      <c r="S766" s="221"/>
      <c r="T766" s="221"/>
      <c r="U766" s="221"/>
      <c r="V766" s="221"/>
      <c r="W766" s="221"/>
      <c r="X766" s="221"/>
      <c r="Y766" s="221"/>
      <c r="Z766" s="221"/>
      <c r="AA766" s="221"/>
      <c r="AB766" s="221"/>
    </row>
    <row r="767">
      <c r="A767" s="296"/>
      <c r="B767" s="296"/>
      <c r="C767" s="232"/>
      <c r="D767" s="232"/>
      <c r="E767" s="232"/>
      <c r="F767" s="232"/>
      <c r="G767" s="232"/>
      <c r="H767" s="232"/>
      <c r="I767" s="221"/>
      <c r="J767" s="221"/>
      <c r="K767" s="221"/>
      <c r="L767" s="221"/>
      <c r="M767" s="221"/>
      <c r="N767" s="221"/>
      <c r="O767" s="221"/>
      <c r="P767" s="221"/>
      <c r="Q767" s="221"/>
      <c r="R767" s="221"/>
      <c r="S767" s="221"/>
      <c r="T767" s="221"/>
      <c r="U767" s="221"/>
      <c r="V767" s="221"/>
      <c r="W767" s="221"/>
      <c r="X767" s="221"/>
      <c r="Y767" s="221"/>
      <c r="Z767" s="221"/>
      <c r="AA767" s="221"/>
      <c r="AB767" s="221"/>
    </row>
    <row r="768">
      <c r="A768" s="296"/>
      <c r="B768" s="296"/>
      <c r="C768" s="232"/>
      <c r="D768" s="232"/>
      <c r="E768" s="232"/>
      <c r="F768" s="232"/>
      <c r="G768" s="232"/>
      <c r="H768" s="232"/>
      <c r="I768" s="221"/>
      <c r="J768" s="221"/>
      <c r="K768" s="221"/>
      <c r="L768" s="221"/>
      <c r="M768" s="221"/>
      <c r="N768" s="221"/>
      <c r="O768" s="221"/>
      <c r="P768" s="221"/>
      <c r="Q768" s="221"/>
      <c r="R768" s="221"/>
      <c r="S768" s="221"/>
      <c r="T768" s="221"/>
      <c r="U768" s="221"/>
      <c r="V768" s="221"/>
      <c r="W768" s="221"/>
      <c r="X768" s="221"/>
      <c r="Y768" s="221"/>
      <c r="Z768" s="221"/>
      <c r="AA768" s="221"/>
      <c r="AB768" s="221"/>
    </row>
    <row r="769">
      <c r="A769" s="296"/>
      <c r="B769" s="296"/>
      <c r="C769" s="232"/>
      <c r="D769" s="232"/>
      <c r="E769" s="232"/>
      <c r="F769" s="232"/>
      <c r="G769" s="232"/>
      <c r="H769" s="232"/>
      <c r="I769" s="221"/>
      <c r="J769" s="221"/>
      <c r="K769" s="221"/>
      <c r="L769" s="221"/>
      <c r="M769" s="221"/>
      <c r="N769" s="221"/>
      <c r="O769" s="221"/>
      <c r="P769" s="221"/>
      <c r="Q769" s="221"/>
      <c r="R769" s="221"/>
      <c r="S769" s="221"/>
      <c r="T769" s="221"/>
      <c r="U769" s="221"/>
      <c r="V769" s="221"/>
      <c r="W769" s="221"/>
      <c r="X769" s="221"/>
      <c r="Y769" s="221"/>
      <c r="Z769" s="221"/>
      <c r="AA769" s="221"/>
      <c r="AB769" s="221"/>
    </row>
    <row r="770">
      <c r="A770" s="296"/>
      <c r="B770" s="296"/>
      <c r="C770" s="232"/>
      <c r="D770" s="232"/>
      <c r="E770" s="232"/>
      <c r="F770" s="232"/>
      <c r="G770" s="232"/>
      <c r="H770" s="232"/>
      <c r="I770" s="221"/>
      <c r="J770" s="221"/>
      <c r="K770" s="221"/>
      <c r="L770" s="221"/>
      <c r="M770" s="221"/>
      <c r="N770" s="221"/>
      <c r="O770" s="221"/>
      <c r="P770" s="221"/>
      <c r="Q770" s="221"/>
      <c r="R770" s="221"/>
      <c r="S770" s="221"/>
      <c r="T770" s="221"/>
      <c r="U770" s="221"/>
      <c r="V770" s="221"/>
      <c r="W770" s="221"/>
      <c r="X770" s="221"/>
      <c r="Y770" s="221"/>
      <c r="Z770" s="221"/>
      <c r="AA770" s="221"/>
      <c r="AB770" s="221"/>
    </row>
    <row r="771">
      <c r="A771" s="296"/>
      <c r="B771" s="296"/>
      <c r="C771" s="232"/>
      <c r="D771" s="232"/>
      <c r="E771" s="232"/>
      <c r="F771" s="232"/>
      <c r="G771" s="232"/>
      <c r="H771" s="232"/>
      <c r="I771" s="221"/>
      <c r="J771" s="221"/>
      <c r="K771" s="221"/>
      <c r="L771" s="221"/>
      <c r="M771" s="221"/>
      <c r="N771" s="221"/>
      <c r="O771" s="221"/>
      <c r="P771" s="221"/>
      <c r="Q771" s="221"/>
      <c r="R771" s="221"/>
      <c r="S771" s="221"/>
      <c r="T771" s="221"/>
      <c r="U771" s="221"/>
      <c r="V771" s="221"/>
      <c r="W771" s="221"/>
      <c r="X771" s="221"/>
      <c r="Y771" s="221"/>
      <c r="Z771" s="221"/>
      <c r="AA771" s="221"/>
      <c r="AB771" s="221"/>
    </row>
    <row r="772">
      <c r="A772" s="296"/>
      <c r="B772" s="296"/>
      <c r="C772" s="232"/>
      <c r="D772" s="232"/>
      <c r="E772" s="232"/>
      <c r="F772" s="232"/>
      <c r="G772" s="232"/>
      <c r="H772" s="232"/>
      <c r="I772" s="221"/>
      <c r="J772" s="221"/>
      <c r="K772" s="221"/>
      <c r="L772" s="221"/>
      <c r="M772" s="221"/>
      <c r="N772" s="221"/>
      <c r="O772" s="221"/>
      <c r="P772" s="221"/>
      <c r="Q772" s="221"/>
      <c r="R772" s="221"/>
      <c r="S772" s="221"/>
      <c r="T772" s="221"/>
      <c r="U772" s="221"/>
      <c r="V772" s="221"/>
      <c r="W772" s="221"/>
      <c r="X772" s="221"/>
      <c r="Y772" s="221"/>
      <c r="Z772" s="221"/>
      <c r="AA772" s="221"/>
      <c r="AB772" s="221"/>
    </row>
    <row r="773">
      <c r="A773" s="296"/>
      <c r="B773" s="296"/>
      <c r="C773" s="232"/>
      <c r="D773" s="232"/>
      <c r="E773" s="232"/>
      <c r="F773" s="232"/>
      <c r="G773" s="232"/>
      <c r="H773" s="232"/>
      <c r="I773" s="221"/>
      <c r="J773" s="221"/>
      <c r="K773" s="221"/>
      <c r="L773" s="221"/>
      <c r="M773" s="221"/>
      <c r="N773" s="221"/>
      <c r="O773" s="221"/>
      <c r="P773" s="221"/>
      <c r="Q773" s="221"/>
      <c r="R773" s="221"/>
      <c r="S773" s="221"/>
      <c r="T773" s="221"/>
      <c r="U773" s="221"/>
      <c r="V773" s="221"/>
      <c r="W773" s="221"/>
      <c r="X773" s="221"/>
      <c r="Y773" s="221"/>
      <c r="Z773" s="221"/>
      <c r="AA773" s="221"/>
      <c r="AB773" s="221"/>
    </row>
    <row r="774">
      <c r="A774" s="296"/>
      <c r="B774" s="296"/>
      <c r="C774" s="232"/>
      <c r="D774" s="232"/>
      <c r="E774" s="232"/>
      <c r="F774" s="232"/>
      <c r="G774" s="232"/>
      <c r="H774" s="232"/>
      <c r="I774" s="221"/>
      <c r="J774" s="221"/>
      <c r="K774" s="221"/>
      <c r="L774" s="221"/>
      <c r="M774" s="221"/>
      <c r="N774" s="221"/>
      <c r="O774" s="221"/>
      <c r="P774" s="221"/>
      <c r="Q774" s="221"/>
      <c r="R774" s="221"/>
      <c r="S774" s="221"/>
      <c r="T774" s="221"/>
      <c r="U774" s="221"/>
      <c r="V774" s="221"/>
      <c r="W774" s="221"/>
      <c r="X774" s="221"/>
      <c r="Y774" s="221"/>
      <c r="Z774" s="221"/>
      <c r="AA774" s="221"/>
      <c r="AB774" s="221"/>
    </row>
    <row r="775">
      <c r="A775" s="296"/>
      <c r="B775" s="296"/>
      <c r="C775" s="232"/>
      <c r="D775" s="232"/>
      <c r="E775" s="232"/>
      <c r="F775" s="232"/>
      <c r="G775" s="232"/>
      <c r="H775" s="232"/>
      <c r="I775" s="221"/>
      <c r="J775" s="221"/>
      <c r="K775" s="221"/>
      <c r="L775" s="221"/>
      <c r="M775" s="221"/>
      <c r="N775" s="221"/>
      <c r="O775" s="221"/>
      <c r="P775" s="221"/>
      <c r="Q775" s="221"/>
      <c r="R775" s="221"/>
      <c r="S775" s="221"/>
      <c r="T775" s="221"/>
      <c r="U775" s="221"/>
      <c r="V775" s="221"/>
      <c r="W775" s="221"/>
      <c r="X775" s="221"/>
      <c r="Y775" s="221"/>
      <c r="Z775" s="221"/>
      <c r="AA775" s="221"/>
      <c r="AB775" s="221"/>
    </row>
    <row r="776">
      <c r="A776" s="296"/>
      <c r="B776" s="296"/>
      <c r="C776" s="232"/>
      <c r="D776" s="232"/>
      <c r="E776" s="232"/>
      <c r="F776" s="232"/>
      <c r="G776" s="232"/>
      <c r="H776" s="232"/>
      <c r="I776" s="221"/>
      <c r="J776" s="221"/>
      <c r="K776" s="221"/>
      <c r="L776" s="221"/>
      <c r="M776" s="221"/>
      <c r="N776" s="221"/>
      <c r="O776" s="221"/>
      <c r="P776" s="221"/>
      <c r="Q776" s="221"/>
      <c r="R776" s="221"/>
      <c r="S776" s="221"/>
      <c r="T776" s="221"/>
      <c r="U776" s="221"/>
      <c r="V776" s="221"/>
      <c r="W776" s="221"/>
      <c r="X776" s="221"/>
      <c r="Y776" s="221"/>
      <c r="Z776" s="221"/>
      <c r="AA776" s="221"/>
      <c r="AB776" s="221"/>
    </row>
    <row r="777">
      <c r="A777" s="296"/>
      <c r="B777" s="296"/>
      <c r="C777" s="232"/>
      <c r="D777" s="232"/>
      <c r="E777" s="232"/>
      <c r="F777" s="232"/>
      <c r="G777" s="232"/>
      <c r="H777" s="232"/>
      <c r="I777" s="221"/>
      <c r="J777" s="221"/>
      <c r="K777" s="221"/>
      <c r="L777" s="221"/>
      <c r="M777" s="221"/>
      <c r="N777" s="221"/>
      <c r="O777" s="221"/>
      <c r="P777" s="221"/>
      <c r="Q777" s="221"/>
      <c r="R777" s="221"/>
      <c r="S777" s="221"/>
      <c r="T777" s="221"/>
      <c r="U777" s="221"/>
      <c r="V777" s="221"/>
      <c r="W777" s="221"/>
      <c r="X777" s="221"/>
      <c r="Y777" s="221"/>
      <c r="Z777" s="221"/>
      <c r="AA777" s="221"/>
      <c r="AB777" s="221"/>
    </row>
    <row r="778">
      <c r="A778" s="296"/>
      <c r="B778" s="296"/>
      <c r="C778" s="232"/>
      <c r="D778" s="232"/>
      <c r="E778" s="232"/>
      <c r="F778" s="232"/>
      <c r="G778" s="232"/>
      <c r="H778" s="232"/>
      <c r="I778" s="221"/>
      <c r="J778" s="221"/>
      <c r="K778" s="221"/>
      <c r="L778" s="221"/>
      <c r="M778" s="221"/>
      <c r="N778" s="221"/>
      <c r="O778" s="221"/>
      <c r="P778" s="221"/>
      <c r="Q778" s="221"/>
      <c r="R778" s="221"/>
      <c r="S778" s="221"/>
      <c r="T778" s="221"/>
      <c r="U778" s="221"/>
      <c r="V778" s="221"/>
      <c r="W778" s="221"/>
      <c r="X778" s="221"/>
      <c r="Y778" s="221"/>
      <c r="Z778" s="221"/>
      <c r="AA778" s="221"/>
      <c r="AB778" s="221"/>
    </row>
    <row r="779">
      <c r="A779" s="296"/>
      <c r="B779" s="296"/>
      <c r="C779" s="232"/>
      <c r="D779" s="232"/>
      <c r="E779" s="232"/>
      <c r="F779" s="232"/>
      <c r="G779" s="232"/>
      <c r="H779" s="232"/>
      <c r="I779" s="221"/>
      <c r="J779" s="221"/>
      <c r="K779" s="221"/>
      <c r="L779" s="221"/>
      <c r="M779" s="221"/>
      <c r="N779" s="221"/>
      <c r="O779" s="221"/>
      <c r="P779" s="221"/>
      <c r="Q779" s="221"/>
      <c r="R779" s="221"/>
      <c r="S779" s="221"/>
      <c r="T779" s="221"/>
      <c r="U779" s="221"/>
      <c r="V779" s="221"/>
      <c r="W779" s="221"/>
      <c r="X779" s="221"/>
      <c r="Y779" s="221"/>
      <c r="Z779" s="221"/>
      <c r="AA779" s="221"/>
      <c r="AB779" s="221"/>
    </row>
    <row r="780">
      <c r="A780" s="296"/>
      <c r="B780" s="296"/>
      <c r="C780" s="232"/>
      <c r="D780" s="232"/>
      <c r="E780" s="232"/>
      <c r="F780" s="232"/>
      <c r="G780" s="232"/>
      <c r="H780" s="232"/>
      <c r="I780" s="221"/>
      <c r="J780" s="221"/>
      <c r="K780" s="221"/>
      <c r="L780" s="221"/>
      <c r="M780" s="221"/>
      <c r="N780" s="221"/>
      <c r="O780" s="221"/>
      <c r="P780" s="221"/>
      <c r="Q780" s="221"/>
      <c r="R780" s="221"/>
      <c r="S780" s="221"/>
      <c r="T780" s="221"/>
      <c r="U780" s="221"/>
      <c r="V780" s="221"/>
      <c r="W780" s="221"/>
      <c r="X780" s="221"/>
      <c r="Y780" s="221"/>
      <c r="Z780" s="221"/>
      <c r="AA780" s="221"/>
      <c r="AB780" s="221"/>
    </row>
    <row r="781">
      <c r="A781" s="296"/>
      <c r="B781" s="296"/>
      <c r="C781" s="232"/>
      <c r="D781" s="232"/>
      <c r="E781" s="232"/>
      <c r="F781" s="232"/>
      <c r="G781" s="232"/>
      <c r="H781" s="232"/>
      <c r="I781" s="221"/>
      <c r="J781" s="221"/>
      <c r="K781" s="221"/>
      <c r="L781" s="221"/>
      <c r="M781" s="221"/>
      <c r="N781" s="221"/>
      <c r="O781" s="221"/>
      <c r="P781" s="221"/>
      <c r="Q781" s="221"/>
      <c r="R781" s="221"/>
      <c r="S781" s="221"/>
      <c r="T781" s="221"/>
      <c r="U781" s="221"/>
      <c r="V781" s="221"/>
      <c r="W781" s="221"/>
      <c r="X781" s="221"/>
      <c r="Y781" s="221"/>
      <c r="Z781" s="221"/>
      <c r="AA781" s="221"/>
      <c r="AB781" s="221"/>
    </row>
    <row r="782">
      <c r="A782" s="296"/>
      <c r="B782" s="296"/>
      <c r="C782" s="232"/>
      <c r="D782" s="232"/>
      <c r="E782" s="232"/>
      <c r="F782" s="232"/>
      <c r="G782" s="232"/>
      <c r="H782" s="232"/>
      <c r="I782" s="221"/>
      <c r="J782" s="221"/>
      <c r="K782" s="221"/>
      <c r="L782" s="221"/>
      <c r="M782" s="221"/>
      <c r="N782" s="221"/>
      <c r="O782" s="221"/>
      <c r="P782" s="221"/>
      <c r="Q782" s="221"/>
      <c r="R782" s="221"/>
      <c r="S782" s="221"/>
      <c r="T782" s="221"/>
      <c r="U782" s="221"/>
      <c r="V782" s="221"/>
      <c r="W782" s="221"/>
      <c r="X782" s="221"/>
      <c r="Y782" s="221"/>
      <c r="Z782" s="221"/>
      <c r="AA782" s="221"/>
      <c r="AB782" s="221"/>
    </row>
    <row r="783">
      <c r="A783" s="296"/>
      <c r="B783" s="296"/>
      <c r="C783" s="232"/>
      <c r="D783" s="232"/>
      <c r="E783" s="232"/>
      <c r="F783" s="232"/>
      <c r="G783" s="232"/>
      <c r="H783" s="232"/>
      <c r="I783" s="221"/>
      <c r="J783" s="221"/>
      <c r="K783" s="221"/>
      <c r="L783" s="221"/>
      <c r="M783" s="221"/>
      <c r="N783" s="221"/>
      <c r="O783" s="221"/>
      <c r="P783" s="221"/>
      <c r="Q783" s="221"/>
      <c r="R783" s="221"/>
      <c r="S783" s="221"/>
      <c r="T783" s="221"/>
      <c r="U783" s="221"/>
      <c r="V783" s="221"/>
      <c r="W783" s="221"/>
      <c r="X783" s="221"/>
      <c r="Y783" s="221"/>
      <c r="Z783" s="221"/>
      <c r="AA783" s="221"/>
      <c r="AB783" s="221"/>
    </row>
    <row r="784">
      <c r="A784" s="296"/>
      <c r="B784" s="296"/>
      <c r="C784" s="232"/>
      <c r="D784" s="232"/>
      <c r="E784" s="232"/>
      <c r="F784" s="232"/>
      <c r="G784" s="232"/>
      <c r="H784" s="232"/>
      <c r="I784" s="221"/>
      <c r="J784" s="221"/>
      <c r="K784" s="221"/>
      <c r="L784" s="221"/>
      <c r="M784" s="221"/>
      <c r="N784" s="221"/>
      <c r="O784" s="221"/>
      <c r="P784" s="221"/>
      <c r="Q784" s="221"/>
      <c r="R784" s="221"/>
      <c r="S784" s="221"/>
      <c r="T784" s="221"/>
      <c r="U784" s="221"/>
      <c r="V784" s="221"/>
      <c r="W784" s="221"/>
      <c r="X784" s="221"/>
      <c r="Y784" s="221"/>
      <c r="Z784" s="221"/>
      <c r="AA784" s="221"/>
      <c r="AB784" s="221"/>
    </row>
    <row r="785">
      <c r="A785" s="296"/>
      <c r="B785" s="296"/>
      <c r="C785" s="232"/>
      <c r="D785" s="232"/>
      <c r="E785" s="232"/>
      <c r="F785" s="232"/>
      <c r="G785" s="232"/>
      <c r="H785" s="232"/>
      <c r="I785" s="221"/>
      <c r="J785" s="221"/>
      <c r="K785" s="221"/>
      <c r="L785" s="221"/>
      <c r="M785" s="221"/>
      <c r="N785" s="221"/>
      <c r="O785" s="221"/>
      <c r="P785" s="221"/>
      <c r="Q785" s="221"/>
      <c r="R785" s="221"/>
      <c r="S785" s="221"/>
      <c r="T785" s="221"/>
      <c r="U785" s="221"/>
      <c r="V785" s="221"/>
      <c r="W785" s="221"/>
      <c r="X785" s="221"/>
      <c r="Y785" s="221"/>
      <c r="Z785" s="221"/>
      <c r="AA785" s="221"/>
      <c r="AB785" s="221"/>
    </row>
    <row r="786">
      <c r="A786" s="296"/>
      <c r="B786" s="296"/>
      <c r="C786" s="232"/>
      <c r="D786" s="232"/>
      <c r="E786" s="232"/>
      <c r="F786" s="232"/>
      <c r="G786" s="232"/>
      <c r="H786" s="232"/>
      <c r="I786" s="221"/>
      <c r="J786" s="221"/>
      <c r="K786" s="221"/>
      <c r="L786" s="221"/>
      <c r="M786" s="221"/>
      <c r="N786" s="221"/>
      <c r="O786" s="221"/>
      <c r="P786" s="221"/>
      <c r="Q786" s="221"/>
      <c r="R786" s="221"/>
      <c r="S786" s="221"/>
      <c r="T786" s="221"/>
      <c r="U786" s="221"/>
      <c r="V786" s="221"/>
      <c r="W786" s="221"/>
      <c r="X786" s="221"/>
      <c r="Y786" s="221"/>
      <c r="Z786" s="221"/>
      <c r="AA786" s="221"/>
      <c r="AB786" s="221"/>
    </row>
    <row r="787">
      <c r="A787" s="296"/>
      <c r="B787" s="296"/>
      <c r="C787" s="232"/>
      <c r="D787" s="232"/>
      <c r="E787" s="232"/>
      <c r="F787" s="232"/>
      <c r="G787" s="232"/>
      <c r="H787" s="232"/>
      <c r="I787" s="221"/>
      <c r="J787" s="221"/>
      <c r="K787" s="221"/>
      <c r="L787" s="221"/>
      <c r="M787" s="221"/>
      <c r="N787" s="221"/>
      <c r="O787" s="221"/>
      <c r="P787" s="221"/>
      <c r="Q787" s="221"/>
      <c r="R787" s="221"/>
      <c r="S787" s="221"/>
      <c r="T787" s="221"/>
      <c r="U787" s="221"/>
      <c r="V787" s="221"/>
      <c r="W787" s="221"/>
      <c r="X787" s="221"/>
      <c r="Y787" s="221"/>
      <c r="Z787" s="221"/>
      <c r="AA787" s="221"/>
      <c r="AB787" s="221"/>
    </row>
    <row r="788">
      <c r="A788" s="296"/>
      <c r="B788" s="296"/>
      <c r="C788" s="232"/>
      <c r="D788" s="232"/>
      <c r="E788" s="232"/>
      <c r="F788" s="232"/>
      <c r="G788" s="232"/>
      <c r="H788" s="232"/>
      <c r="I788" s="221"/>
      <c r="J788" s="221"/>
      <c r="K788" s="221"/>
      <c r="L788" s="221"/>
      <c r="M788" s="221"/>
      <c r="N788" s="221"/>
      <c r="O788" s="221"/>
      <c r="P788" s="221"/>
      <c r="Q788" s="221"/>
      <c r="R788" s="221"/>
      <c r="S788" s="221"/>
      <c r="T788" s="221"/>
      <c r="U788" s="221"/>
      <c r="V788" s="221"/>
      <c r="W788" s="221"/>
      <c r="X788" s="221"/>
      <c r="Y788" s="221"/>
      <c r="Z788" s="221"/>
      <c r="AA788" s="221"/>
      <c r="AB788" s="221"/>
    </row>
    <row r="789">
      <c r="A789" s="296"/>
      <c r="B789" s="296"/>
      <c r="C789" s="232"/>
      <c r="D789" s="232"/>
      <c r="E789" s="232"/>
      <c r="F789" s="232"/>
      <c r="G789" s="232"/>
      <c r="H789" s="232"/>
      <c r="I789" s="221"/>
      <c r="J789" s="221"/>
      <c r="K789" s="221"/>
      <c r="L789" s="221"/>
      <c r="M789" s="221"/>
      <c r="N789" s="221"/>
      <c r="O789" s="221"/>
      <c r="P789" s="221"/>
      <c r="Q789" s="221"/>
      <c r="R789" s="221"/>
      <c r="S789" s="221"/>
      <c r="T789" s="221"/>
      <c r="U789" s="221"/>
      <c r="V789" s="221"/>
      <c r="W789" s="221"/>
      <c r="X789" s="221"/>
      <c r="Y789" s="221"/>
      <c r="Z789" s="221"/>
      <c r="AA789" s="221"/>
      <c r="AB789" s="221"/>
    </row>
    <row r="790">
      <c r="A790" s="296"/>
      <c r="B790" s="296"/>
      <c r="C790" s="232"/>
      <c r="D790" s="232"/>
      <c r="E790" s="232"/>
      <c r="F790" s="232"/>
      <c r="G790" s="232"/>
      <c r="H790" s="232"/>
      <c r="I790" s="221"/>
      <c r="J790" s="221"/>
      <c r="K790" s="221"/>
      <c r="L790" s="221"/>
      <c r="M790" s="221"/>
      <c r="N790" s="221"/>
      <c r="O790" s="221"/>
      <c r="P790" s="221"/>
      <c r="Q790" s="221"/>
      <c r="R790" s="221"/>
      <c r="S790" s="221"/>
      <c r="T790" s="221"/>
      <c r="U790" s="221"/>
      <c r="V790" s="221"/>
      <c r="W790" s="221"/>
      <c r="X790" s="221"/>
      <c r="Y790" s="221"/>
      <c r="Z790" s="221"/>
      <c r="AA790" s="221"/>
      <c r="AB790" s="221"/>
    </row>
    <row r="791">
      <c r="A791" s="296"/>
      <c r="B791" s="296"/>
      <c r="C791" s="232"/>
      <c r="D791" s="232"/>
      <c r="E791" s="232"/>
      <c r="F791" s="232"/>
      <c r="G791" s="232"/>
      <c r="H791" s="232"/>
      <c r="I791" s="221"/>
      <c r="J791" s="221"/>
      <c r="K791" s="221"/>
      <c r="L791" s="221"/>
      <c r="M791" s="221"/>
      <c r="N791" s="221"/>
      <c r="O791" s="221"/>
      <c r="P791" s="221"/>
      <c r="Q791" s="221"/>
      <c r="R791" s="221"/>
      <c r="S791" s="221"/>
      <c r="T791" s="221"/>
      <c r="U791" s="221"/>
      <c r="V791" s="221"/>
      <c r="W791" s="221"/>
      <c r="X791" s="221"/>
      <c r="Y791" s="221"/>
      <c r="Z791" s="221"/>
      <c r="AA791" s="221"/>
      <c r="AB791" s="221"/>
    </row>
    <row r="792">
      <c r="A792" s="296"/>
      <c r="B792" s="296"/>
      <c r="C792" s="232"/>
      <c r="D792" s="232"/>
      <c r="E792" s="232"/>
      <c r="F792" s="232"/>
      <c r="G792" s="232"/>
      <c r="H792" s="232"/>
      <c r="I792" s="221"/>
      <c r="J792" s="221"/>
      <c r="K792" s="221"/>
      <c r="L792" s="221"/>
      <c r="M792" s="221"/>
      <c r="N792" s="221"/>
      <c r="O792" s="221"/>
      <c r="P792" s="221"/>
      <c r="Q792" s="221"/>
      <c r="R792" s="221"/>
      <c r="S792" s="221"/>
      <c r="T792" s="221"/>
      <c r="U792" s="221"/>
      <c r="V792" s="221"/>
      <c r="W792" s="221"/>
      <c r="X792" s="221"/>
      <c r="Y792" s="221"/>
      <c r="Z792" s="221"/>
      <c r="AA792" s="221"/>
      <c r="AB792" s="221"/>
    </row>
    <row r="793">
      <c r="A793" s="296"/>
      <c r="B793" s="296"/>
      <c r="C793" s="232"/>
      <c r="D793" s="232"/>
      <c r="E793" s="232"/>
      <c r="F793" s="232"/>
      <c r="G793" s="232"/>
      <c r="H793" s="232"/>
      <c r="I793" s="221"/>
      <c r="J793" s="221"/>
      <c r="K793" s="221"/>
      <c r="L793" s="221"/>
      <c r="M793" s="221"/>
      <c r="N793" s="221"/>
      <c r="O793" s="221"/>
      <c r="P793" s="221"/>
      <c r="Q793" s="221"/>
      <c r="R793" s="221"/>
      <c r="S793" s="221"/>
      <c r="T793" s="221"/>
      <c r="U793" s="221"/>
      <c r="V793" s="221"/>
      <c r="W793" s="221"/>
      <c r="X793" s="221"/>
      <c r="Y793" s="221"/>
      <c r="Z793" s="221"/>
      <c r="AA793" s="221"/>
      <c r="AB793" s="221"/>
    </row>
    <row r="794">
      <c r="A794" s="296"/>
      <c r="B794" s="296"/>
      <c r="C794" s="232"/>
      <c r="D794" s="232"/>
      <c r="E794" s="232"/>
      <c r="F794" s="232"/>
      <c r="G794" s="232"/>
      <c r="H794" s="232"/>
      <c r="I794" s="221"/>
      <c r="J794" s="221"/>
      <c r="K794" s="221"/>
      <c r="L794" s="221"/>
      <c r="M794" s="221"/>
      <c r="N794" s="221"/>
      <c r="O794" s="221"/>
      <c r="P794" s="221"/>
      <c r="Q794" s="221"/>
      <c r="R794" s="221"/>
      <c r="S794" s="221"/>
      <c r="T794" s="221"/>
      <c r="U794" s="221"/>
      <c r="V794" s="221"/>
      <c r="W794" s="221"/>
      <c r="X794" s="221"/>
      <c r="Y794" s="221"/>
      <c r="Z794" s="221"/>
      <c r="AA794" s="221"/>
      <c r="AB794" s="221"/>
    </row>
    <row r="795">
      <c r="A795" s="296"/>
      <c r="B795" s="296"/>
      <c r="C795" s="232"/>
      <c r="D795" s="232"/>
      <c r="E795" s="232"/>
      <c r="F795" s="232"/>
      <c r="G795" s="232"/>
      <c r="H795" s="232"/>
      <c r="I795" s="221"/>
      <c r="J795" s="221"/>
      <c r="K795" s="221"/>
      <c r="L795" s="221"/>
      <c r="M795" s="221"/>
      <c r="N795" s="221"/>
      <c r="O795" s="221"/>
      <c r="P795" s="221"/>
      <c r="Q795" s="221"/>
      <c r="R795" s="221"/>
      <c r="S795" s="221"/>
      <c r="T795" s="221"/>
      <c r="U795" s="221"/>
      <c r="V795" s="221"/>
      <c r="W795" s="221"/>
      <c r="X795" s="221"/>
      <c r="Y795" s="221"/>
      <c r="Z795" s="221"/>
      <c r="AA795" s="221"/>
      <c r="AB795" s="221"/>
    </row>
    <row r="796">
      <c r="A796" s="296"/>
      <c r="B796" s="296"/>
      <c r="C796" s="232"/>
      <c r="D796" s="232"/>
      <c r="E796" s="232"/>
      <c r="F796" s="232"/>
      <c r="G796" s="232"/>
      <c r="H796" s="232"/>
      <c r="I796" s="221"/>
      <c r="J796" s="221"/>
      <c r="K796" s="221"/>
      <c r="L796" s="221"/>
      <c r="M796" s="221"/>
      <c r="N796" s="221"/>
      <c r="O796" s="221"/>
      <c r="P796" s="221"/>
      <c r="Q796" s="221"/>
      <c r="R796" s="221"/>
      <c r="S796" s="221"/>
      <c r="T796" s="221"/>
      <c r="U796" s="221"/>
      <c r="V796" s="221"/>
      <c r="W796" s="221"/>
      <c r="X796" s="221"/>
      <c r="Y796" s="221"/>
      <c r="Z796" s="221"/>
      <c r="AA796" s="221"/>
      <c r="AB796" s="221"/>
    </row>
    <row r="797">
      <c r="A797" s="296"/>
      <c r="B797" s="296"/>
      <c r="C797" s="232"/>
      <c r="D797" s="232"/>
      <c r="E797" s="232"/>
      <c r="F797" s="232"/>
      <c r="G797" s="232"/>
      <c r="H797" s="232"/>
      <c r="I797" s="221"/>
      <c r="J797" s="221"/>
      <c r="K797" s="221"/>
      <c r="L797" s="221"/>
      <c r="M797" s="221"/>
      <c r="N797" s="221"/>
      <c r="O797" s="221"/>
      <c r="P797" s="221"/>
      <c r="Q797" s="221"/>
      <c r="R797" s="221"/>
      <c r="S797" s="221"/>
      <c r="T797" s="221"/>
      <c r="U797" s="221"/>
      <c r="V797" s="221"/>
      <c r="W797" s="221"/>
      <c r="X797" s="221"/>
      <c r="Y797" s="221"/>
      <c r="Z797" s="221"/>
      <c r="AA797" s="221"/>
      <c r="AB797" s="221"/>
    </row>
    <row r="798">
      <c r="A798" s="296"/>
      <c r="B798" s="296"/>
      <c r="C798" s="232"/>
      <c r="D798" s="232"/>
      <c r="E798" s="232"/>
      <c r="F798" s="232"/>
      <c r="G798" s="232"/>
      <c r="H798" s="232"/>
      <c r="I798" s="221"/>
      <c r="J798" s="221"/>
      <c r="K798" s="221"/>
      <c r="L798" s="221"/>
      <c r="M798" s="221"/>
      <c r="N798" s="221"/>
      <c r="O798" s="221"/>
      <c r="P798" s="221"/>
      <c r="Q798" s="221"/>
      <c r="R798" s="221"/>
      <c r="S798" s="221"/>
      <c r="T798" s="221"/>
      <c r="U798" s="221"/>
      <c r="V798" s="221"/>
      <c r="W798" s="221"/>
      <c r="X798" s="221"/>
      <c r="Y798" s="221"/>
      <c r="Z798" s="221"/>
      <c r="AA798" s="221"/>
      <c r="AB798" s="221"/>
    </row>
    <row r="799">
      <c r="A799" s="296"/>
      <c r="B799" s="296"/>
      <c r="C799" s="232"/>
      <c r="D799" s="232"/>
      <c r="E799" s="232"/>
      <c r="F799" s="232"/>
      <c r="G799" s="232"/>
      <c r="H799" s="232"/>
      <c r="I799" s="221"/>
      <c r="J799" s="221"/>
      <c r="K799" s="221"/>
      <c r="L799" s="221"/>
      <c r="M799" s="221"/>
      <c r="N799" s="221"/>
      <c r="O799" s="221"/>
      <c r="P799" s="221"/>
      <c r="Q799" s="221"/>
      <c r="R799" s="221"/>
      <c r="S799" s="221"/>
      <c r="T799" s="221"/>
      <c r="U799" s="221"/>
      <c r="V799" s="221"/>
      <c r="W799" s="221"/>
      <c r="X799" s="221"/>
      <c r="Y799" s="221"/>
      <c r="Z799" s="221"/>
      <c r="AA799" s="221"/>
      <c r="AB799" s="221"/>
    </row>
    <row r="800">
      <c r="A800" s="296"/>
      <c r="B800" s="296"/>
      <c r="C800" s="232"/>
      <c r="D800" s="232"/>
      <c r="E800" s="232"/>
      <c r="F800" s="232"/>
      <c r="G800" s="232"/>
      <c r="H800" s="232"/>
      <c r="I800" s="221"/>
      <c r="J800" s="221"/>
      <c r="K800" s="221"/>
      <c r="L800" s="221"/>
      <c r="M800" s="221"/>
      <c r="N800" s="221"/>
      <c r="O800" s="221"/>
      <c r="P800" s="221"/>
      <c r="Q800" s="221"/>
      <c r="R800" s="221"/>
      <c r="S800" s="221"/>
      <c r="T800" s="221"/>
      <c r="U800" s="221"/>
      <c r="V800" s="221"/>
      <c r="W800" s="221"/>
      <c r="X800" s="221"/>
      <c r="Y800" s="221"/>
      <c r="Z800" s="221"/>
      <c r="AA800" s="221"/>
      <c r="AB800" s="221"/>
    </row>
    <row r="801">
      <c r="A801" s="296"/>
      <c r="B801" s="296"/>
      <c r="C801" s="232"/>
      <c r="D801" s="232"/>
      <c r="E801" s="232"/>
      <c r="F801" s="232"/>
      <c r="G801" s="232"/>
      <c r="H801" s="232"/>
      <c r="I801" s="221"/>
      <c r="J801" s="221"/>
      <c r="K801" s="221"/>
      <c r="L801" s="221"/>
      <c r="M801" s="221"/>
      <c r="N801" s="221"/>
      <c r="O801" s="221"/>
      <c r="P801" s="221"/>
      <c r="Q801" s="221"/>
      <c r="R801" s="221"/>
      <c r="S801" s="221"/>
      <c r="T801" s="221"/>
      <c r="U801" s="221"/>
      <c r="V801" s="221"/>
      <c r="W801" s="221"/>
      <c r="X801" s="221"/>
      <c r="Y801" s="221"/>
      <c r="Z801" s="221"/>
      <c r="AA801" s="221"/>
      <c r="AB801" s="221"/>
    </row>
    <row r="802">
      <c r="A802" s="296"/>
      <c r="B802" s="296"/>
      <c r="C802" s="232"/>
      <c r="D802" s="232"/>
      <c r="E802" s="232"/>
      <c r="F802" s="232"/>
      <c r="G802" s="232"/>
      <c r="H802" s="232"/>
      <c r="I802" s="221"/>
      <c r="J802" s="221"/>
      <c r="K802" s="221"/>
      <c r="L802" s="221"/>
      <c r="M802" s="221"/>
      <c r="N802" s="221"/>
      <c r="O802" s="221"/>
      <c r="P802" s="221"/>
      <c r="Q802" s="221"/>
      <c r="R802" s="221"/>
      <c r="S802" s="221"/>
      <c r="T802" s="221"/>
      <c r="U802" s="221"/>
      <c r="V802" s="221"/>
      <c r="W802" s="221"/>
      <c r="X802" s="221"/>
      <c r="Y802" s="221"/>
      <c r="Z802" s="221"/>
      <c r="AA802" s="221"/>
      <c r="AB802" s="221"/>
    </row>
    <row r="803">
      <c r="A803" s="296"/>
      <c r="B803" s="296"/>
      <c r="C803" s="232"/>
      <c r="D803" s="232"/>
      <c r="E803" s="232"/>
      <c r="F803" s="232"/>
      <c r="G803" s="232"/>
      <c r="H803" s="232"/>
      <c r="I803" s="221"/>
      <c r="J803" s="221"/>
      <c r="K803" s="221"/>
      <c r="L803" s="221"/>
      <c r="M803" s="221"/>
      <c r="N803" s="221"/>
      <c r="O803" s="221"/>
      <c r="P803" s="221"/>
      <c r="Q803" s="221"/>
      <c r="R803" s="221"/>
      <c r="S803" s="221"/>
      <c r="T803" s="221"/>
      <c r="U803" s="221"/>
      <c r="V803" s="221"/>
      <c r="W803" s="221"/>
      <c r="X803" s="221"/>
      <c r="Y803" s="221"/>
      <c r="Z803" s="221"/>
      <c r="AA803" s="221"/>
      <c r="AB803" s="221"/>
    </row>
    <row r="804">
      <c r="A804" s="296"/>
      <c r="B804" s="296"/>
      <c r="C804" s="232"/>
      <c r="D804" s="232"/>
      <c r="E804" s="232"/>
      <c r="F804" s="232"/>
      <c r="G804" s="232"/>
      <c r="H804" s="232"/>
      <c r="I804" s="221"/>
      <c r="J804" s="221"/>
      <c r="K804" s="221"/>
      <c r="L804" s="221"/>
      <c r="M804" s="221"/>
      <c r="N804" s="221"/>
      <c r="O804" s="221"/>
      <c r="P804" s="221"/>
      <c r="Q804" s="221"/>
      <c r="R804" s="221"/>
      <c r="S804" s="221"/>
      <c r="T804" s="221"/>
      <c r="U804" s="221"/>
      <c r="V804" s="221"/>
      <c r="W804" s="221"/>
      <c r="X804" s="221"/>
      <c r="Y804" s="221"/>
      <c r="Z804" s="221"/>
      <c r="AA804" s="221"/>
      <c r="AB804" s="221"/>
    </row>
    <row r="805">
      <c r="A805" s="296"/>
      <c r="B805" s="296"/>
      <c r="C805" s="232"/>
      <c r="D805" s="232"/>
      <c r="E805" s="232"/>
      <c r="F805" s="232"/>
      <c r="G805" s="232"/>
      <c r="H805" s="232"/>
      <c r="I805" s="221"/>
      <c r="J805" s="221"/>
      <c r="K805" s="221"/>
      <c r="L805" s="221"/>
      <c r="M805" s="221"/>
      <c r="N805" s="221"/>
      <c r="O805" s="221"/>
      <c r="P805" s="221"/>
      <c r="Q805" s="221"/>
      <c r="R805" s="221"/>
      <c r="S805" s="221"/>
      <c r="T805" s="221"/>
      <c r="U805" s="221"/>
      <c r="V805" s="221"/>
      <c r="W805" s="221"/>
      <c r="X805" s="221"/>
      <c r="Y805" s="221"/>
      <c r="Z805" s="221"/>
      <c r="AA805" s="221"/>
      <c r="AB805" s="221"/>
    </row>
    <row r="806">
      <c r="A806" s="296"/>
      <c r="B806" s="296"/>
      <c r="C806" s="232"/>
      <c r="D806" s="232"/>
      <c r="E806" s="232"/>
      <c r="F806" s="232"/>
      <c r="G806" s="232"/>
      <c r="H806" s="232"/>
      <c r="I806" s="221"/>
      <c r="J806" s="221"/>
      <c r="K806" s="221"/>
      <c r="L806" s="221"/>
      <c r="M806" s="221"/>
      <c r="N806" s="221"/>
      <c r="O806" s="221"/>
      <c r="P806" s="221"/>
      <c r="Q806" s="221"/>
      <c r="R806" s="221"/>
      <c r="S806" s="221"/>
      <c r="T806" s="221"/>
      <c r="U806" s="221"/>
      <c r="V806" s="221"/>
      <c r="W806" s="221"/>
      <c r="X806" s="221"/>
      <c r="Y806" s="221"/>
      <c r="Z806" s="221"/>
      <c r="AA806" s="221"/>
      <c r="AB806" s="221"/>
    </row>
    <row r="807">
      <c r="A807" s="296"/>
      <c r="B807" s="296"/>
      <c r="C807" s="232"/>
      <c r="D807" s="232"/>
      <c r="E807" s="232"/>
      <c r="F807" s="232"/>
      <c r="G807" s="232"/>
      <c r="H807" s="232"/>
      <c r="I807" s="221"/>
      <c r="J807" s="221"/>
      <c r="K807" s="221"/>
      <c r="L807" s="221"/>
      <c r="M807" s="221"/>
      <c r="N807" s="221"/>
      <c r="O807" s="221"/>
      <c r="P807" s="221"/>
      <c r="Q807" s="221"/>
      <c r="R807" s="221"/>
      <c r="S807" s="221"/>
      <c r="T807" s="221"/>
      <c r="U807" s="221"/>
      <c r="V807" s="221"/>
      <c r="W807" s="221"/>
      <c r="X807" s="221"/>
      <c r="Y807" s="221"/>
      <c r="Z807" s="221"/>
      <c r="AA807" s="221"/>
      <c r="AB807" s="221"/>
    </row>
    <row r="808">
      <c r="A808" s="296"/>
      <c r="B808" s="296"/>
      <c r="C808" s="232"/>
      <c r="D808" s="232"/>
      <c r="E808" s="232"/>
      <c r="F808" s="232"/>
      <c r="G808" s="232"/>
      <c r="H808" s="232"/>
      <c r="I808" s="221"/>
      <c r="J808" s="221"/>
      <c r="K808" s="221"/>
      <c r="L808" s="221"/>
      <c r="M808" s="221"/>
      <c r="N808" s="221"/>
      <c r="O808" s="221"/>
      <c r="P808" s="221"/>
      <c r="Q808" s="221"/>
      <c r="R808" s="221"/>
      <c r="S808" s="221"/>
      <c r="T808" s="221"/>
      <c r="U808" s="221"/>
      <c r="V808" s="221"/>
      <c r="W808" s="221"/>
      <c r="X808" s="221"/>
      <c r="Y808" s="221"/>
      <c r="Z808" s="221"/>
      <c r="AA808" s="221"/>
      <c r="AB808" s="221"/>
    </row>
    <row r="809">
      <c r="A809" s="296"/>
      <c r="B809" s="296"/>
      <c r="C809" s="232"/>
      <c r="D809" s="232"/>
      <c r="E809" s="232"/>
      <c r="F809" s="232"/>
      <c r="G809" s="232"/>
      <c r="H809" s="232"/>
      <c r="I809" s="221"/>
      <c r="J809" s="221"/>
      <c r="K809" s="221"/>
      <c r="L809" s="221"/>
      <c r="M809" s="221"/>
      <c r="N809" s="221"/>
      <c r="O809" s="221"/>
      <c r="P809" s="221"/>
      <c r="Q809" s="221"/>
      <c r="R809" s="221"/>
      <c r="S809" s="221"/>
      <c r="T809" s="221"/>
      <c r="U809" s="221"/>
      <c r="V809" s="221"/>
      <c r="W809" s="221"/>
      <c r="X809" s="221"/>
      <c r="Y809" s="221"/>
      <c r="Z809" s="221"/>
      <c r="AA809" s="221"/>
      <c r="AB809" s="221"/>
    </row>
    <row r="810">
      <c r="A810" s="296"/>
      <c r="B810" s="296"/>
      <c r="C810" s="232"/>
      <c r="D810" s="232"/>
      <c r="E810" s="232"/>
      <c r="F810" s="232"/>
      <c r="G810" s="232"/>
      <c r="H810" s="232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</row>
    <row r="811">
      <c r="A811" s="296"/>
      <c r="B811" s="296"/>
      <c r="C811" s="232"/>
      <c r="D811" s="232"/>
      <c r="E811" s="232"/>
      <c r="F811" s="232"/>
      <c r="G811" s="232"/>
      <c r="H811" s="232"/>
      <c r="I811" s="221"/>
      <c r="J811" s="221"/>
      <c r="K811" s="221"/>
      <c r="L811" s="221"/>
      <c r="M811" s="221"/>
      <c r="N811" s="221"/>
      <c r="O811" s="221"/>
      <c r="P811" s="221"/>
      <c r="Q811" s="221"/>
      <c r="R811" s="221"/>
      <c r="S811" s="221"/>
      <c r="T811" s="221"/>
      <c r="U811" s="221"/>
      <c r="V811" s="221"/>
      <c r="W811" s="221"/>
      <c r="X811" s="221"/>
      <c r="Y811" s="221"/>
      <c r="Z811" s="221"/>
      <c r="AA811" s="221"/>
      <c r="AB811" s="221"/>
    </row>
    <row r="812">
      <c r="A812" s="296"/>
      <c r="B812" s="296"/>
      <c r="C812" s="232"/>
      <c r="D812" s="232"/>
      <c r="E812" s="232"/>
      <c r="F812" s="232"/>
      <c r="G812" s="232"/>
      <c r="H812" s="232"/>
      <c r="I812" s="221"/>
      <c r="J812" s="221"/>
      <c r="K812" s="221"/>
      <c r="L812" s="221"/>
      <c r="M812" s="221"/>
      <c r="N812" s="221"/>
      <c r="O812" s="221"/>
      <c r="P812" s="221"/>
      <c r="Q812" s="221"/>
      <c r="R812" s="221"/>
      <c r="S812" s="221"/>
      <c r="T812" s="221"/>
      <c r="U812" s="221"/>
      <c r="V812" s="221"/>
      <c r="W812" s="221"/>
      <c r="X812" s="221"/>
      <c r="Y812" s="221"/>
      <c r="Z812" s="221"/>
      <c r="AA812" s="221"/>
      <c r="AB812" s="221"/>
    </row>
    <row r="813">
      <c r="A813" s="296"/>
      <c r="B813" s="296"/>
      <c r="C813" s="232"/>
      <c r="D813" s="232"/>
      <c r="E813" s="232"/>
      <c r="F813" s="232"/>
      <c r="G813" s="232"/>
      <c r="H813" s="232"/>
      <c r="I813" s="221"/>
      <c r="J813" s="221"/>
      <c r="K813" s="221"/>
      <c r="L813" s="221"/>
      <c r="M813" s="221"/>
      <c r="N813" s="221"/>
      <c r="O813" s="221"/>
      <c r="P813" s="221"/>
      <c r="Q813" s="221"/>
      <c r="R813" s="221"/>
      <c r="S813" s="221"/>
      <c r="T813" s="221"/>
      <c r="U813" s="221"/>
      <c r="V813" s="221"/>
      <c r="W813" s="221"/>
      <c r="X813" s="221"/>
      <c r="Y813" s="221"/>
      <c r="Z813" s="221"/>
      <c r="AA813" s="221"/>
      <c r="AB813" s="221"/>
    </row>
    <row r="814">
      <c r="A814" s="296"/>
      <c r="B814" s="296"/>
      <c r="C814" s="232"/>
      <c r="D814" s="232"/>
      <c r="E814" s="232"/>
      <c r="F814" s="232"/>
      <c r="G814" s="232"/>
      <c r="H814" s="232"/>
      <c r="I814" s="221"/>
      <c r="J814" s="221"/>
      <c r="K814" s="221"/>
      <c r="L814" s="221"/>
      <c r="M814" s="221"/>
      <c r="N814" s="221"/>
      <c r="O814" s="221"/>
      <c r="P814" s="221"/>
      <c r="Q814" s="221"/>
      <c r="R814" s="221"/>
      <c r="S814" s="221"/>
      <c r="T814" s="221"/>
      <c r="U814" s="221"/>
      <c r="V814" s="221"/>
      <c r="W814" s="221"/>
      <c r="X814" s="221"/>
      <c r="Y814" s="221"/>
      <c r="Z814" s="221"/>
      <c r="AA814" s="221"/>
      <c r="AB814" s="221"/>
    </row>
    <row r="815">
      <c r="A815" s="296"/>
      <c r="B815" s="296"/>
      <c r="C815" s="232"/>
      <c r="D815" s="232"/>
      <c r="E815" s="232"/>
      <c r="F815" s="232"/>
      <c r="G815" s="232"/>
      <c r="H815" s="232"/>
      <c r="I815" s="221"/>
      <c r="J815" s="221"/>
      <c r="K815" s="221"/>
      <c r="L815" s="221"/>
      <c r="M815" s="221"/>
      <c r="N815" s="221"/>
      <c r="O815" s="221"/>
      <c r="P815" s="221"/>
      <c r="Q815" s="221"/>
      <c r="R815" s="221"/>
      <c r="S815" s="221"/>
      <c r="T815" s="221"/>
      <c r="U815" s="221"/>
      <c r="V815" s="221"/>
      <c r="W815" s="221"/>
      <c r="X815" s="221"/>
      <c r="Y815" s="221"/>
      <c r="Z815" s="221"/>
      <c r="AA815" s="221"/>
      <c r="AB815" s="221"/>
    </row>
    <row r="816">
      <c r="A816" s="296"/>
      <c r="B816" s="296"/>
      <c r="C816" s="232"/>
      <c r="D816" s="232"/>
      <c r="E816" s="232"/>
      <c r="F816" s="232"/>
      <c r="G816" s="232"/>
      <c r="H816" s="232"/>
      <c r="I816" s="221"/>
      <c r="J816" s="221"/>
      <c r="K816" s="221"/>
      <c r="L816" s="221"/>
      <c r="M816" s="221"/>
      <c r="N816" s="221"/>
      <c r="O816" s="221"/>
      <c r="P816" s="221"/>
      <c r="Q816" s="221"/>
      <c r="R816" s="221"/>
      <c r="S816" s="221"/>
      <c r="T816" s="221"/>
      <c r="U816" s="221"/>
      <c r="V816" s="221"/>
      <c r="W816" s="221"/>
      <c r="X816" s="221"/>
      <c r="Y816" s="221"/>
      <c r="Z816" s="221"/>
      <c r="AA816" s="221"/>
      <c r="AB816" s="221"/>
    </row>
    <row r="817">
      <c r="A817" s="296"/>
      <c r="B817" s="296"/>
      <c r="C817" s="232"/>
      <c r="D817" s="232"/>
      <c r="E817" s="232"/>
      <c r="F817" s="232"/>
      <c r="G817" s="232"/>
      <c r="H817" s="232"/>
      <c r="I817" s="221"/>
      <c r="J817" s="221"/>
      <c r="K817" s="221"/>
      <c r="L817" s="221"/>
      <c r="M817" s="221"/>
      <c r="N817" s="221"/>
      <c r="O817" s="221"/>
      <c r="P817" s="221"/>
      <c r="Q817" s="221"/>
      <c r="R817" s="221"/>
      <c r="S817" s="221"/>
      <c r="T817" s="221"/>
      <c r="U817" s="221"/>
      <c r="V817" s="221"/>
      <c r="W817" s="221"/>
      <c r="X817" s="221"/>
      <c r="Y817" s="221"/>
      <c r="Z817" s="221"/>
      <c r="AA817" s="221"/>
      <c r="AB817" s="221"/>
    </row>
    <row r="818">
      <c r="A818" s="296"/>
      <c r="B818" s="296"/>
      <c r="C818" s="232"/>
      <c r="D818" s="232"/>
      <c r="E818" s="232"/>
      <c r="F818" s="232"/>
      <c r="G818" s="232"/>
      <c r="H818" s="232"/>
      <c r="I818" s="221"/>
      <c r="J818" s="221"/>
      <c r="K818" s="221"/>
      <c r="L818" s="221"/>
      <c r="M818" s="221"/>
      <c r="N818" s="221"/>
      <c r="O818" s="221"/>
      <c r="P818" s="221"/>
      <c r="Q818" s="221"/>
      <c r="R818" s="221"/>
      <c r="S818" s="221"/>
      <c r="T818" s="221"/>
      <c r="U818" s="221"/>
      <c r="V818" s="221"/>
      <c r="W818" s="221"/>
      <c r="X818" s="221"/>
      <c r="Y818" s="221"/>
      <c r="Z818" s="221"/>
      <c r="AA818" s="221"/>
      <c r="AB818" s="221"/>
    </row>
    <row r="819">
      <c r="A819" s="296"/>
      <c r="B819" s="296"/>
      <c r="C819" s="232"/>
      <c r="D819" s="232"/>
      <c r="E819" s="232"/>
      <c r="F819" s="232"/>
      <c r="G819" s="232"/>
      <c r="H819" s="232"/>
      <c r="I819" s="221"/>
      <c r="J819" s="221"/>
      <c r="K819" s="221"/>
      <c r="L819" s="221"/>
      <c r="M819" s="221"/>
      <c r="N819" s="221"/>
      <c r="O819" s="221"/>
      <c r="P819" s="221"/>
      <c r="Q819" s="221"/>
      <c r="R819" s="221"/>
      <c r="S819" s="221"/>
      <c r="T819" s="221"/>
      <c r="U819" s="221"/>
      <c r="V819" s="221"/>
      <c r="W819" s="221"/>
      <c r="X819" s="221"/>
      <c r="Y819" s="221"/>
      <c r="Z819" s="221"/>
      <c r="AA819" s="221"/>
      <c r="AB819" s="221"/>
    </row>
    <row r="820">
      <c r="A820" s="296"/>
      <c r="B820" s="296"/>
      <c r="C820" s="232"/>
      <c r="D820" s="232"/>
      <c r="E820" s="232"/>
      <c r="F820" s="232"/>
      <c r="G820" s="232"/>
      <c r="H820" s="232"/>
      <c r="I820" s="221"/>
      <c r="J820" s="221"/>
      <c r="K820" s="221"/>
      <c r="L820" s="221"/>
      <c r="M820" s="221"/>
      <c r="N820" s="221"/>
      <c r="O820" s="221"/>
      <c r="P820" s="221"/>
      <c r="Q820" s="221"/>
      <c r="R820" s="221"/>
      <c r="S820" s="221"/>
      <c r="T820" s="221"/>
      <c r="U820" s="221"/>
      <c r="V820" s="221"/>
      <c r="W820" s="221"/>
      <c r="X820" s="221"/>
      <c r="Y820" s="221"/>
      <c r="Z820" s="221"/>
      <c r="AA820" s="221"/>
      <c r="AB820" s="221"/>
    </row>
    <row r="821">
      <c r="A821" s="296"/>
      <c r="B821" s="296"/>
      <c r="C821" s="232"/>
      <c r="D821" s="232"/>
      <c r="E821" s="232"/>
      <c r="F821" s="232"/>
      <c r="G821" s="232"/>
      <c r="H821" s="232"/>
      <c r="I821" s="221"/>
      <c r="J821" s="221"/>
      <c r="K821" s="221"/>
      <c r="L821" s="221"/>
      <c r="M821" s="221"/>
      <c r="N821" s="221"/>
      <c r="O821" s="221"/>
      <c r="P821" s="221"/>
      <c r="Q821" s="221"/>
      <c r="R821" s="221"/>
      <c r="S821" s="221"/>
      <c r="T821" s="221"/>
      <c r="U821" s="221"/>
      <c r="V821" s="221"/>
      <c r="W821" s="221"/>
      <c r="X821" s="221"/>
      <c r="Y821" s="221"/>
      <c r="Z821" s="221"/>
      <c r="AA821" s="221"/>
      <c r="AB821" s="221"/>
    </row>
    <row r="822">
      <c r="A822" s="296"/>
      <c r="B822" s="296"/>
      <c r="C822" s="232"/>
      <c r="D822" s="232"/>
      <c r="E822" s="232"/>
      <c r="F822" s="232"/>
      <c r="G822" s="232"/>
      <c r="H822" s="232"/>
      <c r="I822" s="221"/>
      <c r="J822" s="221"/>
      <c r="K822" s="221"/>
      <c r="L822" s="221"/>
      <c r="M822" s="221"/>
      <c r="N822" s="221"/>
      <c r="O822" s="221"/>
      <c r="P822" s="221"/>
      <c r="Q822" s="221"/>
      <c r="R822" s="221"/>
      <c r="S822" s="221"/>
      <c r="T822" s="221"/>
      <c r="U822" s="221"/>
      <c r="V822" s="221"/>
      <c r="W822" s="221"/>
      <c r="X822" s="221"/>
      <c r="Y822" s="221"/>
      <c r="Z822" s="221"/>
      <c r="AA822" s="221"/>
      <c r="AB822" s="221"/>
    </row>
    <row r="823">
      <c r="A823" s="296"/>
      <c r="B823" s="296"/>
      <c r="C823" s="232"/>
      <c r="D823" s="232"/>
      <c r="E823" s="232"/>
      <c r="F823" s="232"/>
      <c r="G823" s="232"/>
      <c r="H823" s="232"/>
      <c r="I823" s="221"/>
      <c r="J823" s="221"/>
      <c r="K823" s="221"/>
      <c r="L823" s="221"/>
      <c r="M823" s="221"/>
      <c r="N823" s="221"/>
      <c r="O823" s="221"/>
      <c r="P823" s="221"/>
      <c r="Q823" s="221"/>
      <c r="R823" s="221"/>
      <c r="S823" s="221"/>
      <c r="T823" s="221"/>
      <c r="U823" s="221"/>
      <c r="V823" s="221"/>
      <c r="W823" s="221"/>
      <c r="X823" s="221"/>
      <c r="Y823" s="221"/>
      <c r="Z823" s="221"/>
      <c r="AA823" s="221"/>
      <c r="AB823" s="221"/>
    </row>
    <row r="824">
      <c r="A824" s="296"/>
      <c r="B824" s="296"/>
      <c r="C824" s="232"/>
      <c r="D824" s="232"/>
      <c r="E824" s="232"/>
      <c r="F824" s="232"/>
      <c r="G824" s="232"/>
      <c r="H824" s="232"/>
      <c r="I824" s="221"/>
      <c r="J824" s="221"/>
      <c r="K824" s="221"/>
      <c r="L824" s="221"/>
      <c r="M824" s="221"/>
      <c r="N824" s="221"/>
      <c r="O824" s="221"/>
      <c r="P824" s="221"/>
      <c r="Q824" s="221"/>
      <c r="R824" s="221"/>
      <c r="S824" s="221"/>
      <c r="T824" s="221"/>
      <c r="U824" s="221"/>
      <c r="V824" s="221"/>
      <c r="W824" s="221"/>
      <c r="X824" s="221"/>
      <c r="Y824" s="221"/>
      <c r="Z824" s="221"/>
      <c r="AA824" s="221"/>
      <c r="AB824" s="221"/>
    </row>
    <row r="825">
      <c r="A825" s="296"/>
      <c r="B825" s="296"/>
      <c r="C825" s="232"/>
      <c r="D825" s="232"/>
      <c r="E825" s="232"/>
      <c r="F825" s="232"/>
      <c r="G825" s="232"/>
      <c r="H825" s="232"/>
      <c r="I825" s="221"/>
      <c r="J825" s="221"/>
      <c r="K825" s="221"/>
      <c r="L825" s="221"/>
      <c r="M825" s="221"/>
      <c r="N825" s="221"/>
      <c r="O825" s="221"/>
      <c r="P825" s="221"/>
      <c r="Q825" s="221"/>
      <c r="R825" s="221"/>
      <c r="S825" s="221"/>
      <c r="T825" s="221"/>
      <c r="U825" s="221"/>
      <c r="V825" s="221"/>
      <c r="W825" s="221"/>
      <c r="X825" s="221"/>
      <c r="Y825" s="221"/>
      <c r="Z825" s="221"/>
      <c r="AA825" s="221"/>
      <c r="AB825" s="221"/>
    </row>
    <row r="826">
      <c r="A826" s="296"/>
      <c r="B826" s="296"/>
      <c r="C826" s="232"/>
      <c r="D826" s="232"/>
      <c r="E826" s="232"/>
      <c r="F826" s="232"/>
      <c r="G826" s="232"/>
      <c r="H826" s="232"/>
      <c r="I826" s="221"/>
      <c r="J826" s="221"/>
      <c r="K826" s="221"/>
      <c r="L826" s="221"/>
      <c r="M826" s="221"/>
      <c r="N826" s="221"/>
      <c r="O826" s="221"/>
      <c r="P826" s="221"/>
      <c r="Q826" s="221"/>
      <c r="R826" s="221"/>
      <c r="S826" s="221"/>
      <c r="T826" s="221"/>
      <c r="U826" s="221"/>
      <c r="V826" s="221"/>
      <c r="W826" s="221"/>
      <c r="X826" s="221"/>
      <c r="Y826" s="221"/>
      <c r="Z826" s="221"/>
      <c r="AA826" s="221"/>
      <c r="AB826" s="221"/>
    </row>
    <row r="827">
      <c r="A827" s="296"/>
      <c r="B827" s="296"/>
      <c r="C827" s="232"/>
      <c r="D827" s="232"/>
      <c r="E827" s="232"/>
      <c r="F827" s="232"/>
      <c r="G827" s="232"/>
      <c r="H827" s="232"/>
      <c r="I827" s="221"/>
      <c r="J827" s="221"/>
      <c r="K827" s="221"/>
      <c r="L827" s="221"/>
      <c r="M827" s="221"/>
      <c r="N827" s="221"/>
      <c r="O827" s="221"/>
      <c r="P827" s="221"/>
      <c r="Q827" s="221"/>
      <c r="R827" s="221"/>
      <c r="S827" s="221"/>
      <c r="T827" s="221"/>
      <c r="U827" s="221"/>
      <c r="V827" s="221"/>
      <c r="W827" s="221"/>
      <c r="X827" s="221"/>
      <c r="Y827" s="221"/>
      <c r="Z827" s="221"/>
      <c r="AA827" s="221"/>
      <c r="AB827" s="221"/>
    </row>
    <row r="828">
      <c r="A828" s="296"/>
      <c r="B828" s="296"/>
      <c r="C828" s="232"/>
      <c r="D828" s="232"/>
      <c r="E828" s="232"/>
      <c r="F828" s="232"/>
      <c r="G828" s="232"/>
      <c r="H828" s="232"/>
      <c r="I828" s="221"/>
      <c r="J828" s="221"/>
      <c r="K828" s="221"/>
      <c r="L828" s="221"/>
      <c r="M828" s="221"/>
      <c r="N828" s="221"/>
      <c r="O828" s="221"/>
      <c r="P828" s="221"/>
      <c r="Q828" s="221"/>
      <c r="R828" s="221"/>
      <c r="S828" s="221"/>
      <c r="T828" s="221"/>
      <c r="U828" s="221"/>
      <c r="V828" s="221"/>
      <c r="W828" s="221"/>
      <c r="X828" s="221"/>
      <c r="Y828" s="221"/>
      <c r="Z828" s="221"/>
      <c r="AA828" s="221"/>
      <c r="AB828" s="221"/>
    </row>
    <row r="829">
      <c r="A829" s="296"/>
      <c r="B829" s="296"/>
      <c r="C829" s="232"/>
      <c r="D829" s="232"/>
      <c r="E829" s="232"/>
      <c r="F829" s="232"/>
      <c r="G829" s="232"/>
      <c r="H829" s="232"/>
      <c r="I829" s="221"/>
      <c r="J829" s="221"/>
      <c r="K829" s="221"/>
      <c r="L829" s="221"/>
      <c r="M829" s="221"/>
      <c r="N829" s="221"/>
      <c r="O829" s="221"/>
      <c r="P829" s="221"/>
      <c r="Q829" s="221"/>
      <c r="R829" s="221"/>
      <c r="S829" s="221"/>
      <c r="T829" s="221"/>
      <c r="U829" s="221"/>
      <c r="V829" s="221"/>
      <c r="W829" s="221"/>
      <c r="X829" s="221"/>
      <c r="Y829" s="221"/>
      <c r="Z829" s="221"/>
      <c r="AA829" s="221"/>
      <c r="AB829" s="221"/>
    </row>
    <row r="830">
      <c r="A830" s="296"/>
      <c r="B830" s="296"/>
      <c r="C830" s="232"/>
      <c r="D830" s="232"/>
      <c r="E830" s="232"/>
      <c r="F830" s="232"/>
      <c r="G830" s="232"/>
      <c r="H830" s="232"/>
      <c r="I830" s="221"/>
      <c r="J830" s="221"/>
      <c r="K830" s="221"/>
      <c r="L830" s="221"/>
      <c r="M830" s="221"/>
      <c r="N830" s="221"/>
      <c r="O830" s="221"/>
      <c r="P830" s="221"/>
      <c r="Q830" s="221"/>
      <c r="R830" s="221"/>
      <c r="S830" s="221"/>
      <c r="T830" s="221"/>
      <c r="U830" s="221"/>
      <c r="V830" s="221"/>
      <c r="W830" s="221"/>
      <c r="X830" s="221"/>
      <c r="Y830" s="221"/>
      <c r="Z830" s="221"/>
      <c r="AA830" s="221"/>
      <c r="AB830" s="221"/>
    </row>
    <row r="831">
      <c r="A831" s="296"/>
      <c r="B831" s="296"/>
      <c r="C831" s="232"/>
      <c r="D831" s="232"/>
      <c r="E831" s="232"/>
      <c r="F831" s="232"/>
      <c r="G831" s="232"/>
      <c r="H831" s="232"/>
      <c r="I831" s="221"/>
      <c r="J831" s="221"/>
      <c r="K831" s="221"/>
      <c r="L831" s="221"/>
      <c r="M831" s="221"/>
      <c r="N831" s="221"/>
      <c r="O831" s="221"/>
      <c r="P831" s="221"/>
      <c r="Q831" s="221"/>
      <c r="R831" s="221"/>
      <c r="S831" s="221"/>
      <c r="T831" s="221"/>
      <c r="U831" s="221"/>
      <c r="V831" s="221"/>
      <c r="W831" s="221"/>
      <c r="X831" s="221"/>
      <c r="Y831" s="221"/>
      <c r="Z831" s="221"/>
      <c r="AA831" s="221"/>
      <c r="AB831" s="221"/>
    </row>
    <row r="832">
      <c r="A832" s="296"/>
      <c r="B832" s="296"/>
      <c r="C832" s="232"/>
      <c r="D832" s="232"/>
      <c r="E832" s="232"/>
      <c r="F832" s="232"/>
      <c r="G832" s="232"/>
      <c r="H832" s="232"/>
      <c r="I832" s="221"/>
      <c r="J832" s="221"/>
      <c r="K832" s="221"/>
      <c r="L832" s="221"/>
      <c r="M832" s="221"/>
      <c r="N832" s="221"/>
      <c r="O832" s="221"/>
      <c r="P832" s="221"/>
      <c r="Q832" s="221"/>
      <c r="R832" s="221"/>
      <c r="S832" s="221"/>
      <c r="T832" s="221"/>
      <c r="U832" s="221"/>
      <c r="V832" s="221"/>
      <c r="W832" s="221"/>
      <c r="X832" s="221"/>
      <c r="Y832" s="221"/>
      <c r="Z832" s="221"/>
      <c r="AA832" s="221"/>
      <c r="AB832" s="221"/>
    </row>
    <row r="833">
      <c r="A833" s="296"/>
      <c r="B833" s="296"/>
      <c r="C833" s="232"/>
      <c r="D833" s="232"/>
      <c r="E833" s="232"/>
      <c r="F833" s="232"/>
      <c r="G833" s="232"/>
      <c r="H833" s="232"/>
      <c r="I833" s="221"/>
      <c r="J833" s="221"/>
      <c r="K833" s="221"/>
      <c r="L833" s="221"/>
      <c r="M833" s="221"/>
      <c r="N833" s="221"/>
      <c r="O833" s="221"/>
      <c r="P833" s="221"/>
      <c r="Q833" s="221"/>
      <c r="R833" s="221"/>
      <c r="S833" s="221"/>
      <c r="T833" s="221"/>
      <c r="U833" s="221"/>
      <c r="V833" s="221"/>
      <c r="W833" s="221"/>
      <c r="X833" s="221"/>
      <c r="Y833" s="221"/>
      <c r="Z833" s="221"/>
      <c r="AA833" s="221"/>
      <c r="AB833" s="221"/>
    </row>
    <row r="834">
      <c r="A834" s="296"/>
      <c r="B834" s="296"/>
      <c r="C834" s="232"/>
      <c r="D834" s="232"/>
      <c r="E834" s="232"/>
      <c r="F834" s="232"/>
      <c r="G834" s="232"/>
      <c r="H834" s="232"/>
      <c r="I834" s="221"/>
      <c r="J834" s="221"/>
      <c r="K834" s="221"/>
      <c r="L834" s="221"/>
      <c r="M834" s="221"/>
      <c r="N834" s="221"/>
      <c r="O834" s="221"/>
      <c r="P834" s="221"/>
      <c r="Q834" s="221"/>
      <c r="R834" s="221"/>
      <c r="S834" s="221"/>
      <c r="T834" s="221"/>
      <c r="U834" s="221"/>
      <c r="V834" s="221"/>
      <c r="W834" s="221"/>
      <c r="X834" s="221"/>
      <c r="Y834" s="221"/>
      <c r="Z834" s="221"/>
      <c r="AA834" s="221"/>
      <c r="AB834" s="221"/>
    </row>
    <row r="835">
      <c r="A835" s="296"/>
      <c r="B835" s="296"/>
      <c r="C835" s="232"/>
      <c r="D835" s="232"/>
      <c r="E835" s="232"/>
      <c r="F835" s="232"/>
      <c r="G835" s="232"/>
      <c r="H835" s="232"/>
      <c r="I835" s="221"/>
      <c r="J835" s="221"/>
      <c r="K835" s="221"/>
      <c r="L835" s="221"/>
      <c r="M835" s="221"/>
      <c r="N835" s="221"/>
      <c r="O835" s="221"/>
      <c r="P835" s="221"/>
      <c r="Q835" s="221"/>
      <c r="R835" s="221"/>
      <c r="S835" s="221"/>
      <c r="T835" s="221"/>
      <c r="U835" s="221"/>
      <c r="V835" s="221"/>
      <c r="W835" s="221"/>
      <c r="X835" s="221"/>
      <c r="Y835" s="221"/>
      <c r="Z835" s="221"/>
      <c r="AA835" s="221"/>
      <c r="AB835" s="221"/>
    </row>
    <row r="836">
      <c r="A836" s="296"/>
      <c r="B836" s="296"/>
      <c r="C836" s="232"/>
      <c r="D836" s="232"/>
      <c r="E836" s="232"/>
      <c r="F836" s="232"/>
      <c r="G836" s="232"/>
      <c r="H836" s="232"/>
      <c r="I836" s="221"/>
      <c r="J836" s="221"/>
      <c r="K836" s="221"/>
      <c r="L836" s="221"/>
      <c r="M836" s="221"/>
      <c r="N836" s="221"/>
      <c r="O836" s="221"/>
      <c r="P836" s="221"/>
      <c r="Q836" s="221"/>
      <c r="R836" s="221"/>
      <c r="S836" s="221"/>
      <c r="T836" s="221"/>
      <c r="U836" s="221"/>
      <c r="V836" s="221"/>
      <c r="W836" s="221"/>
      <c r="X836" s="221"/>
      <c r="Y836" s="221"/>
      <c r="Z836" s="221"/>
      <c r="AA836" s="221"/>
      <c r="AB836" s="221"/>
    </row>
    <row r="837">
      <c r="A837" s="296"/>
      <c r="B837" s="296"/>
      <c r="C837" s="232"/>
      <c r="D837" s="232"/>
      <c r="E837" s="232"/>
      <c r="F837" s="232"/>
      <c r="G837" s="232"/>
      <c r="H837" s="232"/>
      <c r="I837" s="221"/>
      <c r="J837" s="221"/>
      <c r="K837" s="221"/>
      <c r="L837" s="221"/>
      <c r="M837" s="221"/>
      <c r="N837" s="221"/>
      <c r="O837" s="221"/>
      <c r="P837" s="221"/>
      <c r="Q837" s="221"/>
      <c r="R837" s="221"/>
      <c r="S837" s="221"/>
      <c r="T837" s="221"/>
      <c r="U837" s="221"/>
      <c r="V837" s="221"/>
      <c r="W837" s="221"/>
      <c r="X837" s="221"/>
      <c r="Y837" s="221"/>
      <c r="Z837" s="221"/>
      <c r="AA837" s="221"/>
      <c r="AB837" s="221"/>
    </row>
    <row r="838">
      <c r="A838" s="296"/>
      <c r="B838" s="296"/>
      <c r="C838" s="232"/>
      <c r="D838" s="232"/>
      <c r="E838" s="232"/>
      <c r="F838" s="232"/>
      <c r="G838" s="232"/>
      <c r="H838" s="232"/>
      <c r="I838" s="221"/>
      <c r="J838" s="221"/>
      <c r="K838" s="221"/>
      <c r="L838" s="221"/>
      <c r="M838" s="221"/>
      <c r="N838" s="221"/>
      <c r="O838" s="221"/>
      <c r="P838" s="221"/>
      <c r="Q838" s="221"/>
      <c r="R838" s="221"/>
      <c r="S838" s="221"/>
      <c r="T838" s="221"/>
      <c r="U838" s="221"/>
      <c r="V838" s="221"/>
      <c r="W838" s="221"/>
      <c r="X838" s="221"/>
      <c r="Y838" s="221"/>
      <c r="Z838" s="221"/>
      <c r="AA838" s="221"/>
      <c r="AB838" s="221"/>
    </row>
    <row r="839">
      <c r="A839" s="296"/>
      <c r="B839" s="296"/>
      <c r="C839" s="232"/>
      <c r="D839" s="232"/>
      <c r="E839" s="232"/>
      <c r="F839" s="232"/>
      <c r="G839" s="232"/>
      <c r="H839" s="232"/>
      <c r="I839" s="221"/>
      <c r="J839" s="221"/>
      <c r="K839" s="221"/>
      <c r="L839" s="221"/>
      <c r="M839" s="221"/>
      <c r="N839" s="221"/>
      <c r="O839" s="221"/>
      <c r="P839" s="221"/>
      <c r="Q839" s="221"/>
      <c r="R839" s="221"/>
      <c r="S839" s="221"/>
      <c r="T839" s="221"/>
      <c r="U839" s="221"/>
      <c r="V839" s="221"/>
      <c r="W839" s="221"/>
      <c r="X839" s="221"/>
      <c r="Y839" s="221"/>
      <c r="Z839" s="221"/>
      <c r="AA839" s="221"/>
      <c r="AB839" s="221"/>
    </row>
    <row r="840">
      <c r="A840" s="296"/>
      <c r="B840" s="296"/>
      <c r="C840" s="232"/>
      <c r="D840" s="232"/>
      <c r="E840" s="232"/>
      <c r="F840" s="232"/>
      <c r="G840" s="232"/>
      <c r="H840" s="232"/>
      <c r="I840" s="221"/>
      <c r="J840" s="221"/>
      <c r="K840" s="221"/>
      <c r="L840" s="221"/>
      <c r="M840" s="221"/>
      <c r="N840" s="221"/>
      <c r="O840" s="221"/>
      <c r="P840" s="221"/>
      <c r="Q840" s="221"/>
      <c r="R840" s="221"/>
      <c r="S840" s="221"/>
      <c r="T840" s="221"/>
      <c r="U840" s="221"/>
      <c r="V840" s="221"/>
      <c r="W840" s="221"/>
      <c r="X840" s="221"/>
      <c r="Y840" s="221"/>
      <c r="Z840" s="221"/>
      <c r="AA840" s="221"/>
      <c r="AB840" s="221"/>
    </row>
    <row r="841">
      <c r="A841" s="296"/>
      <c r="B841" s="296"/>
      <c r="C841" s="232"/>
      <c r="D841" s="232"/>
      <c r="E841" s="232"/>
      <c r="F841" s="232"/>
      <c r="G841" s="232"/>
      <c r="H841" s="232"/>
      <c r="I841" s="221"/>
      <c r="J841" s="221"/>
      <c r="K841" s="221"/>
      <c r="L841" s="221"/>
      <c r="M841" s="221"/>
      <c r="N841" s="221"/>
      <c r="O841" s="221"/>
      <c r="P841" s="221"/>
      <c r="Q841" s="221"/>
      <c r="R841" s="221"/>
      <c r="S841" s="221"/>
      <c r="T841" s="221"/>
      <c r="U841" s="221"/>
      <c r="V841" s="221"/>
      <c r="W841" s="221"/>
      <c r="X841" s="221"/>
      <c r="Y841" s="221"/>
      <c r="Z841" s="221"/>
      <c r="AA841" s="221"/>
      <c r="AB841" s="221"/>
    </row>
    <row r="842">
      <c r="A842" s="296"/>
      <c r="B842" s="296"/>
      <c r="C842" s="232"/>
      <c r="D842" s="232"/>
      <c r="E842" s="232"/>
      <c r="F842" s="232"/>
      <c r="G842" s="232"/>
      <c r="H842" s="232"/>
      <c r="I842" s="221"/>
      <c r="J842" s="221"/>
      <c r="K842" s="221"/>
      <c r="L842" s="221"/>
      <c r="M842" s="221"/>
      <c r="N842" s="221"/>
      <c r="O842" s="221"/>
      <c r="P842" s="221"/>
      <c r="Q842" s="221"/>
      <c r="R842" s="221"/>
      <c r="S842" s="221"/>
      <c r="T842" s="221"/>
      <c r="U842" s="221"/>
      <c r="V842" s="221"/>
      <c r="W842" s="221"/>
      <c r="X842" s="221"/>
      <c r="Y842" s="221"/>
      <c r="Z842" s="221"/>
      <c r="AA842" s="221"/>
      <c r="AB842" s="221"/>
    </row>
    <row r="843">
      <c r="A843" s="296"/>
      <c r="B843" s="296"/>
      <c r="C843" s="232"/>
      <c r="D843" s="232"/>
      <c r="E843" s="232"/>
      <c r="F843" s="232"/>
      <c r="G843" s="232"/>
      <c r="H843" s="232"/>
      <c r="I843" s="221"/>
      <c r="J843" s="221"/>
      <c r="K843" s="221"/>
      <c r="L843" s="221"/>
      <c r="M843" s="221"/>
      <c r="N843" s="221"/>
      <c r="O843" s="221"/>
      <c r="P843" s="221"/>
      <c r="Q843" s="221"/>
      <c r="R843" s="221"/>
      <c r="S843" s="221"/>
      <c r="T843" s="221"/>
      <c r="U843" s="221"/>
      <c r="V843" s="221"/>
      <c r="W843" s="221"/>
      <c r="X843" s="221"/>
      <c r="Y843" s="221"/>
      <c r="Z843" s="221"/>
      <c r="AA843" s="221"/>
      <c r="AB843" s="221"/>
    </row>
    <row r="844">
      <c r="A844" s="296"/>
      <c r="B844" s="296"/>
      <c r="C844" s="232"/>
      <c r="D844" s="232"/>
      <c r="E844" s="232"/>
      <c r="F844" s="232"/>
      <c r="G844" s="232"/>
      <c r="H844" s="232"/>
      <c r="I844" s="221"/>
      <c r="J844" s="221"/>
      <c r="K844" s="221"/>
      <c r="L844" s="221"/>
      <c r="M844" s="221"/>
      <c r="N844" s="221"/>
      <c r="O844" s="221"/>
      <c r="P844" s="221"/>
      <c r="Q844" s="221"/>
      <c r="R844" s="221"/>
      <c r="S844" s="221"/>
      <c r="T844" s="221"/>
      <c r="U844" s="221"/>
      <c r="V844" s="221"/>
      <c r="W844" s="221"/>
      <c r="X844" s="221"/>
      <c r="Y844" s="221"/>
      <c r="Z844" s="221"/>
      <c r="AA844" s="221"/>
      <c r="AB844" s="221"/>
    </row>
    <row r="845">
      <c r="A845" s="296"/>
      <c r="B845" s="296"/>
      <c r="C845" s="232"/>
      <c r="D845" s="232"/>
      <c r="E845" s="232"/>
      <c r="F845" s="232"/>
      <c r="G845" s="232"/>
      <c r="H845" s="232"/>
      <c r="I845" s="221"/>
      <c r="J845" s="221"/>
      <c r="K845" s="221"/>
      <c r="L845" s="221"/>
      <c r="M845" s="221"/>
      <c r="N845" s="221"/>
      <c r="O845" s="221"/>
      <c r="P845" s="221"/>
      <c r="Q845" s="221"/>
      <c r="R845" s="221"/>
      <c r="S845" s="221"/>
      <c r="T845" s="221"/>
      <c r="U845" s="221"/>
      <c r="V845" s="221"/>
      <c r="W845" s="221"/>
      <c r="X845" s="221"/>
      <c r="Y845" s="221"/>
      <c r="Z845" s="221"/>
      <c r="AA845" s="221"/>
      <c r="AB845" s="221"/>
    </row>
    <row r="846">
      <c r="A846" s="296"/>
      <c r="B846" s="296"/>
      <c r="C846" s="232"/>
      <c r="D846" s="232"/>
      <c r="E846" s="232"/>
      <c r="F846" s="232"/>
      <c r="G846" s="232"/>
      <c r="H846" s="232"/>
      <c r="I846" s="221"/>
      <c r="J846" s="221"/>
      <c r="K846" s="221"/>
      <c r="L846" s="221"/>
      <c r="M846" s="221"/>
      <c r="N846" s="221"/>
      <c r="O846" s="221"/>
      <c r="P846" s="221"/>
      <c r="Q846" s="221"/>
      <c r="R846" s="221"/>
      <c r="S846" s="221"/>
      <c r="T846" s="221"/>
      <c r="U846" s="221"/>
      <c r="V846" s="221"/>
      <c r="W846" s="221"/>
      <c r="X846" s="221"/>
      <c r="Y846" s="221"/>
      <c r="Z846" s="221"/>
      <c r="AA846" s="221"/>
      <c r="AB846" s="221"/>
    </row>
    <row r="847">
      <c r="A847" s="296"/>
      <c r="B847" s="296"/>
      <c r="C847" s="232"/>
      <c r="D847" s="232"/>
      <c r="E847" s="232"/>
      <c r="F847" s="232"/>
      <c r="G847" s="232"/>
      <c r="H847" s="232"/>
      <c r="I847" s="221"/>
      <c r="J847" s="221"/>
      <c r="K847" s="221"/>
      <c r="L847" s="221"/>
      <c r="M847" s="221"/>
      <c r="N847" s="221"/>
      <c r="O847" s="221"/>
      <c r="P847" s="221"/>
      <c r="Q847" s="221"/>
      <c r="R847" s="221"/>
      <c r="S847" s="221"/>
      <c r="T847" s="221"/>
      <c r="U847" s="221"/>
      <c r="V847" s="221"/>
      <c r="W847" s="221"/>
      <c r="X847" s="221"/>
      <c r="Y847" s="221"/>
      <c r="Z847" s="221"/>
      <c r="AA847" s="221"/>
      <c r="AB847" s="221"/>
    </row>
    <row r="848">
      <c r="A848" s="296"/>
      <c r="B848" s="296"/>
      <c r="C848" s="232"/>
      <c r="D848" s="232"/>
      <c r="E848" s="232"/>
      <c r="F848" s="232"/>
      <c r="G848" s="232"/>
      <c r="H848" s="232"/>
      <c r="I848" s="221"/>
      <c r="J848" s="221"/>
      <c r="K848" s="221"/>
      <c r="L848" s="221"/>
      <c r="M848" s="221"/>
      <c r="N848" s="221"/>
      <c r="O848" s="221"/>
      <c r="P848" s="221"/>
      <c r="Q848" s="221"/>
      <c r="R848" s="221"/>
      <c r="S848" s="221"/>
      <c r="T848" s="221"/>
      <c r="U848" s="221"/>
      <c r="V848" s="221"/>
      <c r="W848" s="221"/>
      <c r="X848" s="221"/>
      <c r="Y848" s="221"/>
      <c r="Z848" s="221"/>
      <c r="AA848" s="221"/>
      <c r="AB848" s="221"/>
    </row>
    <row r="849">
      <c r="A849" s="296"/>
      <c r="B849" s="296"/>
      <c r="C849" s="232"/>
      <c r="D849" s="232"/>
      <c r="E849" s="232"/>
      <c r="F849" s="232"/>
      <c r="G849" s="232"/>
      <c r="H849" s="232"/>
      <c r="I849" s="221"/>
      <c r="J849" s="221"/>
      <c r="K849" s="221"/>
      <c r="L849" s="221"/>
      <c r="M849" s="221"/>
      <c r="N849" s="221"/>
      <c r="O849" s="221"/>
      <c r="P849" s="221"/>
      <c r="Q849" s="221"/>
      <c r="R849" s="221"/>
      <c r="S849" s="221"/>
      <c r="T849" s="221"/>
      <c r="U849" s="221"/>
      <c r="V849" s="221"/>
      <c r="W849" s="221"/>
      <c r="X849" s="221"/>
      <c r="Y849" s="221"/>
      <c r="Z849" s="221"/>
      <c r="AA849" s="221"/>
      <c r="AB849" s="221"/>
    </row>
    <row r="850">
      <c r="A850" s="296"/>
      <c r="B850" s="296"/>
      <c r="C850" s="232"/>
      <c r="D850" s="232"/>
      <c r="E850" s="232"/>
      <c r="F850" s="232"/>
      <c r="G850" s="232"/>
      <c r="H850" s="232"/>
      <c r="I850" s="221"/>
      <c r="J850" s="221"/>
      <c r="K850" s="221"/>
      <c r="L850" s="221"/>
      <c r="M850" s="221"/>
      <c r="N850" s="221"/>
      <c r="O850" s="221"/>
      <c r="P850" s="221"/>
      <c r="Q850" s="221"/>
      <c r="R850" s="221"/>
      <c r="S850" s="221"/>
      <c r="T850" s="221"/>
      <c r="U850" s="221"/>
      <c r="V850" s="221"/>
      <c r="W850" s="221"/>
      <c r="X850" s="221"/>
      <c r="Y850" s="221"/>
      <c r="Z850" s="221"/>
      <c r="AA850" s="221"/>
      <c r="AB850" s="221"/>
    </row>
    <row r="851">
      <c r="A851" s="296"/>
      <c r="B851" s="296"/>
      <c r="C851" s="232"/>
      <c r="D851" s="232"/>
      <c r="E851" s="232"/>
      <c r="F851" s="232"/>
      <c r="G851" s="232"/>
      <c r="H851" s="232"/>
      <c r="I851" s="221"/>
      <c r="J851" s="221"/>
      <c r="K851" s="221"/>
      <c r="L851" s="221"/>
      <c r="M851" s="221"/>
      <c r="N851" s="221"/>
      <c r="O851" s="221"/>
      <c r="P851" s="221"/>
      <c r="Q851" s="221"/>
      <c r="R851" s="221"/>
      <c r="S851" s="221"/>
      <c r="T851" s="221"/>
      <c r="U851" s="221"/>
      <c r="V851" s="221"/>
      <c r="W851" s="221"/>
      <c r="X851" s="221"/>
      <c r="Y851" s="221"/>
      <c r="Z851" s="221"/>
      <c r="AA851" s="221"/>
      <c r="AB851" s="221"/>
    </row>
    <row r="852">
      <c r="A852" s="296"/>
      <c r="B852" s="296"/>
      <c r="C852" s="232"/>
      <c r="D852" s="232"/>
      <c r="E852" s="232"/>
      <c r="F852" s="232"/>
      <c r="G852" s="232"/>
      <c r="H852" s="232"/>
      <c r="I852" s="221"/>
      <c r="J852" s="221"/>
      <c r="K852" s="221"/>
      <c r="L852" s="221"/>
      <c r="M852" s="221"/>
      <c r="N852" s="221"/>
      <c r="O852" s="221"/>
      <c r="P852" s="221"/>
      <c r="Q852" s="221"/>
      <c r="R852" s="221"/>
      <c r="S852" s="221"/>
      <c r="T852" s="221"/>
      <c r="U852" s="221"/>
      <c r="V852" s="221"/>
      <c r="W852" s="221"/>
      <c r="X852" s="221"/>
      <c r="Y852" s="221"/>
      <c r="Z852" s="221"/>
      <c r="AA852" s="221"/>
      <c r="AB852" s="221"/>
    </row>
    <row r="853">
      <c r="A853" s="296"/>
      <c r="B853" s="296"/>
      <c r="C853" s="232"/>
      <c r="D853" s="232"/>
      <c r="E853" s="232"/>
      <c r="F853" s="232"/>
      <c r="G853" s="232"/>
      <c r="H853" s="232"/>
      <c r="I853" s="221"/>
      <c r="J853" s="221"/>
      <c r="K853" s="221"/>
      <c r="L853" s="221"/>
      <c r="M853" s="221"/>
      <c r="N853" s="221"/>
      <c r="O853" s="221"/>
      <c r="P853" s="221"/>
      <c r="Q853" s="221"/>
      <c r="R853" s="221"/>
      <c r="S853" s="221"/>
      <c r="T853" s="221"/>
      <c r="U853" s="221"/>
      <c r="V853" s="221"/>
      <c r="W853" s="221"/>
      <c r="X853" s="221"/>
      <c r="Y853" s="221"/>
      <c r="Z853" s="221"/>
      <c r="AA853" s="221"/>
      <c r="AB853" s="221"/>
    </row>
    <row r="854">
      <c r="A854" s="296"/>
      <c r="B854" s="296"/>
      <c r="C854" s="232"/>
      <c r="D854" s="232"/>
      <c r="E854" s="232"/>
      <c r="F854" s="232"/>
      <c r="G854" s="232"/>
      <c r="H854" s="232"/>
      <c r="I854" s="221"/>
      <c r="J854" s="221"/>
      <c r="K854" s="221"/>
      <c r="L854" s="221"/>
      <c r="M854" s="221"/>
      <c r="N854" s="221"/>
      <c r="O854" s="221"/>
      <c r="P854" s="221"/>
      <c r="Q854" s="221"/>
      <c r="R854" s="221"/>
      <c r="S854" s="221"/>
      <c r="T854" s="221"/>
      <c r="U854" s="221"/>
      <c r="V854" s="221"/>
      <c r="W854" s="221"/>
      <c r="X854" s="221"/>
      <c r="Y854" s="221"/>
      <c r="Z854" s="221"/>
      <c r="AA854" s="221"/>
      <c r="AB854" s="221"/>
    </row>
    <row r="855">
      <c r="A855" s="296"/>
      <c r="B855" s="296"/>
      <c r="C855" s="232"/>
      <c r="D855" s="232"/>
      <c r="E855" s="232"/>
      <c r="F855" s="232"/>
      <c r="G855" s="232"/>
      <c r="H855" s="232"/>
      <c r="I855" s="221"/>
      <c r="J855" s="221"/>
      <c r="K855" s="221"/>
      <c r="L855" s="221"/>
      <c r="M855" s="221"/>
      <c r="N855" s="221"/>
      <c r="O855" s="221"/>
      <c r="P855" s="221"/>
      <c r="Q855" s="221"/>
      <c r="R855" s="221"/>
      <c r="S855" s="221"/>
      <c r="T855" s="221"/>
      <c r="U855" s="221"/>
      <c r="V855" s="221"/>
      <c r="W855" s="221"/>
      <c r="X855" s="221"/>
      <c r="Y855" s="221"/>
      <c r="Z855" s="221"/>
      <c r="AA855" s="221"/>
      <c r="AB855" s="221"/>
    </row>
    <row r="856">
      <c r="A856" s="296"/>
      <c r="B856" s="296"/>
      <c r="C856" s="232"/>
      <c r="D856" s="232"/>
      <c r="E856" s="232"/>
      <c r="F856" s="232"/>
      <c r="G856" s="232"/>
      <c r="H856" s="232"/>
      <c r="I856" s="221"/>
      <c r="J856" s="221"/>
      <c r="K856" s="221"/>
      <c r="L856" s="221"/>
      <c r="M856" s="221"/>
      <c r="N856" s="221"/>
      <c r="O856" s="221"/>
      <c r="P856" s="221"/>
      <c r="Q856" s="221"/>
      <c r="R856" s="221"/>
      <c r="S856" s="221"/>
      <c r="T856" s="221"/>
      <c r="U856" s="221"/>
      <c r="V856" s="221"/>
      <c r="W856" s="221"/>
      <c r="X856" s="221"/>
      <c r="Y856" s="221"/>
      <c r="Z856" s="221"/>
      <c r="AA856" s="221"/>
      <c r="AB856" s="221"/>
    </row>
    <row r="857">
      <c r="A857" s="296"/>
      <c r="B857" s="296"/>
      <c r="C857" s="232"/>
      <c r="D857" s="232"/>
      <c r="E857" s="232"/>
      <c r="F857" s="232"/>
      <c r="G857" s="232"/>
      <c r="H857" s="232"/>
      <c r="I857" s="221"/>
      <c r="J857" s="221"/>
      <c r="K857" s="221"/>
      <c r="L857" s="221"/>
      <c r="M857" s="221"/>
      <c r="N857" s="221"/>
      <c r="O857" s="221"/>
      <c r="P857" s="221"/>
      <c r="Q857" s="221"/>
      <c r="R857" s="221"/>
      <c r="S857" s="221"/>
      <c r="T857" s="221"/>
      <c r="U857" s="221"/>
      <c r="V857" s="221"/>
      <c r="W857" s="221"/>
      <c r="X857" s="221"/>
      <c r="Y857" s="221"/>
      <c r="Z857" s="221"/>
      <c r="AA857" s="221"/>
      <c r="AB857" s="221"/>
    </row>
    <row r="858">
      <c r="A858" s="296"/>
      <c r="B858" s="296"/>
      <c r="C858" s="232"/>
      <c r="D858" s="232"/>
      <c r="E858" s="232"/>
      <c r="F858" s="232"/>
      <c r="G858" s="232"/>
      <c r="H858" s="232"/>
      <c r="I858" s="221"/>
      <c r="J858" s="221"/>
      <c r="K858" s="221"/>
      <c r="L858" s="221"/>
      <c r="M858" s="221"/>
      <c r="N858" s="221"/>
      <c r="O858" s="221"/>
      <c r="P858" s="221"/>
      <c r="Q858" s="221"/>
      <c r="R858" s="221"/>
      <c r="S858" s="221"/>
      <c r="T858" s="221"/>
      <c r="U858" s="221"/>
      <c r="V858" s="221"/>
      <c r="W858" s="221"/>
      <c r="X858" s="221"/>
      <c r="Y858" s="221"/>
      <c r="Z858" s="221"/>
      <c r="AA858" s="221"/>
      <c r="AB858" s="221"/>
    </row>
    <row r="859">
      <c r="A859" s="296"/>
      <c r="B859" s="296"/>
      <c r="C859" s="232"/>
      <c r="D859" s="232"/>
      <c r="E859" s="232"/>
      <c r="F859" s="232"/>
      <c r="G859" s="232"/>
      <c r="H859" s="232"/>
      <c r="I859" s="221"/>
      <c r="J859" s="221"/>
      <c r="K859" s="221"/>
      <c r="L859" s="221"/>
      <c r="M859" s="221"/>
      <c r="N859" s="221"/>
      <c r="O859" s="221"/>
      <c r="P859" s="221"/>
      <c r="Q859" s="221"/>
      <c r="R859" s="221"/>
      <c r="S859" s="221"/>
      <c r="T859" s="221"/>
      <c r="U859" s="221"/>
      <c r="V859" s="221"/>
      <c r="W859" s="221"/>
      <c r="X859" s="221"/>
      <c r="Y859" s="221"/>
      <c r="Z859" s="221"/>
      <c r="AA859" s="221"/>
      <c r="AB859" s="221"/>
    </row>
    <row r="860">
      <c r="A860" s="296"/>
      <c r="B860" s="296"/>
      <c r="C860" s="232"/>
      <c r="D860" s="232"/>
      <c r="E860" s="232"/>
      <c r="F860" s="232"/>
      <c r="G860" s="232"/>
      <c r="H860" s="232"/>
      <c r="I860" s="221"/>
      <c r="J860" s="221"/>
      <c r="K860" s="221"/>
      <c r="L860" s="221"/>
      <c r="M860" s="221"/>
      <c r="N860" s="221"/>
      <c r="O860" s="221"/>
      <c r="P860" s="221"/>
      <c r="Q860" s="221"/>
      <c r="R860" s="221"/>
      <c r="S860" s="221"/>
      <c r="T860" s="221"/>
      <c r="U860" s="221"/>
      <c r="V860" s="221"/>
      <c r="W860" s="221"/>
      <c r="X860" s="221"/>
      <c r="Y860" s="221"/>
      <c r="Z860" s="221"/>
      <c r="AA860" s="221"/>
      <c r="AB860" s="221"/>
    </row>
    <row r="861">
      <c r="A861" s="296"/>
      <c r="B861" s="296"/>
      <c r="C861" s="232"/>
      <c r="D861" s="232"/>
      <c r="E861" s="232"/>
      <c r="F861" s="232"/>
      <c r="G861" s="232"/>
      <c r="H861" s="232"/>
      <c r="I861" s="221"/>
      <c r="J861" s="221"/>
      <c r="K861" s="221"/>
      <c r="L861" s="221"/>
      <c r="M861" s="221"/>
      <c r="N861" s="221"/>
      <c r="O861" s="221"/>
      <c r="P861" s="221"/>
      <c r="Q861" s="221"/>
      <c r="R861" s="221"/>
      <c r="S861" s="221"/>
      <c r="T861" s="221"/>
      <c r="U861" s="221"/>
      <c r="V861" s="221"/>
      <c r="W861" s="221"/>
      <c r="X861" s="221"/>
      <c r="Y861" s="221"/>
      <c r="Z861" s="221"/>
      <c r="AA861" s="221"/>
      <c r="AB861" s="221"/>
    </row>
    <row r="862">
      <c r="A862" s="296"/>
      <c r="B862" s="296"/>
      <c r="C862" s="232"/>
      <c r="D862" s="232"/>
      <c r="E862" s="232"/>
      <c r="F862" s="232"/>
      <c r="G862" s="232"/>
      <c r="H862" s="232"/>
      <c r="I862" s="221"/>
      <c r="J862" s="221"/>
      <c r="K862" s="221"/>
      <c r="L862" s="221"/>
      <c r="M862" s="221"/>
      <c r="N862" s="221"/>
      <c r="O862" s="221"/>
      <c r="P862" s="221"/>
      <c r="Q862" s="221"/>
      <c r="R862" s="221"/>
      <c r="S862" s="221"/>
      <c r="T862" s="221"/>
      <c r="U862" s="221"/>
      <c r="V862" s="221"/>
      <c r="W862" s="221"/>
      <c r="X862" s="221"/>
      <c r="Y862" s="221"/>
      <c r="Z862" s="221"/>
      <c r="AA862" s="221"/>
      <c r="AB862" s="221"/>
    </row>
    <row r="863">
      <c r="A863" s="296"/>
      <c r="B863" s="296"/>
      <c r="C863" s="232"/>
      <c r="D863" s="232"/>
      <c r="E863" s="232"/>
      <c r="F863" s="232"/>
      <c r="G863" s="232"/>
      <c r="H863" s="232"/>
      <c r="I863" s="221"/>
      <c r="J863" s="221"/>
      <c r="K863" s="221"/>
      <c r="L863" s="221"/>
      <c r="M863" s="221"/>
      <c r="N863" s="221"/>
      <c r="O863" s="221"/>
      <c r="P863" s="221"/>
      <c r="Q863" s="221"/>
      <c r="R863" s="221"/>
      <c r="S863" s="221"/>
      <c r="T863" s="221"/>
      <c r="U863" s="221"/>
      <c r="V863" s="221"/>
      <c r="W863" s="221"/>
      <c r="X863" s="221"/>
      <c r="Y863" s="221"/>
      <c r="Z863" s="221"/>
      <c r="AA863" s="221"/>
      <c r="AB863" s="221"/>
    </row>
    <row r="864">
      <c r="A864" s="296"/>
      <c r="B864" s="296"/>
      <c r="C864" s="232"/>
      <c r="D864" s="232"/>
      <c r="E864" s="232"/>
      <c r="F864" s="232"/>
      <c r="G864" s="232"/>
      <c r="H864" s="232"/>
      <c r="I864" s="221"/>
      <c r="J864" s="221"/>
      <c r="K864" s="221"/>
      <c r="L864" s="221"/>
      <c r="M864" s="221"/>
      <c r="N864" s="221"/>
      <c r="O864" s="221"/>
      <c r="P864" s="221"/>
      <c r="Q864" s="221"/>
      <c r="R864" s="221"/>
      <c r="S864" s="221"/>
      <c r="T864" s="221"/>
      <c r="U864" s="221"/>
      <c r="V864" s="221"/>
      <c r="W864" s="221"/>
      <c r="X864" s="221"/>
      <c r="Y864" s="221"/>
      <c r="Z864" s="221"/>
      <c r="AA864" s="221"/>
      <c r="AB864" s="221"/>
    </row>
    <row r="865">
      <c r="A865" s="296"/>
      <c r="B865" s="296"/>
      <c r="C865" s="232"/>
      <c r="D865" s="232"/>
      <c r="E865" s="232"/>
      <c r="F865" s="232"/>
      <c r="G865" s="232"/>
      <c r="H865" s="232"/>
      <c r="I865" s="221"/>
      <c r="J865" s="221"/>
      <c r="K865" s="221"/>
      <c r="L865" s="221"/>
      <c r="M865" s="221"/>
      <c r="N865" s="221"/>
      <c r="O865" s="221"/>
      <c r="P865" s="221"/>
      <c r="Q865" s="221"/>
      <c r="R865" s="221"/>
      <c r="S865" s="221"/>
      <c r="T865" s="221"/>
      <c r="U865" s="221"/>
      <c r="V865" s="221"/>
      <c r="W865" s="221"/>
      <c r="X865" s="221"/>
      <c r="Y865" s="221"/>
      <c r="Z865" s="221"/>
      <c r="AA865" s="221"/>
      <c r="AB865" s="221"/>
    </row>
    <row r="866">
      <c r="A866" s="296"/>
      <c r="B866" s="296"/>
      <c r="C866" s="232"/>
      <c r="D866" s="232"/>
      <c r="E866" s="232"/>
      <c r="F866" s="232"/>
      <c r="G866" s="232"/>
      <c r="H866" s="232"/>
      <c r="I866" s="221"/>
      <c r="J866" s="221"/>
      <c r="K866" s="221"/>
      <c r="L866" s="221"/>
      <c r="M866" s="221"/>
      <c r="N866" s="221"/>
      <c r="O866" s="221"/>
      <c r="P866" s="221"/>
      <c r="Q866" s="221"/>
      <c r="R866" s="221"/>
      <c r="S866" s="221"/>
      <c r="T866" s="221"/>
      <c r="U866" s="221"/>
      <c r="V866" s="221"/>
      <c r="W866" s="221"/>
      <c r="X866" s="221"/>
      <c r="Y866" s="221"/>
      <c r="Z866" s="221"/>
      <c r="AA866" s="221"/>
      <c r="AB866" s="221"/>
    </row>
    <row r="867">
      <c r="A867" s="296"/>
      <c r="B867" s="296"/>
      <c r="C867" s="232"/>
      <c r="D867" s="232"/>
      <c r="E867" s="232"/>
      <c r="F867" s="232"/>
      <c r="G867" s="232"/>
      <c r="H867" s="232"/>
      <c r="I867" s="221"/>
      <c r="J867" s="221"/>
      <c r="K867" s="221"/>
      <c r="L867" s="221"/>
      <c r="M867" s="221"/>
      <c r="N867" s="221"/>
      <c r="O867" s="221"/>
      <c r="P867" s="221"/>
      <c r="Q867" s="221"/>
      <c r="R867" s="221"/>
      <c r="S867" s="221"/>
      <c r="T867" s="221"/>
      <c r="U867" s="221"/>
      <c r="V867" s="221"/>
      <c r="W867" s="221"/>
      <c r="X867" s="221"/>
      <c r="Y867" s="221"/>
      <c r="Z867" s="221"/>
      <c r="AA867" s="221"/>
      <c r="AB867" s="221"/>
    </row>
    <row r="868">
      <c r="A868" s="296"/>
      <c r="B868" s="296"/>
      <c r="C868" s="232"/>
      <c r="D868" s="232"/>
      <c r="E868" s="232"/>
      <c r="F868" s="232"/>
      <c r="G868" s="232"/>
      <c r="H868" s="232"/>
      <c r="I868" s="221"/>
      <c r="J868" s="221"/>
      <c r="K868" s="221"/>
      <c r="L868" s="221"/>
      <c r="M868" s="221"/>
      <c r="N868" s="221"/>
      <c r="O868" s="221"/>
      <c r="P868" s="221"/>
      <c r="Q868" s="221"/>
      <c r="R868" s="221"/>
      <c r="S868" s="221"/>
      <c r="T868" s="221"/>
      <c r="U868" s="221"/>
      <c r="V868" s="221"/>
      <c r="W868" s="221"/>
      <c r="X868" s="221"/>
      <c r="Y868" s="221"/>
      <c r="Z868" s="221"/>
      <c r="AA868" s="221"/>
      <c r="AB868" s="221"/>
    </row>
    <row r="869">
      <c r="A869" s="296"/>
      <c r="B869" s="296"/>
      <c r="C869" s="232"/>
      <c r="D869" s="232"/>
      <c r="E869" s="232"/>
      <c r="F869" s="232"/>
      <c r="G869" s="232"/>
      <c r="H869" s="232"/>
      <c r="I869" s="221"/>
      <c r="J869" s="221"/>
      <c r="K869" s="221"/>
      <c r="L869" s="221"/>
      <c r="M869" s="221"/>
      <c r="N869" s="221"/>
      <c r="O869" s="221"/>
      <c r="P869" s="221"/>
      <c r="Q869" s="221"/>
      <c r="R869" s="221"/>
      <c r="S869" s="221"/>
      <c r="T869" s="221"/>
      <c r="U869" s="221"/>
      <c r="V869" s="221"/>
      <c r="W869" s="221"/>
      <c r="X869" s="221"/>
      <c r="Y869" s="221"/>
      <c r="Z869" s="221"/>
      <c r="AA869" s="221"/>
      <c r="AB869" s="221"/>
    </row>
    <row r="870">
      <c r="A870" s="296"/>
      <c r="B870" s="296"/>
      <c r="C870" s="232"/>
      <c r="D870" s="232"/>
      <c r="E870" s="232"/>
      <c r="F870" s="232"/>
      <c r="G870" s="232"/>
      <c r="H870" s="232"/>
      <c r="I870" s="221"/>
      <c r="J870" s="221"/>
      <c r="K870" s="221"/>
      <c r="L870" s="221"/>
      <c r="M870" s="221"/>
      <c r="N870" s="221"/>
      <c r="O870" s="221"/>
      <c r="P870" s="221"/>
      <c r="Q870" s="221"/>
      <c r="R870" s="221"/>
      <c r="S870" s="221"/>
      <c r="T870" s="221"/>
      <c r="U870" s="221"/>
      <c r="V870" s="221"/>
      <c r="W870" s="221"/>
      <c r="X870" s="221"/>
      <c r="Y870" s="221"/>
      <c r="Z870" s="221"/>
      <c r="AA870" s="221"/>
      <c r="AB870" s="221"/>
    </row>
    <row r="871">
      <c r="A871" s="296"/>
      <c r="B871" s="296"/>
      <c r="C871" s="232"/>
      <c r="D871" s="232"/>
      <c r="E871" s="232"/>
      <c r="F871" s="232"/>
      <c r="G871" s="232"/>
      <c r="H871" s="232"/>
      <c r="I871" s="221"/>
      <c r="J871" s="221"/>
      <c r="K871" s="221"/>
      <c r="L871" s="221"/>
      <c r="M871" s="221"/>
      <c r="N871" s="221"/>
      <c r="O871" s="221"/>
      <c r="P871" s="221"/>
      <c r="Q871" s="221"/>
      <c r="R871" s="221"/>
      <c r="S871" s="221"/>
      <c r="T871" s="221"/>
      <c r="U871" s="221"/>
      <c r="V871" s="221"/>
      <c r="W871" s="221"/>
      <c r="X871" s="221"/>
      <c r="Y871" s="221"/>
      <c r="Z871" s="221"/>
      <c r="AA871" s="221"/>
      <c r="AB871" s="221"/>
    </row>
    <row r="872">
      <c r="A872" s="296"/>
      <c r="B872" s="296"/>
      <c r="C872" s="232"/>
      <c r="D872" s="232"/>
      <c r="E872" s="232"/>
      <c r="F872" s="232"/>
      <c r="G872" s="232"/>
      <c r="H872" s="232"/>
      <c r="I872" s="221"/>
      <c r="J872" s="221"/>
      <c r="K872" s="221"/>
      <c r="L872" s="221"/>
      <c r="M872" s="221"/>
      <c r="N872" s="221"/>
      <c r="O872" s="221"/>
      <c r="P872" s="221"/>
      <c r="Q872" s="221"/>
      <c r="R872" s="221"/>
      <c r="S872" s="221"/>
      <c r="T872" s="221"/>
      <c r="U872" s="221"/>
      <c r="V872" s="221"/>
      <c r="W872" s="221"/>
      <c r="X872" s="221"/>
      <c r="Y872" s="221"/>
      <c r="Z872" s="221"/>
      <c r="AA872" s="221"/>
      <c r="AB872" s="221"/>
    </row>
    <row r="873">
      <c r="A873" s="296"/>
      <c r="B873" s="296"/>
      <c r="C873" s="232"/>
      <c r="D873" s="232"/>
      <c r="E873" s="232"/>
      <c r="F873" s="232"/>
      <c r="G873" s="232"/>
      <c r="H873" s="232"/>
      <c r="I873" s="221"/>
      <c r="J873" s="221"/>
      <c r="K873" s="221"/>
      <c r="L873" s="221"/>
      <c r="M873" s="221"/>
      <c r="N873" s="221"/>
      <c r="O873" s="221"/>
      <c r="P873" s="221"/>
      <c r="Q873" s="221"/>
      <c r="R873" s="221"/>
      <c r="S873" s="221"/>
      <c r="T873" s="221"/>
      <c r="U873" s="221"/>
      <c r="V873" s="221"/>
      <c r="W873" s="221"/>
      <c r="X873" s="221"/>
      <c r="Y873" s="221"/>
      <c r="Z873" s="221"/>
      <c r="AA873" s="221"/>
      <c r="AB873" s="221"/>
    </row>
    <row r="874">
      <c r="A874" s="296"/>
      <c r="B874" s="296"/>
      <c r="C874" s="232"/>
      <c r="D874" s="232"/>
      <c r="E874" s="232"/>
      <c r="F874" s="232"/>
      <c r="G874" s="232"/>
      <c r="H874" s="232"/>
      <c r="I874" s="221"/>
      <c r="J874" s="221"/>
      <c r="K874" s="221"/>
      <c r="L874" s="221"/>
      <c r="M874" s="221"/>
      <c r="N874" s="221"/>
      <c r="O874" s="221"/>
      <c r="P874" s="221"/>
      <c r="Q874" s="221"/>
      <c r="R874" s="221"/>
      <c r="S874" s="221"/>
      <c r="T874" s="221"/>
      <c r="U874" s="221"/>
      <c r="V874" s="221"/>
      <c r="W874" s="221"/>
      <c r="X874" s="221"/>
      <c r="Y874" s="221"/>
      <c r="Z874" s="221"/>
      <c r="AA874" s="221"/>
      <c r="AB874" s="221"/>
    </row>
    <row r="875">
      <c r="A875" s="296"/>
      <c r="B875" s="296"/>
      <c r="C875" s="232"/>
      <c r="D875" s="232"/>
      <c r="E875" s="232"/>
      <c r="F875" s="232"/>
      <c r="G875" s="232"/>
      <c r="H875" s="232"/>
      <c r="I875" s="221"/>
      <c r="J875" s="221"/>
      <c r="K875" s="221"/>
      <c r="L875" s="221"/>
      <c r="M875" s="221"/>
      <c r="N875" s="221"/>
      <c r="O875" s="221"/>
      <c r="P875" s="221"/>
      <c r="Q875" s="221"/>
      <c r="R875" s="221"/>
      <c r="S875" s="221"/>
      <c r="T875" s="221"/>
      <c r="U875" s="221"/>
      <c r="V875" s="221"/>
      <c r="W875" s="221"/>
      <c r="X875" s="221"/>
      <c r="Y875" s="221"/>
      <c r="Z875" s="221"/>
      <c r="AA875" s="221"/>
      <c r="AB875" s="221"/>
    </row>
    <row r="876">
      <c r="A876" s="296"/>
      <c r="B876" s="296"/>
      <c r="C876" s="232"/>
      <c r="D876" s="232"/>
      <c r="E876" s="232"/>
      <c r="F876" s="232"/>
      <c r="G876" s="232"/>
      <c r="H876" s="232"/>
      <c r="I876" s="221"/>
      <c r="J876" s="221"/>
      <c r="K876" s="221"/>
      <c r="L876" s="221"/>
      <c r="M876" s="221"/>
      <c r="N876" s="221"/>
      <c r="O876" s="221"/>
      <c r="P876" s="221"/>
      <c r="Q876" s="221"/>
      <c r="R876" s="221"/>
      <c r="S876" s="221"/>
      <c r="T876" s="221"/>
      <c r="U876" s="221"/>
      <c r="V876" s="221"/>
      <c r="W876" s="221"/>
      <c r="X876" s="221"/>
      <c r="Y876" s="221"/>
      <c r="Z876" s="221"/>
      <c r="AA876" s="221"/>
      <c r="AB876" s="221"/>
    </row>
    <row r="877">
      <c r="A877" s="296"/>
      <c r="B877" s="296"/>
      <c r="C877" s="232"/>
      <c r="D877" s="232"/>
      <c r="E877" s="232"/>
      <c r="F877" s="232"/>
      <c r="G877" s="232"/>
      <c r="H877" s="232"/>
      <c r="I877" s="221"/>
      <c r="J877" s="221"/>
      <c r="K877" s="221"/>
      <c r="L877" s="221"/>
      <c r="M877" s="221"/>
      <c r="N877" s="221"/>
      <c r="O877" s="221"/>
      <c r="P877" s="221"/>
      <c r="Q877" s="221"/>
      <c r="R877" s="221"/>
      <c r="S877" s="221"/>
      <c r="T877" s="221"/>
      <c r="U877" s="221"/>
      <c r="V877" s="221"/>
      <c r="W877" s="221"/>
      <c r="X877" s="221"/>
      <c r="Y877" s="221"/>
      <c r="Z877" s="221"/>
      <c r="AA877" s="221"/>
      <c r="AB877" s="221"/>
    </row>
    <row r="878">
      <c r="A878" s="296"/>
      <c r="B878" s="296"/>
      <c r="C878" s="232"/>
      <c r="D878" s="232"/>
      <c r="E878" s="232"/>
      <c r="F878" s="232"/>
      <c r="G878" s="232"/>
      <c r="H878" s="232"/>
      <c r="I878" s="221"/>
      <c r="J878" s="221"/>
      <c r="K878" s="221"/>
      <c r="L878" s="221"/>
      <c r="M878" s="221"/>
      <c r="N878" s="221"/>
      <c r="O878" s="221"/>
      <c r="P878" s="221"/>
      <c r="Q878" s="221"/>
      <c r="R878" s="221"/>
      <c r="S878" s="221"/>
      <c r="T878" s="221"/>
      <c r="U878" s="221"/>
      <c r="V878" s="221"/>
      <c r="W878" s="221"/>
      <c r="X878" s="221"/>
      <c r="Y878" s="221"/>
      <c r="Z878" s="221"/>
      <c r="AA878" s="221"/>
      <c r="AB878" s="221"/>
    </row>
    <row r="879">
      <c r="A879" s="296"/>
      <c r="B879" s="296"/>
      <c r="C879" s="232"/>
      <c r="D879" s="232"/>
      <c r="E879" s="232"/>
      <c r="F879" s="232"/>
      <c r="G879" s="232"/>
      <c r="H879" s="232"/>
      <c r="I879" s="221"/>
      <c r="J879" s="221"/>
      <c r="K879" s="221"/>
      <c r="L879" s="221"/>
      <c r="M879" s="221"/>
      <c r="N879" s="221"/>
      <c r="O879" s="221"/>
      <c r="P879" s="221"/>
      <c r="Q879" s="221"/>
      <c r="R879" s="221"/>
      <c r="S879" s="221"/>
      <c r="T879" s="221"/>
      <c r="U879" s="221"/>
      <c r="V879" s="221"/>
      <c r="W879" s="221"/>
      <c r="X879" s="221"/>
      <c r="Y879" s="221"/>
      <c r="Z879" s="221"/>
      <c r="AA879" s="221"/>
      <c r="AB879" s="221"/>
    </row>
    <row r="880">
      <c r="A880" s="296"/>
      <c r="B880" s="296"/>
      <c r="C880" s="232"/>
      <c r="D880" s="232"/>
      <c r="E880" s="232"/>
      <c r="F880" s="232"/>
      <c r="G880" s="232"/>
      <c r="H880" s="232"/>
      <c r="I880" s="221"/>
      <c r="J880" s="221"/>
      <c r="K880" s="221"/>
      <c r="L880" s="221"/>
      <c r="M880" s="221"/>
      <c r="N880" s="221"/>
      <c r="O880" s="221"/>
      <c r="P880" s="221"/>
      <c r="Q880" s="221"/>
      <c r="R880" s="221"/>
      <c r="S880" s="221"/>
      <c r="T880" s="221"/>
      <c r="U880" s="221"/>
      <c r="V880" s="221"/>
      <c r="W880" s="221"/>
      <c r="X880" s="221"/>
      <c r="Y880" s="221"/>
      <c r="Z880" s="221"/>
      <c r="AA880" s="221"/>
      <c r="AB880" s="221"/>
    </row>
    <row r="881">
      <c r="A881" s="296"/>
      <c r="B881" s="296"/>
      <c r="C881" s="232"/>
      <c r="D881" s="232"/>
      <c r="E881" s="232"/>
      <c r="F881" s="232"/>
      <c r="G881" s="232"/>
      <c r="H881" s="232"/>
      <c r="I881" s="221"/>
      <c r="J881" s="221"/>
      <c r="K881" s="221"/>
      <c r="L881" s="221"/>
      <c r="M881" s="221"/>
      <c r="N881" s="221"/>
      <c r="O881" s="221"/>
      <c r="P881" s="221"/>
      <c r="Q881" s="221"/>
      <c r="R881" s="221"/>
      <c r="S881" s="221"/>
      <c r="T881" s="221"/>
      <c r="U881" s="221"/>
      <c r="V881" s="221"/>
      <c r="W881" s="221"/>
      <c r="X881" s="221"/>
      <c r="Y881" s="221"/>
      <c r="Z881" s="221"/>
      <c r="AA881" s="221"/>
      <c r="AB881" s="221"/>
    </row>
    <row r="882">
      <c r="A882" s="296"/>
      <c r="B882" s="296"/>
      <c r="C882" s="232"/>
      <c r="D882" s="232"/>
      <c r="E882" s="232"/>
      <c r="F882" s="232"/>
      <c r="G882" s="232"/>
      <c r="H882" s="232"/>
      <c r="I882" s="221"/>
      <c r="J882" s="221"/>
      <c r="K882" s="221"/>
      <c r="L882" s="221"/>
      <c r="M882" s="221"/>
      <c r="N882" s="221"/>
      <c r="O882" s="221"/>
      <c r="P882" s="221"/>
      <c r="Q882" s="221"/>
      <c r="R882" s="221"/>
      <c r="S882" s="221"/>
      <c r="T882" s="221"/>
      <c r="U882" s="221"/>
      <c r="V882" s="221"/>
      <c r="W882" s="221"/>
      <c r="X882" s="221"/>
      <c r="Y882" s="221"/>
      <c r="Z882" s="221"/>
      <c r="AA882" s="221"/>
      <c r="AB882" s="221"/>
    </row>
    <row r="883">
      <c r="A883" s="296"/>
      <c r="B883" s="296"/>
      <c r="C883" s="232"/>
      <c r="D883" s="232"/>
      <c r="E883" s="232"/>
      <c r="F883" s="232"/>
      <c r="G883" s="232"/>
      <c r="H883" s="232"/>
      <c r="I883" s="221"/>
      <c r="J883" s="221"/>
      <c r="K883" s="221"/>
      <c r="L883" s="221"/>
      <c r="M883" s="221"/>
      <c r="N883" s="221"/>
      <c r="O883" s="221"/>
      <c r="P883" s="221"/>
      <c r="Q883" s="221"/>
      <c r="R883" s="221"/>
      <c r="S883" s="221"/>
      <c r="T883" s="221"/>
      <c r="U883" s="221"/>
      <c r="V883" s="221"/>
      <c r="W883" s="221"/>
      <c r="X883" s="221"/>
      <c r="Y883" s="221"/>
      <c r="Z883" s="221"/>
      <c r="AA883" s="221"/>
      <c r="AB883" s="221"/>
    </row>
    <row r="884">
      <c r="A884" s="296"/>
      <c r="B884" s="296"/>
      <c r="C884" s="232"/>
      <c r="D884" s="232"/>
      <c r="E884" s="232"/>
      <c r="F884" s="232"/>
      <c r="G884" s="232"/>
      <c r="H884" s="232"/>
      <c r="I884" s="221"/>
      <c r="J884" s="221"/>
      <c r="K884" s="221"/>
      <c r="L884" s="221"/>
      <c r="M884" s="221"/>
      <c r="N884" s="221"/>
      <c r="O884" s="221"/>
      <c r="P884" s="221"/>
      <c r="Q884" s="221"/>
      <c r="R884" s="221"/>
      <c r="S884" s="221"/>
      <c r="T884" s="221"/>
      <c r="U884" s="221"/>
      <c r="V884" s="221"/>
      <c r="W884" s="221"/>
      <c r="X884" s="221"/>
      <c r="Y884" s="221"/>
      <c r="Z884" s="221"/>
      <c r="AA884" s="221"/>
      <c r="AB884" s="221"/>
    </row>
    <row r="885">
      <c r="A885" s="296"/>
      <c r="B885" s="296"/>
      <c r="C885" s="232"/>
      <c r="D885" s="232"/>
      <c r="E885" s="232"/>
      <c r="F885" s="232"/>
      <c r="G885" s="232"/>
      <c r="H885" s="232"/>
      <c r="I885" s="221"/>
      <c r="J885" s="221"/>
      <c r="K885" s="221"/>
      <c r="L885" s="221"/>
      <c r="M885" s="221"/>
      <c r="N885" s="221"/>
      <c r="O885" s="221"/>
      <c r="P885" s="221"/>
      <c r="Q885" s="221"/>
      <c r="R885" s="221"/>
      <c r="S885" s="221"/>
      <c r="T885" s="221"/>
      <c r="U885" s="221"/>
      <c r="V885" s="221"/>
      <c r="W885" s="221"/>
      <c r="X885" s="221"/>
      <c r="Y885" s="221"/>
      <c r="Z885" s="221"/>
      <c r="AA885" s="221"/>
      <c r="AB885" s="221"/>
    </row>
    <row r="886">
      <c r="A886" s="296"/>
      <c r="B886" s="296"/>
      <c r="C886" s="232"/>
      <c r="D886" s="232"/>
      <c r="E886" s="232"/>
      <c r="F886" s="232"/>
      <c r="G886" s="232"/>
      <c r="H886" s="232"/>
      <c r="I886" s="221"/>
      <c r="J886" s="221"/>
      <c r="K886" s="221"/>
      <c r="L886" s="221"/>
      <c r="M886" s="221"/>
      <c r="N886" s="221"/>
      <c r="O886" s="221"/>
      <c r="P886" s="221"/>
      <c r="Q886" s="221"/>
      <c r="R886" s="221"/>
      <c r="S886" s="221"/>
      <c r="T886" s="221"/>
      <c r="U886" s="221"/>
      <c r="V886" s="221"/>
      <c r="W886" s="221"/>
      <c r="X886" s="221"/>
      <c r="Y886" s="221"/>
      <c r="Z886" s="221"/>
      <c r="AA886" s="221"/>
      <c r="AB886" s="221"/>
    </row>
    <row r="887">
      <c r="A887" s="296"/>
      <c r="B887" s="296"/>
      <c r="C887" s="232"/>
      <c r="D887" s="232"/>
      <c r="E887" s="232"/>
      <c r="F887" s="232"/>
      <c r="G887" s="232"/>
      <c r="H887" s="232"/>
      <c r="I887" s="221"/>
      <c r="J887" s="221"/>
      <c r="K887" s="221"/>
      <c r="L887" s="221"/>
      <c r="M887" s="221"/>
      <c r="N887" s="221"/>
      <c r="O887" s="221"/>
      <c r="P887" s="221"/>
      <c r="Q887" s="221"/>
      <c r="R887" s="221"/>
      <c r="S887" s="221"/>
      <c r="T887" s="221"/>
      <c r="U887" s="221"/>
      <c r="V887" s="221"/>
      <c r="W887" s="221"/>
      <c r="X887" s="221"/>
      <c r="Y887" s="221"/>
      <c r="Z887" s="221"/>
      <c r="AA887" s="221"/>
      <c r="AB887" s="221"/>
    </row>
    <row r="888">
      <c r="A888" s="296"/>
      <c r="B888" s="296"/>
      <c r="C888" s="232"/>
      <c r="D888" s="232"/>
      <c r="E888" s="232"/>
      <c r="F888" s="232"/>
      <c r="G888" s="232"/>
      <c r="H888" s="232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</row>
    <row r="889">
      <c r="A889" s="296"/>
      <c r="B889" s="296"/>
      <c r="C889" s="232"/>
      <c r="D889" s="232"/>
      <c r="E889" s="232"/>
      <c r="F889" s="232"/>
      <c r="G889" s="232"/>
      <c r="H889" s="232"/>
      <c r="I889" s="221"/>
      <c r="J889" s="221"/>
      <c r="K889" s="221"/>
      <c r="L889" s="221"/>
      <c r="M889" s="221"/>
      <c r="N889" s="221"/>
      <c r="O889" s="221"/>
      <c r="P889" s="221"/>
      <c r="Q889" s="221"/>
      <c r="R889" s="221"/>
      <c r="S889" s="221"/>
      <c r="T889" s="221"/>
      <c r="U889" s="221"/>
      <c r="V889" s="221"/>
      <c r="W889" s="221"/>
      <c r="X889" s="221"/>
      <c r="Y889" s="221"/>
      <c r="Z889" s="221"/>
      <c r="AA889" s="221"/>
      <c r="AB889" s="221"/>
    </row>
    <row r="890">
      <c r="A890" s="296"/>
      <c r="B890" s="296"/>
      <c r="C890" s="232"/>
      <c r="D890" s="232"/>
      <c r="E890" s="232"/>
      <c r="F890" s="232"/>
      <c r="G890" s="232"/>
      <c r="H890" s="232"/>
      <c r="I890" s="221"/>
      <c r="J890" s="221"/>
      <c r="K890" s="221"/>
      <c r="L890" s="221"/>
      <c r="M890" s="221"/>
      <c r="N890" s="221"/>
      <c r="O890" s="221"/>
      <c r="P890" s="221"/>
      <c r="Q890" s="221"/>
      <c r="R890" s="221"/>
      <c r="S890" s="221"/>
      <c r="T890" s="221"/>
      <c r="U890" s="221"/>
      <c r="V890" s="221"/>
      <c r="W890" s="221"/>
      <c r="X890" s="221"/>
      <c r="Y890" s="221"/>
      <c r="Z890" s="221"/>
      <c r="AA890" s="221"/>
      <c r="AB890" s="221"/>
    </row>
    <row r="891">
      <c r="A891" s="296"/>
      <c r="B891" s="296"/>
      <c r="C891" s="232"/>
      <c r="D891" s="232"/>
      <c r="E891" s="232"/>
      <c r="F891" s="232"/>
      <c r="G891" s="232"/>
      <c r="H891" s="232"/>
      <c r="I891" s="221"/>
      <c r="J891" s="221"/>
      <c r="K891" s="221"/>
      <c r="L891" s="221"/>
      <c r="M891" s="221"/>
      <c r="N891" s="221"/>
      <c r="O891" s="221"/>
      <c r="P891" s="221"/>
      <c r="Q891" s="221"/>
      <c r="R891" s="221"/>
      <c r="S891" s="221"/>
      <c r="T891" s="221"/>
      <c r="U891" s="221"/>
      <c r="V891" s="221"/>
      <c r="W891" s="221"/>
      <c r="X891" s="221"/>
      <c r="Y891" s="221"/>
      <c r="Z891" s="221"/>
      <c r="AA891" s="221"/>
      <c r="AB891" s="221"/>
    </row>
    <row r="892">
      <c r="A892" s="296"/>
      <c r="B892" s="296"/>
      <c r="C892" s="232"/>
      <c r="D892" s="232"/>
      <c r="E892" s="232"/>
      <c r="F892" s="232"/>
      <c r="G892" s="232"/>
      <c r="H892" s="232"/>
      <c r="I892" s="221"/>
      <c r="J892" s="221"/>
      <c r="K892" s="221"/>
      <c r="L892" s="221"/>
      <c r="M892" s="221"/>
      <c r="N892" s="221"/>
      <c r="O892" s="221"/>
      <c r="P892" s="221"/>
      <c r="Q892" s="221"/>
      <c r="R892" s="221"/>
      <c r="S892" s="221"/>
      <c r="T892" s="221"/>
      <c r="U892" s="221"/>
      <c r="V892" s="221"/>
      <c r="W892" s="221"/>
      <c r="X892" s="221"/>
      <c r="Y892" s="221"/>
      <c r="Z892" s="221"/>
      <c r="AA892" s="221"/>
      <c r="AB892" s="221"/>
    </row>
    <row r="893">
      <c r="A893" s="296"/>
      <c r="B893" s="296"/>
      <c r="C893" s="232"/>
      <c r="D893" s="232"/>
      <c r="E893" s="232"/>
      <c r="F893" s="232"/>
      <c r="G893" s="232"/>
      <c r="H893" s="232"/>
      <c r="I893" s="221"/>
      <c r="J893" s="221"/>
      <c r="K893" s="221"/>
      <c r="L893" s="221"/>
      <c r="M893" s="221"/>
      <c r="N893" s="221"/>
      <c r="O893" s="221"/>
      <c r="P893" s="221"/>
      <c r="Q893" s="221"/>
      <c r="R893" s="221"/>
      <c r="S893" s="221"/>
      <c r="T893" s="221"/>
      <c r="U893" s="221"/>
      <c r="V893" s="221"/>
      <c r="W893" s="221"/>
      <c r="X893" s="221"/>
      <c r="Y893" s="221"/>
      <c r="Z893" s="221"/>
      <c r="AA893" s="221"/>
      <c r="AB893" s="221"/>
    </row>
    <row r="894">
      <c r="A894" s="296"/>
      <c r="B894" s="296"/>
      <c r="C894" s="232"/>
      <c r="D894" s="232"/>
      <c r="E894" s="232"/>
      <c r="F894" s="232"/>
      <c r="G894" s="232"/>
      <c r="H894" s="232"/>
      <c r="I894" s="221"/>
      <c r="J894" s="221"/>
      <c r="K894" s="221"/>
      <c r="L894" s="221"/>
      <c r="M894" s="221"/>
      <c r="N894" s="221"/>
      <c r="O894" s="221"/>
      <c r="P894" s="221"/>
      <c r="Q894" s="221"/>
      <c r="R894" s="221"/>
      <c r="S894" s="221"/>
      <c r="T894" s="221"/>
      <c r="U894" s="221"/>
      <c r="V894" s="221"/>
      <c r="W894" s="221"/>
      <c r="X894" s="221"/>
      <c r="Y894" s="221"/>
      <c r="Z894" s="221"/>
      <c r="AA894" s="221"/>
      <c r="AB894" s="221"/>
    </row>
    <row r="895">
      <c r="A895" s="296"/>
      <c r="B895" s="296"/>
      <c r="C895" s="232"/>
      <c r="D895" s="232"/>
      <c r="E895" s="232"/>
      <c r="F895" s="232"/>
      <c r="G895" s="232"/>
      <c r="H895" s="232"/>
      <c r="I895" s="221"/>
      <c r="J895" s="221"/>
      <c r="K895" s="221"/>
      <c r="L895" s="221"/>
      <c r="M895" s="221"/>
      <c r="N895" s="221"/>
      <c r="O895" s="221"/>
      <c r="P895" s="221"/>
      <c r="Q895" s="221"/>
      <c r="R895" s="221"/>
      <c r="S895" s="221"/>
      <c r="T895" s="221"/>
      <c r="U895" s="221"/>
      <c r="V895" s="221"/>
      <c r="W895" s="221"/>
      <c r="X895" s="221"/>
      <c r="Y895" s="221"/>
      <c r="Z895" s="221"/>
      <c r="AA895" s="221"/>
      <c r="AB895" s="221"/>
    </row>
    <row r="896">
      <c r="A896" s="296"/>
      <c r="B896" s="296"/>
      <c r="C896" s="232"/>
      <c r="D896" s="232"/>
      <c r="E896" s="232"/>
      <c r="F896" s="232"/>
      <c r="G896" s="232"/>
      <c r="H896" s="232"/>
      <c r="I896" s="221"/>
      <c r="J896" s="221"/>
      <c r="K896" s="221"/>
      <c r="L896" s="221"/>
      <c r="M896" s="221"/>
      <c r="N896" s="221"/>
      <c r="O896" s="221"/>
      <c r="P896" s="221"/>
      <c r="Q896" s="221"/>
      <c r="R896" s="221"/>
      <c r="S896" s="221"/>
      <c r="T896" s="221"/>
      <c r="U896" s="221"/>
      <c r="V896" s="221"/>
      <c r="W896" s="221"/>
      <c r="X896" s="221"/>
      <c r="Y896" s="221"/>
      <c r="Z896" s="221"/>
      <c r="AA896" s="221"/>
      <c r="AB896" s="221"/>
    </row>
    <row r="897">
      <c r="A897" s="296"/>
      <c r="B897" s="296"/>
      <c r="C897" s="232"/>
      <c r="D897" s="232"/>
      <c r="E897" s="232"/>
      <c r="F897" s="232"/>
      <c r="G897" s="232"/>
      <c r="H897" s="232"/>
      <c r="I897" s="221"/>
      <c r="J897" s="221"/>
      <c r="K897" s="221"/>
      <c r="L897" s="221"/>
      <c r="M897" s="221"/>
      <c r="N897" s="221"/>
      <c r="O897" s="221"/>
      <c r="P897" s="221"/>
      <c r="Q897" s="221"/>
      <c r="R897" s="221"/>
      <c r="S897" s="221"/>
      <c r="T897" s="221"/>
      <c r="U897" s="221"/>
      <c r="V897" s="221"/>
      <c r="W897" s="221"/>
      <c r="X897" s="221"/>
      <c r="Y897" s="221"/>
      <c r="Z897" s="221"/>
      <c r="AA897" s="221"/>
      <c r="AB897" s="221"/>
    </row>
    <row r="898">
      <c r="A898" s="296"/>
      <c r="B898" s="296"/>
      <c r="C898" s="232"/>
      <c r="D898" s="232"/>
      <c r="E898" s="232"/>
      <c r="F898" s="232"/>
      <c r="G898" s="232"/>
      <c r="H898" s="232"/>
      <c r="I898" s="221"/>
      <c r="J898" s="221"/>
      <c r="K898" s="221"/>
      <c r="L898" s="221"/>
      <c r="M898" s="221"/>
      <c r="N898" s="221"/>
      <c r="O898" s="221"/>
      <c r="P898" s="221"/>
      <c r="Q898" s="221"/>
      <c r="R898" s="221"/>
      <c r="S898" s="221"/>
      <c r="T898" s="221"/>
      <c r="U898" s="221"/>
      <c r="V898" s="221"/>
      <c r="W898" s="221"/>
      <c r="X898" s="221"/>
      <c r="Y898" s="221"/>
      <c r="Z898" s="221"/>
      <c r="AA898" s="221"/>
      <c r="AB898" s="221"/>
    </row>
    <row r="899">
      <c r="A899" s="296"/>
      <c r="B899" s="296"/>
      <c r="C899" s="232"/>
      <c r="D899" s="232"/>
      <c r="E899" s="232"/>
      <c r="F899" s="232"/>
      <c r="G899" s="232"/>
      <c r="H899" s="232"/>
      <c r="I899" s="221"/>
      <c r="J899" s="221"/>
      <c r="K899" s="221"/>
      <c r="L899" s="221"/>
      <c r="M899" s="221"/>
      <c r="N899" s="221"/>
      <c r="O899" s="221"/>
      <c r="P899" s="221"/>
      <c r="Q899" s="221"/>
      <c r="R899" s="221"/>
      <c r="S899" s="221"/>
      <c r="T899" s="221"/>
      <c r="U899" s="221"/>
      <c r="V899" s="221"/>
      <c r="W899" s="221"/>
      <c r="X899" s="221"/>
      <c r="Y899" s="221"/>
      <c r="Z899" s="221"/>
      <c r="AA899" s="221"/>
      <c r="AB899" s="221"/>
    </row>
    <row r="900">
      <c r="A900" s="296"/>
      <c r="B900" s="296"/>
      <c r="C900" s="232"/>
      <c r="D900" s="232"/>
      <c r="E900" s="232"/>
      <c r="F900" s="232"/>
      <c r="G900" s="232"/>
      <c r="H900" s="232"/>
      <c r="I900" s="221"/>
      <c r="J900" s="221"/>
      <c r="K900" s="221"/>
      <c r="L900" s="221"/>
      <c r="M900" s="221"/>
      <c r="N900" s="221"/>
      <c r="O900" s="221"/>
      <c r="P900" s="221"/>
      <c r="Q900" s="221"/>
      <c r="R900" s="221"/>
      <c r="S900" s="221"/>
      <c r="T900" s="221"/>
      <c r="U900" s="221"/>
      <c r="V900" s="221"/>
      <c r="W900" s="221"/>
      <c r="X900" s="221"/>
      <c r="Y900" s="221"/>
      <c r="Z900" s="221"/>
      <c r="AA900" s="221"/>
      <c r="AB900" s="221"/>
    </row>
    <row r="901">
      <c r="A901" s="296"/>
      <c r="B901" s="296"/>
      <c r="C901" s="232"/>
      <c r="D901" s="232"/>
      <c r="E901" s="232"/>
      <c r="F901" s="232"/>
      <c r="G901" s="232"/>
      <c r="H901" s="232"/>
      <c r="I901" s="221"/>
      <c r="J901" s="221"/>
      <c r="K901" s="221"/>
      <c r="L901" s="221"/>
      <c r="M901" s="221"/>
      <c r="N901" s="221"/>
      <c r="O901" s="221"/>
      <c r="P901" s="221"/>
      <c r="Q901" s="221"/>
      <c r="R901" s="221"/>
      <c r="S901" s="221"/>
      <c r="T901" s="221"/>
      <c r="U901" s="221"/>
      <c r="V901" s="221"/>
      <c r="W901" s="221"/>
      <c r="X901" s="221"/>
      <c r="Y901" s="221"/>
      <c r="Z901" s="221"/>
      <c r="AA901" s="221"/>
      <c r="AB901" s="221"/>
    </row>
    <row r="902">
      <c r="A902" s="296"/>
      <c r="B902" s="296"/>
      <c r="C902" s="232"/>
      <c r="D902" s="232"/>
      <c r="E902" s="232"/>
      <c r="F902" s="232"/>
      <c r="G902" s="232"/>
      <c r="H902" s="232"/>
      <c r="I902" s="221"/>
      <c r="J902" s="221"/>
      <c r="K902" s="221"/>
      <c r="L902" s="221"/>
      <c r="M902" s="221"/>
      <c r="N902" s="221"/>
      <c r="O902" s="221"/>
      <c r="P902" s="221"/>
      <c r="Q902" s="221"/>
      <c r="R902" s="221"/>
      <c r="S902" s="221"/>
      <c r="T902" s="221"/>
      <c r="U902" s="221"/>
      <c r="V902" s="221"/>
      <c r="W902" s="221"/>
      <c r="X902" s="221"/>
      <c r="Y902" s="221"/>
      <c r="Z902" s="221"/>
      <c r="AA902" s="221"/>
      <c r="AB902" s="221"/>
    </row>
    <row r="903">
      <c r="A903" s="296"/>
      <c r="B903" s="296"/>
      <c r="C903" s="232"/>
      <c r="D903" s="232"/>
      <c r="E903" s="232"/>
      <c r="F903" s="232"/>
      <c r="G903" s="232"/>
      <c r="H903" s="232"/>
      <c r="I903" s="221"/>
      <c r="J903" s="221"/>
      <c r="K903" s="221"/>
      <c r="L903" s="221"/>
      <c r="M903" s="221"/>
      <c r="N903" s="221"/>
      <c r="O903" s="221"/>
      <c r="P903" s="221"/>
      <c r="Q903" s="221"/>
      <c r="R903" s="221"/>
      <c r="S903" s="221"/>
      <c r="T903" s="221"/>
      <c r="U903" s="221"/>
      <c r="V903" s="221"/>
      <c r="W903" s="221"/>
      <c r="X903" s="221"/>
      <c r="Y903" s="221"/>
      <c r="Z903" s="221"/>
      <c r="AA903" s="221"/>
      <c r="AB903" s="221"/>
    </row>
    <row r="904">
      <c r="A904" s="296"/>
      <c r="B904" s="296"/>
      <c r="C904" s="232"/>
      <c r="D904" s="232"/>
      <c r="E904" s="232"/>
      <c r="F904" s="232"/>
      <c r="G904" s="232"/>
      <c r="H904" s="232"/>
      <c r="I904" s="221"/>
      <c r="J904" s="221"/>
      <c r="K904" s="221"/>
      <c r="L904" s="221"/>
      <c r="M904" s="221"/>
      <c r="N904" s="221"/>
      <c r="O904" s="221"/>
      <c r="P904" s="221"/>
      <c r="Q904" s="221"/>
      <c r="R904" s="221"/>
      <c r="S904" s="221"/>
      <c r="T904" s="221"/>
      <c r="U904" s="221"/>
      <c r="V904" s="221"/>
      <c r="W904" s="221"/>
      <c r="X904" s="221"/>
      <c r="Y904" s="221"/>
      <c r="Z904" s="221"/>
      <c r="AA904" s="221"/>
      <c r="AB904" s="221"/>
    </row>
    <row r="905">
      <c r="A905" s="296"/>
      <c r="B905" s="296"/>
      <c r="C905" s="232"/>
      <c r="D905" s="232"/>
      <c r="E905" s="232"/>
      <c r="F905" s="232"/>
      <c r="G905" s="232"/>
      <c r="H905" s="232"/>
      <c r="I905" s="221"/>
      <c r="J905" s="221"/>
      <c r="K905" s="221"/>
      <c r="L905" s="221"/>
      <c r="M905" s="221"/>
      <c r="N905" s="221"/>
      <c r="O905" s="221"/>
      <c r="P905" s="221"/>
      <c r="Q905" s="221"/>
      <c r="R905" s="221"/>
      <c r="S905" s="221"/>
      <c r="T905" s="221"/>
      <c r="U905" s="221"/>
      <c r="V905" s="221"/>
      <c r="W905" s="221"/>
      <c r="X905" s="221"/>
      <c r="Y905" s="221"/>
      <c r="Z905" s="221"/>
      <c r="AA905" s="221"/>
      <c r="AB905" s="221"/>
    </row>
    <row r="906">
      <c r="A906" s="296"/>
      <c r="B906" s="296"/>
      <c r="C906" s="232"/>
      <c r="D906" s="232"/>
      <c r="E906" s="232"/>
      <c r="F906" s="232"/>
      <c r="G906" s="232"/>
      <c r="H906" s="232"/>
      <c r="I906" s="221"/>
      <c r="J906" s="221"/>
      <c r="K906" s="221"/>
      <c r="L906" s="221"/>
      <c r="M906" s="221"/>
      <c r="N906" s="221"/>
      <c r="O906" s="221"/>
      <c r="P906" s="221"/>
      <c r="Q906" s="221"/>
      <c r="R906" s="221"/>
      <c r="S906" s="221"/>
      <c r="T906" s="221"/>
      <c r="U906" s="221"/>
      <c r="V906" s="221"/>
      <c r="W906" s="221"/>
      <c r="X906" s="221"/>
      <c r="Y906" s="221"/>
      <c r="Z906" s="221"/>
      <c r="AA906" s="221"/>
      <c r="AB906" s="221"/>
    </row>
    <row r="907">
      <c r="A907" s="296"/>
      <c r="B907" s="296"/>
      <c r="C907" s="232"/>
      <c r="D907" s="232"/>
      <c r="E907" s="232"/>
      <c r="F907" s="232"/>
      <c r="G907" s="232"/>
      <c r="H907" s="232"/>
      <c r="I907" s="221"/>
      <c r="J907" s="221"/>
      <c r="K907" s="221"/>
      <c r="L907" s="221"/>
      <c r="M907" s="221"/>
      <c r="N907" s="221"/>
      <c r="O907" s="221"/>
      <c r="P907" s="221"/>
      <c r="Q907" s="221"/>
      <c r="R907" s="221"/>
      <c r="S907" s="221"/>
      <c r="T907" s="221"/>
      <c r="U907" s="221"/>
      <c r="V907" s="221"/>
      <c r="W907" s="221"/>
      <c r="X907" s="221"/>
      <c r="Y907" s="221"/>
      <c r="Z907" s="221"/>
      <c r="AA907" s="221"/>
      <c r="AB907" s="221"/>
    </row>
    <row r="908">
      <c r="A908" s="296"/>
      <c r="B908" s="296"/>
      <c r="C908" s="232"/>
      <c r="D908" s="232"/>
      <c r="E908" s="232"/>
      <c r="F908" s="232"/>
      <c r="G908" s="232"/>
      <c r="H908" s="232"/>
      <c r="I908" s="221"/>
      <c r="J908" s="221"/>
      <c r="K908" s="221"/>
      <c r="L908" s="221"/>
      <c r="M908" s="221"/>
      <c r="N908" s="221"/>
      <c r="O908" s="221"/>
      <c r="P908" s="221"/>
      <c r="Q908" s="221"/>
      <c r="R908" s="221"/>
      <c r="S908" s="221"/>
      <c r="T908" s="221"/>
      <c r="U908" s="221"/>
      <c r="V908" s="221"/>
      <c r="W908" s="221"/>
      <c r="X908" s="221"/>
      <c r="Y908" s="221"/>
      <c r="Z908" s="221"/>
      <c r="AA908" s="221"/>
      <c r="AB908" s="221"/>
    </row>
    <row r="909">
      <c r="A909" s="296"/>
      <c r="B909" s="296"/>
      <c r="C909" s="232"/>
      <c r="D909" s="232"/>
      <c r="E909" s="232"/>
      <c r="F909" s="232"/>
      <c r="G909" s="232"/>
      <c r="H909" s="232"/>
      <c r="I909" s="221"/>
      <c r="J909" s="221"/>
      <c r="K909" s="221"/>
      <c r="L909" s="221"/>
      <c r="M909" s="221"/>
      <c r="N909" s="221"/>
      <c r="O909" s="221"/>
      <c r="P909" s="221"/>
      <c r="Q909" s="221"/>
      <c r="R909" s="221"/>
      <c r="S909" s="221"/>
      <c r="T909" s="221"/>
      <c r="U909" s="221"/>
      <c r="V909" s="221"/>
      <c r="W909" s="221"/>
      <c r="X909" s="221"/>
      <c r="Y909" s="221"/>
      <c r="Z909" s="221"/>
      <c r="AA909" s="221"/>
      <c r="AB909" s="221"/>
    </row>
    <row r="910">
      <c r="A910" s="296"/>
      <c r="B910" s="296"/>
      <c r="C910" s="232"/>
      <c r="D910" s="232"/>
      <c r="E910" s="232"/>
      <c r="F910" s="232"/>
      <c r="G910" s="232"/>
      <c r="H910" s="232"/>
      <c r="I910" s="221"/>
      <c r="J910" s="221"/>
      <c r="K910" s="221"/>
      <c r="L910" s="221"/>
      <c r="M910" s="221"/>
      <c r="N910" s="221"/>
      <c r="O910" s="221"/>
      <c r="P910" s="221"/>
      <c r="Q910" s="221"/>
      <c r="R910" s="221"/>
      <c r="S910" s="221"/>
      <c r="T910" s="221"/>
      <c r="U910" s="221"/>
      <c r="V910" s="221"/>
      <c r="W910" s="221"/>
      <c r="X910" s="221"/>
      <c r="Y910" s="221"/>
      <c r="Z910" s="221"/>
      <c r="AA910" s="221"/>
      <c r="AB910" s="221"/>
    </row>
    <row r="911">
      <c r="A911" s="296"/>
      <c r="B911" s="296"/>
      <c r="C911" s="232"/>
      <c r="D911" s="232"/>
      <c r="E911" s="232"/>
      <c r="F911" s="232"/>
      <c r="G911" s="232"/>
      <c r="H911" s="232"/>
      <c r="I911" s="221"/>
      <c r="J911" s="221"/>
      <c r="K911" s="221"/>
      <c r="L911" s="221"/>
      <c r="M911" s="221"/>
      <c r="N911" s="221"/>
      <c r="O911" s="221"/>
      <c r="P911" s="221"/>
      <c r="Q911" s="221"/>
      <c r="R911" s="221"/>
      <c r="S911" s="221"/>
      <c r="T911" s="221"/>
      <c r="U911" s="221"/>
      <c r="V911" s="221"/>
      <c r="W911" s="221"/>
      <c r="X911" s="221"/>
      <c r="Y911" s="221"/>
      <c r="Z911" s="221"/>
      <c r="AA911" s="221"/>
      <c r="AB911" s="221"/>
    </row>
    <row r="912">
      <c r="A912" s="296"/>
      <c r="B912" s="296"/>
      <c r="C912" s="232"/>
      <c r="D912" s="232"/>
      <c r="E912" s="232"/>
      <c r="F912" s="232"/>
      <c r="G912" s="232"/>
      <c r="H912" s="232"/>
      <c r="I912" s="221"/>
      <c r="J912" s="221"/>
      <c r="K912" s="221"/>
      <c r="L912" s="221"/>
      <c r="M912" s="221"/>
      <c r="N912" s="221"/>
      <c r="O912" s="221"/>
      <c r="P912" s="221"/>
      <c r="Q912" s="221"/>
      <c r="R912" s="221"/>
      <c r="S912" s="221"/>
      <c r="T912" s="221"/>
      <c r="U912" s="221"/>
      <c r="V912" s="221"/>
      <c r="W912" s="221"/>
      <c r="X912" s="221"/>
      <c r="Y912" s="221"/>
      <c r="Z912" s="221"/>
      <c r="AA912" s="221"/>
      <c r="AB912" s="221"/>
    </row>
    <row r="913">
      <c r="A913" s="296"/>
      <c r="B913" s="296"/>
      <c r="C913" s="232"/>
      <c r="D913" s="232"/>
      <c r="E913" s="232"/>
      <c r="F913" s="232"/>
      <c r="G913" s="232"/>
      <c r="H913" s="232"/>
      <c r="I913" s="221"/>
      <c r="J913" s="221"/>
      <c r="K913" s="221"/>
      <c r="L913" s="221"/>
      <c r="M913" s="221"/>
      <c r="N913" s="221"/>
      <c r="O913" s="221"/>
      <c r="P913" s="221"/>
      <c r="Q913" s="221"/>
      <c r="R913" s="221"/>
      <c r="S913" s="221"/>
      <c r="T913" s="221"/>
      <c r="U913" s="221"/>
      <c r="V913" s="221"/>
      <c r="W913" s="221"/>
      <c r="X913" s="221"/>
      <c r="Y913" s="221"/>
      <c r="Z913" s="221"/>
      <c r="AA913" s="221"/>
      <c r="AB913" s="221"/>
    </row>
    <row r="914">
      <c r="A914" s="296"/>
      <c r="B914" s="296"/>
      <c r="C914" s="232"/>
      <c r="D914" s="232"/>
      <c r="E914" s="232"/>
      <c r="F914" s="232"/>
      <c r="G914" s="232"/>
      <c r="H914" s="232"/>
      <c r="I914" s="221"/>
      <c r="J914" s="221"/>
      <c r="K914" s="221"/>
      <c r="L914" s="221"/>
      <c r="M914" s="221"/>
      <c r="N914" s="221"/>
      <c r="O914" s="221"/>
      <c r="P914" s="221"/>
      <c r="Q914" s="221"/>
      <c r="R914" s="221"/>
      <c r="S914" s="221"/>
      <c r="T914" s="221"/>
      <c r="U914" s="221"/>
      <c r="V914" s="221"/>
      <c r="W914" s="221"/>
      <c r="X914" s="221"/>
      <c r="Y914" s="221"/>
      <c r="Z914" s="221"/>
      <c r="AA914" s="221"/>
      <c r="AB914" s="221"/>
    </row>
    <row r="915">
      <c r="A915" s="296"/>
      <c r="B915" s="296"/>
      <c r="C915" s="232"/>
      <c r="D915" s="232"/>
      <c r="E915" s="232"/>
      <c r="F915" s="232"/>
      <c r="G915" s="232"/>
      <c r="H915" s="232"/>
      <c r="I915" s="221"/>
      <c r="J915" s="221"/>
      <c r="K915" s="221"/>
      <c r="L915" s="221"/>
      <c r="M915" s="221"/>
      <c r="N915" s="221"/>
      <c r="O915" s="221"/>
      <c r="P915" s="221"/>
      <c r="Q915" s="221"/>
      <c r="R915" s="221"/>
      <c r="S915" s="221"/>
      <c r="T915" s="221"/>
      <c r="U915" s="221"/>
      <c r="V915" s="221"/>
      <c r="W915" s="221"/>
      <c r="X915" s="221"/>
      <c r="Y915" s="221"/>
      <c r="Z915" s="221"/>
      <c r="AA915" s="221"/>
      <c r="AB915" s="221"/>
    </row>
    <row r="916">
      <c r="A916" s="296"/>
      <c r="B916" s="296"/>
      <c r="C916" s="232"/>
      <c r="D916" s="232"/>
      <c r="E916" s="232"/>
      <c r="F916" s="232"/>
      <c r="G916" s="232"/>
      <c r="H916" s="232"/>
      <c r="I916" s="221"/>
      <c r="J916" s="221"/>
      <c r="K916" s="221"/>
      <c r="L916" s="221"/>
      <c r="M916" s="221"/>
      <c r="N916" s="221"/>
      <c r="O916" s="221"/>
      <c r="P916" s="221"/>
      <c r="Q916" s="221"/>
      <c r="R916" s="221"/>
      <c r="S916" s="221"/>
      <c r="T916" s="221"/>
      <c r="U916" s="221"/>
      <c r="V916" s="221"/>
      <c r="W916" s="221"/>
      <c r="X916" s="221"/>
      <c r="Y916" s="221"/>
      <c r="Z916" s="221"/>
      <c r="AA916" s="221"/>
      <c r="AB916" s="221"/>
    </row>
    <row r="917">
      <c r="A917" s="296"/>
      <c r="B917" s="296"/>
      <c r="C917" s="232"/>
      <c r="D917" s="232"/>
      <c r="E917" s="232"/>
      <c r="F917" s="232"/>
      <c r="G917" s="232"/>
      <c r="H917" s="232"/>
      <c r="I917" s="221"/>
      <c r="J917" s="221"/>
      <c r="K917" s="221"/>
      <c r="L917" s="221"/>
      <c r="M917" s="221"/>
      <c r="N917" s="221"/>
      <c r="O917" s="221"/>
      <c r="P917" s="221"/>
      <c r="Q917" s="221"/>
      <c r="R917" s="221"/>
      <c r="S917" s="221"/>
      <c r="T917" s="221"/>
      <c r="U917" s="221"/>
      <c r="V917" s="221"/>
      <c r="W917" s="221"/>
      <c r="X917" s="221"/>
      <c r="Y917" s="221"/>
      <c r="Z917" s="221"/>
      <c r="AA917" s="221"/>
      <c r="AB917" s="221"/>
    </row>
    <row r="918">
      <c r="A918" s="296"/>
      <c r="B918" s="296"/>
      <c r="C918" s="232"/>
      <c r="D918" s="232"/>
      <c r="E918" s="232"/>
      <c r="F918" s="232"/>
      <c r="G918" s="232"/>
      <c r="H918" s="232"/>
      <c r="I918" s="221"/>
      <c r="J918" s="221"/>
      <c r="K918" s="221"/>
      <c r="L918" s="221"/>
      <c r="M918" s="221"/>
      <c r="N918" s="221"/>
      <c r="O918" s="221"/>
      <c r="P918" s="221"/>
      <c r="Q918" s="221"/>
      <c r="R918" s="221"/>
      <c r="S918" s="221"/>
      <c r="T918" s="221"/>
      <c r="U918" s="221"/>
      <c r="V918" s="221"/>
      <c r="W918" s="221"/>
      <c r="X918" s="221"/>
      <c r="Y918" s="221"/>
      <c r="Z918" s="221"/>
      <c r="AA918" s="221"/>
      <c r="AB918" s="221"/>
    </row>
    <row r="919">
      <c r="A919" s="296"/>
      <c r="B919" s="296"/>
      <c r="C919" s="232"/>
      <c r="D919" s="232"/>
      <c r="E919" s="232"/>
      <c r="F919" s="232"/>
      <c r="G919" s="232"/>
      <c r="H919" s="232"/>
      <c r="I919" s="221"/>
      <c r="J919" s="221"/>
      <c r="K919" s="221"/>
      <c r="L919" s="221"/>
      <c r="M919" s="221"/>
      <c r="N919" s="221"/>
      <c r="O919" s="221"/>
      <c r="P919" s="221"/>
      <c r="Q919" s="221"/>
      <c r="R919" s="221"/>
      <c r="S919" s="221"/>
      <c r="T919" s="221"/>
      <c r="U919" s="221"/>
      <c r="V919" s="221"/>
      <c r="W919" s="221"/>
      <c r="X919" s="221"/>
      <c r="Y919" s="221"/>
      <c r="Z919" s="221"/>
      <c r="AA919" s="221"/>
      <c r="AB919" s="221"/>
    </row>
    <row r="920">
      <c r="A920" s="296"/>
      <c r="B920" s="296"/>
      <c r="C920" s="232"/>
      <c r="D920" s="232"/>
      <c r="E920" s="232"/>
      <c r="F920" s="232"/>
      <c r="G920" s="232"/>
      <c r="H920" s="232"/>
      <c r="I920" s="221"/>
      <c r="J920" s="221"/>
      <c r="K920" s="221"/>
      <c r="L920" s="221"/>
      <c r="M920" s="221"/>
      <c r="N920" s="221"/>
      <c r="O920" s="221"/>
      <c r="P920" s="221"/>
      <c r="Q920" s="221"/>
      <c r="R920" s="221"/>
      <c r="S920" s="221"/>
      <c r="T920" s="221"/>
      <c r="U920" s="221"/>
      <c r="V920" s="221"/>
      <c r="W920" s="221"/>
      <c r="X920" s="221"/>
      <c r="Y920" s="221"/>
      <c r="Z920" s="221"/>
      <c r="AA920" s="221"/>
      <c r="AB920" s="221"/>
    </row>
    <row r="921">
      <c r="A921" s="296"/>
      <c r="B921" s="296"/>
      <c r="C921" s="232"/>
      <c r="D921" s="232"/>
      <c r="E921" s="232"/>
      <c r="F921" s="232"/>
      <c r="G921" s="232"/>
      <c r="H921" s="232"/>
      <c r="I921" s="221"/>
      <c r="J921" s="221"/>
      <c r="K921" s="221"/>
      <c r="L921" s="221"/>
      <c r="M921" s="221"/>
      <c r="N921" s="221"/>
      <c r="O921" s="221"/>
      <c r="P921" s="221"/>
      <c r="Q921" s="221"/>
      <c r="R921" s="221"/>
      <c r="S921" s="221"/>
      <c r="T921" s="221"/>
      <c r="U921" s="221"/>
      <c r="V921" s="221"/>
      <c r="W921" s="221"/>
      <c r="X921" s="221"/>
      <c r="Y921" s="221"/>
      <c r="Z921" s="221"/>
      <c r="AA921" s="221"/>
      <c r="AB921" s="221"/>
    </row>
    <row r="922">
      <c r="A922" s="296"/>
      <c r="B922" s="296"/>
      <c r="C922" s="232"/>
      <c r="D922" s="232"/>
      <c r="E922" s="232"/>
      <c r="F922" s="232"/>
      <c r="G922" s="232"/>
      <c r="H922" s="232"/>
      <c r="I922" s="221"/>
      <c r="J922" s="221"/>
      <c r="K922" s="221"/>
      <c r="L922" s="221"/>
      <c r="M922" s="221"/>
      <c r="N922" s="221"/>
      <c r="O922" s="221"/>
      <c r="P922" s="221"/>
      <c r="Q922" s="221"/>
      <c r="R922" s="221"/>
      <c r="S922" s="221"/>
      <c r="T922" s="221"/>
      <c r="U922" s="221"/>
      <c r="V922" s="221"/>
      <c r="W922" s="221"/>
      <c r="X922" s="221"/>
      <c r="Y922" s="221"/>
      <c r="Z922" s="221"/>
      <c r="AA922" s="221"/>
      <c r="AB922" s="221"/>
    </row>
    <row r="923">
      <c r="A923" s="296"/>
      <c r="B923" s="296"/>
      <c r="C923" s="232"/>
      <c r="D923" s="232"/>
      <c r="E923" s="232"/>
      <c r="F923" s="232"/>
      <c r="G923" s="232"/>
      <c r="H923" s="232"/>
      <c r="I923" s="221"/>
      <c r="J923" s="221"/>
      <c r="K923" s="221"/>
      <c r="L923" s="221"/>
      <c r="M923" s="221"/>
      <c r="N923" s="221"/>
      <c r="O923" s="221"/>
      <c r="P923" s="221"/>
      <c r="Q923" s="221"/>
      <c r="R923" s="221"/>
      <c r="S923" s="221"/>
      <c r="T923" s="221"/>
      <c r="U923" s="221"/>
      <c r="V923" s="221"/>
      <c r="W923" s="221"/>
      <c r="X923" s="221"/>
      <c r="Y923" s="221"/>
      <c r="Z923" s="221"/>
      <c r="AA923" s="221"/>
      <c r="AB923" s="221"/>
    </row>
    <row r="924">
      <c r="A924" s="296"/>
      <c r="B924" s="296"/>
      <c r="C924" s="232"/>
      <c r="D924" s="232"/>
      <c r="E924" s="232"/>
      <c r="F924" s="232"/>
      <c r="G924" s="232"/>
      <c r="H924" s="232"/>
      <c r="I924" s="221"/>
      <c r="J924" s="221"/>
      <c r="K924" s="221"/>
      <c r="L924" s="221"/>
      <c r="M924" s="221"/>
      <c r="N924" s="221"/>
      <c r="O924" s="221"/>
      <c r="P924" s="221"/>
      <c r="Q924" s="221"/>
      <c r="R924" s="221"/>
      <c r="S924" s="221"/>
      <c r="T924" s="221"/>
      <c r="U924" s="221"/>
      <c r="V924" s="221"/>
      <c r="W924" s="221"/>
      <c r="X924" s="221"/>
      <c r="Y924" s="221"/>
      <c r="Z924" s="221"/>
      <c r="AA924" s="221"/>
      <c r="AB924" s="221"/>
    </row>
    <row r="925">
      <c r="A925" s="296"/>
      <c r="B925" s="296"/>
      <c r="C925" s="232"/>
      <c r="D925" s="232"/>
      <c r="E925" s="232"/>
      <c r="F925" s="232"/>
      <c r="G925" s="232"/>
      <c r="H925" s="232"/>
      <c r="I925" s="221"/>
      <c r="J925" s="221"/>
      <c r="K925" s="221"/>
      <c r="L925" s="221"/>
      <c r="M925" s="221"/>
      <c r="N925" s="221"/>
      <c r="O925" s="221"/>
      <c r="P925" s="221"/>
      <c r="Q925" s="221"/>
      <c r="R925" s="221"/>
      <c r="S925" s="221"/>
      <c r="T925" s="221"/>
      <c r="U925" s="221"/>
      <c r="V925" s="221"/>
      <c r="W925" s="221"/>
      <c r="X925" s="221"/>
      <c r="Y925" s="221"/>
      <c r="Z925" s="221"/>
      <c r="AA925" s="221"/>
      <c r="AB925" s="221"/>
    </row>
    <row r="926">
      <c r="A926" s="296"/>
      <c r="B926" s="296"/>
      <c r="C926" s="232"/>
      <c r="D926" s="232"/>
      <c r="E926" s="232"/>
      <c r="F926" s="232"/>
      <c r="G926" s="232"/>
      <c r="H926" s="232"/>
      <c r="I926" s="221"/>
      <c r="J926" s="221"/>
      <c r="K926" s="221"/>
      <c r="L926" s="221"/>
      <c r="M926" s="221"/>
      <c r="N926" s="221"/>
      <c r="O926" s="221"/>
      <c r="P926" s="221"/>
      <c r="Q926" s="221"/>
      <c r="R926" s="221"/>
      <c r="S926" s="221"/>
      <c r="T926" s="221"/>
      <c r="U926" s="221"/>
      <c r="V926" s="221"/>
      <c r="W926" s="221"/>
      <c r="X926" s="221"/>
      <c r="Y926" s="221"/>
      <c r="Z926" s="221"/>
      <c r="AA926" s="221"/>
      <c r="AB926" s="221"/>
    </row>
    <row r="927">
      <c r="A927" s="296"/>
      <c r="B927" s="296"/>
      <c r="C927" s="232"/>
      <c r="D927" s="232"/>
      <c r="E927" s="232"/>
      <c r="F927" s="232"/>
      <c r="G927" s="232"/>
      <c r="H927" s="232"/>
      <c r="I927" s="221"/>
      <c r="J927" s="221"/>
      <c r="K927" s="221"/>
      <c r="L927" s="221"/>
      <c r="M927" s="221"/>
      <c r="N927" s="221"/>
      <c r="O927" s="221"/>
      <c r="P927" s="221"/>
      <c r="Q927" s="221"/>
      <c r="R927" s="221"/>
      <c r="S927" s="221"/>
      <c r="T927" s="221"/>
      <c r="U927" s="221"/>
      <c r="V927" s="221"/>
      <c r="W927" s="221"/>
      <c r="X927" s="221"/>
      <c r="Y927" s="221"/>
      <c r="Z927" s="221"/>
      <c r="AA927" s="221"/>
      <c r="AB927" s="221"/>
    </row>
    <row r="928">
      <c r="A928" s="296"/>
      <c r="B928" s="296"/>
      <c r="C928" s="232"/>
      <c r="D928" s="232"/>
      <c r="E928" s="232"/>
      <c r="F928" s="232"/>
      <c r="G928" s="232"/>
      <c r="H928" s="232"/>
      <c r="I928" s="221"/>
      <c r="J928" s="221"/>
      <c r="K928" s="221"/>
      <c r="L928" s="221"/>
      <c r="M928" s="221"/>
      <c r="N928" s="221"/>
      <c r="O928" s="221"/>
      <c r="P928" s="221"/>
      <c r="Q928" s="221"/>
      <c r="R928" s="221"/>
      <c r="S928" s="221"/>
      <c r="T928" s="221"/>
      <c r="U928" s="221"/>
      <c r="V928" s="221"/>
      <c r="W928" s="221"/>
      <c r="X928" s="221"/>
      <c r="Y928" s="221"/>
      <c r="Z928" s="221"/>
      <c r="AA928" s="221"/>
      <c r="AB928" s="221"/>
    </row>
    <row r="929">
      <c r="A929" s="296"/>
      <c r="B929" s="296"/>
      <c r="C929" s="232"/>
      <c r="D929" s="232"/>
      <c r="E929" s="232"/>
      <c r="F929" s="232"/>
      <c r="G929" s="232"/>
      <c r="H929" s="232"/>
      <c r="I929" s="221"/>
      <c r="J929" s="221"/>
      <c r="K929" s="221"/>
      <c r="L929" s="221"/>
      <c r="M929" s="221"/>
      <c r="N929" s="221"/>
      <c r="O929" s="221"/>
      <c r="P929" s="221"/>
      <c r="Q929" s="221"/>
      <c r="R929" s="221"/>
      <c r="S929" s="221"/>
      <c r="T929" s="221"/>
      <c r="U929" s="221"/>
      <c r="V929" s="221"/>
      <c r="W929" s="221"/>
      <c r="X929" s="221"/>
      <c r="Y929" s="221"/>
      <c r="Z929" s="221"/>
      <c r="AA929" s="221"/>
      <c r="AB929" s="221"/>
    </row>
    <row r="930">
      <c r="A930" s="296"/>
      <c r="B930" s="296"/>
      <c r="C930" s="232"/>
      <c r="D930" s="232"/>
      <c r="E930" s="232"/>
      <c r="F930" s="232"/>
      <c r="G930" s="232"/>
      <c r="H930" s="232"/>
      <c r="I930" s="221"/>
      <c r="J930" s="221"/>
      <c r="K930" s="221"/>
      <c r="L930" s="221"/>
      <c r="M930" s="221"/>
      <c r="N930" s="221"/>
      <c r="O930" s="221"/>
      <c r="P930" s="221"/>
      <c r="Q930" s="221"/>
      <c r="R930" s="221"/>
      <c r="S930" s="221"/>
      <c r="T930" s="221"/>
      <c r="U930" s="221"/>
      <c r="V930" s="221"/>
      <c r="W930" s="221"/>
      <c r="X930" s="221"/>
      <c r="Y930" s="221"/>
      <c r="Z930" s="221"/>
      <c r="AA930" s="221"/>
      <c r="AB930" s="221"/>
    </row>
    <row r="931">
      <c r="A931" s="296"/>
      <c r="B931" s="296"/>
      <c r="C931" s="232"/>
      <c r="D931" s="232"/>
      <c r="E931" s="232"/>
      <c r="F931" s="232"/>
      <c r="G931" s="232"/>
      <c r="H931" s="232"/>
      <c r="I931" s="221"/>
      <c r="J931" s="221"/>
      <c r="K931" s="221"/>
      <c r="L931" s="221"/>
      <c r="M931" s="221"/>
      <c r="N931" s="221"/>
      <c r="O931" s="221"/>
      <c r="P931" s="221"/>
      <c r="Q931" s="221"/>
      <c r="R931" s="221"/>
      <c r="S931" s="221"/>
      <c r="T931" s="221"/>
      <c r="U931" s="221"/>
      <c r="V931" s="221"/>
      <c r="W931" s="221"/>
      <c r="X931" s="221"/>
      <c r="Y931" s="221"/>
      <c r="Z931" s="221"/>
      <c r="AA931" s="221"/>
      <c r="AB931" s="221"/>
    </row>
    <row r="932">
      <c r="A932" s="296"/>
      <c r="B932" s="296"/>
      <c r="C932" s="232"/>
      <c r="D932" s="232"/>
      <c r="E932" s="232"/>
      <c r="F932" s="232"/>
      <c r="G932" s="232"/>
      <c r="H932" s="232"/>
      <c r="I932" s="221"/>
      <c r="J932" s="221"/>
      <c r="K932" s="221"/>
      <c r="L932" s="221"/>
      <c r="M932" s="221"/>
      <c r="N932" s="221"/>
      <c r="O932" s="221"/>
      <c r="P932" s="221"/>
      <c r="Q932" s="221"/>
      <c r="R932" s="221"/>
      <c r="S932" s="221"/>
      <c r="T932" s="221"/>
      <c r="U932" s="221"/>
      <c r="V932" s="221"/>
      <c r="W932" s="221"/>
      <c r="X932" s="221"/>
      <c r="Y932" s="221"/>
      <c r="Z932" s="221"/>
      <c r="AA932" s="221"/>
      <c r="AB932" s="221"/>
    </row>
    <row r="933">
      <c r="A933" s="296"/>
      <c r="B933" s="296"/>
      <c r="C933" s="232"/>
      <c r="D933" s="232"/>
      <c r="E933" s="232"/>
      <c r="F933" s="232"/>
      <c r="G933" s="232"/>
      <c r="H933" s="232"/>
      <c r="I933" s="221"/>
      <c r="J933" s="221"/>
      <c r="K933" s="221"/>
      <c r="L933" s="221"/>
      <c r="M933" s="221"/>
      <c r="N933" s="221"/>
      <c r="O933" s="221"/>
      <c r="P933" s="221"/>
      <c r="Q933" s="221"/>
      <c r="R933" s="221"/>
      <c r="S933" s="221"/>
      <c r="T933" s="221"/>
      <c r="U933" s="221"/>
      <c r="V933" s="221"/>
      <c r="W933" s="221"/>
      <c r="X933" s="221"/>
      <c r="Y933" s="221"/>
      <c r="Z933" s="221"/>
      <c r="AA933" s="221"/>
      <c r="AB933" s="221"/>
    </row>
    <row r="934">
      <c r="A934" s="296"/>
      <c r="B934" s="296"/>
      <c r="C934" s="232"/>
      <c r="D934" s="232"/>
      <c r="E934" s="232"/>
      <c r="F934" s="232"/>
      <c r="G934" s="232"/>
      <c r="H934" s="232"/>
      <c r="I934" s="221"/>
      <c r="J934" s="221"/>
      <c r="K934" s="221"/>
      <c r="L934" s="221"/>
      <c r="M934" s="221"/>
      <c r="N934" s="221"/>
      <c r="O934" s="221"/>
      <c r="P934" s="221"/>
      <c r="Q934" s="221"/>
      <c r="R934" s="221"/>
      <c r="S934" s="221"/>
      <c r="T934" s="221"/>
      <c r="U934" s="221"/>
      <c r="V934" s="221"/>
      <c r="W934" s="221"/>
      <c r="X934" s="221"/>
      <c r="Y934" s="221"/>
      <c r="Z934" s="221"/>
      <c r="AA934" s="221"/>
      <c r="AB934" s="221"/>
    </row>
    <row r="935">
      <c r="A935" s="296"/>
      <c r="B935" s="296"/>
      <c r="C935" s="232"/>
      <c r="D935" s="232"/>
      <c r="E935" s="232"/>
      <c r="F935" s="232"/>
      <c r="G935" s="232"/>
      <c r="H935" s="232"/>
      <c r="I935" s="221"/>
      <c r="J935" s="221"/>
      <c r="K935" s="221"/>
      <c r="L935" s="221"/>
      <c r="M935" s="221"/>
      <c r="N935" s="221"/>
      <c r="O935" s="221"/>
      <c r="P935" s="221"/>
      <c r="Q935" s="221"/>
      <c r="R935" s="221"/>
      <c r="S935" s="221"/>
      <c r="T935" s="221"/>
      <c r="U935" s="221"/>
      <c r="V935" s="221"/>
      <c r="W935" s="221"/>
      <c r="X935" s="221"/>
      <c r="Y935" s="221"/>
      <c r="Z935" s="221"/>
      <c r="AA935" s="221"/>
      <c r="AB935" s="221"/>
    </row>
    <row r="936">
      <c r="A936" s="296"/>
      <c r="B936" s="296"/>
      <c r="C936" s="232"/>
      <c r="D936" s="232"/>
      <c r="E936" s="232"/>
      <c r="F936" s="232"/>
      <c r="G936" s="232"/>
      <c r="H936" s="232"/>
      <c r="I936" s="221"/>
      <c r="J936" s="221"/>
      <c r="K936" s="221"/>
      <c r="L936" s="221"/>
      <c r="M936" s="221"/>
      <c r="N936" s="221"/>
      <c r="O936" s="221"/>
      <c r="P936" s="221"/>
      <c r="Q936" s="221"/>
      <c r="R936" s="221"/>
      <c r="S936" s="221"/>
      <c r="T936" s="221"/>
      <c r="U936" s="221"/>
      <c r="V936" s="221"/>
      <c r="W936" s="221"/>
      <c r="X936" s="221"/>
      <c r="Y936" s="221"/>
      <c r="Z936" s="221"/>
      <c r="AA936" s="221"/>
      <c r="AB936" s="221"/>
    </row>
    <row r="937">
      <c r="A937" s="296"/>
      <c r="B937" s="296"/>
      <c r="C937" s="232"/>
      <c r="D937" s="232"/>
      <c r="E937" s="232"/>
      <c r="F937" s="232"/>
      <c r="G937" s="232"/>
      <c r="H937" s="232"/>
      <c r="I937" s="221"/>
      <c r="J937" s="221"/>
      <c r="K937" s="221"/>
      <c r="L937" s="221"/>
      <c r="M937" s="221"/>
      <c r="N937" s="221"/>
      <c r="O937" s="221"/>
      <c r="P937" s="221"/>
      <c r="Q937" s="221"/>
      <c r="R937" s="221"/>
      <c r="S937" s="221"/>
      <c r="T937" s="221"/>
      <c r="U937" s="221"/>
      <c r="V937" s="221"/>
      <c r="W937" s="221"/>
      <c r="X937" s="221"/>
      <c r="Y937" s="221"/>
      <c r="Z937" s="221"/>
      <c r="AA937" s="221"/>
      <c r="AB937" s="221"/>
    </row>
    <row r="938">
      <c r="A938" s="296"/>
      <c r="B938" s="296"/>
      <c r="C938" s="232"/>
      <c r="D938" s="232"/>
      <c r="E938" s="232"/>
      <c r="F938" s="232"/>
      <c r="G938" s="232"/>
      <c r="H938" s="232"/>
      <c r="I938" s="221"/>
      <c r="J938" s="221"/>
      <c r="K938" s="221"/>
      <c r="L938" s="221"/>
      <c r="M938" s="221"/>
      <c r="N938" s="221"/>
      <c r="O938" s="221"/>
      <c r="P938" s="221"/>
      <c r="Q938" s="221"/>
      <c r="R938" s="221"/>
      <c r="S938" s="221"/>
      <c r="T938" s="221"/>
      <c r="U938" s="221"/>
      <c r="V938" s="221"/>
      <c r="W938" s="221"/>
      <c r="X938" s="221"/>
      <c r="Y938" s="221"/>
      <c r="Z938" s="221"/>
      <c r="AA938" s="221"/>
      <c r="AB938" s="221"/>
    </row>
    <row r="939">
      <c r="A939" s="296"/>
      <c r="B939" s="296"/>
      <c r="C939" s="232"/>
      <c r="D939" s="232"/>
      <c r="E939" s="232"/>
      <c r="F939" s="232"/>
      <c r="G939" s="232"/>
      <c r="H939" s="232"/>
      <c r="I939" s="221"/>
      <c r="J939" s="221"/>
      <c r="K939" s="221"/>
      <c r="L939" s="221"/>
      <c r="M939" s="221"/>
      <c r="N939" s="221"/>
      <c r="O939" s="221"/>
      <c r="P939" s="221"/>
      <c r="Q939" s="221"/>
      <c r="R939" s="221"/>
      <c r="S939" s="221"/>
      <c r="T939" s="221"/>
      <c r="U939" s="221"/>
      <c r="V939" s="221"/>
      <c r="W939" s="221"/>
      <c r="X939" s="221"/>
      <c r="Y939" s="221"/>
      <c r="Z939" s="221"/>
      <c r="AA939" s="221"/>
      <c r="AB939" s="221"/>
    </row>
    <row r="940">
      <c r="A940" s="296"/>
      <c r="B940" s="296"/>
      <c r="C940" s="232"/>
      <c r="D940" s="232"/>
      <c r="E940" s="232"/>
      <c r="F940" s="232"/>
      <c r="G940" s="232"/>
      <c r="H940" s="232"/>
      <c r="I940" s="221"/>
      <c r="J940" s="221"/>
      <c r="K940" s="221"/>
      <c r="L940" s="221"/>
      <c r="M940" s="221"/>
      <c r="N940" s="221"/>
      <c r="O940" s="221"/>
      <c r="P940" s="221"/>
      <c r="Q940" s="221"/>
      <c r="R940" s="221"/>
      <c r="S940" s="221"/>
      <c r="T940" s="221"/>
      <c r="U940" s="221"/>
      <c r="V940" s="221"/>
      <c r="W940" s="221"/>
      <c r="X940" s="221"/>
      <c r="Y940" s="221"/>
      <c r="Z940" s="221"/>
      <c r="AA940" s="221"/>
      <c r="AB940" s="221"/>
    </row>
    <row r="941">
      <c r="A941" s="296"/>
      <c r="B941" s="296"/>
      <c r="C941" s="232"/>
      <c r="D941" s="232"/>
      <c r="E941" s="232"/>
      <c r="F941" s="232"/>
      <c r="G941" s="232"/>
      <c r="H941" s="232"/>
      <c r="I941" s="221"/>
      <c r="J941" s="221"/>
      <c r="K941" s="221"/>
      <c r="L941" s="221"/>
      <c r="M941" s="221"/>
      <c r="N941" s="221"/>
      <c r="O941" s="221"/>
      <c r="P941" s="221"/>
      <c r="Q941" s="221"/>
      <c r="R941" s="221"/>
      <c r="S941" s="221"/>
      <c r="T941" s="221"/>
      <c r="U941" s="221"/>
      <c r="V941" s="221"/>
      <c r="W941" s="221"/>
      <c r="X941" s="221"/>
      <c r="Y941" s="221"/>
      <c r="Z941" s="221"/>
      <c r="AA941" s="221"/>
      <c r="AB941" s="221"/>
    </row>
    <row r="942">
      <c r="A942" s="296"/>
      <c r="B942" s="296"/>
      <c r="C942" s="232"/>
      <c r="D942" s="232"/>
      <c r="E942" s="232"/>
      <c r="F942" s="232"/>
      <c r="G942" s="232"/>
      <c r="H942" s="232"/>
      <c r="I942" s="221"/>
      <c r="J942" s="221"/>
      <c r="K942" s="221"/>
      <c r="L942" s="221"/>
      <c r="M942" s="221"/>
      <c r="N942" s="221"/>
      <c r="O942" s="221"/>
      <c r="P942" s="221"/>
      <c r="Q942" s="221"/>
      <c r="R942" s="221"/>
      <c r="S942" s="221"/>
      <c r="T942" s="221"/>
      <c r="U942" s="221"/>
      <c r="V942" s="221"/>
      <c r="W942" s="221"/>
      <c r="X942" s="221"/>
      <c r="Y942" s="221"/>
      <c r="Z942" s="221"/>
      <c r="AA942" s="221"/>
      <c r="AB942" s="221"/>
    </row>
    <row r="943">
      <c r="A943" s="296"/>
      <c r="B943" s="296"/>
      <c r="C943" s="232"/>
      <c r="D943" s="232"/>
      <c r="E943" s="232"/>
      <c r="F943" s="232"/>
      <c r="G943" s="232"/>
      <c r="H943" s="232"/>
      <c r="I943" s="221"/>
      <c r="J943" s="221"/>
      <c r="K943" s="221"/>
      <c r="L943" s="221"/>
      <c r="M943" s="221"/>
      <c r="N943" s="221"/>
      <c r="O943" s="221"/>
      <c r="P943" s="221"/>
      <c r="Q943" s="221"/>
      <c r="R943" s="221"/>
      <c r="S943" s="221"/>
      <c r="T943" s="221"/>
      <c r="U943" s="221"/>
      <c r="V943" s="221"/>
      <c r="W943" s="221"/>
      <c r="X943" s="221"/>
      <c r="Y943" s="221"/>
      <c r="Z943" s="221"/>
      <c r="AA943" s="221"/>
      <c r="AB943" s="221"/>
    </row>
    <row r="944">
      <c r="A944" s="296"/>
      <c r="B944" s="296"/>
      <c r="C944" s="232"/>
      <c r="D944" s="232"/>
      <c r="E944" s="232"/>
      <c r="F944" s="232"/>
      <c r="G944" s="232"/>
      <c r="H944" s="232"/>
      <c r="I944" s="221"/>
      <c r="J944" s="221"/>
      <c r="K944" s="221"/>
      <c r="L944" s="221"/>
      <c r="M944" s="221"/>
      <c r="N944" s="221"/>
      <c r="O944" s="221"/>
      <c r="P944" s="221"/>
      <c r="Q944" s="221"/>
      <c r="R944" s="221"/>
      <c r="S944" s="221"/>
      <c r="T944" s="221"/>
      <c r="U944" s="221"/>
      <c r="V944" s="221"/>
      <c r="W944" s="221"/>
      <c r="X944" s="221"/>
      <c r="Y944" s="221"/>
      <c r="Z944" s="221"/>
      <c r="AA944" s="221"/>
      <c r="AB944" s="221"/>
    </row>
    <row r="945">
      <c r="A945" s="296"/>
      <c r="B945" s="296"/>
      <c r="C945" s="232"/>
      <c r="D945" s="232"/>
      <c r="E945" s="232"/>
      <c r="F945" s="232"/>
      <c r="G945" s="232"/>
      <c r="H945" s="232"/>
      <c r="I945" s="221"/>
      <c r="J945" s="221"/>
      <c r="K945" s="221"/>
      <c r="L945" s="221"/>
      <c r="M945" s="221"/>
      <c r="N945" s="221"/>
      <c r="O945" s="221"/>
      <c r="P945" s="221"/>
      <c r="Q945" s="221"/>
      <c r="R945" s="221"/>
      <c r="S945" s="221"/>
      <c r="T945" s="221"/>
      <c r="U945" s="221"/>
      <c r="V945" s="221"/>
      <c r="W945" s="221"/>
      <c r="X945" s="221"/>
      <c r="Y945" s="221"/>
      <c r="Z945" s="221"/>
      <c r="AA945" s="221"/>
      <c r="AB945" s="221"/>
    </row>
    <row r="946">
      <c r="A946" s="296"/>
      <c r="B946" s="296"/>
      <c r="C946" s="232"/>
      <c r="D946" s="232"/>
      <c r="E946" s="232"/>
      <c r="F946" s="232"/>
      <c r="G946" s="232"/>
      <c r="H946" s="232"/>
      <c r="I946" s="221"/>
      <c r="J946" s="221"/>
      <c r="K946" s="221"/>
      <c r="L946" s="221"/>
      <c r="M946" s="221"/>
      <c r="N946" s="221"/>
      <c r="O946" s="221"/>
      <c r="P946" s="221"/>
      <c r="Q946" s="221"/>
      <c r="R946" s="221"/>
      <c r="S946" s="221"/>
      <c r="T946" s="221"/>
      <c r="U946" s="221"/>
      <c r="V946" s="221"/>
      <c r="W946" s="221"/>
      <c r="X946" s="221"/>
      <c r="Y946" s="221"/>
      <c r="Z946" s="221"/>
      <c r="AA946" s="221"/>
      <c r="AB946" s="221"/>
    </row>
    <row r="947">
      <c r="A947" s="296"/>
      <c r="B947" s="296"/>
      <c r="C947" s="232"/>
      <c r="D947" s="232"/>
      <c r="E947" s="232"/>
      <c r="F947" s="232"/>
      <c r="G947" s="232"/>
      <c r="H947" s="232"/>
      <c r="I947" s="221"/>
      <c r="J947" s="221"/>
      <c r="K947" s="221"/>
      <c r="L947" s="221"/>
      <c r="M947" s="221"/>
      <c r="N947" s="221"/>
      <c r="O947" s="221"/>
      <c r="P947" s="221"/>
      <c r="Q947" s="221"/>
      <c r="R947" s="221"/>
      <c r="S947" s="221"/>
      <c r="T947" s="221"/>
      <c r="U947" s="221"/>
      <c r="V947" s="221"/>
      <c r="W947" s="221"/>
      <c r="X947" s="221"/>
      <c r="Y947" s="221"/>
      <c r="Z947" s="221"/>
      <c r="AA947" s="221"/>
      <c r="AB947" s="221"/>
    </row>
    <row r="948">
      <c r="A948" s="296"/>
      <c r="B948" s="296"/>
      <c r="C948" s="232"/>
      <c r="D948" s="232"/>
      <c r="E948" s="232"/>
      <c r="F948" s="232"/>
      <c r="G948" s="232"/>
      <c r="H948" s="232"/>
      <c r="I948" s="221"/>
      <c r="J948" s="221"/>
      <c r="K948" s="221"/>
      <c r="L948" s="221"/>
      <c r="M948" s="221"/>
      <c r="N948" s="221"/>
      <c r="O948" s="221"/>
      <c r="P948" s="221"/>
      <c r="Q948" s="221"/>
      <c r="R948" s="221"/>
      <c r="S948" s="221"/>
      <c r="T948" s="221"/>
      <c r="U948" s="221"/>
      <c r="V948" s="221"/>
      <c r="W948" s="221"/>
      <c r="X948" s="221"/>
      <c r="Y948" s="221"/>
      <c r="Z948" s="221"/>
      <c r="AA948" s="221"/>
      <c r="AB948" s="221"/>
    </row>
    <row r="949">
      <c r="A949" s="296"/>
      <c r="B949" s="296"/>
      <c r="C949" s="232"/>
      <c r="D949" s="232"/>
      <c r="E949" s="232"/>
      <c r="F949" s="232"/>
      <c r="G949" s="232"/>
      <c r="H949" s="232"/>
      <c r="I949" s="221"/>
      <c r="J949" s="221"/>
      <c r="K949" s="221"/>
      <c r="L949" s="221"/>
      <c r="M949" s="221"/>
      <c r="N949" s="221"/>
      <c r="O949" s="221"/>
      <c r="P949" s="221"/>
      <c r="Q949" s="221"/>
      <c r="R949" s="221"/>
      <c r="S949" s="221"/>
      <c r="T949" s="221"/>
      <c r="U949" s="221"/>
      <c r="V949" s="221"/>
      <c r="W949" s="221"/>
      <c r="X949" s="221"/>
      <c r="Y949" s="221"/>
      <c r="Z949" s="221"/>
      <c r="AA949" s="221"/>
      <c r="AB949" s="221"/>
    </row>
    <row r="950">
      <c r="A950" s="296"/>
      <c r="B950" s="296"/>
      <c r="C950" s="232"/>
      <c r="D950" s="232"/>
      <c r="E950" s="232"/>
      <c r="F950" s="232"/>
      <c r="G950" s="232"/>
      <c r="H950" s="232"/>
      <c r="I950" s="221"/>
      <c r="J950" s="221"/>
      <c r="K950" s="221"/>
      <c r="L950" s="221"/>
      <c r="M950" s="221"/>
      <c r="N950" s="221"/>
      <c r="O950" s="221"/>
      <c r="P950" s="221"/>
      <c r="Q950" s="221"/>
      <c r="R950" s="221"/>
      <c r="S950" s="221"/>
      <c r="T950" s="221"/>
      <c r="U950" s="221"/>
      <c r="V950" s="221"/>
      <c r="W950" s="221"/>
      <c r="X950" s="221"/>
      <c r="Y950" s="221"/>
      <c r="Z950" s="221"/>
      <c r="AA950" s="221"/>
      <c r="AB950" s="221"/>
    </row>
    <row r="951">
      <c r="A951" s="296"/>
      <c r="B951" s="296"/>
      <c r="C951" s="232"/>
      <c r="D951" s="232"/>
      <c r="E951" s="232"/>
      <c r="F951" s="232"/>
      <c r="G951" s="232"/>
      <c r="H951" s="232"/>
      <c r="I951" s="221"/>
      <c r="J951" s="221"/>
      <c r="K951" s="221"/>
      <c r="L951" s="221"/>
      <c r="M951" s="221"/>
      <c r="N951" s="221"/>
      <c r="O951" s="221"/>
      <c r="P951" s="221"/>
      <c r="Q951" s="221"/>
      <c r="R951" s="221"/>
      <c r="S951" s="221"/>
      <c r="T951" s="221"/>
      <c r="U951" s="221"/>
      <c r="V951" s="221"/>
      <c r="W951" s="221"/>
      <c r="X951" s="221"/>
      <c r="Y951" s="221"/>
      <c r="Z951" s="221"/>
      <c r="AA951" s="221"/>
      <c r="AB951" s="221"/>
    </row>
    <row r="952">
      <c r="A952" s="296"/>
      <c r="B952" s="296"/>
      <c r="C952" s="232"/>
      <c r="D952" s="232"/>
      <c r="E952" s="232"/>
      <c r="F952" s="232"/>
      <c r="G952" s="232"/>
      <c r="H952" s="232"/>
      <c r="I952" s="221"/>
      <c r="J952" s="221"/>
      <c r="K952" s="221"/>
      <c r="L952" s="221"/>
      <c r="M952" s="221"/>
      <c r="N952" s="221"/>
      <c r="O952" s="221"/>
      <c r="P952" s="221"/>
      <c r="Q952" s="221"/>
      <c r="R952" s="221"/>
      <c r="S952" s="221"/>
      <c r="T952" s="221"/>
      <c r="U952" s="221"/>
      <c r="V952" s="221"/>
      <c r="W952" s="221"/>
      <c r="X952" s="221"/>
      <c r="Y952" s="221"/>
      <c r="Z952" s="221"/>
      <c r="AA952" s="221"/>
      <c r="AB952" s="221"/>
    </row>
    <row r="953">
      <c r="A953" s="296"/>
      <c r="B953" s="296"/>
      <c r="C953" s="232"/>
      <c r="D953" s="232"/>
      <c r="E953" s="232"/>
      <c r="F953" s="232"/>
      <c r="G953" s="232"/>
      <c r="H953" s="232"/>
      <c r="I953" s="221"/>
      <c r="J953" s="221"/>
      <c r="K953" s="221"/>
      <c r="L953" s="221"/>
      <c r="M953" s="221"/>
      <c r="N953" s="221"/>
      <c r="O953" s="221"/>
      <c r="P953" s="221"/>
      <c r="Q953" s="221"/>
      <c r="R953" s="221"/>
      <c r="S953" s="221"/>
      <c r="T953" s="221"/>
      <c r="U953" s="221"/>
      <c r="V953" s="221"/>
      <c r="W953" s="221"/>
      <c r="X953" s="221"/>
      <c r="Y953" s="221"/>
      <c r="Z953" s="221"/>
      <c r="AA953" s="221"/>
      <c r="AB953" s="221"/>
    </row>
    <row r="954">
      <c r="A954" s="296"/>
      <c r="B954" s="296"/>
      <c r="C954" s="232"/>
      <c r="D954" s="232"/>
      <c r="E954" s="232"/>
      <c r="F954" s="232"/>
      <c r="G954" s="232"/>
      <c r="H954" s="232"/>
      <c r="I954" s="221"/>
      <c r="J954" s="221"/>
      <c r="K954" s="221"/>
      <c r="L954" s="221"/>
      <c r="M954" s="221"/>
      <c r="N954" s="221"/>
      <c r="O954" s="221"/>
      <c r="P954" s="221"/>
      <c r="Q954" s="221"/>
      <c r="R954" s="221"/>
      <c r="S954" s="221"/>
      <c r="T954" s="221"/>
      <c r="U954" s="221"/>
      <c r="V954" s="221"/>
      <c r="W954" s="221"/>
      <c r="X954" s="221"/>
      <c r="Y954" s="221"/>
      <c r="Z954" s="221"/>
      <c r="AA954" s="221"/>
      <c r="AB954" s="221"/>
    </row>
    <row r="955">
      <c r="A955" s="296"/>
      <c r="B955" s="296"/>
      <c r="C955" s="232"/>
      <c r="D955" s="232"/>
      <c r="E955" s="232"/>
      <c r="F955" s="232"/>
      <c r="G955" s="232"/>
      <c r="H955" s="232"/>
      <c r="I955" s="221"/>
      <c r="J955" s="221"/>
      <c r="K955" s="221"/>
      <c r="L955" s="221"/>
      <c r="M955" s="221"/>
      <c r="N955" s="221"/>
      <c r="O955" s="221"/>
      <c r="P955" s="221"/>
      <c r="Q955" s="221"/>
      <c r="R955" s="221"/>
      <c r="S955" s="221"/>
      <c r="T955" s="221"/>
      <c r="U955" s="221"/>
      <c r="V955" s="221"/>
      <c r="W955" s="221"/>
      <c r="X955" s="221"/>
      <c r="Y955" s="221"/>
      <c r="Z955" s="221"/>
      <c r="AA955" s="221"/>
      <c r="AB955" s="221"/>
    </row>
    <row r="956">
      <c r="A956" s="296"/>
      <c r="B956" s="296"/>
      <c r="C956" s="232"/>
      <c r="D956" s="232"/>
      <c r="E956" s="232"/>
      <c r="F956" s="232"/>
      <c r="G956" s="232"/>
      <c r="H956" s="232"/>
      <c r="I956" s="221"/>
      <c r="J956" s="221"/>
      <c r="K956" s="221"/>
      <c r="L956" s="221"/>
      <c r="M956" s="221"/>
      <c r="N956" s="221"/>
      <c r="O956" s="221"/>
      <c r="P956" s="221"/>
      <c r="Q956" s="221"/>
      <c r="R956" s="221"/>
      <c r="S956" s="221"/>
      <c r="T956" s="221"/>
      <c r="U956" s="221"/>
      <c r="V956" s="221"/>
      <c r="W956" s="221"/>
      <c r="X956" s="221"/>
      <c r="Y956" s="221"/>
      <c r="Z956" s="221"/>
      <c r="AA956" s="221"/>
      <c r="AB956" s="221"/>
    </row>
    <row r="957">
      <c r="A957" s="296"/>
      <c r="B957" s="296"/>
      <c r="C957" s="232"/>
      <c r="D957" s="232"/>
      <c r="E957" s="232"/>
      <c r="F957" s="232"/>
      <c r="G957" s="232"/>
      <c r="H957" s="232"/>
      <c r="I957" s="221"/>
      <c r="J957" s="221"/>
      <c r="K957" s="221"/>
      <c r="L957" s="221"/>
      <c r="M957" s="221"/>
      <c r="N957" s="221"/>
      <c r="O957" s="221"/>
      <c r="P957" s="221"/>
      <c r="Q957" s="221"/>
      <c r="R957" s="221"/>
      <c r="S957" s="221"/>
      <c r="T957" s="221"/>
      <c r="U957" s="221"/>
      <c r="V957" s="221"/>
      <c r="W957" s="221"/>
      <c r="X957" s="221"/>
      <c r="Y957" s="221"/>
      <c r="Z957" s="221"/>
      <c r="AA957" s="221"/>
      <c r="AB957" s="221"/>
    </row>
    <row r="958">
      <c r="A958" s="296"/>
      <c r="B958" s="296"/>
      <c r="C958" s="232"/>
      <c r="D958" s="232"/>
      <c r="E958" s="232"/>
      <c r="F958" s="232"/>
      <c r="G958" s="232"/>
      <c r="H958" s="232"/>
      <c r="I958" s="221"/>
      <c r="J958" s="221"/>
      <c r="K958" s="221"/>
      <c r="L958" s="221"/>
      <c r="M958" s="221"/>
      <c r="N958" s="221"/>
      <c r="O958" s="221"/>
      <c r="P958" s="221"/>
      <c r="Q958" s="221"/>
      <c r="R958" s="221"/>
      <c r="S958" s="221"/>
      <c r="T958" s="221"/>
      <c r="U958" s="221"/>
      <c r="V958" s="221"/>
      <c r="W958" s="221"/>
      <c r="X958" s="221"/>
      <c r="Y958" s="221"/>
      <c r="Z958" s="221"/>
      <c r="AA958" s="221"/>
      <c r="AB958" s="221"/>
    </row>
    <row r="959">
      <c r="A959" s="296"/>
      <c r="B959" s="296"/>
      <c r="C959" s="232"/>
      <c r="D959" s="232"/>
      <c r="E959" s="232"/>
      <c r="F959" s="232"/>
      <c r="G959" s="232"/>
      <c r="H959" s="232"/>
      <c r="I959" s="221"/>
      <c r="J959" s="221"/>
      <c r="K959" s="221"/>
      <c r="L959" s="221"/>
      <c r="M959" s="221"/>
      <c r="N959" s="221"/>
      <c r="O959" s="221"/>
      <c r="P959" s="221"/>
      <c r="Q959" s="221"/>
      <c r="R959" s="221"/>
      <c r="S959" s="221"/>
      <c r="T959" s="221"/>
      <c r="U959" s="221"/>
      <c r="V959" s="221"/>
      <c r="W959" s="221"/>
      <c r="X959" s="221"/>
      <c r="Y959" s="221"/>
      <c r="Z959" s="221"/>
      <c r="AA959" s="221"/>
      <c r="AB959" s="221"/>
    </row>
    <row r="960">
      <c r="A960" s="296"/>
      <c r="B960" s="296"/>
      <c r="C960" s="232"/>
      <c r="D960" s="232"/>
      <c r="E960" s="232"/>
      <c r="F960" s="232"/>
      <c r="G960" s="232"/>
      <c r="H960" s="232"/>
      <c r="I960" s="221"/>
      <c r="J960" s="221"/>
      <c r="K960" s="221"/>
      <c r="L960" s="221"/>
      <c r="M960" s="221"/>
      <c r="N960" s="221"/>
      <c r="O960" s="221"/>
      <c r="P960" s="221"/>
      <c r="Q960" s="221"/>
      <c r="R960" s="221"/>
      <c r="S960" s="221"/>
      <c r="T960" s="221"/>
      <c r="U960" s="221"/>
      <c r="V960" s="221"/>
      <c r="W960" s="221"/>
      <c r="X960" s="221"/>
      <c r="Y960" s="221"/>
      <c r="Z960" s="221"/>
      <c r="AA960" s="221"/>
      <c r="AB960" s="221"/>
    </row>
    <row r="961">
      <c r="A961" s="296"/>
      <c r="B961" s="296"/>
      <c r="C961" s="232"/>
      <c r="D961" s="232"/>
      <c r="E961" s="232"/>
      <c r="F961" s="232"/>
      <c r="G961" s="232"/>
      <c r="H961" s="232"/>
      <c r="I961" s="221"/>
      <c r="J961" s="221"/>
      <c r="K961" s="221"/>
      <c r="L961" s="221"/>
      <c r="M961" s="221"/>
      <c r="N961" s="221"/>
      <c r="O961" s="221"/>
      <c r="P961" s="221"/>
      <c r="Q961" s="221"/>
      <c r="R961" s="221"/>
      <c r="S961" s="221"/>
      <c r="T961" s="221"/>
      <c r="U961" s="221"/>
      <c r="V961" s="221"/>
      <c r="W961" s="221"/>
      <c r="X961" s="221"/>
      <c r="Y961" s="221"/>
      <c r="Z961" s="221"/>
      <c r="AA961" s="221"/>
      <c r="AB961" s="221"/>
    </row>
    <row r="962">
      <c r="A962" s="296"/>
      <c r="B962" s="296"/>
      <c r="C962" s="232"/>
      <c r="D962" s="232"/>
      <c r="E962" s="232"/>
      <c r="F962" s="232"/>
      <c r="G962" s="232"/>
      <c r="H962" s="232"/>
      <c r="I962" s="221"/>
      <c r="J962" s="221"/>
      <c r="K962" s="221"/>
      <c r="L962" s="221"/>
      <c r="M962" s="221"/>
      <c r="N962" s="221"/>
      <c r="O962" s="221"/>
      <c r="P962" s="221"/>
      <c r="Q962" s="221"/>
      <c r="R962" s="221"/>
      <c r="S962" s="221"/>
      <c r="T962" s="221"/>
      <c r="U962" s="221"/>
      <c r="V962" s="221"/>
      <c r="W962" s="221"/>
      <c r="X962" s="221"/>
      <c r="Y962" s="221"/>
      <c r="Z962" s="221"/>
      <c r="AA962" s="221"/>
      <c r="AB962" s="221"/>
    </row>
    <row r="963">
      <c r="A963" s="296"/>
      <c r="B963" s="296"/>
      <c r="C963" s="232"/>
      <c r="D963" s="232"/>
      <c r="E963" s="232"/>
      <c r="F963" s="232"/>
      <c r="G963" s="232"/>
      <c r="H963" s="232"/>
      <c r="I963" s="221"/>
      <c r="J963" s="221"/>
      <c r="K963" s="221"/>
      <c r="L963" s="221"/>
      <c r="M963" s="221"/>
      <c r="N963" s="221"/>
      <c r="O963" s="221"/>
      <c r="P963" s="221"/>
      <c r="Q963" s="221"/>
      <c r="R963" s="221"/>
      <c r="S963" s="221"/>
      <c r="T963" s="221"/>
      <c r="U963" s="221"/>
      <c r="V963" s="221"/>
      <c r="W963" s="221"/>
      <c r="X963" s="221"/>
      <c r="Y963" s="221"/>
      <c r="Z963" s="221"/>
      <c r="AA963" s="221"/>
      <c r="AB963" s="221"/>
    </row>
    <row r="964">
      <c r="A964" s="296"/>
      <c r="B964" s="296"/>
      <c r="C964" s="232"/>
      <c r="D964" s="232"/>
      <c r="E964" s="232"/>
      <c r="F964" s="232"/>
      <c r="G964" s="232"/>
      <c r="H964" s="232"/>
      <c r="I964" s="221"/>
      <c r="J964" s="221"/>
      <c r="K964" s="221"/>
      <c r="L964" s="221"/>
      <c r="M964" s="221"/>
      <c r="N964" s="221"/>
      <c r="O964" s="221"/>
      <c r="P964" s="221"/>
      <c r="Q964" s="221"/>
      <c r="R964" s="221"/>
      <c r="S964" s="221"/>
      <c r="T964" s="221"/>
      <c r="U964" s="221"/>
      <c r="V964" s="221"/>
      <c r="W964" s="221"/>
      <c r="X964" s="221"/>
      <c r="Y964" s="221"/>
      <c r="Z964" s="221"/>
      <c r="AA964" s="221"/>
      <c r="AB964" s="221"/>
    </row>
    <row r="965">
      <c r="A965" s="296"/>
      <c r="B965" s="296"/>
      <c r="C965" s="232"/>
      <c r="D965" s="232"/>
      <c r="E965" s="232"/>
      <c r="F965" s="232"/>
      <c r="G965" s="232"/>
      <c r="H965" s="232"/>
      <c r="I965" s="221"/>
      <c r="J965" s="221"/>
      <c r="K965" s="221"/>
      <c r="L965" s="221"/>
      <c r="M965" s="221"/>
      <c r="N965" s="221"/>
      <c r="O965" s="221"/>
      <c r="P965" s="221"/>
      <c r="Q965" s="221"/>
      <c r="R965" s="221"/>
      <c r="S965" s="221"/>
      <c r="T965" s="221"/>
      <c r="U965" s="221"/>
      <c r="V965" s="221"/>
      <c r="W965" s="221"/>
      <c r="X965" s="221"/>
      <c r="Y965" s="221"/>
      <c r="Z965" s="221"/>
      <c r="AA965" s="221"/>
      <c r="AB965" s="221"/>
    </row>
    <row r="966">
      <c r="A966" s="296"/>
      <c r="B966" s="296"/>
      <c r="C966" s="232"/>
      <c r="D966" s="232"/>
      <c r="E966" s="232"/>
      <c r="F966" s="232"/>
      <c r="G966" s="232"/>
      <c r="H966" s="232"/>
      <c r="I966" s="221"/>
      <c r="J966" s="221"/>
      <c r="K966" s="221"/>
      <c r="L966" s="221"/>
      <c r="M966" s="221"/>
      <c r="N966" s="221"/>
      <c r="O966" s="221"/>
      <c r="P966" s="221"/>
      <c r="Q966" s="221"/>
      <c r="R966" s="221"/>
      <c r="S966" s="221"/>
      <c r="T966" s="221"/>
      <c r="U966" s="221"/>
      <c r="V966" s="221"/>
      <c r="W966" s="221"/>
      <c r="X966" s="221"/>
      <c r="Y966" s="221"/>
      <c r="Z966" s="221"/>
      <c r="AA966" s="221"/>
      <c r="AB966" s="221"/>
    </row>
    <row r="967">
      <c r="A967" s="296"/>
      <c r="B967" s="296"/>
      <c r="C967" s="232"/>
      <c r="D967" s="232"/>
      <c r="E967" s="232"/>
      <c r="F967" s="232"/>
      <c r="G967" s="232"/>
      <c r="H967" s="232"/>
      <c r="I967" s="221"/>
      <c r="J967" s="221"/>
      <c r="K967" s="221"/>
      <c r="L967" s="221"/>
      <c r="M967" s="221"/>
      <c r="N967" s="221"/>
      <c r="O967" s="221"/>
      <c r="P967" s="221"/>
      <c r="Q967" s="221"/>
      <c r="R967" s="221"/>
      <c r="S967" s="221"/>
      <c r="T967" s="221"/>
      <c r="U967" s="221"/>
      <c r="V967" s="221"/>
      <c r="W967" s="221"/>
      <c r="X967" s="221"/>
      <c r="Y967" s="221"/>
      <c r="Z967" s="221"/>
      <c r="AA967" s="221"/>
      <c r="AB967" s="221"/>
    </row>
    <row r="968">
      <c r="A968" s="296"/>
      <c r="B968" s="296"/>
      <c r="C968" s="232"/>
      <c r="D968" s="232"/>
      <c r="E968" s="232"/>
      <c r="F968" s="232"/>
      <c r="G968" s="232"/>
      <c r="H968" s="232"/>
      <c r="I968" s="221"/>
      <c r="J968" s="221"/>
      <c r="K968" s="221"/>
      <c r="L968" s="221"/>
      <c r="M968" s="221"/>
      <c r="N968" s="221"/>
      <c r="O968" s="221"/>
      <c r="P968" s="221"/>
      <c r="Q968" s="221"/>
      <c r="R968" s="221"/>
      <c r="S968" s="221"/>
      <c r="T968" s="221"/>
      <c r="U968" s="221"/>
      <c r="V968" s="221"/>
      <c r="W968" s="221"/>
      <c r="X968" s="221"/>
      <c r="Y968" s="221"/>
      <c r="Z968" s="221"/>
      <c r="AA968" s="221"/>
      <c r="AB968" s="221"/>
    </row>
    <row r="969">
      <c r="A969" s="296"/>
      <c r="B969" s="296"/>
      <c r="C969" s="232"/>
      <c r="D969" s="232"/>
      <c r="E969" s="232"/>
      <c r="F969" s="232"/>
      <c r="G969" s="232"/>
      <c r="H969" s="232"/>
      <c r="I969" s="221"/>
      <c r="J969" s="221"/>
      <c r="K969" s="221"/>
      <c r="L969" s="221"/>
      <c r="M969" s="221"/>
      <c r="N969" s="221"/>
      <c r="O969" s="221"/>
      <c r="P969" s="221"/>
      <c r="Q969" s="221"/>
      <c r="R969" s="221"/>
      <c r="S969" s="221"/>
      <c r="T969" s="221"/>
      <c r="U969" s="221"/>
      <c r="V969" s="221"/>
      <c r="W969" s="221"/>
      <c r="X969" s="221"/>
      <c r="Y969" s="221"/>
      <c r="Z969" s="221"/>
      <c r="AA969" s="221"/>
      <c r="AB969" s="221"/>
    </row>
    <row r="970">
      <c r="A970" s="296"/>
      <c r="B970" s="296"/>
      <c r="C970" s="232"/>
      <c r="D970" s="232"/>
      <c r="E970" s="232"/>
      <c r="F970" s="232"/>
      <c r="G970" s="232"/>
      <c r="H970" s="232"/>
      <c r="I970" s="221"/>
      <c r="J970" s="221"/>
      <c r="K970" s="221"/>
      <c r="L970" s="221"/>
      <c r="M970" s="221"/>
      <c r="N970" s="221"/>
      <c r="O970" s="221"/>
      <c r="P970" s="221"/>
      <c r="Q970" s="221"/>
      <c r="R970" s="221"/>
      <c r="S970" s="221"/>
      <c r="T970" s="221"/>
      <c r="U970" s="221"/>
      <c r="V970" s="221"/>
      <c r="W970" s="221"/>
      <c r="X970" s="221"/>
      <c r="Y970" s="221"/>
      <c r="Z970" s="221"/>
      <c r="AA970" s="221"/>
      <c r="AB970" s="221"/>
    </row>
    <row r="971">
      <c r="A971" s="296"/>
      <c r="B971" s="296"/>
      <c r="C971" s="232"/>
      <c r="D971" s="232"/>
      <c r="E971" s="232"/>
      <c r="F971" s="232"/>
      <c r="G971" s="232"/>
      <c r="H971" s="232"/>
      <c r="I971" s="221"/>
      <c r="J971" s="221"/>
      <c r="K971" s="221"/>
      <c r="L971" s="221"/>
      <c r="M971" s="221"/>
      <c r="N971" s="221"/>
      <c r="O971" s="221"/>
      <c r="P971" s="221"/>
      <c r="Q971" s="221"/>
      <c r="R971" s="221"/>
      <c r="S971" s="221"/>
      <c r="T971" s="221"/>
      <c r="U971" s="221"/>
      <c r="V971" s="221"/>
      <c r="W971" s="221"/>
      <c r="X971" s="221"/>
      <c r="Y971" s="221"/>
      <c r="Z971" s="221"/>
      <c r="AA971" s="221"/>
      <c r="AB971" s="221"/>
    </row>
    <row r="972">
      <c r="A972" s="296"/>
      <c r="B972" s="296"/>
      <c r="C972" s="232"/>
      <c r="D972" s="232"/>
      <c r="E972" s="232"/>
      <c r="F972" s="232"/>
      <c r="G972" s="232"/>
      <c r="H972" s="232"/>
      <c r="I972" s="221"/>
      <c r="J972" s="221"/>
      <c r="K972" s="221"/>
      <c r="L972" s="221"/>
      <c r="M972" s="221"/>
      <c r="N972" s="221"/>
      <c r="O972" s="221"/>
      <c r="P972" s="221"/>
      <c r="Q972" s="221"/>
      <c r="R972" s="221"/>
      <c r="S972" s="221"/>
      <c r="T972" s="221"/>
      <c r="U972" s="221"/>
      <c r="V972" s="221"/>
      <c r="W972" s="221"/>
      <c r="X972" s="221"/>
      <c r="Y972" s="221"/>
      <c r="Z972" s="221"/>
      <c r="AA972" s="221"/>
      <c r="AB972" s="221"/>
    </row>
    <row r="973">
      <c r="A973" s="296"/>
      <c r="B973" s="296"/>
      <c r="C973" s="232"/>
      <c r="D973" s="232"/>
      <c r="E973" s="232"/>
      <c r="F973" s="232"/>
      <c r="G973" s="232"/>
      <c r="H973" s="232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</row>
    <row r="974">
      <c r="A974" s="296"/>
      <c r="B974" s="296"/>
      <c r="C974" s="232"/>
      <c r="D974" s="232"/>
      <c r="E974" s="232"/>
      <c r="F974" s="232"/>
      <c r="G974" s="232"/>
      <c r="H974" s="232"/>
      <c r="I974" s="221"/>
      <c r="J974" s="221"/>
      <c r="K974" s="221"/>
      <c r="L974" s="221"/>
      <c r="M974" s="221"/>
      <c r="N974" s="221"/>
      <c r="O974" s="221"/>
      <c r="P974" s="221"/>
      <c r="Q974" s="221"/>
      <c r="R974" s="221"/>
      <c r="S974" s="221"/>
      <c r="T974" s="221"/>
      <c r="U974" s="221"/>
      <c r="V974" s="221"/>
      <c r="W974" s="221"/>
      <c r="X974" s="221"/>
      <c r="Y974" s="221"/>
      <c r="Z974" s="221"/>
      <c r="AA974" s="221"/>
      <c r="AB974" s="221"/>
    </row>
    <row r="975">
      <c r="A975" s="296"/>
      <c r="B975" s="296"/>
      <c r="C975" s="232"/>
      <c r="D975" s="232"/>
      <c r="E975" s="232"/>
      <c r="F975" s="232"/>
      <c r="G975" s="232"/>
      <c r="H975" s="232"/>
      <c r="I975" s="221"/>
      <c r="J975" s="221"/>
      <c r="K975" s="221"/>
      <c r="L975" s="221"/>
      <c r="M975" s="221"/>
      <c r="N975" s="221"/>
      <c r="O975" s="221"/>
      <c r="P975" s="221"/>
      <c r="Q975" s="221"/>
      <c r="R975" s="221"/>
      <c r="S975" s="221"/>
      <c r="T975" s="221"/>
      <c r="U975" s="221"/>
      <c r="V975" s="221"/>
      <c r="W975" s="221"/>
      <c r="X975" s="221"/>
      <c r="Y975" s="221"/>
      <c r="Z975" s="221"/>
      <c r="AA975" s="221"/>
      <c r="AB975" s="221"/>
    </row>
    <row r="976">
      <c r="A976" s="296"/>
      <c r="B976" s="296"/>
      <c r="C976" s="232"/>
      <c r="D976" s="232"/>
      <c r="E976" s="232"/>
      <c r="F976" s="232"/>
      <c r="G976" s="232"/>
      <c r="H976" s="232"/>
      <c r="I976" s="221"/>
      <c r="J976" s="221"/>
      <c r="K976" s="221"/>
      <c r="L976" s="221"/>
      <c r="M976" s="221"/>
      <c r="N976" s="221"/>
      <c r="O976" s="221"/>
      <c r="P976" s="221"/>
      <c r="Q976" s="221"/>
      <c r="R976" s="221"/>
      <c r="S976" s="221"/>
      <c r="T976" s="221"/>
      <c r="U976" s="221"/>
      <c r="V976" s="221"/>
      <c r="W976" s="221"/>
      <c r="X976" s="221"/>
      <c r="Y976" s="221"/>
      <c r="Z976" s="221"/>
      <c r="AA976" s="221"/>
      <c r="AB976" s="221"/>
    </row>
    <row r="977">
      <c r="A977" s="296"/>
      <c r="B977" s="296"/>
      <c r="C977" s="232"/>
      <c r="D977" s="232"/>
      <c r="E977" s="232"/>
      <c r="F977" s="232"/>
      <c r="G977" s="232"/>
      <c r="H977" s="232"/>
      <c r="I977" s="221"/>
      <c r="J977" s="221"/>
      <c r="K977" s="221"/>
      <c r="L977" s="221"/>
      <c r="M977" s="221"/>
      <c r="N977" s="221"/>
      <c r="O977" s="221"/>
      <c r="P977" s="221"/>
      <c r="Q977" s="221"/>
      <c r="R977" s="221"/>
      <c r="S977" s="221"/>
      <c r="T977" s="221"/>
      <c r="U977" s="221"/>
      <c r="V977" s="221"/>
      <c r="W977" s="221"/>
      <c r="X977" s="221"/>
      <c r="Y977" s="221"/>
      <c r="Z977" s="221"/>
      <c r="AA977" s="221"/>
      <c r="AB977" s="221"/>
    </row>
    <row r="978">
      <c r="A978" s="296"/>
      <c r="B978" s="296"/>
      <c r="C978" s="232"/>
      <c r="D978" s="232"/>
      <c r="E978" s="232"/>
      <c r="F978" s="232"/>
      <c r="G978" s="232"/>
      <c r="H978" s="232"/>
      <c r="I978" s="221"/>
      <c r="J978" s="221"/>
      <c r="K978" s="221"/>
      <c r="L978" s="221"/>
      <c r="M978" s="221"/>
      <c r="N978" s="221"/>
      <c r="O978" s="221"/>
      <c r="P978" s="221"/>
      <c r="Q978" s="221"/>
      <c r="R978" s="221"/>
      <c r="S978" s="221"/>
      <c r="T978" s="221"/>
      <c r="U978" s="221"/>
      <c r="V978" s="221"/>
      <c r="W978" s="221"/>
      <c r="X978" s="221"/>
      <c r="Y978" s="221"/>
      <c r="Z978" s="221"/>
      <c r="AA978" s="221"/>
      <c r="AB978" s="221"/>
    </row>
    <row r="979">
      <c r="A979" s="296"/>
      <c r="B979" s="296"/>
      <c r="C979" s="232"/>
      <c r="D979" s="232"/>
      <c r="E979" s="232"/>
      <c r="F979" s="232"/>
      <c r="G979" s="232"/>
      <c r="H979" s="232"/>
      <c r="I979" s="221"/>
      <c r="J979" s="221"/>
      <c r="K979" s="221"/>
      <c r="L979" s="221"/>
      <c r="M979" s="221"/>
      <c r="N979" s="221"/>
      <c r="O979" s="221"/>
      <c r="P979" s="221"/>
      <c r="Q979" s="221"/>
      <c r="R979" s="221"/>
      <c r="S979" s="221"/>
      <c r="T979" s="221"/>
      <c r="U979" s="221"/>
      <c r="V979" s="221"/>
      <c r="W979" s="221"/>
      <c r="X979" s="221"/>
      <c r="Y979" s="221"/>
      <c r="Z979" s="221"/>
      <c r="AA979" s="221"/>
      <c r="AB979" s="221"/>
    </row>
    <row r="980">
      <c r="A980" s="296"/>
      <c r="B980" s="296"/>
      <c r="C980" s="232"/>
      <c r="D980" s="232"/>
      <c r="E980" s="232"/>
      <c r="F980" s="232"/>
      <c r="G980" s="232"/>
      <c r="H980" s="232"/>
      <c r="I980" s="221"/>
      <c r="J980" s="221"/>
      <c r="K980" s="221"/>
      <c r="L980" s="221"/>
      <c r="M980" s="221"/>
      <c r="N980" s="221"/>
      <c r="O980" s="221"/>
      <c r="P980" s="221"/>
      <c r="Q980" s="221"/>
      <c r="R980" s="221"/>
      <c r="S980" s="221"/>
      <c r="T980" s="221"/>
      <c r="U980" s="221"/>
      <c r="V980" s="221"/>
      <c r="W980" s="221"/>
      <c r="X980" s="221"/>
      <c r="Y980" s="221"/>
      <c r="Z980" s="221"/>
      <c r="AA980" s="221"/>
      <c r="AB980" s="221"/>
    </row>
    <row r="981">
      <c r="A981" s="296"/>
      <c r="B981" s="296"/>
      <c r="C981" s="232"/>
      <c r="D981" s="232"/>
      <c r="E981" s="232"/>
      <c r="F981" s="232"/>
      <c r="G981" s="232"/>
      <c r="H981" s="232"/>
      <c r="I981" s="221"/>
      <c r="J981" s="221"/>
      <c r="K981" s="221"/>
      <c r="L981" s="221"/>
      <c r="M981" s="221"/>
      <c r="N981" s="221"/>
      <c r="O981" s="221"/>
      <c r="P981" s="221"/>
      <c r="Q981" s="221"/>
      <c r="R981" s="221"/>
      <c r="S981" s="221"/>
      <c r="T981" s="221"/>
      <c r="U981" s="221"/>
      <c r="V981" s="221"/>
      <c r="W981" s="221"/>
      <c r="X981" s="221"/>
      <c r="Y981" s="221"/>
      <c r="Z981" s="221"/>
      <c r="AA981" s="221"/>
      <c r="AB981" s="297"/>
    </row>
    <row r="982">
      <c r="A982" s="296"/>
      <c r="B982" s="296"/>
      <c r="C982" s="232"/>
      <c r="D982" s="232"/>
      <c r="E982" s="232"/>
      <c r="F982" s="232"/>
      <c r="G982" s="232"/>
      <c r="H982" s="232"/>
      <c r="I982" s="221"/>
      <c r="J982" s="221"/>
      <c r="K982" s="221"/>
      <c r="L982" s="221"/>
      <c r="M982" s="221"/>
      <c r="N982" s="221"/>
      <c r="O982" s="221"/>
      <c r="P982" s="221"/>
      <c r="Q982" s="221"/>
      <c r="R982" s="221"/>
      <c r="S982" s="221"/>
      <c r="T982" s="221"/>
      <c r="U982" s="221"/>
      <c r="V982" s="221"/>
      <c r="W982" s="221"/>
      <c r="X982" s="221"/>
      <c r="Y982" s="221"/>
      <c r="Z982" s="221"/>
      <c r="AA982" s="221"/>
      <c r="AB982" s="297"/>
    </row>
  </sheetData>
  <mergeCells count="21">
    <mergeCell ref="A1:C3"/>
    <mergeCell ref="A5:C5"/>
    <mergeCell ref="A6:A7"/>
    <mergeCell ref="B6:B7"/>
    <mergeCell ref="A16:B16"/>
    <mergeCell ref="A17:B17"/>
    <mergeCell ref="A19:C19"/>
    <mergeCell ref="A44:B44"/>
    <mergeCell ref="A45:B45"/>
    <mergeCell ref="A47:C47"/>
    <mergeCell ref="A48:A49"/>
    <mergeCell ref="B48:B49"/>
    <mergeCell ref="A58:B58"/>
    <mergeCell ref="A59:B59"/>
    <mergeCell ref="A20:A21"/>
    <mergeCell ref="B20:B21"/>
    <mergeCell ref="A30:B30"/>
    <mergeCell ref="A31:B31"/>
    <mergeCell ref="A33:C33"/>
    <mergeCell ref="A34:A35"/>
    <mergeCell ref="B34:B35"/>
  </mergeCells>
  <dataValidations>
    <dataValidation type="list" allowBlank="1" showErrorMessage="1" sqref="B9">
      <formula1>"Фъстъчено масло Балчо (нискомаслено),Фъстъчено масло (натурално),Сусамов тахан (всички видове),Лешников тахан (всички видове),Фъстъчено масло Малвина,Бадемово масло,Бадемов крем Sisinni Pro 20,Орехов тахан био- Белун,Бадемов тахан (всички видове),Фъстъчен"&amp;"о масло с повече протеин,Тахан от фъстъци Better,Фъстъчено масло на прах PB2,Натурално протеиново бадемово масло MyProtein,Сусамов Тахан (течен)"</formula1>
    </dataValidation>
    <dataValidation type="list" allowBlank="1" showErrorMessage="1" sqref="B8">
      <formula1>"SKYR PILOS BLUEBERRY,Крем за мазане Pilos (Light),Скир - плодов 0% (Лидъл),High Protein Pudding (milbona/милбона),Milbona Skyr natur,Mild Skyr Exquisa,Alpro мляко с протеин,Високо протеиново кисело мляко (Mercadona),High Protein Milk Product Различни плод"&amp;"ови варианти,Извара Олимпус,Извара Жоси,Извара Маджаров,Скир - натурален,Котидж сирене-Лидъл (пълномаслено),Котидж сирене-Лидъл (обезмаслено),Бяло сирене (стандартно/пълномаслено),Сирене Рикота (стандартно/пълномаслено),Кашкавал (стандартен/пълномаслен),Г"&amp;"ауда (стандартна/пълномаслена),Кисело мляко 0%,Кисело мляко 2%,Кисело мляко 3,6%,Kисело мляко Верея 5%,Прясно мляко 2%,Прясно мляко 3,6%,Филаделфия ""Милка"",Пилос страчатела,Милбона йогурт,Сладкарска сметана,Сметанов спрей,Плодов Skyr Пилос ЛИДЛ,Извара Д"&amp;"омлян,Йогурт 10% Пилос,Рикота,Филаделфия,Филаделфия Лайт,Exquisa 0.2%,Прясно мляко 3.2%,Мляко Верея 3.7%,Прясно мляко - Олимпус 1.7%,Прясно мляко Верея 1.7%,Вердаре Кисело Мляко - 4.5%,Кисело мляко Боженци 2%,Кисело мляко Боженци 4%,Прясно мляко 0.1%,Пряс"&amp;"но мляко 1.5%,Кисело мляко ""Сребърна"" 3.6%,Кисело мляко 0.1%,Кисело мляко 3.6%,Прясно Мляко 1%,Прясно мляко 3%,Извара Олимпус,Йогурт 10%,Йогурт 2%,Кремообразна извара - LIDL,Пармезан,Извара Пилос 0.5%,Цедено мляко 2%,Заквасена Сметана 20% мазнини,Козе С"&amp;"ирене,Цедено краве мляко, Olympus,Извара 4.2%,Сметана 12%,Крема сирене - Голдеса (Light),Милбона соево мляко,Пилос крема сирене,Голдеса лайт,Извара Брей,Кашкавалена извара,Маскарпоне,Извара Кондов,Нискомаслен кашкавал Маджаров,Извара ДМ,Гауда,Нискомаслен "&amp;"кашкавал Домлян,Бри сирене,Ементал,Извара Жоси,Извара Маджаров,Извара Мероне,Извара Мероне Безмаслена,Маджаров Бяло Сирене,Сирене Маджаров,Пилос кашкавал,Моцарела лайт,Пилос синьо сирене,Скирела,Халуми,Чедър,Едам,Саламурено сирене,Ементал, Arla,Бурата,Каш"&amp;"кавал ,Леердамер сирене,Limburger 9% (сирене),Моцарела,Бяло сирене,Краве сирене Верея,Скир-плодов Лидл,Извара Пилос(обезмаслена)-Лидл,Скир Ванилия - Kaufland,Крема сирене Goldessa (LIDL),Биволско сирене (Маджаров),Кашкавал - Вършец (Обезмаслен),Краве Сире"&amp;"не - Вършец (Обезмаслено),Моцарела от Скир (Skyrella),Протеинова напитка Данон,Извара”Пилос”-4,3%,Извара - пълномаслена,Рикота Lidl,Сирене, фета (Лидл),Kисело мляко Верея 2.9%,Кашкавалена извара Вършец,Извара (обезмаслена) - домашна,Извара Добрев,Крема си"&amp;"рене-Лидъл (light),Краве саламурено сирене (low fat),Кашкавал (low fat),Ниско калоричен Йогурт (манго),Краве сирене Елена (в кутия),Крема сирене-Филаделгия (3% фат),Краве сирене - Родна стряха (домашно в саламура),Данон ЙоПро - банан и ф.масло,Филаделфия "&amp;"(3% фат),Скир - MILDER SKYR EXQUISA,Рикота Formagia,Feta Chesee,Котидж сирене - (плодово-обезмаслено),Извара (обезмаслена-Тwarog),Кисело мляко 0% (високо протеиново),Сметана Pilos 36%,Скир - плодов ”Данон”,Йогурт - High Protein,Плодов скир - Алди,Скир - н"&amp;"атурален (Алди),Котидж сирене- (Лидъл-обезмаслено),Скир плодов череша - MILDER SKYR EXSQUISA,Меко сирене 0% (Quark),Кварк - плодов “Milbona”,Прясно краве сирене Пилос,Крема сирене Пилос (високо протеиново),Милбона крем извара с Ванилия,Маскарпоне K-Classi"&amp;"c,Кварк ванилия Milbona 0,2% Fat,Мини моцарела Lovilio LIDL,Скир - плодов Kaufland,High Protein (извара с йогурт) - Плодов,Крема сирене Goldessa Classic,Cottage cheese ASDA Longley farm,High Protein Quark Праскова и Маракуя,Pilos-Cream spread,Краве сирене"&amp;" ""Vedrare"",СКИР ЗА ПИЕНЕ -МИЛБОНА праскова,YoPro Proteina Bannana Peanut Butter,Моцарела настъргана ASDA,Pilos greek yogurt strawberry,пилос-paprika u pavlici -spicy,Pilos - Yogurt - Strawberry / Николина,Danone YoPro боровинка,Polski Jogurt Mlekovita я"&amp;"года,Alpro Barista Almond,Настърган кашкавал Витоша,Milbona кварк ягода,Кварк - натурален,Извара Кондов (козе мляко),Извара Китан,Скир плодов Лидл Pilos,Извара Родна стряха,Катък,HIGH Protein Vanilla Milbona Лидл,Катък ""Маджаров"",Полумаслено сирене Мадж"&amp;"аров,Извара Сърница (суроватъчна),МОЦАРЕЛА ЛАЙТ Лидл,YoPro Proteina milkshake chocolate,Danone плодов скир,Кокосово мляко ALPRO*,Alpro Vanilla пудинг,Котидж ""Landfrisch"",Pilos мляко с ориз канела,Pilos мляко с ориз шоколад,Pilos Yogurt плодов всички вку"&amp;"сове,Кефир - Лидъл (Натурален),Котидж сирене Филаделфия,Кварк праскова Milbona 0,2% Fat,Скир Danone натурален,Low-fat quark 0.2 Milbona,Извара Био Козе Хармоника,Скир Exquisa Натурален,Млечна салата ""Денито"",Сметана за готвене без лактоза (Meggle),Milbo"&amp;"na High Protein Quark (Малина),Извара Ведраре,Извара Био Хармоника Овче,Топено сирене чийзбургер,Danone YoPRO,Кашкавал краве Ралица,Топено сирене с чедър,Топено сирене със сметана Hochland,Кашкавал Ферия краве,Пудинг “Exquisa”,Кварк Milbona (натурален),Кр"&amp;"аве Сирене Pilos,Скир - MILDER SKYR EXQUISA  VANILLE,Кашкавал краве Ралица,Топено сирене  Milbona,Скир за пиене Milbona LIDL,HIGH Protein pudding Vanilla LIDL,Котидж сирене(обезмаслено) Sainsbury's,KVARG LINDAHLS white chocolate,Кашкавал Ферия краве,Топен"&amp;"о сирене със сметана Hochland,Сметана 22 % - Milbona,Scamorza Lovilio (Lidl),Скирела ЛИДЛ,Пудинг Шоколад милбона протеин,Сирене high protein,Кисело мляко-magermilch,Natural Cottage Cheese Sainsbury'""s,Brooklea PROTEIN soft cheese,Alpro Chocolate coconut,"&amp;"High Protein fat free raspberry,Активия натурална 0.5%,Протеиново мляко шоколад ALPRO,Мляко с ориз-Лидъл,Скир - MILDER SKYR EXQUISA  VANILLE,Eridanous - крем за мазане фета и сушени домати,Eridanous - крем за мазане фета и чушки,Graham's Protein Peach Qua"&amp;"rk,Graham's Protein raspberry  Quark,Pudding High Protein LIDL,Протеинова млечна напитка ном,Alpro Соев с Ягоди,Кварк Exquisa Боровинка,Сирене краве Ферия милк,Топено сирене Milbona,Сирене Котидж Милбона,Mild Skyr Exquisa,Крема сирене Pilos Cream Spread L"&amp;"ight,Извара 1% Родна стряха,Бадемово Мляко Ванилия,Протеинов Кварк Милбона,Кашкавал Домлян обезмаслен,Alpro мляко с протеин,Нискомаслено краве сирене 15%,Прясно сирене,Фитнес - Кварк Mein Protein (сурово състояние),Arla Lactofree,Моцарела лайт Zott,Староп"&amp;"ланински гюбек (Родна стряха),Кефир Pilos,Bircher Muesli Yogurt,Bircher Muesli Yogurt,Гауда / Gouda - Pilos,Coconut &amp; Rice Drink -  Vemondo,Skyr Exquisa с Череши Billa,Пълномаслено кисело мляко Чифлик Ливади,Филаделфия lightest,Higt protein moyyarella,Hig"&amp;"t protein mozarella-ALDI,Cream Spread - with herbs - Pilos,Йогурт Олимпус 2%,Котидж Сирене Philadelphia,High Protein Skyr Raspberry  Milbona,Cottage Cheese Philadelphia,Кашкавал (Димитър Маджаров),Високо протеинов пудинг Milbona ванилия - Lidl,YoPRO Кокос"&amp;",Cottage Classic Olympus,Йогурт нискомаслен 2% Олимпус,Сирене Котидж - Олимпус класик,Exquisa Крема Сирене 0.2% мазнини,Exquisa Quark-Jorgurt Creme 10% Protein Праскова-Маракуя,Краве сирене Ситово лайт,YoPro Danone 25g Proteina,Кашкавал Родопска сълзица,П"&amp;"ротеинов йогурт с банан, манго, ленено семе и зърнени култури,Скир Exquisa Натурален без Лактоза,Бурата Gioiella,Йогурт Олимпус Праскова 0%Fat,Super Spoon Банан Манго Лен,Кашкавал Домлян БДС,Сирене Краве Нискомаслено Light Добрев,Кашкавал Витоша Нискомасл"&amp;"ен Добрев,Крема сирене PHILADELPHIA Light,Топени сиренца PRESIDENT Light,Кварк Exquisa Fitline Печени Бадеми,Кварк Exquisa Fitline Ябълка с Канела,Кварк Exquisa Fitline Праскова и Маракуя,Сирене Exquisa Котидж без Лактоза,Пудинг Exquisa Протеинов Шоколад,"&amp;"Скир-натурален MinusL - без лактоза,Филаделфия - без лактоза,Сирене GAZI - без лактоза,Сметана за кафе MinusL - без лактоза,Протеинова напитка ванилия -""Edeka""-Gut &amp; Günstig,HIGH PROTEIN Caramel pudding Ehrmann,Нискомасшена извара Albe (Al Campo),Котидж"&amp;" Сирене 4% Arla (Mercadona),Нискомасшена извара Albe (Al Campo),Кисело мляко 3.6% БДС - Бор Чвор,Кашкавал eatlean без лактоза, висок протеин,High Protein pudding Exquisa Шоколад,High Protein pudding Exquisa Ванилия,High Protein Chocolate Flavour Pudding,П"&amp;"рясно Мляко пълномаслено Масларски,High protein vanille Drink (Lidl),Ali &amp; Fines herbes,Топено сирене Smoret,Овче сирене LACRIMA,Извара Ситово,Киндер,Кисело мляко Ведраре, овче, 6,5%,Quarkcreme Chokolate Chios MinusL без лактоза,Скир Arla Low Fat,Плодово "&amp;"кисело мляко,Quark Creme Natut MinusL - без лактоза,Скир Arla Low Fat Strawberry,Йогурт Олимпус пълномаслен,Arla Protein Blueberry Yogurt,Arla Skyr Strawberry Yogurt,High Protein Milk Product Различни плодови варианти,Скир с мед  MILSANI,Скир ягода кауфла"&amp;"нд,Скир Bourbon Vanille Kaуфланд,Quark creme Natur HIGH Protein Kaufland,Пудинг ванилия HIGH Protein Кауфланд,Котидж сирене Exquisa,Кашкавал Кенана,Кварк Exquisa Fitline Боровинка,Körniger Frischkäse - без лактоза,EHRMANN ПРОТЕИНОВ ПУДИНГ,Мляко с повишено"&amp;" съдържание на протеин Meggle,Протеинов йогурт Kri Kri Super spoon,Извара (нискомаслена) ""JA!"",Папрука у павлаци,Кокосово мляко Alpro Barista,Обезмаслена извара БИО ""REWE"",Моцарела ""Arla"",Саламурено сирене (натрошено) с повишено водно съдържание LID"&amp;"L,Kварк Zero 0%  кокос Exquisa (без захар),Натрошено Сирене Родопско чудо,Протеинов пудинг карамел (Mercadona),YoPro Боровинка,Плодово протеиново кисело мляко (Mercadona),Morbier/Морбие сирене,краве сирене - LACRIMA,Philadelphia/Филаделфия protein,Крема С"&amp;"ирене - Хелиос,Котидж сирене - MILRAM"</formula1>
    </dataValidation>
    <dataValidation type="list" allowBlank="1" sqref="A8:A15 A22:A29 A36:A43 A50:A55">
      <formula1>Database!$A:$A</formula1>
    </dataValidation>
    <dataValidation type="list" allowBlank="1" sqref="A56:A57">
      <formula1>Foods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 outlineLevelRow="1"/>
  <cols>
    <col customWidth="1" min="1" max="2" width="25.13"/>
    <col customWidth="1" min="3" max="3" width="13.25"/>
    <col customWidth="1" min="10" max="10" width="11.5"/>
    <col customWidth="1" min="11" max="11" width="8.88"/>
    <col customWidth="1" min="12" max="12" width="7.75"/>
    <col customWidth="1" min="13" max="13" width="6.5"/>
    <col customWidth="1" min="14" max="14" width="6.13"/>
    <col customWidth="1" min="15" max="15" width="6.75"/>
  </cols>
  <sheetData>
    <row r="1">
      <c r="A1" s="298" t="s">
        <v>123</v>
      </c>
      <c r="C1" s="178"/>
      <c r="D1" s="299" t="s">
        <v>19</v>
      </c>
      <c r="E1" s="300" t="s">
        <v>20</v>
      </c>
      <c r="F1" s="300" t="s">
        <v>21</v>
      </c>
      <c r="G1" s="219" t="s">
        <v>22</v>
      </c>
      <c r="H1" s="220" t="s">
        <v>7</v>
      </c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</row>
    <row r="2">
      <c r="A2" s="222"/>
      <c r="C2" s="178"/>
      <c r="D2" s="301">
        <f>vlookup(D$5,'Макроси'!O7:T9,2,False)</f>
        <v>180</v>
      </c>
      <c r="E2" s="301">
        <f>vlookup(E$5,'Макроси'!O7:T9,2,False)</f>
        <v>210</v>
      </c>
      <c r="F2" s="301">
        <f>vlookup(F$5,'Макроси'!O7:T9,2,False)</f>
        <v>60</v>
      </c>
      <c r="G2" s="224"/>
      <c r="H2" s="225">
        <f>IF(ISERROR(ROUNDUP((D2+E2)*4+F2*9,0)),"",ROUNDUP((D2+E2)*4+F2*9,0))</f>
        <v>2100</v>
      </c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1"/>
      <c r="U2" s="221"/>
      <c r="V2" s="221"/>
      <c r="W2" s="221"/>
      <c r="X2" s="221"/>
      <c r="Y2" s="221"/>
      <c r="Z2" s="221"/>
      <c r="AA2" s="221"/>
      <c r="AB2" s="221"/>
    </row>
    <row r="3">
      <c r="A3" s="226"/>
      <c r="B3" s="105"/>
      <c r="C3" s="227"/>
      <c r="D3" s="228">
        <f t="shared" ref="D3:G3" si="1">D7+D21+D35+D49</f>
        <v>174.75</v>
      </c>
      <c r="E3" s="229">
        <f t="shared" si="1"/>
        <v>217.23</v>
      </c>
      <c r="F3" s="229">
        <f t="shared" si="1"/>
        <v>57.775</v>
      </c>
      <c r="G3" s="229">
        <f t="shared" si="1"/>
        <v>15</v>
      </c>
      <c r="H3" s="230">
        <f>SUM(H7+H21+H35+H49)</f>
        <v>2089</v>
      </c>
      <c r="I3" s="221"/>
      <c r="J3" s="221"/>
      <c r="K3" s="221"/>
      <c r="L3" s="221"/>
      <c r="M3" s="221"/>
      <c r="N3" s="221"/>
      <c r="O3" s="221"/>
      <c r="P3" s="221"/>
      <c r="Q3" s="221"/>
      <c r="R3" s="221"/>
      <c r="S3" s="221"/>
      <c r="T3" s="221"/>
      <c r="U3" s="221"/>
      <c r="V3" s="221"/>
      <c r="W3" s="221"/>
      <c r="X3" s="221"/>
      <c r="Y3" s="221"/>
      <c r="Z3" s="221"/>
      <c r="AA3" s="221"/>
      <c r="AB3" s="221"/>
    </row>
    <row r="4" ht="9.75" customHeight="1">
      <c r="A4" s="68"/>
      <c r="B4" s="68"/>
      <c r="C4" s="68"/>
      <c r="D4" s="78"/>
      <c r="E4" s="78"/>
      <c r="F4" s="78"/>
      <c r="G4" s="78"/>
      <c r="H4" s="78"/>
      <c r="I4" s="221"/>
      <c r="J4" s="221"/>
      <c r="K4" s="221"/>
      <c r="L4" s="221"/>
      <c r="M4" s="221"/>
      <c r="N4" s="221"/>
      <c r="O4" s="221"/>
      <c r="P4" s="221"/>
      <c r="Q4" s="221"/>
      <c r="R4" s="221"/>
      <c r="S4" s="221"/>
      <c r="T4" s="221"/>
      <c r="U4" s="221"/>
      <c r="V4" s="221"/>
      <c r="W4" s="221"/>
      <c r="X4" s="221"/>
      <c r="Y4" s="221"/>
      <c r="Z4" s="221"/>
      <c r="AA4" s="221"/>
      <c r="AB4" s="221"/>
    </row>
    <row r="5">
      <c r="A5" s="302" t="s">
        <v>55</v>
      </c>
      <c r="B5" s="105"/>
      <c r="C5" s="227"/>
      <c r="D5" s="217" t="s">
        <v>19</v>
      </c>
      <c r="E5" s="218" t="s">
        <v>20</v>
      </c>
      <c r="F5" s="218" t="s">
        <v>21</v>
      </c>
      <c r="G5" s="219" t="s">
        <v>22</v>
      </c>
      <c r="H5" s="220" t="s">
        <v>7</v>
      </c>
      <c r="I5" s="235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97"/>
    </row>
    <row r="6">
      <c r="A6" s="303" t="s">
        <v>0</v>
      </c>
      <c r="B6" s="304" t="s">
        <v>17</v>
      </c>
      <c r="C6" s="238" t="s">
        <v>124</v>
      </c>
      <c r="D6" s="305">
        <f>vlookup(D$5,'Макроси'!O7:T9,3,False)</f>
        <v>35</v>
      </c>
      <c r="E6" s="306">
        <f>vlookup(E$5,'Макроси'!O7:T9,3,False)</f>
        <v>20</v>
      </c>
      <c r="F6" s="306">
        <f>vlookup(F$5,'Макроси'!O7:T9,3,False)</f>
        <v>5</v>
      </c>
      <c r="G6" s="306"/>
      <c r="H6" s="307">
        <f>IF(ISERROR(ROUNDUP((D6+E6)*4+F6*9,0)),"",ROUNDUP((D6+E6)*4+F6*9,0))</f>
        <v>265</v>
      </c>
      <c r="I6" s="235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97"/>
    </row>
    <row r="7">
      <c r="A7" s="105"/>
      <c r="B7" s="242"/>
      <c r="C7" s="243" t="s">
        <v>125</v>
      </c>
      <c r="D7" s="228">
        <f t="shared" ref="D7:H7" si="2">SUM(D8:D17)</f>
        <v>0</v>
      </c>
      <c r="E7" s="229">
        <f t="shared" si="2"/>
        <v>0</v>
      </c>
      <c r="F7" s="229">
        <f t="shared" si="2"/>
        <v>0</v>
      </c>
      <c r="G7" s="229">
        <f t="shared" si="2"/>
        <v>0</v>
      </c>
      <c r="H7" s="230">
        <f t="shared" si="2"/>
        <v>0</v>
      </c>
      <c r="I7" s="235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1"/>
      <c r="V7" s="221"/>
      <c r="W7" s="221"/>
      <c r="X7" s="221"/>
      <c r="Y7" s="221"/>
      <c r="Z7" s="221"/>
      <c r="AA7" s="221"/>
      <c r="AB7" s="297"/>
    </row>
    <row r="8" outlineLevel="1">
      <c r="A8" s="308"/>
      <c r="B8" s="308"/>
      <c r="C8" s="251"/>
      <c r="D8" s="252" t="str">
        <f>IF(ISNA(($C8/100)*VLOOKUP($B8,DB,3,FALSE)),"",($C8/100)*VLOOKUP($B8,DB,3,FALSE))</f>
        <v/>
      </c>
      <c r="E8" s="252" t="str">
        <f>IF(ISNA(($C8/100)*VLOOKUP($B8,DB,4,FALSE)),"",($C8/100)*VLOOKUP($B8,DB,4,FALSE))</f>
        <v/>
      </c>
      <c r="F8" s="252" t="str">
        <f>IF(ISNA(($C8/100)*VLOOKUP($B8,DB,5,FALSE)),"",($C8/100)*VLOOKUP($B8,DB,5,FALSE))</f>
        <v/>
      </c>
      <c r="G8" s="252" t="str">
        <f>IF(ISNA(($C8/100)*VLOOKUP($B8,DB,6,FALSE)),"",($C8/100)*VLOOKUP($B8,DB,6,FALSE))</f>
        <v/>
      </c>
      <c r="H8" s="253">
        <f t="shared" ref="H8:H17" si="3">IF(ISERROR(ROUNDUP((D8+E8)*4+F8*9,0)),"",ROUNDUP((D8+E8)*4+F8*9,0))</f>
        <v>0</v>
      </c>
      <c r="I8" s="309"/>
      <c r="J8" s="309"/>
      <c r="K8" s="309"/>
      <c r="L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09"/>
      <c r="X8" s="309"/>
      <c r="Y8" s="309"/>
      <c r="Z8" s="309"/>
      <c r="AA8" s="309"/>
      <c r="AB8" s="310"/>
    </row>
    <row r="9" outlineLevel="1">
      <c r="A9" s="308"/>
      <c r="B9" s="308"/>
      <c r="C9" s="251"/>
      <c r="D9" s="252" t="str">
        <f>IF(ISNA(($C9/100)*VLOOKUP($B9,DB,3,FALSE)),"",($C9/100)*VLOOKUP($B9,DB,3,FALSE))</f>
        <v/>
      </c>
      <c r="E9" s="252" t="str">
        <f>IF(ISNA(($C9/100)*VLOOKUP($B9,DB,4,FALSE)),"",($C9/100)*VLOOKUP($B9,DB,4,FALSE))</f>
        <v/>
      </c>
      <c r="F9" s="252" t="str">
        <f>IF(ISNA(($C9/100)*VLOOKUP($B9,DB,5,FALSE)),"",($C9/100)*VLOOKUP($B9,DB,5,FALSE))</f>
        <v/>
      </c>
      <c r="G9" s="252" t="str">
        <f>IF(ISNA(($C9/100)*VLOOKUP($B9,DB,6,FALSE)),"",($C9/100)*VLOOKUP($B9,DB,6,FALSE))</f>
        <v/>
      </c>
      <c r="H9" s="253">
        <f t="shared" si="3"/>
        <v>0</v>
      </c>
      <c r="I9" s="309"/>
      <c r="J9" s="309"/>
      <c r="K9" s="309"/>
      <c r="L9" s="309"/>
      <c r="M9" s="309"/>
      <c r="N9" s="309"/>
      <c r="O9" s="309"/>
      <c r="P9" s="309"/>
      <c r="Q9" s="309"/>
      <c r="R9" s="309"/>
      <c r="S9" s="309"/>
      <c r="T9" s="309"/>
      <c r="U9" s="309"/>
      <c r="V9" s="309"/>
      <c r="W9" s="309"/>
      <c r="X9" s="309"/>
      <c r="Y9" s="309"/>
      <c r="Z9" s="309"/>
      <c r="AA9" s="309"/>
      <c r="AB9" s="310"/>
    </row>
    <row r="10" outlineLevel="1">
      <c r="A10" s="308"/>
      <c r="B10" s="308"/>
      <c r="C10" s="251"/>
      <c r="D10" s="252" t="str">
        <f>IF(ISNA(($C10/100)*VLOOKUP($B10,DB,3,FALSE)),"",($C10/100)*VLOOKUP($B10,DB,3,FALSE))</f>
        <v/>
      </c>
      <c r="E10" s="252" t="str">
        <f>IF(ISNA(($C10/100)*VLOOKUP($B10,DB,4,FALSE)),"",($C10/100)*VLOOKUP($B10,DB,4,FALSE))</f>
        <v/>
      </c>
      <c r="F10" s="252" t="str">
        <f>IF(ISNA(($C10/100)*VLOOKUP($B10,DB,5,FALSE)),"",($C10/100)*VLOOKUP($B10,DB,5,FALSE))</f>
        <v/>
      </c>
      <c r="G10" s="252" t="str">
        <f>IF(ISNA(($C10/100)*VLOOKUP($B10,DB,6,FALSE)),"",($C10/100)*VLOOKUP($B10,DB,6,FALSE))</f>
        <v/>
      </c>
      <c r="H10" s="253">
        <f t="shared" si="3"/>
        <v>0</v>
      </c>
      <c r="I10" s="309"/>
      <c r="J10" s="309"/>
      <c r="K10" s="309"/>
      <c r="L10" s="309"/>
      <c r="M10" s="309"/>
      <c r="N10" s="309"/>
      <c r="O10" s="309"/>
      <c r="P10" s="309"/>
      <c r="Q10" s="309"/>
      <c r="R10" s="309"/>
      <c r="S10" s="309"/>
      <c r="T10" s="309"/>
      <c r="U10" s="309"/>
      <c r="V10" s="309"/>
      <c r="W10" s="309"/>
      <c r="X10" s="309"/>
      <c r="Y10" s="309"/>
      <c r="Z10" s="309"/>
      <c r="AA10" s="309"/>
      <c r="AB10" s="310"/>
    </row>
    <row r="11" outlineLevel="1">
      <c r="A11" s="308"/>
      <c r="B11" s="308"/>
      <c r="C11" s="251"/>
      <c r="D11" s="252" t="str">
        <f>IF(ISNA(($C11/100)*VLOOKUP($B11,DB,3,FALSE)),"",($C11/100)*VLOOKUP($B11,DB,3,FALSE))</f>
        <v/>
      </c>
      <c r="E11" s="252" t="str">
        <f>IF(ISNA(($C11/100)*VLOOKUP($B11,DB,4,FALSE)),"",($C11/100)*VLOOKUP($B11,DB,4,FALSE))</f>
        <v/>
      </c>
      <c r="F11" s="252" t="str">
        <f>IF(ISNA(($C11/100)*VLOOKUP($B11,DB,5,FALSE)),"",($C11/100)*VLOOKUP($B11,DB,5,FALSE))</f>
        <v/>
      </c>
      <c r="G11" s="252" t="str">
        <f>IF(ISNA(($C11/100)*VLOOKUP($B11,DB,6,FALSE)),"",($C11/100)*VLOOKUP($B11,DB,6,FALSE))</f>
        <v/>
      </c>
      <c r="H11" s="253">
        <f t="shared" si="3"/>
        <v>0</v>
      </c>
      <c r="I11" s="309"/>
      <c r="J11" s="309"/>
      <c r="K11" s="309"/>
      <c r="L11" s="309"/>
      <c r="M11" s="309"/>
      <c r="N11" s="309"/>
      <c r="O11" s="309"/>
      <c r="P11" s="309"/>
      <c r="Q11" s="309"/>
      <c r="R11" s="309"/>
      <c r="S11" s="309"/>
      <c r="T11" s="309"/>
      <c r="U11" s="309"/>
      <c r="V11" s="309"/>
      <c r="W11" s="309"/>
      <c r="X11" s="309"/>
      <c r="Y11" s="309"/>
      <c r="Z11" s="309"/>
      <c r="AA11" s="309"/>
      <c r="AB11" s="310"/>
    </row>
    <row r="12" outlineLevel="1">
      <c r="A12" s="308"/>
      <c r="B12" s="308"/>
      <c r="C12" s="251"/>
      <c r="D12" s="252" t="str">
        <f>IF(ISNA(($C12/100)*VLOOKUP($B12,DB,3,FALSE)),"",($C12/100)*VLOOKUP($B12,DB,3,FALSE))</f>
        <v/>
      </c>
      <c r="E12" s="252" t="str">
        <f>IF(ISNA(($C12/100)*VLOOKUP($B12,DB,4,FALSE)),"",($C12/100)*VLOOKUP($B12,DB,4,FALSE))</f>
        <v/>
      </c>
      <c r="F12" s="252" t="str">
        <f>IF(ISNA(($C12/100)*VLOOKUP($B12,DB,5,FALSE)),"",($C12/100)*VLOOKUP($B12,DB,5,FALSE))</f>
        <v/>
      </c>
      <c r="G12" s="252" t="str">
        <f>IF(ISNA(($C12/100)*VLOOKUP($B12,DB,6,FALSE)),"",($C12/100)*VLOOKUP($B12,DB,6,FALSE))</f>
        <v/>
      </c>
      <c r="H12" s="253">
        <f t="shared" si="3"/>
        <v>0</v>
      </c>
      <c r="I12" s="309"/>
      <c r="J12" s="309"/>
      <c r="K12" s="309"/>
      <c r="L12" s="309"/>
      <c r="M12" s="309"/>
      <c r="N12" s="309"/>
      <c r="O12" s="309"/>
      <c r="P12" s="309"/>
      <c r="Q12" s="309"/>
      <c r="R12" s="309"/>
      <c r="S12" s="309"/>
      <c r="T12" s="309"/>
      <c r="U12" s="309"/>
      <c r="V12" s="309"/>
      <c r="W12" s="309"/>
      <c r="X12" s="309"/>
      <c r="Y12" s="309"/>
      <c r="Z12" s="309"/>
      <c r="AA12" s="309"/>
      <c r="AB12" s="310"/>
    </row>
    <row r="13" outlineLevel="1">
      <c r="A13" s="308"/>
      <c r="B13" s="308"/>
      <c r="C13" s="251"/>
      <c r="D13" s="252" t="str">
        <f>IF(ISNA(($C13/100)*VLOOKUP($B13,DB,3,FALSE)),"",($C13/100)*VLOOKUP($B13,DB,3,FALSE))</f>
        <v/>
      </c>
      <c r="E13" s="252" t="str">
        <f>IF(ISNA(($C13/100)*VLOOKUP($B13,DB,4,FALSE)),"",($C13/100)*VLOOKUP($B13,DB,4,FALSE))</f>
        <v/>
      </c>
      <c r="F13" s="252" t="str">
        <f>IF(ISNA(($C13/100)*VLOOKUP($B13,DB,5,FALSE)),"",($C13/100)*VLOOKUP($B13,DB,5,FALSE))</f>
        <v/>
      </c>
      <c r="G13" s="252" t="str">
        <f>IF(ISNA(($C13/100)*VLOOKUP($B13,DB,6,FALSE)),"",($C13/100)*VLOOKUP($B13,DB,6,FALSE))</f>
        <v/>
      </c>
      <c r="H13" s="253">
        <f t="shared" si="3"/>
        <v>0</v>
      </c>
      <c r="I13" s="309"/>
      <c r="J13" s="309"/>
      <c r="K13" s="309"/>
      <c r="L13" s="309"/>
      <c r="M13" s="309"/>
      <c r="N13" s="309"/>
      <c r="O13" s="309"/>
      <c r="P13" s="309"/>
      <c r="Q13" s="309"/>
      <c r="R13" s="309"/>
      <c r="S13" s="309"/>
      <c r="T13" s="309"/>
      <c r="U13" s="309"/>
      <c r="V13" s="309"/>
      <c r="W13" s="309"/>
      <c r="X13" s="309"/>
      <c r="Y13" s="309"/>
      <c r="Z13" s="309"/>
      <c r="AA13" s="309"/>
      <c r="AB13" s="310"/>
    </row>
    <row r="14" outlineLevel="1">
      <c r="A14" s="308"/>
      <c r="B14" s="308"/>
      <c r="C14" s="251"/>
      <c r="D14" s="252" t="str">
        <f>IF(ISNA(($C14/100)*VLOOKUP($B14,DB,3,FALSE)),"",($C14/100)*VLOOKUP($B14,DB,3,FALSE))</f>
        <v/>
      </c>
      <c r="E14" s="252" t="str">
        <f>IF(ISNA(($C14/100)*VLOOKUP($B14,DB,4,FALSE)),"",($C14/100)*VLOOKUP($B14,DB,4,FALSE))</f>
        <v/>
      </c>
      <c r="F14" s="252" t="str">
        <f>IF(ISNA(($C14/100)*VLOOKUP($B14,DB,5,FALSE)),"",($C14/100)*VLOOKUP($B14,DB,5,FALSE))</f>
        <v/>
      </c>
      <c r="G14" s="252" t="str">
        <f>IF(ISNA(($C14/100)*VLOOKUP($B14,DB,6,FALSE)),"",($C14/100)*VLOOKUP($B14,DB,6,FALSE))</f>
        <v/>
      </c>
      <c r="H14" s="253">
        <f t="shared" si="3"/>
        <v>0</v>
      </c>
      <c r="I14" s="309"/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/>
      <c r="U14" s="309"/>
      <c r="V14" s="309"/>
      <c r="W14" s="309"/>
      <c r="X14" s="309"/>
      <c r="Y14" s="309"/>
      <c r="Z14" s="309"/>
      <c r="AA14" s="309"/>
      <c r="AB14" s="310"/>
    </row>
    <row r="15" outlineLevel="1">
      <c r="A15" s="308"/>
      <c r="B15" s="308"/>
      <c r="C15" s="251"/>
      <c r="D15" s="252" t="str">
        <f>IF(ISNA(($C15/100)*VLOOKUP($B15,DB,3,FALSE)),"",($C15/100)*VLOOKUP($B15,DB,3,FALSE))</f>
        <v/>
      </c>
      <c r="E15" s="252" t="str">
        <f>IF(ISNA(($C15/100)*VLOOKUP($B15,DB,4,FALSE)),"",($C15/100)*VLOOKUP($B15,DB,4,FALSE))</f>
        <v/>
      </c>
      <c r="F15" s="252" t="str">
        <f>IF(ISNA(($C15/100)*VLOOKUP($B15,DB,5,FALSE)),"",($C15/100)*VLOOKUP($B15,DB,5,FALSE))</f>
        <v/>
      </c>
      <c r="G15" s="252" t="str">
        <f>IF(ISNA(($C15/100)*VLOOKUP($B15,DB,6,FALSE)),"",($C15/100)*VLOOKUP($B15,DB,6,FALSE))</f>
        <v/>
      </c>
      <c r="H15" s="253">
        <f t="shared" si="3"/>
        <v>0</v>
      </c>
      <c r="I15" s="309"/>
      <c r="J15" s="309"/>
      <c r="K15" s="309"/>
      <c r="L15" s="309"/>
      <c r="M15" s="309"/>
      <c r="N15" s="309"/>
      <c r="O15" s="309"/>
      <c r="P15" s="309"/>
      <c r="Q15" s="309"/>
      <c r="R15" s="309"/>
      <c r="S15" s="309"/>
      <c r="T15" s="309"/>
      <c r="U15" s="309"/>
      <c r="V15" s="309"/>
      <c r="W15" s="309"/>
      <c r="X15" s="309"/>
      <c r="Y15" s="309"/>
      <c r="Z15" s="309"/>
      <c r="AA15" s="309"/>
      <c r="AB15" s="310"/>
    </row>
    <row r="16" outlineLevel="1">
      <c r="A16" s="311" t="s">
        <v>130</v>
      </c>
      <c r="B16" s="255"/>
      <c r="C16" s="256"/>
      <c r="D16" s="272"/>
      <c r="E16" s="272"/>
      <c r="F16" s="272"/>
      <c r="G16" s="272"/>
      <c r="H16" s="312">
        <f t="shared" si="3"/>
        <v>0</v>
      </c>
      <c r="I16" s="235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1"/>
      <c r="AA16" s="221"/>
      <c r="AB16" s="297"/>
    </row>
    <row r="17" outlineLevel="1">
      <c r="A17" s="313" t="s">
        <v>130</v>
      </c>
      <c r="B17" s="260"/>
      <c r="C17" s="89"/>
      <c r="D17" s="261"/>
      <c r="E17" s="261"/>
      <c r="F17" s="261"/>
      <c r="G17" s="261"/>
      <c r="H17" s="314">
        <f t="shared" si="3"/>
        <v>0</v>
      </c>
      <c r="I17" s="235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221"/>
      <c r="AB17" s="297"/>
    </row>
    <row r="18">
      <c r="A18" s="315"/>
      <c r="B18" s="316"/>
      <c r="C18" s="317"/>
      <c r="D18" s="318"/>
      <c r="E18" s="318"/>
      <c r="F18" s="318"/>
      <c r="G18" s="319"/>
      <c r="H18" s="268">
        <f>(D18+E18)*4+F18*9</f>
        <v>0</v>
      </c>
      <c r="I18" s="235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21"/>
      <c r="AB18" s="297"/>
    </row>
    <row r="19">
      <c r="A19" s="302" t="s">
        <v>56</v>
      </c>
      <c r="B19" s="105"/>
      <c r="C19" s="227"/>
      <c r="D19" s="217" t="s">
        <v>19</v>
      </c>
      <c r="E19" s="218" t="s">
        <v>20</v>
      </c>
      <c r="F19" s="218" t="s">
        <v>21</v>
      </c>
      <c r="G19" s="219" t="s">
        <v>22</v>
      </c>
      <c r="H19" s="220" t="s">
        <v>7</v>
      </c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297"/>
    </row>
    <row r="20">
      <c r="A20" s="303" t="s">
        <v>0</v>
      </c>
      <c r="B20" s="304" t="s">
        <v>17</v>
      </c>
      <c r="C20" s="238" t="s">
        <v>124</v>
      </c>
      <c r="D20" s="239">
        <f>vlookup(D$5,'Макроси'!O7:T9,4,False)</f>
        <v>55</v>
      </c>
      <c r="E20" s="240">
        <f>vlookup(E$5,'Макроси'!O7:T9,4,False)</f>
        <v>100</v>
      </c>
      <c r="F20" s="240">
        <f>vlookup(F$5,'Макроси'!O7:T9,4,False)</f>
        <v>30</v>
      </c>
      <c r="G20" s="270"/>
      <c r="H20" s="241">
        <f>IF(ISERROR(ROUNDUP((D20+E20)*4+F20*9,0)),"",ROUNDUP((D20+E20)*4+F20*9,0))</f>
        <v>890</v>
      </c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320"/>
      <c r="T20" s="221"/>
      <c r="U20" s="221"/>
      <c r="V20" s="221"/>
      <c r="W20" s="221"/>
      <c r="X20" s="221"/>
      <c r="Y20" s="221"/>
      <c r="Z20" s="221"/>
      <c r="AA20" s="221"/>
      <c r="AB20" s="297"/>
    </row>
    <row r="21">
      <c r="A21" s="105"/>
      <c r="B21" s="242"/>
      <c r="C21" s="243" t="s">
        <v>125</v>
      </c>
      <c r="D21" s="228">
        <f t="shared" ref="D21:H21" si="4">SUM(D22:D31)</f>
        <v>73.9</v>
      </c>
      <c r="E21" s="229">
        <f t="shared" si="4"/>
        <v>96.45</v>
      </c>
      <c r="F21" s="229">
        <f t="shared" si="4"/>
        <v>31.175</v>
      </c>
      <c r="G21" s="229">
        <f t="shared" si="4"/>
        <v>0</v>
      </c>
      <c r="H21" s="230">
        <f t="shared" si="4"/>
        <v>962</v>
      </c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221"/>
      <c r="AB21" s="297"/>
    </row>
    <row r="22" outlineLevel="1">
      <c r="A22" s="308"/>
      <c r="B22" s="308" t="s">
        <v>131</v>
      </c>
      <c r="C22" s="251">
        <v>385.0</v>
      </c>
      <c r="D22" s="321">
        <v>53.9</v>
      </c>
      <c r="E22" s="321">
        <v>65.45</v>
      </c>
      <c r="F22" s="321">
        <v>21.175</v>
      </c>
      <c r="G22" s="252" t="str">
        <f>IF(ISNA(($C22/100)*VLOOKUP($B22,DB,6,FALSE)),"",($C22/100)*VLOOKUP($B22,DB,6,FALSE))</f>
        <v/>
      </c>
      <c r="H22" s="253">
        <f t="shared" ref="H22:H31" si="5">IF(ISERROR(ROUNDUP((D22+E22)*4+F22*9,0)),"",ROUNDUP((D22+E22)*4+F22*9,0))</f>
        <v>668</v>
      </c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309"/>
      <c r="T22" s="309"/>
      <c r="U22" s="309"/>
      <c r="V22" s="309"/>
      <c r="W22" s="309"/>
      <c r="X22" s="309"/>
      <c r="Y22" s="309"/>
      <c r="Z22" s="309"/>
      <c r="AA22" s="309"/>
      <c r="AB22" s="310"/>
    </row>
    <row r="23" outlineLevel="1">
      <c r="A23" s="308"/>
      <c r="B23" s="308"/>
      <c r="C23" s="251"/>
      <c r="D23" s="252" t="str">
        <f>IF(ISNA(($C23/100)*VLOOKUP($B23,DB,3,FALSE)),"",($C23/100)*VLOOKUP($B23,DB,3,FALSE))</f>
        <v/>
      </c>
      <c r="E23" s="252" t="str">
        <f>IF(ISNA(($C23/100)*VLOOKUP($B23,DB,4,FALSE)),"",($C23/100)*VLOOKUP($B23,DB,4,FALSE))</f>
        <v/>
      </c>
      <c r="F23" s="252" t="str">
        <f>IF(ISNA(($C23/100)*VLOOKUP($B23,DB,5,FALSE)),"",($C23/100)*VLOOKUP($B23,DB,5,FALSE))</f>
        <v/>
      </c>
      <c r="G23" s="252" t="str">
        <f>IF(ISNA(($C23/100)*VLOOKUP($B23,DB,6,FALSE)),"",($C23/100)*VLOOKUP($B23,DB,6,FALSE))</f>
        <v/>
      </c>
      <c r="H23" s="253">
        <f t="shared" si="5"/>
        <v>0</v>
      </c>
      <c r="I23" s="309"/>
      <c r="J23" s="309"/>
      <c r="K23" s="309"/>
      <c r="L23" s="309"/>
      <c r="M23" s="309"/>
      <c r="N23" s="309"/>
      <c r="O23" s="309"/>
      <c r="P23" s="309"/>
      <c r="Q23" s="309"/>
      <c r="R23" s="309"/>
      <c r="S23" s="309"/>
      <c r="T23" s="309"/>
      <c r="U23" s="309"/>
      <c r="V23" s="309"/>
      <c r="W23" s="309"/>
      <c r="X23" s="309"/>
      <c r="Y23" s="309"/>
      <c r="Z23" s="309"/>
      <c r="AA23" s="309"/>
      <c r="AB23" s="310"/>
    </row>
    <row r="24" outlineLevel="1">
      <c r="A24" s="308"/>
      <c r="B24" s="308"/>
      <c r="C24" s="251"/>
      <c r="D24" s="252" t="str">
        <f>IF(ISNA(($C24/100)*VLOOKUP($B24,DB,3,FALSE)),"",($C24/100)*VLOOKUP($B24,DB,3,FALSE))</f>
        <v/>
      </c>
      <c r="E24" s="252" t="str">
        <f>IF(ISNA(($C24/100)*VLOOKUP($B24,DB,4,FALSE)),"",($C24/100)*VLOOKUP($B24,DB,4,FALSE))</f>
        <v/>
      </c>
      <c r="F24" s="252" t="str">
        <f>IF(ISNA(($C24/100)*VLOOKUP($B24,DB,5,FALSE)),"",($C24/100)*VLOOKUP($B24,DB,5,FALSE))</f>
        <v/>
      </c>
      <c r="G24" s="252" t="str">
        <f>IF(ISNA(($C24/100)*VLOOKUP($B24,DB,6,FALSE)),"",($C24/100)*VLOOKUP($B24,DB,6,FALSE))</f>
        <v/>
      </c>
      <c r="H24" s="253">
        <f t="shared" si="5"/>
        <v>0</v>
      </c>
      <c r="I24" s="309"/>
      <c r="J24" s="309"/>
      <c r="K24" s="309"/>
      <c r="L24" s="309"/>
      <c r="M24" s="309"/>
      <c r="N24" s="309"/>
      <c r="O24" s="309"/>
      <c r="P24" s="309"/>
      <c r="Q24" s="309"/>
      <c r="R24" s="309"/>
      <c r="S24" s="309"/>
      <c r="T24" s="309"/>
      <c r="U24" s="309"/>
      <c r="V24" s="309"/>
      <c r="W24" s="309"/>
      <c r="X24" s="309"/>
      <c r="Y24" s="309"/>
      <c r="Z24" s="309"/>
      <c r="AA24" s="309"/>
      <c r="AB24" s="310"/>
    </row>
    <row r="25" outlineLevel="1">
      <c r="A25" s="308"/>
      <c r="B25" s="308"/>
      <c r="C25" s="251"/>
      <c r="D25" s="321">
        <v>20.0</v>
      </c>
      <c r="E25" s="321">
        <v>31.0</v>
      </c>
      <c r="F25" s="321">
        <v>10.0</v>
      </c>
      <c r="G25" s="252" t="str">
        <f>IF(ISNA(($C25/100)*VLOOKUP($B25,DB,6,FALSE)),"",($C25/100)*VLOOKUP($B25,DB,6,FALSE))</f>
        <v/>
      </c>
      <c r="H25" s="253">
        <f t="shared" si="5"/>
        <v>294</v>
      </c>
      <c r="I25" s="309"/>
      <c r="J25" s="309"/>
      <c r="K25" s="309"/>
      <c r="L25" s="309"/>
      <c r="M25" s="309"/>
      <c r="N25" s="309"/>
      <c r="O25" s="309"/>
      <c r="P25" s="309"/>
      <c r="Q25" s="309"/>
      <c r="R25" s="309"/>
      <c r="S25" s="309"/>
      <c r="T25" s="309"/>
      <c r="U25" s="309"/>
      <c r="V25" s="309"/>
      <c r="W25" s="309"/>
      <c r="X25" s="309"/>
      <c r="Y25" s="309"/>
      <c r="Z25" s="309"/>
      <c r="AA25" s="309"/>
      <c r="AB25" s="310"/>
    </row>
    <row r="26" outlineLevel="1">
      <c r="A26" s="308"/>
      <c r="B26" s="308"/>
      <c r="C26" s="251"/>
      <c r="D26" s="252" t="str">
        <f>IF(ISNA(($C26/100)*VLOOKUP($B26,DB,3,FALSE)),"",($C26/100)*VLOOKUP($B26,DB,3,FALSE))</f>
        <v/>
      </c>
      <c r="E26" s="252" t="str">
        <f>IF(ISNA(($C26/100)*VLOOKUP($B26,DB,4,FALSE)),"",($C26/100)*VLOOKUP($B26,DB,4,FALSE))</f>
        <v/>
      </c>
      <c r="F26" s="252" t="str">
        <f>IF(ISNA(($C26/100)*VLOOKUP($B26,DB,5,FALSE)),"",($C26/100)*VLOOKUP($B26,DB,5,FALSE))</f>
        <v/>
      </c>
      <c r="G26" s="252" t="str">
        <f>IF(ISNA(($C26/100)*VLOOKUP($B26,DB,6,FALSE)),"",($C26/100)*VLOOKUP($B26,DB,6,FALSE))</f>
        <v/>
      </c>
      <c r="H26" s="253">
        <f t="shared" si="5"/>
        <v>0</v>
      </c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309"/>
      <c r="T26" s="309"/>
      <c r="U26" s="309"/>
      <c r="V26" s="309"/>
      <c r="W26" s="309"/>
      <c r="X26" s="309"/>
      <c r="Y26" s="309"/>
      <c r="Z26" s="309"/>
      <c r="AA26" s="309"/>
      <c r="AB26" s="310"/>
    </row>
    <row r="27" outlineLevel="1">
      <c r="A27" s="308"/>
      <c r="B27" s="308"/>
      <c r="C27" s="251"/>
      <c r="D27" s="252" t="str">
        <f>IF(ISNA(($C27/100)*VLOOKUP($B27,DB,3,FALSE)),"",($C27/100)*VLOOKUP($B27,DB,3,FALSE))</f>
        <v/>
      </c>
      <c r="E27" s="252" t="str">
        <f>IF(ISNA(($C27/100)*VLOOKUP($B27,DB,4,FALSE)),"",($C27/100)*VLOOKUP($B27,DB,4,FALSE))</f>
        <v/>
      </c>
      <c r="F27" s="252" t="str">
        <f>IF(ISNA(($C27/100)*VLOOKUP($B27,DB,5,FALSE)),"",($C27/100)*VLOOKUP($B27,DB,5,FALSE))</f>
        <v/>
      </c>
      <c r="G27" s="252" t="str">
        <f>IF(ISNA(($C27/100)*VLOOKUP($B27,DB,6,FALSE)),"",($C27/100)*VLOOKUP($B27,DB,6,FALSE))</f>
        <v/>
      </c>
      <c r="H27" s="253">
        <f t="shared" si="5"/>
        <v>0</v>
      </c>
      <c r="I27" s="309"/>
      <c r="J27" s="309"/>
      <c r="K27" s="309"/>
      <c r="L27" s="309"/>
      <c r="M27" s="309"/>
      <c r="N27" s="309"/>
      <c r="O27" s="309"/>
      <c r="P27" s="309"/>
      <c r="Q27" s="309"/>
      <c r="R27" s="309"/>
      <c r="S27" s="309"/>
      <c r="T27" s="309"/>
      <c r="U27" s="309"/>
      <c r="V27" s="309"/>
      <c r="W27" s="309"/>
      <c r="X27" s="309"/>
      <c r="Y27" s="309"/>
      <c r="Z27" s="309"/>
      <c r="AA27" s="309"/>
      <c r="AB27" s="310"/>
    </row>
    <row r="28" outlineLevel="1">
      <c r="A28" s="308"/>
      <c r="B28" s="308"/>
      <c r="C28" s="251"/>
      <c r="D28" s="252" t="str">
        <f>IF(ISNA(($C28/100)*VLOOKUP($B28,DB,3,FALSE)),"",($C28/100)*VLOOKUP($B28,DB,3,FALSE))</f>
        <v/>
      </c>
      <c r="E28" s="252" t="str">
        <f>IF(ISNA(($C28/100)*VLOOKUP($B28,DB,4,FALSE)),"",($C28/100)*VLOOKUP($B28,DB,4,FALSE))</f>
        <v/>
      </c>
      <c r="F28" s="252" t="str">
        <f>IF(ISNA(($C28/100)*VLOOKUP($B28,DB,5,FALSE)),"",($C28/100)*VLOOKUP($B28,DB,5,FALSE))</f>
        <v/>
      </c>
      <c r="G28" s="252" t="str">
        <f>IF(ISNA(($C28/100)*VLOOKUP($B28,DB,6,FALSE)),"",($C28/100)*VLOOKUP($B28,DB,6,FALSE))</f>
        <v/>
      </c>
      <c r="H28" s="253">
        <f t="shared" si="5"/>
        <v>0</v>
      </c>
      <c r="I28" s="309"/>
      <c r="J28" s="309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10"/>
    </row>
    <row r="29" outlineLevel="1">
      <c r="A29" s="308"/>
      <c r="B29" s="308"/>
      <c r="C29" s="251"/>
      <c r="D29" s="252" t="str">
        <f>IF(ISNA(($C29/100)*VLOOKUP($B29,DB,3,FALSE)),"",($C29/100)*VLOOKUP($B29,DB,3,FALSE))</f>
        <v/>
      </c>
      <c r="E29" s="252" t="str">
        <f>IF(ISNA(($C29/100)*VLOOKUP($B29,DB,4,FALSE)),"",($C29/100)*VLOOKUP($B29,DB,4,FALSE))</f>
        <v/>
      </c>
      <c r="F29" s="252" t="str">
        <f>IF(ISNA(($C29/100)*VLOOKUP($B29,DB,5,FALSE)),"",($C29/100)*VLOOKUP($B29,DB,5,FALSE))</f>
        <v/>
      </c>
      <c r="G29" s="252" t="str">
        <f>IF(ISNA(($C29/100)*VLOOKUP($B29,DB,6,FALSE)),"",($C29/100)*VLOOKUP($B29,DB,6,FALSE))</f>
        <v/>
      </c>
      <c r="H29" s="253">
        <f t="shared" si="5"/>
        <v>0</v>
      </c>
      <c r="I29" s="309"/>
      <c r="J29" s="309"/>
      <c r="K29" s="309"/>
      <c r="L29" s="309"/>
      <c r="M29" s="309"/>
      <c r="N29" s="309"/>
      <c r="O29" s="309"/>
      <c r="P29" s="309"/>
      <c r="Q29" s="309"/>
      <c r="R29" s="309"/>
      <c r="S29" s="309"/>
      <c r="T29" s="309"/>
      <c r="U29" s="309"/>
      <c r="V29" s="309"/>
      <c r="W29" s="309"/>
      <c r="X29" s="309"/>
      <c r="Y29" s="309"/>
      <c r="Z29" s="309"/>
      <c r="AA29" s="309"/>
      <c r="AB29" s="310"/>
    </row>
    <row r="30">
      <c r="A30" s="311" t="s">
        <v>130</v>
      </c>
      <c r="B30" s="255"/>
      <c r="C30" s="256"/>
      <c r="D30" s="272"/>
      <c r="E30" s="272"/>
      <c r="F30" s="272"/>
      <c r="G30" s="272"/>
      <c r="H30" s="312">
        <f t="shared" si="5"/>
        <v>0</v>
      </c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297"/>
    </row>
    <row r="31">
      <c r="A31" s="313" t="s">
        <v>130</v>
      </c>
      <c r="B31" s="260"/>
      <c r="C31" s="89"/>
      <c r="D31" s="261"/>
      <c r="E31" s="261"/>
      <c r="F31" s="261"/>
      <c r="G31" s="261"/>
      <c r="H31" s="314">
        <f t="shared" si="5"/>
        <v>0</v>
      </c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1"/>
      <c r="U31" s="221"/>
      <c r="V31" s="221"/>
      <c r="W31" s="221"/>
      <c r="X31" s="221"/>
      <c r="Y31" s="221"/>
      <c r="Z31" s="221"/>
      <c r="AA31" s="221"/>
      <c r="AB31" s="297"/>
    </row>
    <row r="32">
      <c r="A32" s="315"/>
      <c r="B32" s="316"/>
      <c r="C32" s="317"/>
      <c r="D32" s="318"/>
      <c r="E32" s="318"/>
      <c r="F32" s="318"/>
      <c r="G32" s="319"/>
      <c r="H32" s="268">
        <f>(D32+E32)*4+F32*9</f>
        <v>0</v>
      </c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1"/>
      <c r="Z32" s="221"/>
      <c r="AA32" s="221"/>
      <c r="AB32" s="297"/>
    </row>
    <row r="33">
      <c r="A33" s="302" t="s">
        <v>57</v>
      </c>
      <c r="B33" s="105"/>
      <c r="C33" s="227"/>
      <c r="D33" s="217" t="s">
        <v>19</v>
      </c>
      <c r="E33" s="218" t="s">
        <v>20</v>
      </c>
      <c r="F33" s="218" t="s">
        <v>21</v>
      </c>
      <c r="G33" s="219" t="s">
        <v>22</v>
      </c>
      <c r="H33" s="220" t="s">
        <v>7</v>
      </c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1"/>
      <c r="U33" s="221"/>
      <c r="V33" s="221"/>
      <c r="W33" s="221"/>
      <c r="X33" s="221"/>
      <c r="Y33" s="221"/>
      <c r="Z33" s="221"/>
      <c r="AA33" s="221"/>
      <c r="AB33" s="297"/>
    </row>
    <row r="34">
      <c r="A34" s="303" t="s">
        <v>0</v>
      </c>
      <c r="B34" s="304" t="s">
        <v>132</v>
      </c>
      <c r="C34" s="238" t="s">
        <v>124</v>
      </c>
      <c r="D34" s="239">
        <f>vlookup(D$5,'Макроси'!O7:T9,5,False)</f>
        <v>35</v>
      </c>
      <c r="E34" s="240">
        <f>vlookup(E$5,'Макроси'!O7:T9,5,False)</f>
        <v>20</v>
      </c>
      <c r="F34" s="240">
        <f>vlookup(F$5,'Макроси'!O7:T9,5,False)</f>
        <v>10</v>
      </c>
      <c r="G34" s="270"/>
      <c r="H34" s="241">
        <f>IF(ISERROR(ROUNDUP((D34+E34)*4+F34*9,0)),"",ROUNDUP((D34+E34)*4+F34*9,0))</f>
        <v>310</v>
      </c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1"/>
      <c r="T34" s="221"/>
      <c r="U34" s="221"/>
      <c r="V34" s="221"/>
      <c r="W34" s="221"/>
      <c r="X34" s="221"/>
      <c r="Y34" s="221"/>
      <c r="Z34" s="221"/>
      <c r="AA34" s="221"/>
      <c r="AB34" s="297"/>
    </row>
    <row r="35">
      <c r="A35" s="105"/>
      <c r="B35" s="242"/>
      <c r="C35" s="243" t="s">
        <v>125</v>
      </c>
      <c r="D35" s="228">
        <f t="shared" ref="D35:H35" si="6">SUM(D36:D45)</f>
        <v>39</v>
      </c>
      <c r="E35" s="229">
        <f t="shared" si="6"/>
        <v>20.28</v>
      </c>
      <c r="F35" s="229">
        <f t="shared" si="6"/>
        <v>5.85</v>
      </c>
      <c r="G35" s="229">
        <f t="shared" si="6"/>
        <v>0</v>
      </c>
      <c r="H35" s="230">
        <f t="shared" si="6"/>
        <v>290</v>
      </c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1"/>
      <c r="T35" s="221"/>
      <c r="U35" s="221"/>
      <c r="V35" s="221"/>
      <c r="W35" s="221"/>
      <c r="X35" s="221"/>
      <c r="Y35" s="221"/>
      <c r="Z35" s="221"/>
      <c r="AA35" s="221"/>
      <c r="AB35" s="297"/>
    </row>
    <row r="36" outlineLevel="1">
      <c r="A36" s="308" t="s">
        <v>126</v>
      </c>
      <c r="B36" s="308" t="s">
        <v>127</v>
      </c>
      <c r="C36" s="251">
        <v>390.0</v>
      </c>
      <c r="D36" s="252">
        <f>IF(ISNA(($C36/100)*VLOOKUP($B36,DB,3,FALSE)),"",($C36/100)*VLOOKUP($B36,DB,3,FALSE))</f>
        <v>39</v>
      </c>
      <c r="E36" s="252">
        <f>IF(ISNA(($C36/100)*VLOOKUP($B36,DB,4,FALSE)),"",($C36/100)*VLOOKUP($B36,DB,4,FALSE))</f>
        <v>20.28</v>
      </c>
      <c r="F36" s="252">
        <f>IF(ISNA(($C36/100)*VLOOKUP($B36,DB,5,FALSE)),"",($C36/100)*VLOOKUP($B36,DB,5,FALSE))</f>
        <v>5.85</v>
      </c>
      <c r="G36" s="252">
        <f>IF(ISNA(($C36/100)*VLOOKUP($B36,DB,6,FALSE)),"",($C36/100)*VLOOKUP($B36,DB,6,FALSE))</f>
        <v>0</v>
      </c>
      <c r="H36" s="253">
        <f t="shared" ref="H36:H45" si="7">IF(ISERROR(ROUNDUP((D36+E36)*4+F36*9,0)),"",ROUNDUP((D36+E36)*4+F36*9,0))</f>
        <v>290</v>
      </c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09"/>
      <c r="U36" s="309"/>
      <c r="V36" s="309"/>
      <c r="W36" s="309"/>
      <c r="X36" s="309"/>
      <c r="Y36" s="309"/>
      <c r="Z36" s="309"/>
      <c r="AA36" s="309"/>
      <c r="AB36" s="310"/>
    </row>
    <row r="37" outlineLevel="1">
      <c r="A37" s="308"/>
      <c r="B37" s="308"/>
      <c r="C37" s="251"/>
      <c r="D37" s="252" t="str">
        <f>IF(ISNA(($C37/100)*VLOOKUP($B37,DB,3,FALSE)),"",($C37/100)*VLOOKUP($B37,DB,3,FALSE))</f>
        <v/>
      </c>
      <c r="E37" s="252" t="str">
        <f>IF(ISNA(($C37/100)*VLOOKUP($B37,DB,4,FALSE)),"",($C37/100)*VLOOKUP($B37,DB,4,FALSE))</f>
        <v/>
      </c>
      <c r="F37" s="252" t="str">
        <f>IF(ISNA(($C37/100)*VLOOKUP($B37,DB,5,FALSE)),"",($C37/100)*VLOOKUP($B37,DB,5,FALSE))</f>
        <v/>
      </c>
      <c r="G37" s="252" t="str">
        <f>IF(ISNA(($C37/100)*VLOOKUP($B37,DB,6,FALSE)),"",($C37/100)*VLOOKUP($B37,DB,6,FALSE))</f>
        <v/>
      </c>
      <c r="H37" s="253">
        <f t="shared" si="7"/>
        <v>0</v>
      </c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09"/>
      <c r="U37" s="309"/>
      <c r="V37" s="309"/>
      <c r="W37" s="309"/>
      <c r="X37" s="309"/>
      <c r="Y37" s="309"/>
      <c r="Z37" s="309"/>
      <c r="AA37" s="309"/>
      <c r="AB37" s="310"/>
    </row>
    <row r="38" outlineLevel="1">
      <c r="A38" s="308"/>
      <c r="B38" s="308"/>
      <c r="C38" s="251"/>
      <c r="D38" s="252" t="str">
        <f>IF(ISNA(($C38/100)*VLOOKUP($B38,DB,3,FALSE)),"",($C38/100)*VLOOKUP($B38,DB,3,FALSE))</f>
        <v/>
      </c>
      <c r="E38" s="252" t="str">
        <f>IF(ISNA(($C38/100)*VLOOKUP($B38,DB,4,FALSE)),"",($C38/100)*VLOOKUP($B38,DB,4,FALSE))</f>
        <v/>
      </c>
      <c r="F38" s="252" t="str">
        <f>IF(ISNA(($C38/100)*VLOOKUP($B38,DB,5,FALSE)),"",($C38/100)*VLOOKUP($B38,DB,5,FALSE))</f>
        <v/>
      </c>
      <c r="G38" s="252" t="str">
        <f>IF(ISNA(($C38/100)*VLOOKUP($B38,DB,6,FALSE)),"",($C38/100)*VLOOKUP($B38,DB,6,FALSE))</f>
        <v/>
      </c>
      <c r="H38" s="253">
        <f t="shared" si="7"/>
        <v>0</v>
      </c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09"/>
      <c r="U38" s="309"/>
      <c r="V38" s="309"/>
      <c r="W38" s="309"/>
      <c r="X38" s="309"/>
      <c r="Y38" s="309"/>
      <c r="Z38" s="309"/>
      <c r="AA38" s="309"/>
      <c r="AB38" s="310"/>
    </row>
    <row r="39" outlineLevel="1">
      <c r="A39" s="308"/>
      <c r="B39" s="308"/>
      <c r="C39" s="251"/>
      <c r="D39" s="252" t="str">
        <f>IF(ISNA(($C39/100)*VLOOKUP($B39,DB,3,FALSE)),"",($C39/100)*VLOOKUP($B39,DB,3,FALSE))</f>
        <v/>
      </c>
      <c r="E39" s="252" t="str">
        <f>IF(ISNA(($C39/100)*VLOOKUP($B39,DB,4,FALSE)),"",($C39/100)*VLOOKUP($B39,DB,4,FALSE))</f>
        <v/>
      </c>
      <c r="F39" s="252" t="str">
        <f>IF(ISNA(($C39/100)*VLOOKUP($B39,DB,5,FALSE)),"",($C39/100)*VLOOKUP($B39,DB,5,FALSE))</f>
        <v/>
      </c>
      <c r="G39" s="252" t="str">
        <f>IF(ISNA(($C39/100)*VLOOKUP($B39,DB,6,FALSE)),"",($C39/100)*VLOOKUP($B39,DB,6,FALSE))</f>
        <v/>
      </c>
      <c r="H39" s="253">
        <f t="shared" si="7"/>
        <v>0</v>
      </c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  <c r="X39" s="309"/>
      <c r="Y39" s="309"/>
      <c r="Z39" s="309"/>
      <c r="AA39" s="309"/>
      <c r="AB39" s="310"/>
    </row>
    <row r="40" outlineLevel="1">
      <c r="A40" s="308"/>
      <c r="B40" s="308"/>
      <c r="C40" s="251"/>
      <c r="D40" s="252" t="str">
        <f>IF(ISNA(($C40/100)*VLOOKUP($B40,DB,3,FALSE)),"",($C40/100)*VLOOKUP($B40,DB,3,FALSE))</f>
        <v/>
      </c>
      <c r="E40" s="252" t="str">
        <f>IF(ISNA(($C40/100)*VLOOKUP($B40,DB,4,FALSE)),"",($C40/100)*VLOOKUP($B40,DB,4,FALSE))</f>
        <v/>
      </c>
      <c r="F40" s="252" t="str">
        <f>IF(ISNA(($C40/100)*VLOOKUP($B40,DB,5,FALSE)),"",($C40/100)*VLOOKUP($B40,DB,5,FALSE))</f>
        <v/>
      </c>
      <c r="G40" s="252" t="str">
        <f>IF(ISNA(($C40/100)*VLOOKUP($B40,DB,6,FALSE)),"",($C40/100)*VLOOKUP($B40,DB,6,FALSE))</f>
        <v/>
      </c>
      <c r="H40" s="253">
        <f t="shared" si="7"/>
        <v>0</v>
      </c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  <c r="X40" s="309"/>
      <c r="Y40" s="309"/>
      <c r="Z40" s="309"/>
      <c r="AA40" s="309"/>
      <c r="AB40" s="310"/>
    </row>
    <row r="41" outlineLevel="1">
      <c r="A41" s="308"/>
      <c r="B41" s="308"/>
      <c r="C41" s="251"/>
      <c r="D41" s="252" t="str">
        <f>IF(ISNA(($C41/100)*VLOOKUP($B41,DB,3,FALSE)),"",($C41/100)*VLOOKUP($B41,DB,3,FALSE))</f>
        <v/>
      </c>
      <c r="E41" s="252" t="str">
        <f>IF(ISNA(($C41/100)*VLOOKUP($B41,DB,4,FALSE)),"",($C41/100)*VLOOKUP($B41,DB,4,FALSE))</f>
        <v/>
      </c>
      <c r="F41" s="252" t="str">
        <f>IF(ISNA(($C41/100)*VLOOKUP($B41,DB,5,FALSE)),"",($C41/100)*VLOOKUP($B41,DB,5,FALSE))</f>
        <v/>
      </c>
      <c r="G41" s="252" t="str">
        <f>IF(ISNA(($C41/100)*VLOOKUP($B41,DB,6,FALSE)),"",($C41/100)*VLOOKUP($B41,DB,6,FALSE))</f>
        <v/>
      </c>
      <c r="H41" s="253">
        <f t="shared" si="7"/>
        <v>0</v>
      </c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  <c r="Y41" s="309"/>
      <c r="Z41" s="309"/>
      <c r="AA41" s="309"/>
      <c r="AB41" s="310"/>
    </row>
    <row r="42" outlineLevel="1">
      <c r="A42" s="308"/>
      <c r="B42" s="308"/>
      <c r="C42" s="251"/>
      <c r="D42" s="252" t="str">
        <f>IF(ISNA(($C42/100)*VLOOKUP($B42,DB,3,FALSE)),"",($C42/100)*VLOOKUP($B42,DB,3,FALSE))</f>
        <v/>
      </c>
      <c r="E42" s="252" t="str">
        <f>IF(ISNA(($C42/100)*VLOOKUP($B42,DB,4,FALSE)),"",($C42/100)*VLOOKUP($B42,DB,4,FALSE))</f>
        <v/>
      </c>
      <c r="F42" s="252" t="str">
        <f>IF(ISNA(($C42/100)*VLOOKUP($B42,DB,5,FALSE)),"",($C42/100)*VLOOKUP($B42,DB,5,FALSE))</f>
        <v/>
      </c>
      <c r="G42" s="252" t="str">
        <f>IF(ISNA(($C42/100)*VLOOKUP($B42,DB,6,FALSE)),"",($C42/100)*VLOOKUP($B42,DB,6,FALSE))</f>
        <v/>
      </c>
      <c r="H42" s="253">
        <f t="shared" si="7"/>
        <v>0</v>
      </c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  <c r="X42" s="309"/>
      <c r="Y42" s="309"/>
      <c r="Z42" s="309"/>
      <c r="AA42" s="309"/>
      <c r="AB42" s="310"/>
    </row>
    <row r="43" outlineLevel="1">
      <c r="A43" s="308"/>
      <c r="B43" s="308"/>
      <c r="C43" s="251"/>
      <c r="D43" s="252" t="str">
        <f>IF(ISNA(($C43/100)*VLOOKUP($B43,DB,3,FALSE)),"",($C43/100)*VLOOKUP($B43,DB,3,FALSE))</f>
        <v/>
      </c>
      <c r="E43" s="252" t="str">
        <f>IF(ISNA(($C43/100)*VLOOKUP($B43,DB,4,FALSE)),"",($C43/100)*VLOOKUP($B43,DB,4,FALSE))</f>
        <v/>
      </c>
      <c r="F43" s="252" t="str">
        <f>IF(ISNA(($C43/100)*VLOOKUP($B43,DB,5,FALSE)),"",($C43/100)*VLOOKUP($B43,DB,5,FALSE))</f>
        <v/>
      </c>
      <c r="G43" s="252" t="str">
        <f>IF(ISNA(($C43/100)*VLOOKUP($B43,DB,6,FALSE)),"",($C43/100)*VLOOKUP($B43,DB,6,FALSE))</f>
        <v/>
      </c>
      <c r="H43" s="253">
        <f t="shared" si="7"/>
        <v>0</v>
      </c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  <c r="X43" s="309"/>
      <c r="Y43" s="309"/>
      <c r="Z43" s="309"/>
      <c r="AA43" s="309"/>
      <c r="AB43" s="310"/>
    </row>
    <row r="44" outlineLevel="1">
      <c r="A44" s="311" t="s">
        <v>130</v>
      </c>
      <c r="B44" s="255"/>
      <c r="C44" s="256"/>
      <c r="D44" s="272"/>
      <c r="E44" s="272"/>
      <c r="F44" s="272"/>
      <c r="G44" s="272"/>
      <c r="H44" s="312">
        <f t="shared" si="7"/>
        <v>0</v>
      </c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221"/>
      <c r="Z44" s="221"/>
      <c r="AA44" s="221"/>
      <c r="AB44" s="297"/>
    </row>
    <row r="45" outlineLevel="1">
      <c r="A45" s="313" t="s">
        <v>130</v>
      </c>
      <c r="B45" s="260"/>
      <c r="C45" s="89"/>
      <c r="D45" s="261"/>
      <c r="E45" s="261"/>
      <c r="F45" s="261"/>
      <c r="G45" s="261"/>
      <c r="H45" s="314">
        <f t="shared" si="7"/>
        <v>0</v>
      </c>
      <c r="I45" s="221"/>
      <c r="J45" s="221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X45" s="221"/>
      <c r="Y45" s="221"/>
      <c r="Z45" s="221"/>
      <c r="AA45" s="221"/>
      <c r="AB45" s="297"/>
    </row>
    <row r="46">
      <c r="A46" s="315"/>
      <c r="B46" s="316"/>
      <c r="C46" s="317"/>
      <c r="D46" s="318"/>
      <c r="E46" s="318"/>
      <c r="F46" s="318"/>
      <c r="G46" s="319"/>
      <c r="H46" s="268">
        <f>(D46+E46)*4+F46*9</f>
        <v>0</v>
      </c>
      <c r="I46" s="221"/>
      <c r="J46" s="221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X46" s="221"/>
      <c r="Y46" s="221"/>
      <c r="Z46" s="221"/>
      <c r="AA46" s="221"/>
      <c r="AB46" s="297"/>
    </row>
    <row r="47">
      <c r="A47" s="302" t="s">
        <v>58</v>
      </c>
      <c r="B47" s="105"/>
      <c r="C47" s="227"/>
      <c r="D47" s="217" t="s">
        <v>19</v>
      </c>
      <c r="E47" s="218" t="s">
        <v>20</v>
      </c>
      <c r="F47" s="218" t="s">
        <v>21</v>
      </c>
      <c r="G47" s="219" t="s">
        <v>22</v>
      </c>
      <c r="H47" s="220" t="s">
        <v>7</v>
      </c>
      <c r="I47" s="221"/>
      <c r="J47" s="221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X47" s="221"/>
      <c r="Y47" s="221"/>
      <c r="Z47" s="221"/>
      <c r="AA47" s="221"/>
      <c r="AB47" s="297"/>
    </row>
    <row r="48">
      <c r="A48" s="303" t="s">
        <v>0</v>
      </c>
      <c r="B48" s="304" t="s">
        <v>17</v>
      </c>
      <c r="C48" s="238" t="s">
        <v>124</v>
      </c>
      <c r="D48" s="239">
        <f>vlookup(D$5,'Макроси'!O7:T9,6,False)</f>
        <v>55</v>
      </c>
      <c r="E48" s="240">
        <f>vlookup(E$5,'Макроси'!O7:T9,6,False)</f>
        <v>70</v>
      </c>
      <c r="F48" s="240">
        <f>vlookup(F$5,'Макроси'!O7:T9,6,False)</f>
        <v>15</v>
      </c>
      <c r="G48" s="270"/>
      <c r="H48" s="241">
        <f>IF(ISERROR(ROUNDUP((D48+E48)*4+F48*9,0)),"",ROUNDUP((D48+E48)*4+F48*9,0))</f>
        <v>635</v>
      </c>
      <c r="I48" s="221"/>
      <c r="J48" s="221"/>
      <c r="K48" s="221"/>
      <c r="L48" s="221"/>
      <c r="M48" s="221"/>
      <c r="N48" s="221"/>
      <c r="O48" s="221"/>
      <c r="P48" s="221"/>
      <c r="Q48" s="297"/>
      <c r="R48" s="221"/>
      <c r="S48" s="221"/>
      <c r="T48" s="221"/>
      <c r="U48" s="221"/>
      <c r="V48" s="221"/>
      <c r="W48" s="221"/>
      <c r="X48" s="221"/>
      <c r="Y48" s="221"/>
      <c r="Z48" s="221"/>
      <c r="AA48" s="221"/>
      <c r="AB48" s="297"/>
    </row>
    <row r="49">
      <c r="A49" s="105"/>
      <c r="B49" s="242"/>
      <c r="C49" s="243" t="s">
        <v>125</v>
      </c>
      <c r="D49" s="228">
        <f t="shared" ref="D49:H49" si="8">SUM(D50:D59)</f>
        <v>61.85</v>
      </c>
      <c r="E49" s="229">
        <f t="shared" si="8"/>
        <v>100.5</v>
      </c>
      <c r="F49" s="229">
        <f t="shared" si="8"/>
        <v>20.75</v>
      </c>
      <c r="G49" s="229">
        <f t="shared" si="8"/>
        <v>15</v>
      </c>
      <c r="H49" s="230">
        <f t="shared" si="8"/>
        <v>837</v>
      </c>
      <c r="I49" s="221"/>
      <c r="J49" s="221"/>
      <c r="K49" s="221"/>
      <c r="L49" s="221"/>
      <c r="M49" s="221"/>
      <c r="N49" s="221"/>
      <c r="O49" s="221"/>
      <c r="P49" s="221"/>
      <c r="Q49" s="221"/>
      <c r="R49" s="221"/>
      <c r="S49" s="221"/>
      <c r="T49" s="221"/>
      <c r="U49" s="221"/>
      <c r="V49" s="221"/>
      <c r="W49" s="221"/>
      <c r="X49" s="221"/>
      <c r="Y49" s="221"/>
      <c r="Z49" s="221"/>
      <c r="AA49" s="221"/>
      <c r="AB49" s="297"/>
    </row>
    <row r="50" outlineLevel="1">
      <c r="A50" s="308" t="s">
        <v>29</v>
      </c>
      <c r="B50" s="308" t="s">
        <v>133</v>
      </c>
      <c r="C50" s="251">
        <v>270.0</v>
      </c>
      <c r="D50" s="252">
        <f>IF(ISNA(($C50/100)*VLOOKUP($B50,DB,3,FALSE)),"",($C50/100)*VLOOKUP($B50,DB,3,FALSE))</f>
        <v>54</v>
      </c>
      <c r="E50" s="252">
        <f>IF(ISNA(($C50/100)*VLOOKUP($B50,DB,4,FALSE)),"",($C50/100)*VLOOKUP($B50,DB,4,FALSE))</f>
        <v>0</v>
      </c>
      <c r="F50" s="252">
        <f>IF(ISNA(($C50/100)*VLOOKUP($B50,DB,5,FALSE)),"",($C50/100)*VLOOKUP($B50,DB,5,FALSE))</f>
        <v>20.25</v>
      </c>
      <c r="G50" s="252">
        <f>IF(ISNA(($C50/100)*VLOOKUP($B50,DB,6,FALSE)),"",($C50/100)*VLOOKUP($B50,DB,6,FALSE))</f>
        <v>0</v>
      </c>
      <c r="H50" s="253">
        <f t="shared" ref="H50:H59" si="9">IF(ISERROR(ROUNDUP((D50+E50)*4+F50*9,0)),"",ROUNDUP((D50+E50)*4+F50*9,0))</f>
        <v>399</v>
      </c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  <c r="X50" s="309"/>
      <c r="Y50" s="309"/>
      <c r="Z50" s="309"/>
      <c r="AA50" s="309"/>
      <c r="AB50" s="310"/>
    </row>
    <row r="51" outlineLevel="1">
      <c r="A51" s="308" t="s">
        <v>134</v>
      </c>
      <c r="B51" s="308" t="s">
        <v>135</v>
      </c>
      <c r="C51" s="251">
        <v>500.0</v>
      </c>
      <c r="D51" s="252">
        <f>IF(ISNA(($C51/100)*VLOOKUP($B51,DB,3,FALSE)),"",($C51/100)*VLOOKUP($B51,DB,3,FALSE))</f>
        <v>7.85</v>
      </c>
      <c r="E51" s="252">
        <f>IF(ISNA(($C51/100)*VLOOKUP($B51,DB,4,FALSE)),"",($C51/100)*VLOOKUP($B51,DB,4,FALSE))</f>
        <v>100.5</v>
      </c>
      <c r="F51" s="252">
        <f>IF(ISNA(($C51/100)*VLOOKUP($B51,DB,5,FALSE)),"",($C51/100)*VLOOKUP($B51,DB,5,FALSE))</f>
        <v>0.5</v>
      </c>
      <c r="G51" s="252">
        <f>IF(ISNA(($C51/100)*VLOOKUP($B51,DB,6,FALSE)),"",($C51/100)*VLOOKUP($B51,DB,6,FALSE))</f>
        <v>15</v>
      </c>
      <c r="H51" s="253">
        <f t="shared" si="9"/>
        <v>438</v>
      </c>
      <c r="I51" s="309"/>
      <c r="J51" s="309"/>
      <c r="K51" s="309"/>
      <c r="L51" s="309"/>
      <c r="M51" s="309"/>
      <c r="N51" s="309"/>
      <c r="O51" s="309"/>
      <c r="P51" s="309"/>
      <c r="Q51" s="309"/>
      <c r="R51" s="309"/>
      <c r="S51" s="309"/>
      <c r="T51" s="309"/>
      <c r="U51" s="309"/>
      <c r="V51" s="309"/>
      <c r="W51" s="309"/>
      <c r="X51" s="309"/>
      <c r="Y51" s="309"/>
      <c r="Z51" s="309"/>
      <c r="AA51" s="309"/>
      <c r="AB51" s="310"/>
    </row>
    <row r="52" outlineLevel="1">
      <c r="A52" s="308"/>
      <c r="B52" s="308"/>
      <c r="C52" s="251"/>
      <c r="D52" s="252" t="str">
        <f>IF(ISNA(($C52/100)*VLOOKUP($B52,DB,3,FALSE)),"",($C52/100)*VLOOKUP($B52,DB,3,FALSE))</f>
        <v/>
      </c>
      <c r="E52" s="252" t="str">
        <f>IF(ISNA(($C52/100)*VLOOKUP($B52,DB,4,FALSE)),"",($C52/100)*VLOOKUP($B52,DB,4,FALSE))</f>
        <v/>
      </c>
      <c r="F52" s="252" t="str">
        <f>IF(ISNA(($C52/100)*VLOOKUP($B52,DB,5,FALSE)),"",($C52/100)*VLOOKUP($B52,DB,5,FALSE))</f>
        <v/>
      </c>
      <c r="G52" s="252" t="str">
        <f>IF(ISNA(($C52/100)*VLOOKUP($B52,DB,6,FALSE)),"",($C52/100)*VLOOKUP($B52,DB,6,FALSE))</f>
        <v/>
      </c>
      <c r="H52" s="253">
        <f t="shared" si="9"/>
        <v>0</v>
      </c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  <c r="X52" s="309"/>
      <c r="Y52" s="309"/>
      <c r="Z52" s="309"/>
      <c r="AA52" s="309"/>
      <c r="AB52" s="310"/>
    </row>
    <row r="53" outlineLevel="1">
      <c r="A53" s="322"/>
      <c r="B53" s="322"/>
      <c r="C53" s="323"/>
      <c r="D53" s="324" t="str">
        <f>IF(ISNA(($C53/100)*VLOOKUP($B53,DB,3,FALSE)),"",($C53/100)*VLOOKUP($B53,DB,3,FALSE))</f>
        <v/>
      </c>
      <c r="E53" s="324" t="str">
        <f>IF(ISNA(($C53/100)*VLOOKUP($B53,DB,4,FALSE)),"",($C53/100)*VLOOKUP($B53,DB,4,FALSE))</f>
        <v/>
      </c>
      <c r="F53" s="324" t="str">
        <f>IF(ISNA(($C53/100)*VLOOKUP($B53,DB,5,FALSE)),"",($C53/100)*VLOOKUP($B53,DB,5,FALSE))</f>
        <v/>
      </c>
      <c r="G53" s="324" t="str">
        <f>IF(ISNA(($C53/100)*VLOOKUP($B53,DB,6,FALSE)),"",($C53/100)*VLOOKUP($B53,DB,6,FALSE))</f>
        <v/>
      </c>
      <c r="H53" s="325">
        <f t="shared" si="9"/>
        <v>0</v>
      </c>
      <c r="I53" s="326"/>
      <c r="J53" s="326"/>
      <c r="K53" s="326"/>
      <c r="L53" s="326"/>
      <c r="M53" s="326"/>
      <c r="N53" s="326"/>
      <c r="O53" s="326"/>
      <c r="P53" s="326"/>
      <c r="Q53" s="326"/>
      <c r="R53" s="326"/>
      <c r="S53" s="326"/>
      <c r="T53" s="326"/>
      <c r="U53" s="326"/>
      <c r="V53" s="326"/>
      <c r="W53" s="326"/>
      <c r="X53" s="326"/>
      <c r="Y53" s="326"/>
      <c r="Z53" s="326"/>
      <c r="AA53" s="326"/>
      <c r="AB53" s="327"/>
    </row>
    <row r="54" outlineLevel="1">
      <c r="A54" s="322"/>
      <c r="B54" s="322"/>
      <c r="C54" s="323"/>
      <c r="D54" s="324" t="str">
        <f>IF(ISNA(($C54/100)*VLOOKUP($B54,DB,3,FALSE)),"",($C54/100)*VLOOKUP($B54,DB,3,FALSE))</f>
        <v/>
      </c>
      <c r="E54" s="324" t="str">
        <f>IF(ISNA(($C54/100)*VLOOKUP($B54,DB,4,FALSE)),"",($C54/100)*VLOOKUP($B54,DB,4,FALSE))</f>
        <v/>
      </c>
      <c r="F54" s="324" t="str">
        <f>IF(ISNA(($C54/100)*VLOOKUP($B54,DB,5,FALSE)),"",($C54/100)*VLOOKUP($B54,DB,5,FALSE))</f>
        <v/>
      </c>
      <c r="G54" s="324" t="str">
        <f>IF(ISNA(($C54/100)*VLOOKUP($B54,DB,6,FALSE)),"",($C54/100)*VLOOKUP($B54,DB,6,FALSE))</f>
        <v/>
      </c>
      <c r="H54" s="325">
        <f t="shared" si="9"/>
        <v>0</v>
      </c>
      <c r="I54" s="326"/>
      <c r="J54" s="326"/>
      <c r="K54" s="326"/>
      <c r="L54" s="326"/>
      <c r="M54" s="326"/>
      <c r="N54" s="326"/>
      <c r="O54" s="326"/>
      <c r="P54" s="326"/>
      <c r="Q54" s="326"/>
      <c r="R54" s="326"/>
      <c r="S54" s="326"/>
      <c r="T54" s="326"/>
      <c r="U54" s="326"/>
      <c r="V54" s="326"/>
      <c r="W54" s="326"/>
      <c r="X54" s="326"/>
      <c r="Y54" s="326"/>
      <c r="Z54" s="326"/>
      <c r="AA54" s="326"/>
      <c r="AB54" s="327"/>
    </row>
    <row r="55" outlineLevel="1">
      <c r="A55" s="322"/>
      <c r="B55" s="322"/>
      <c r="C55" s="323"/>
      <c r="D55" s="324" t="str">
        <f>IF(ISNA(($C55/100)*VLOOKUP($B55,DB,3,FALSE)),"",($C55/100)*VLOOKUP($B55,DB,3,FALSE))</f>
        <v/>
      </c>
      <c r="E55" s="324" t="str">
        <f>IF(ISNA(($C55/100)*VLOOKUP($B55,DB,4,FALSE)),"",($C55/100)*VLOOKUP($B55,DB,4,FALSE))</f>
        <v/>
      </c>
      <c r="F55" s="324" t="str">
        <f>IF(ISNA(($C55/100)*VLOOKUP($B55,DB,5,FALSE)),"",($C55/100)*VLOOKUP($B55,DB,5,FALSE))</f>
        <v/>
      </c>
      <c r="G55" s="324" t="str">
        <f>IF(ISNA(($C55/100)*VLOOKUP($B55,DB,6,FALSE)),"",($C55/100)*VLOOKUP($B55,DB,6,FALSE))</f>
        <v/>
      </c>
      <c r="H55" s="325">
        <f t="shared" si="9"/>
        <v>0</v>
      </c>
      <c r="I55" s="326"/>
      <c r="J55" s="326"/>
      <c r="K55" s="326"/>
      <c r="L55" s="326"/>
      <c r="M55" s="326"/>
      <c r="N55" s="326"/>
      <c r="O55" s="326"/>
      <c r="P55" s="326"/>
      <c r="Q55" s="326"/>
      <c r="R55" s="326"/>
      <c r="S55" s="326"/>
      <c r="T55" s="326"/>
      <c r="U55" s="326"/>
      <c r="V55" s="326"/>
      <c r="W55" s="326"/>
      <c r="X55" s="326"/>
      <c r="Y55" s="326"/>
      <c r="Z55" s="326"/>
      <c r="AA55" s="326"/>
      <c r="AB55" s="327"/>
    </row>
    <row r="56" outlineLevel="1">
      <c r="A56" s="322"/>
      <c r="B56" s="322"/>
      <c r="C56" s="323"/>
      <c r="D56" s="324" t="str">
        <f>IF(ISNA(($C56/100)*VLOOKUP($B56,DB,3,FALSE)),"",($C56/100)*VLOOKUP($B56,DB,3,FALSE))</f>
        <v/>
      </c>
      <c r="E56" s="324" t="str">
        <f>IF(ISNA(($C56/100)*VLOOKUP($B56,DB,4,FALSE)),"",($C56/100)*VLOOKUP($B56,DB,4,FALSE))</f>
        <v/>
      </c>
      <c r="F56" s="324" t="str">
        <f>IF(ISNA(($C56/100)*VLOOKUP($B56,DB,5,FALSE)),"",($C56/100)*VLOOKUP($B56,DB,5,FALSE))</f>
        <v/>
      </c>
      <c r="G56" s="324" t="str">
        <f>IF(ISNA(($C56/100)*VLOOKUP($B56,DB,6,FALSE)),"",($C56/100)*VLOOKUP($B56,DB,6,FALSE))</f>
        <v/>
      </c>
      <c r="H56" s="325">
        <f t="shared" si="9"/>
        <v>0</v>
      </c>
      <c r="I56" s="326"/>
      <c r="J56" s="326"/>
      <c r="K56" s="326"/>
      <c r="L56" s="326"/>
      <c r="M56" s="326"/>
      <c r="N56" s="326"/>
      <c r="O56" s="326"/>
      <c r="P56" s="326"/>
      <c r="Q56" s="326"/>
      <c r="R56" s="326"/>
      <c r="S56" s="326"/>
      <c r="T56" s="326"/>
      <c r="U56" s="326"/>
      <c r="V56" s="326"/>
      <c r="W56" s="326"/>
      <c r="X56" s="326"/>
      <c r="Y56" s="326"/>
      <c r="Z56" s="326"/>
      <c r="AA56" s="326"/>
      <c r="AB56" s="327"/>
    </row>
    <row r="57" outlineLevel="1">
      <c r="A57" s="322"/>
      <c r="B57" s="322"/>
      <c r="C57" s="323"/>
      <c r="D57" s="324" t="str">
        <f>IF(ISNA(($C57/100)*VLOOKUP($B57,DB,3,FALSE)),"",($C57/100)*VLOOKUP($B57,DB,3,FALSE))</f>
        <v/>
      </c>
      <c r="E57" s="324" t="str">
        <f>IF(ISNA(($C57/100)*VLOOKUP($B57,DB,4,FALSE)),"",($C57/100)*VLOOKUP($B57,DB,4,FALSE))</f>
        <v/>
      </c>
      <c r="F57" s="324" t="str">
        <f>IF(ISNA(($C57/100)*VLOOKUP($B57,DB,5,FALSE)),"",($C57/100)*VLOOKUP($B57,DB,5,FALSE))</f>
        <v/>
      </c>
      <c r="G57" s="324" t="str">
        <f>IF(ISNA(($C57/100)*VLOOKUP($B57,DB,6,FALSE)),"",($C57/100)*VLOOKUP($B57,DB,6,FALSE))</f>
        <v/>
      </c>
      <c r="H57" s="325">
        <f t="shared" si="9"/>
        <v>0</v>
      </c>
      <c r="I57" s="326"/>
      <c r="J57" s="326"/>
      <c r="K57" s="326"/>
      <c r="L57" s="326"/>
      <c r="M57" s="326"/>
      <c r="N57" s="326"/>
      <c r="O57" s="326"/>
      <c r="P57" s="326"/>
      <c r="Q57" s="326"/>
      <c r="R57" s="326"/>
      <c r="S57" s="326"/>
      <c r="T57" s="326"/>
      <c r="U57" s="326"/>
      <c r="V57" s="326"/>
      <c r="W57" s="326"/>
      <c r="X57" s="326"/>
      <c r="Y57" s="326"/>
      <c r="Z57" s="326"/>
      <c r="AA57" s="326"/>
      <c r="AB57" s="327"/>
    </row>
    <row r="58">
      <c r="A58" s="311" t="s">
        <v>130</v>
      </c>
      <c r="B58" s="255"/>
      <c r="C58" s="256"/>
      <c r="D58" s="272"/>
      <c r="E58" s="272"/>
      <c r="F58" s="272"/>
      <c r="G58" s="272"/>
      <c r="H58" s="312">
        <f t="shared" si="9"/>
        <v>0</v>
      </c>
      <c r="I58" s="221"/>
      <c r="J58" s="221"/>
      <c r="K58" s="221"/>
      <c r="L58" s="221"/>
      <c r="M58" s="221"/>
      <c r="N58" s="221"/>
      <c r="O58" s="221"/>
      <c r="P58" s="221"/>
      <c r="Q58" s="221"/>
      <c r="R58" s="221"/>
      <c r="S58" s="221"/>
      <c r="T58" s="221"/>
      <c r="U58" s="221"/>
      <c r="V58" s="221"/>
      <c r="W58" s="221"/>
      <c r="X58" s="221"/>
      <c r="Y58" s="221"/>
      <c r="Z58" s="221"/>
      <c r="AA58" s="221"/>
      <c r="AB58" s="297"/>
    </row>
    <row r="59">
      <c r="A59" s="313" t="s">
        <v>130</v>
      </c>
      <c r="B59" s="260"/>
      <c r="C59" s="89"/>
      <c r="D59" s="261"/>
      <c r="E59" s="261"/>
      <c r="F59" s="261"/>
      <c r="G59" s="261"/>
      <c r="H59" s="314">
        <f t="shared" si="9"/>
        <v>0</v>
      </c>
      <c r="I59" s="221"/>
      <c r="J59" s="221"/>
      <c r="K59" s="221"/>
      <c r="L59" s="221"/>
      <c r="M59" s="221"/>
      <c r="N59" s="221"/>
      <c r="O59" s="221"/>
      <c r="P59" s="221"/>
      <c r="Q59" s="221"/>
      <c r="R59" s="221"/>
      <c r="S59" s="221"/>
      <c r="T59" s="221"/>
      <c r="U59" s="221"/>
      <c r="V59" s="221"/>
      <c r="W59" s="221"/>
      <c r="X59" s="221"/>
      <c r="Y59" s="221"/>
      <c r="Z59" s="221"/>
      <c r="AA59" s="221"/>
      <c r="AB59" s="297"/>
    </row>
    <row r="60">
      <c r="A60" s="302" t="s">
        <v>58</v>
      </c>
      <c r="B60" s="105"/>
      <c r="C60" s="227"/>
      <c r="D60" s="217" t="s">
        <v>19</v>
      </c>
      <c r="E60" s="218" t="s">
        <v>20</v>
      </c>
      <c r="F60" s="218" t="s">
        <v>21</v>
      </c>
      <c r="G60" s="219" t="s">
        <v>22</v>
      </c>
      <c r="H60" s="220" t="s">
        <v>7</v>
      </c>
      <c r="I60" s="221"/>
      <c r="J60" s="221"/>
      <c r="K60" s="221"/>
      <c r="L60" s="221"/>
      <c r="M60" s="221"/>
      <c r="N60" s="221"/>
      <c r="O60" s="221"/>
      <c r="P60" s="221"/>
      <c r="Q60" s="221"/>
      <c r="R60" s="221"/>
      <c r="S60" s="221"/>
      <c r="T60" s="221"/>
      <c r="U60" s="221"/>
      <c r="V60" s="221"/>
      <c r="W60" s="221"/>
      <c r="X60" s="221"/>
      <c r="Y60" s="221"/>
      <c r="Z60" s="221"/>
      <c r="AA60" s="221"/>
      <c r="AB60" s="297"/>
    </row>
    <row r="61">
      <c r="A61" s="303" t="s">
        <v>0</v>
      </c>
      <c r="B61" s="304" t="s">
        <v>17</v>
      </c>
      <c r="C61" s="238" t="s">
        <v>124</v>
      </c>
      <c r="D61" s="239" t="str">
        <f>vlookup(D$5,'Макроси'!O20:T22,6,False)</f>
        <v>#N/A</v>
      </c>
      <c r="E61" s="240" t="str">
        <f>vlookup(E$5,'Макроси'!O20:T22,6,False)</f>
        <v>#N/A</v>
      </c>
      <c r="F61" s="240" t="str">
        <f>vlookup(F$5,'Макроси'!O20:T22,6,False)</f>
        <v>#N/A</v>
      </c>
      <c r="G61" s="270"/>
      <c r="H61" s="241" t="str">
        <f>IF(ISERROR(ROUNDUP((D61+E61)*4+F61*9,0)),"",ROUNDUP((D61+E61)*4+F61*9,0))</f>
        <v/>
      </c>
      <c r="I61" s="221"/>
      <c r="J61" s="221"/>
      <c r="K61" s="221"/>
      <c r="L61" s="221"/>
      <c r="M61" s="221"/>
      <c r="N61" s="221"/>
      <c r="O61" s="221"/>
      <c r="P61" s="221"/>
      <c r="Q61" s="297"/>
      <c r="R61" s="221"/>
      <c r="S61" s="221"/>
      <c r="T61" s="221"/>
      <c r="U61" s="221"/>
      <c r="V61" s="221"/>
      <c r="W61" s="221"/>
      <c r="X61" s="221"/>
      <c r="Y61" s="221"/>
      <c r="Z61" s="221"/>
      <c r="AA61" s="221"/>
      <c r="AB61" s="297"/>
    </row>
    <row r="62">
      <c r="A62" s="105"/>
      <c r="B62" s="242"/>
      <c r="C62" s="243" t="s">
        <v>125</v>
      </c>
      <c r="D62" s="228">
        <f t="shared" ref="D62:H62" si="10">SUM(D63:D72)</f>
        <v>41.13</v>
      </c>
      <c r="E62" s="229">
        <f t="shared" si="10"/>
        <v>68.7</v>
      </c>
      <c r="F62" s="229">
        <f t="shared" si="10"/>
        <v>19.56</v>
      </c>
      <c r="G62" s="229">
        <f t="shared" si="10"/>
        <v>0</v>
      </c>
      <c r="H62" s="230">
        <f t="shared" si="10"/>
        <v>617</v>
      </c>
      <c r="I62" s="221"/>
      <c r="J62" s="221"/>
      <c r="K62" s="221"/>
      <c r="L62" s="221"/>
      <c r="M62" s="221"/>
      <c r="N62" s="221"/>
      <c r="O62" s="221"/>
      <c r="P62" s="221"/>
      <c r="Q62" s="221"/>
      <c r="R62" s="221"/>
      <c r="S62" s="221"/>
      <c r="T62" s="221"/>
      <c r="U62" s="221"/>
      <c r="V62" s="221"/>
      <c r="W62" s="221"/>
      <c r="X62" s="221"/>
      <c r="Y62" s="221"/>
      <c r="Z62" s="221"/>
      <c r="AA62" s="221"/>
      <c r="AB62" s="297"/>
    </row>
    <row r="63" outlineLevel="1">
      <c r="A63" s="308"/>
      <c r="B63" s="308"/>
      <c r="C63" s="251"/>
      <c r="D63" s="252" t="str">
        <f>IF(ISNA(($C63/100)*VLOOKUP($B63,DB,3,FALSE)),"",($C63/100)*VLOOKUP($B63,DB,3,FALSE))</f>
        <v/>
      </c>
      <c r="E63" s="252" t="str">
        <f>IF(ISNA(($C63/100)*VLOOKUP($B63,DB,4,FALSE)),"",($C63/100)*VLOOKUP($B63,DB,4,FALSE))</f>
        <v/>
      </c>
      <c r="F63" s="252" t="str">
        <f>IF(ISNA(($C63/100)*VLOOKUP($B63,DB,5,FALSE)),"",($C63/100)*VLOOKUP($B63,DB,5,FALSE))</f>
        <v/>
      </c>
      <c r="G63" s="252" t="str">
        <f>IF(ISNA(($C63/100)*VLOOKUP($B63,DB,6,FALSE)),"",($C63/100)*VLOOKUP($B63,DB,6,FALSE))</f>
        <v/>
      </c>
      <c r="H63" s="253">
        <f t="shared" ref="H63:H72" si="11">IF(ISERROR(ROUNDUP((D63+E63)*4+F63*9,0)),"",ROUNDUP((D63+E63)*4+F63*9,0))</f>
        <v>0</v>
      </c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10"/>
    </row>
    <row r="64" outlineLevel="1">
      <c r="A64" s="308"/>
      <c r="B64" s="308" t="s">
        <v>136</v>
      </c>
      <c r="C64" s="251"/>
      <c r="D64" s="321">
        <v>9.53</v>
      </c>
      <c r="E64" s="321">
        <v>62.0</v>
      </c>
      <c r="F64" s="321">
        <v>1.76</v>
      </c>
      <c r="G64" s="252" t="str">
        <f>IF(ISNA(($C64/100)*VLOOKUP($B64,DB,6,FALSE)),"",($C64/100)*VLOOKUP($B64,DB,6,FALSE))</f>
        <v/>
      </c>
      <c r="H64" s="253">
        <f t="shared" si="11"/>
        <v>302</v>
      </c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09"/>
      <c r="U64" s="309"/>
      <c r="V64" s="309"/>
      <c r="W64" s="309"/>
      <c r="X64" s="309"/>
      <c r="Y64" s="309"/>
      <c r="Z64" s="309"/>
      <c r="AA64" s="309"/>
      <c r="AB64" s="310"/>
    </row>
    <row r="65" outlineLevel="1">
      <c r="A65" s="308" t="s">
        <v>137</v>
      </c>
      <c r="B65" s="308" t="s">
        <v>91</v>
      </c>
      <c r="C65" s="251">
        <v>100.0</v>
      </c>
      <c r="D65" s="252">
        <f>IF(ISNA(($C65/100)*VLOOKUP($B65,DB,3,FALSE)),"",($C65/100)*VLOOKUP($B65,DB,3,FALSE))</f>
        <v>12.6</v>
      </c>
      <c r="E65" s="252">
        <f>IF(ISNA(($C65/100)*VLOOKUP($B65,DB,4,FALSE)),"",($C65/100)*VLOOKUP($B65,DB,4,FALSE))</f>
        <v>0.8</v>
      </c>
      <c r="F65" s="252">
        <f>IF(ISNA(($C65/100)*VLOOKUP($B65,DB,5,FALSE)),"",($C65/100)*VLOOKUP($B65,DB,5,FALSE))</f>
        <v>9.9</v>
      </c>
      <c r="G65" s="252">
        <f>IF(ISNA(($C65/100)*VLOOKUP($B65,DB,6,FALSE)),"",($C65/100)*VLOOKUP($B65,DB,6,FALSE))</f>
        <v>0</v>
      </c>
      <c r="H65" s="253">
        <f t="shared" si="11"/>
        <v>143</v>
      </c>
      <c r="I65" s="309"/>
      <c r="J65" s="309"/>
      <c r="K65" s="309"/>
      <c r="L65" s="309"/>
      <c r="M65" s="309"/>
      <c r="N65" s="309"/>
      <c r="O65" s="309"/>
      <c r="P65" s="309"/>
      <c r="Q65" s="309"/>
      <c r="R65" s="309"/>
      <c r="S65" s="309"/>
      <c r="T65" s="309"/>
      <c r="U65" s="309"/>
      <c r="V65" s="309"/>
      <c r="W65" s="309"/>
      <c r="X65" s="309"/>
      <c r="Y65" s="309"/>
      <c r="Z65" s="309"/>
      <c r="AA65" s="309"/>
      <c r="AB65" s="310"/>
    </row>
    <row r="66" outlineLevel="1">
      <c r="A66" s="308" t="s">
        <v>126</v>
      </c>
      <c r="B66" s="308" t="s">
        <v>138</v>
      </c>
      <c r="C66" s="251">
        <v>50.0</v>
      </c>
      <c r="D66" s="252">
        <f>IF(ISNA(($C66/100)*VLOOKUP($B66,DB,3,FALSE)),"",($C66/100)*VLOOKUP($B66,DB,3,FALSE))</f>
        <v>6</v>
      </c>
      <c r="E66" s="252">
        <f>IF(ISNA(($C66/100)*VLOOKUP($B66,DB,4,FALSE)),"",($C66/100)*VLOOKUP($B66,DB,4,FALSE))</f>
        <v>0.5</v>
      </c>
      <c r="F66" s="252">
        <f>IF(ISNA(($C66/100)*VLOOKUP($B66,DB,5,FALSE)),"",($C66/100)*VLOOKUP($B66,DB,5,FALSE))</f>
        <v>6.5</v>
      </c>
      <c r="G66" s="252">
        <f>IF(ISNA(($C66/100)*VLOOKUP($B66,DB,6,FALSE)),"",($C66/100)*VLOOKUP($B66,DB,6,FALSE))</f>
        <v>0</v>
      </c>
      <c r="H66" s="253">
        <f t="shared" si="11"/>
        <v>85</v>
      </c>
      <c r="I66" s="309"/>
      <c r="J66" s="309"/>
      <c r="K66" s="309"/>
      <c r="L66" s="309"/>
      <c r="M66" s="309"/>
      <c r="N66" s="309"/>
      <c r="O66" s="309"/>
      <c r="P66" s="309"/>
      <c r="Q66" s="309"/>
      <c r="R66" s="309"/>
      <c r="S66" s="309"/>
      <c r="T66" s="309"/>
      <c r="U66" s="309"/>
      <c r="V66" s="309"/>
      <c r="W66" s="309"/>
      <c r="X66" s="309"/>
      <c r="Y66" s="309"/>
      <c r="Z66" s="309"/>
      <c r="AA66" s="309"/>
      <c r="AB66" s="310"/>
    </row>
    <row r="67" outlineLevel="1">
      <c r="A67" s="308" t="s">
        <v>126</v>
      </c>
      <c r="B67" s="308" t="s">
        <v>139</v>
      </c>
      <c r="C67" s="251">
        <v>100.0</v>
      </c>
      <c r="D67" s="252">
        <f>IF(ISNA(($C67/100)*VLOOKUP($B67,DB,3,FALSE)),"",($C67/100)*VLOOKUP($B67,DB,3,FALSE))</f>
        <v>13</v>
      </c>
      <c r="E67" s="252">
        <f>IF(ISNA(($C67/100)*VLOOKUP($B67,DB,4,FALSE)),"",($C67/100)*VLOOKUP($B67,DB,4,FALSE))</f>
        <v>5.4</v>
      </c>
      <c r="F67" s="252">
        <f>IF(ISNA(($C67/100)*VLOOKUP($B67,DB,5,FALSE)),"",($C67/100)*VLOOKUP($B67,DB,5,FALSE))</f>
        <v>1.4</v>
      </c>
      <c r="G67" s="252">
        <f>IF(ISNA(($C67/100)*VLOOKUP($B67,DB,6,FALSE)),"",($C67/100)*VLOOKUP($B67,DB,6,FALSE))</f>
        <v>0</v>
      </c>
      <c r="H67" s="253">
        <f t="shared" si="11"/>
        <v>87</v>
      </c>
      <c r="I67" s="309"/>
      <c r="J67" s="309"/>
      <c r="K67" s="309"/>
      <c r="L67" s="309"/>
      <c r="M67" s="309"/>
      <c r="N67" s="309"/>
      <c r="O67" s="309"/>
      <c r="P67" s="309"/>
      <c r="Q67" s="309"/>
      <c r="R67" s="309"/>
      <c r="S67" s="309"/>
      <c r="T67" s="309"/>
      <c r="U67" s="309"/>
      <c r="V67" s="309"/>
      <c r="W67" s="309"/>
      <c r="X67" s="309"/>
      <c r="Y67" s="309"/>
      <c r="Z67" s="309"/>
      <c r="AA67" s="309"/>
      <c r="AB67" s="310"/>
    </row>
    <row r="68" outlineLevel="1">
      <c r="A68" s="308"/>
      <c r="B68" s="308"/>
      <c r="C68" s="251"/>
      <c r="D68" s="252" t="str">
        <f>IF(ISNA(($C68/100)*VLOOKUP($B68,DB,3,FALSE)),"",($C68/100)*VLOOKUP($B68,DB,3,FALSE))</f>
        <v/>
      </c>
      <c r="E68" s="252" t="str">
        <f>IF(ISNA(($C68/100)*VLOOKUP($B68,DB,4,FALSE)),"",($C68/100)*VLOOKUP($B68,DB,4,FALSE))</f>
        <v/>
      </c>
      <c r="F68" s="252" t="str">
        <f>IF(ISNA(($C68/100)*VLOOKUP($B68,DB,5,FALSE)),"",($C68/100)*VLOOKUP($B68,DB,5,FALSE))</f>
        <v/>
      </c>
      <c r="G68" s="252" t="str">
        <f>IF(ISNA(($C68/100)*VLOOKUP($B68,DB,6,FALSE)),"",($C68/100)*VLOOKUP($B68,DB,6,FALSE))</f>
        <v/>
      </c>
      <c r="H68" s="253">
        <f t="shared" si="11"/>
        <v>0</v>
      </c>
      <c r="I68" s="309"/>
      <c r="J68" s="309"/>
      <c r="K68" s="309"/>
      <c r="L68" s="309"/>
      <c r="M68" s="309"/>
      <c r="N68" s="309"/>
      <c r="O68" s="309"/>
      <c r="P68" s="309"/>
      <c r="Q68" s="309"/>
      <c r="R68" s="309"/>
      <c r="S68" s="309"/>
      <c r="T68" s="309"/>
      <c r="U68" s="309"/>
      <c r="V68" s="309"/>
      <c r="W68" s="309"/>
      <c r="X68" s="309"/>
      <c r="Y68" s="309"/>
      <c r="Z68" s="309"/>
      <c r="AA68" s="309"/>
      <c r="AB68" s="310"/>
    </row>
    <row r="69" outlineLevel="1">
      <c r="A69" s="308"/>
      <c r="B69" s="308"/>
      <c r="C69" s="251"/>
      <c r="D69" s="252" t="str">
        <f>IF(ISNA(($C69/100)*VLOOKUP($B69,DB,3,FALSE)),"",($C69/100)*VLOOKUP($B69,DB,3,FALSE))</f>
        <v/>
      </c>
      <c r="E69" s="252" t="str">
        <f>IF(ISNA(($C69/100)*VLOOKUP($B69,DB,4,FALSE)),"",($C69/100)*VLOOKUP($B69,DB,4,FALSE))</f>
        <v/>
      </c>
      <c r="F69" s="252" t="str">
        <f>IF(ISNA(($C69/100)*VLOOKUP($B69,DB,5,FALSE)),"",($C69/100)*VLOOKUP($B69,DB,5,FALSE))</f>
        <v/>
      </c>
      <c r="G69" s="252" t="str">
        <f>IF(ISNA(($C69/100)*VLOOKUP($B69,DB,6,FALSE)),"",($C69/100)*VLOOKUP($B69,DB,6,FALSE))</f>
        <v/>
      </c>
      <c r="H69" s="253">
        <f t="shared" si="11"/>
        <v>0</v>
      </c>
      <c r="I69" s="309"/>
      <c r="J69" s="309"/>
      <c r="K69" s="309"/>
      <c r="L69" s="309"/>
      <c r="M69" s="309"/>
      <c r="N69" s="309"/>
      <c r="O69" s="309"/>
      <c r="P69" s="309"/>
      <c r="Q69" s="309"/>
      <c r="R69" s="309"/>
      <c r="S69" s="309"/>
      <c r="T69" s="309"/>
      <c r="U69" s="309"/>
      <c r="V69" s="309"/>
      <c r="W69" s="309"/>
      <c r="X69" s="309"/>
      <c r="Y69" s="309"/>
      <c r="Z69" s="309"/>
      <c r="AA69" s="309"/>
      <c r="AB69" s="310"/>
    </row>
    <row r="70" outlineLevel="1">
      <c r="A70" s="308"/>
      <c r="B70" s="308"/>
      <c r="C70" s="251"/>
      <c r="D70" s="252" t="str">
        <f>IF(ISNA(($C70/100)*VLOOKUP($B70,DB,3,FALSE)),"",($C70/100)*VLOOKUP($B70,DB,3,FALSE))</f>
        <v/>
      </c>
      <c r="E70" s="252" t="str">
        <f>IF(ISNA(($C70/100)*VLOOKUP($B70,DB,4,FALSE)),"",($C70/100)*VLOOKUP($B70,DB,4,FALSE))</f>
        <v/>
      </c>
      <c r="F70" s="252" t="str">
        <f>IF(ISNA(($C70/100)*VLOOKUP($B70,DB,5,FALSE)),"",($C70/100)*VLOOKUP($B70,DB,5,FALSE))</f>
        <v/>
      </c>
      <c r="G70" s="252" t="str">
        <f>IF(ISNA(($C70/100)*VLOOKUP($B70,DB,6,FALSE)),"",($C70/100)*VLOOKUP($B70,DB,6,FALSE))</f>
        <v/>
      </c>
      <c r="H70" s="253">
        <f t="shared" si="11"/>
        <v>0</v>
      </c>
      <c r="I70" s="309"/>
      <c r="J70" s="309"/>
      <c r="K70" s="309"/>
      <c r="L70" s="309"/>
      <c r="M70" s="309"/>
      <c r="N70" s="309"/>
      <c r="O70" s="309"/>
      <c r="P70" s="309"/>
      <c r="Q70" s="309"/>
      <c r="R70" s="309"/>
      <c r="S70" s="309"/>
      <c r="T70" s="309"/>
      <c r="U70" s="309"/>
      <c r="V70" s="309"/>
      <c r="W70" s="309"/>
      <c r="X70" s="309"/>
      <c r="Y70" s="309"/>
      <c r="Z70" s="309"/>
      <c r="AA70" s="309"/>
      <c r="AB70" s="310"/>
    </row>
    <row r="71">
      <c r="A71" s="311" t="s">
        <v>130</v>
      </c>
      <c r="B71" s="255"/>
      <c r="C71" s="256"/>
      <c r="D71" s="272"/>
      <c r="E71" s="272"/>
      <c r="F71" s="272"/>
      <c r="G71" s="272"/>
      <c r="H71" s="312">
        <f t="shared" si="11"/>
        <v>0</v>
      </c>
      <c r="I71" s="221"/>
      <c r="J71" s="221"/>
      <c r="K71" s="221"/>
      <c r="L71" s="221"/>
      <c r="M71" s="221"/>
      <c r="N71" s="221"/>
      <c r="O71" s="221"/>
      <c r="P71" s="221"/>
      <c r="Q71" s="221"/>
      <c r="R71" s="221"/>
      <c r="S71" s="221"/>
      <c r="T71" s="221"/>
      <c r="U71" s="221"/>
      <c r="V71" s="221"/>
      <c r="W71" s="221"/>
      <c r="X71" s="221"/>
      <c r="Y71" s="221"/>
      <c r="Z71" s="221"/>
      <c r="AA71" s="221"/>
      <c r="AB71" s="297"/>
    </row>
    <row r="72">
      <c r="A72" s="313" t="s">
        <v>130</v>
      </c>
      <c r="B72" s="260"/>
      <c r="C72" s="89"/>
      <c r="D72" s="261"/>
      <c r="E72" s="261"/>
      <c r="F72" s="261"/>
      <c r="G72" s="261"/>
      <c r="H72" s="314">
        <f t="shared" si="11"/>
        <v>0</v>
      </c>
      <c r="I72" s="221"/>
      <c r="J72" s="221"/>
      <c r="K72" s="221"/>
      <c r="L72" s="221"/>
      <c r="M72" s="221"/>
      <c r="N72" s="221"/>
      <c r="O72" s="221"/>
      <c r="P72" s="221"/>
      <c r="Q72" s="221"/>
      <c r="R72" s="221"/>
      <c r="S72" s="221"/>
      <c r="T72" s="221"/>
      <c r="U72" s="221"/>
      <c r="V72" s="221"/>
      <c r="W72" s="221"/>
      <c r="X72" s="221"/>
      <c r="Y72" s="221"/>
      <c r="Z72" s="221"/>
      <c r="AA72" s="221"/>
      <c r="AB72" s="297"/>
    </row>
    <row r="73">
      <c r="A73" s="328"/>
      <c r="B73" s="328"/>
      <c r="C73" s="221"/>
      <c r="D73" s="221"/>
      <c r="E73" s="221"/>
      <c r="F73" s="221"/>
      <c r="G73" s="221"/>
      <c r="H73" s="221"/>
      <c r="I73" s="221"/>
      <c r="J73" s="221"/>
      <c r="K73" s="221"/>
      <c r="L73" s="221"/>
      <c r="M73" s="221"/>
      <c r="N73" s="221"/>
      <c r="O73" s="221"/>
      <c r="P73" s="221"/>
      <c r="Q73" s="221"/>
      <c r="R73" s="221"/>
      <c r="S73" s="221"/>
      <c r="T73" s="221"/>
      <c r="U73" s="221"/>
      <c r="V73" s="221"/>
      <c r="W73" s="221"/>
      <c r="X73" s="221"/>
      <c r="Y73" s="221"/>
      <c r="Z73" s="221"/>
      <c r="AA73" s="221"/>
      <c r="AB73" s="297"/>
    </row>
    <row r="74">
      <c r="A74" s="328"/>
      <c r="B74" s="328"/>
      <c r="C74" s="221"/>
      <c r="D74" s="221"/>
      <c r="E74" s="221"/>
      <c r="F74" s="221"/>
      <c r="G74" s="221"/>
      <c r="H74" s="221"/>
      <c r="I74" s="221"/>
      <c r="J74" s="221"/>
      <c r="K74" s="221"/>
      <c r="L74" s="221"/>
      <c r="M74" s="221"/>
      <c r="N74" s="221"/>
      <c r="O74" s="221"/>
      <c r="P74" s="221"/>
      <c r="Q74" s="221"/>
      <c r="R74" s="221"/>
      <c r="S74" s="221"/>
      <c r="T74" s="221"/>
      <c r="U74" s="221"/>
      <c r="V74" s="221"/>
      <c r="W74" s="221"/>
      <c r="X74" s="221"/>
      <c r="Y74" s="221"/>
      <c r="Z74" s="221"/>
      <c r="AA74" s="221"/>
      <c r="AB74" s="297"/>
    </row>
    <row r="75">
      <c r="A75" s="328"/>
      <c r="B75" s="328"/>
      <c r="C75" s="221"/>
      <c r="D75" s="221"/>
      <c r="E75" s="221"/>
      <c r="F75" s="221"/>
      <c r="G75" s="221"/>
      <c r="H75" s="221"/>
      <c r="I75" s="221"/>
      <c r="J75" s="221"/>
      <c r="K75" s="221"/>
      <c r="L75" s="221"/>
      <c r="M75" s="221"/>
      <c r="N75" s="221"/>
      <c r="O75" s="221"/>
      <c r="P75" s="221"/>
      <c r="Q75" s="221"/>
      <c r="R75" s="221"/>
      <c r="S75" s="221"/>
      <c r="T75" s="221"/>
      <c r="U75" s="221"/>
      <c r="V75" s="221"/>
      <c r="W75" s="221"/>
      <c r="X75" s="221"/>
      <c r="Y75" s="221"/>
      <c r="Z75" s="221"/>
      <c r="AA75" s="221"/>
      <c r="AB75" s="297"/>
    </row>
    <row r="76">
      <c r="A76" s="328"/>
      <c r="B76" s="328"/>
      <c r="C76" s="221"/>
      <c r="D76" s="221"/>
      <c r="E76" s="221"/>
      <c r="F76" s="221"/>
      <c r="G76" s="221"/>
      <c r="H76" s="221"/>
      <c r="I76" s="221"/>
      <c r="J76" s="221"/>
      <c r="K76" s="221"/>
      <c r="L76" s="221"/>
      <c r="M76" s="221"/>
      <c r="N76" s="221"/>
      <c r="O76" s="221"/>
      <c r="P76" s="221"/>
      <c r="Q76" s="221"/>
      <c r="R76" s="221"/>
      <c r="S76" s="221"/>
      <c r="T76" s="221"/>
      <c r="U76" s="221"/>
      <c r="V76" s="221"/>
      <c r="W76" s="221"/>
      <c r="X76" s="221"/>
      <c r="Y76" s="221"/>
      <c r="Z76" s="221"/>
      <c r="AA76" s="221"/>
      <c r="AB76" s="297"/>
    </row>
    <row r="77">
      <c r="A77" s="328"/>
      <c r="B77" s="328"/>
      <c r="C77" s="221"/>
      <c r="D77" s="221"/>
      <c r="E77" s="221"/>
      <c r="F77" s="221"/>
      <c r="G77" s="221"/>
      <c r="H77" s="221"/>
      <c r="I77" s="221"/>
      <c r="J77" s="221"/>
      <c r="K77" s="221"/>
      <c r="L77" s="221"/>
      <c r="M77" s="221"/>
      <c r="N77" s="221"/>
      <c r="O77" s="221"/>
      <c r="P77" s="221"/>
      <c r="Q77" s="221"/>
      <c r="R77" s="221"/>
      <c r="S77" s="221"/>
      <c r="T77" s="221"/>
      <c r="U77" s="221"/>
      <c r="V77" s="221"/>
      <c r="W77" s="221"/>
      <c r="X77" s="221"/>
      <c r="Y77" s="221"/>
      <c r="Z77" s="221"/>
      <c r="AA77" s="221"/>
      <c r="AB77" s="297"/>
    </row>
    <row r="78">
      <c r="A78" s="328"/>
      <c r="B78" s="328"/>
      <c r="C78" s="221"/>
      <c r="D78" s="221"/>
      <c r="E78" s="221"/>
      <c r="F78" s="221"/>
      <c r="G78" s="221"/>
      <c r="H78" s="221"/>
      <c r="I78" s="221"/>
      <c r="J78" s="221"/>
      <c r="K78" s="221"/>
      <c r="L78" s="221"/>
      <c r="M78" s="221"/>
      <c r="N78" s="221"/>
      <c r="O78" s="221"/>
      <c r="P78" s="221"/>
      <c r="Q78" s="221"/>
      <c r="R78" s="221"/>
      <c r="S78" s="221"/>
      <c r="T78" s="221"/>
      <c r="U78" s="221"/>
      <c r="V78" s="221"/>
      <c r="W78" s="221"/>
      <c r="X78" s="221"/>
      <c r="Y78" s="221"/>
      <c r="Z78" s="221"/>
      <c r="AA78" s="221"/>
      <c r="AB78" s="297"/>
    </row>
    <row r="79">
      <c r="A79" s="328"/>
      <c r="B79" s="328"/>
      <c r="C79" s="221"/>
      <c r="D79" s="221"/>
      <c r="E79" s="221"/>
      <c r="F79" s="221"/>
      <c r="G79" s="221"/>
      <c r="H79" s="221"/>
      <c r="I79" s="221"/>
      <c r="J79" s="221"/>
      <c r="K79" s="221"/>
      <c r="L79" s="221"/>
      <c r="M79" s="221"/>
      <c r="N79" s="221"/>
      <c r="O79" s="221"/>
      <c r="P79" s="221"/>
      <c r="Q79" s="221"/>
      <c r="R79" s="221"/>
      <c r="S79" s="221"/>
      <c r="T79" s="221"/>
      <c r="U79" s="221"/>
      <c r="V79" s="221"/>
      <c r="W79" s="221"/>
      <c r="X79" s="221"/>
      <c r="Y79" s="221"/>
      <c r="Z79" s="221"/>
      <c r="AA79" s="221"/>
      <c r="AB79" s="297"/>
    </row>
    <row r="80">
      <c r="A80" s="328"/>
      <c r="B80" s="328"/>
      <c r="C80" s="221"/>
      <c r="D80" s="221"/>
      <c r="E80" s="221"/>
      <c r="F80" s="221"/>
      <c r="G80" s="221"/>
      <c r="H80" s="221"/>
      <c r="I80" s="221"/>
      <c r="J80" s="221"/>
      <c r="K80" s="221"/>
      <c r="L80" s="221"/>
      <c r="M80" s="221"/>
      <c r="N80" s="221"/>
      <c r="O80" s="221"/>
      <c r="P80" s="221"/>
      <c r="Q80" s="221"/>
      <c r="R80" s="221"/>
      <c r="S80" s="221"/>
      <c r="T80" s="221"/>
      <c r="U80" s="221"/>
      <c r="V80" s="221"/>
      <c r="W80" s="221"/>
      <c r="X80" s="221"/>
      <c r="Y80" s="221"/>
      <c r="Z80" s="221"/>
      <c r="AA80" s="221"/>
      <c r="AB80" s="297"/>
    </row>
    <row r="81">
      <c r="A81" s="328"/>
      <c r="B81" s="328"/>
      <c r="C81" s="221"/>
      <c r="D81" s="221"/>
      <c r="E81" s="221"/>
      <c r="F81" s="221"/>
      <c r="G81" s="221"/>
      <c r="H81" s="221"/>
      <c r="I81" s="221"/>
      <c r="J81" s="221"/>
      <c r="K81" s="221"/>
      <c r="L81" s="221"/>
      <c r="M81" s="221"/>
      <c r="N81" s="221"/>
      <c r="O81" s="221"/>
      <c r="P81" s="221"/>
      <c r="Q81" s="221"/>
      <c r="R81" s="221"/>
      <c r="S81" s="221"/>
      <c r="T81" s="221"/>
      <c r="U81" s="221"/>
      <c r="V81" s="221"/>
      <c r="W81" s="221"/>
      <c r="X81" s="221"/>
      <c r="Y81" s="221"/>
      <c r="Z81" s="221"/>
      <c r="AA81" s="221"/>
      <c r="AB81" s="297"/>
    </row>
    <row r="82">
      <c r="A82" s="328"/>
      <c r="B82" s="328"/>
      <c r="C82" s="221"/>
      <c r="D82" s="221"/>
      <c r="E82" s="221"/>
      <c r="F82" s="221"/>
      <c r="G82" s="221"/>
      <c r="H82" s="221"/>
      <c r="I82" s="221"/>
      <c r="J82" s="221"/>
      <c r="K82" s="221"/>
      <c r="L82" s="221"/>
      <c r="M82" s="221"/>
      <c r="N82" s="221"/>
      <c r="O82" s="221"/>
      <c r="P82" s="221"/>
      <c r="Q82" s="221"/>
      <c r="R82" s="221"/>
      <c r="S82" s="221"/>
      <c r="T82" s="221"/>
      <c r="U82" s="221"/>
      <c r="V82" s="221"/>
      <c r="W82" s="221"/>
      <c r="X82" s="221"/>
      <c r="Y82" s="221"/>
      <c r="Z82" s="221"/>
      <c r="AA82" s="221"/>
      <c r="AB82" s="297"/>
    </row>
    <row r="83">
      <c r="A83" s="328"/>
      <c r="B83" s="328"/>
      <c r="C83" s="221"/>
      <c r="D83" s="221"/>
      <c r="E83" s="221"/>
      <c r="F83" s="221"/>
      <c r="G83" s="221"/>
      <c r="H83" s="221"/>
      <c r="I83" s="221"/>
      <c r="J83" s="221"/>
      <c r="K83" s="221"/>
      <c r="L83" s="221"/>
      <c r="M83" s="221"/>
      <c r="N83" s="221"/>
      <c r="O83" s="221"/>
      <c r="P83" s="221"/>
      <c r="Q83" s="221"/>
      <c r="R83" s="221"/>
      <c r="S83" s="221"/>
      <c r="T83" s="221"/>
      <c r="U83" s="221"/>
      <c r="V83" s="221"/>
      <c r="W83" s="221"/>
      <c r="X83" s="221"/>
      <c r="Y83" s="221"/>
      <c r="Z83" s="221"/>
      <c r="AA83" s="221"/>
      <c r="AB83" s="297"/>
    </row>
    <row r="84">
      <c r="A84" s="328"/>
      <c r="B84" s="328"/>
      <c r="C84" s="221"/>
      <c r="D84" s="221"/>
      <c r="E84" s="221"/>
      <c r="F84" s="221"/>
      <c r="G84" s="221"/>
      <c r="H84" s="221"/>
      <c r="I84" s="221"/>
      <c r="J84" s="221"/>
      <c r="K84" s="221"/>
      <c r="L84" s="221"/>
      <c r="M84" s="221"/>
      <c r="N84" s="221"/>
      <c r="O84" s="221"/>
      <c r="P84" s="221"/>
      <c r="Q84" s="221"/>
      <c r="R84" s="221"/>
      <c r="S84" s="221"/>
      <c r="T84" s="221"/>
      <c r="U84" s="221"/>
      <c r="V84" s="221"/>
      <c r="W84" s="221"/>
      <c r="X84" s="221"/>
      <c r="Y84" s="221"/>
      <c r="Z84" s="221"/>
      <c r="AA84" s="221"/>
      <c r="AB84" s="297"/>
    </row>
    <row r="85">
      <c r="A85" s="328"/>
      <c r="B85" s="328"/>
      <c r="C85" s="221"/>
      <c r="D85" s="221"/>
      <c r="E85" s="221"/>
      <c r="F85" s="221"/>
      <c r="G85" s="221"/>
      <c r="H85" s="221"/>
      <c r="I85" s="221"/>
      <c r="J85" s="221"/>
      <c r="K85" s="221"/>
      <c r="L85" s="221"/>
      <c r="M85" s="221"/>
      <c r="N85" s="221"/>
      <c r="O85" s="221"/>
      <c r="P85" s="221"/>
      <c r="Q85" s="221"/>
      <c r="R85" s="221"/>
      <c r="S85" s="221"/>
      <c r="T85" s="221"/>
      <c r="U85" s="221"/>
      <c r="V85" s="221"/>
      <c r="W85" s="221"/>
      <c r="X85" s="221"/>
      <c r="Y85" s="221"/>
      <c r="Z85" s="221"/>
      <c r="AA85" s="221"/>
      <c r="AB85" s="297"/>
    </row>
    <row r="86">
      <c r="A86" s="328"/>
      <c r="B86" s="328"/>
      <c r="C86" s="221"/>
      <c r="D86" s="221"/>
      <c r="E86" s="221"/>
      <c r="F86" s="221"/>
      <c r="G86" s="221"/>
      <c r="H86" s="221"/>
      <c r="I86" s="221"/>
      <c r="J86" s="221"/>
      <c r="K86" s="221"/>
      <c r="L86" s="221"/>
      <c r="M86" s="221"/>
      <c r="N86" s="221"/>
      <c r="O86" s="221"/>
      <c r="P86" s="221"/>
      <c r="Q86" s="221"/>
      <c r="R86" s="221"/>
      <c r="S86" s="221"/>
      <c r="T86" s="221"/>
      <c r="U86" s="221"/>
      <c r="V86" s="221"/>
      <c r="W86" s="221"/>
      <c r="X86" s="221"/>
      <c r="Y86" s="221"/>
      <c r="Z86" s="221"/>
      <c r="AA86" s="221"/>
      <c r="AB86" s="297"/>
    </row>
    <row r="87">
      <c r="A87" s="328"/>
      <c r="B87" s="328"/>
      <c r="C87" s="221"/>
      <c r="D87" s="221"/>
      <c r="E87" s="221"/>
      <c r="F87" s="221"/>
      <c r="G87" s="221"/>
      <c r="H87" s="221"/>
      <c r="I87" s="221"/>
      <c r="J87" s="221"/>
      <c r="K87" s="221"/>
      <c r="L87" s="221"/>
      <c r="M87" s="221"/>
      <c r="N87" s="221"/>
      <c r="O87" s="221"/>
      <c r="P87" s="221"/>
      <c r="Q87" s="221"/>
      <c r="R87" s="221"/>
      <c r="S87" s="221"/>
      <c r="T87" s="221"/>
      <c r="U87" s="221"/>
      <c r="V87" s="221"/>
      <c r="W87" s="221"/>
      <c r="X87" s="221"/>
      <c r="Y87" s="221"/>
      <c r="Z87" s="221"/>
      <c r="AA87" s="221"/>
      <c r="AB87" s="297"/>
    </row>
    <row r="88">
      <c r="A88" s="328"/>
      <c r="B88" s="328"/>
      <c r="C88" s="221"/>
      <c r="D88" s="221"/>
      <c r="E88" s="221"/>
      <c r="F88" s="221"/>
      <c r="G88" s="221"/>
      <c r="H88" s="221"/>
      <c r="I88" s="221"/>
      <c r="J88" s="221"/>
      <c r="K88" s="221"/>
      <c r="L88" s="221"/>
      <c r="M88" s="221"/>
      <c r="N88" s="221"/>
      <c r="O88" s="221"/>
      <c r="P88" s="221"/>
      <c r="Q88" s="221"/>
      <c r="R88" s="221"/>
      <c r="S88" s="221"/>
      <c r="T88" s="221"/>
      <c r="U88" s="221"/>
      <c r="V88" s="221"/>
      <c r="W88" s="221"/>
      <c r="X88" s="221"/>
      <c r="Y88" s="221"/>
      <c r="Z88" s="221"/>
      <c r="AA88" s="221"/>
      <c r="AB88" s="297"/>
    </row>
    <row r="89">
      <c r="A89" s="328"/>
      <c r="B89" s="328"/>
      <c r="C89" s="221"/>
      <c r="D89" s="221"/>
      <c r="E89" s="221"/>
      <c r="F89" s="221"/>
      <c r="G89" s="221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97"/>
    </row>
    <row r="90">
      <c r="A90" s="328"/>
      <c r="B90" s="328"/>
      <c r="C90" s="221"/>
      <c r="D90" s="221"/>
      <c r="E90" s="221"/>
      <c r="F90" s="221"/>
      <c r="G90" s="221"/>
      <c r="H90" s="221"/>
      <c r="I90" s="221"/>
      <c r="J90" s="221"/>
      <c r="K90" s="221"/>
      <c r="L90" s="221"/>
      <c r="M90" s="221"/>
      <c r="N90" s="221"/>
      <c r="O90" s="221"/>
      <c r="P90" s="221"/>
      <c r="Q90" s="221"/>
      <c r="R90" s="221"/>
      <c r="S90" s="221"/>
      <c r="T90" s="221"/>
      <c r="U90" s="221"/>
      <c r="V90" s="221"/>
      <c r="W90" s="221"/>
      <c r="X90" s="221"/>
      <c r="Y90" s="221"/>
      <c r="Z90" s="221"/>
      <c r="AA90" s="221"/>
      <c r="AB90" s="297"/>
    </row>
    <row r="91">
      <c r="A91" s="328"/>
      <c r="B91" s="328"/>
      <c r="C91" s="221"/>
      <c r="D91" s="221"/>
      <c r="E91" s="221"/>
      <c r="F91" s="221"/>
      <c r="G91" s="221"/>
      <c r="H91" s="221"/>
      <c r="I91" s="221"/>
      <c r="J91" s="221"/>
      <c r="K91" s="221"/>
      <c r="L91" s="221"/>
      <c r="M91" s="221"/>
      <c r="N91" s="221"/>
      <c r="O91" s="221"/>
      <c r="P91" s="221"/>
      <c r="Q91" s="221"/>
      <c r="R91" s="221"/>
      <c r="S91" s="221"/>
      <c r="T91" s="221"/>
      <c r="U91" s="221"/>
      <c r="V91" s="221"/>
      <c r="W91" s="221"/>
      <c r="X91" s="221"/>
      <c r="Y91" s="221"/>
      <c r="Z91" s="221"/>
      <c r="AA91" s="221"/>
      <c r="AB91" s="297"/>
    </row>
    <row r="92">
      <c r="A92" s="328"/>
      <c r="B92" s="328"/>
      <c r="C92" s="221"/>
      <c r="D92" s="221"/>
      <c r="E92" s="221"/>
      <c r="F92" s="221"/>
      <c r="G92" s="221"/>
      <c r="H92" s="221"/>
      <c r="I92" s="221"/>
      <c r="J92" s="221"/>
      <c r="K92" s="221"/>
      <c r="L92" s="221"/>
      <c r="M92" s="221"/>
      <c r="N92" s="221"/>
      <c r="O92" s="221"/>
      <c r="P92" s="221"/>
      <c r="Q92" s="221"/>
      <c r="R92" s="221"/>
      <c r="S92" s="221"/>
      <c r="T92" s="221"/>
      <c r="U92" s="221"/>
      <c r="V92" s="221"/>
      <c r="W92" s="221"/>
      <c r="X92" s="221"/>
      <c r="Y92" s="221"/>
      <c r="Z92" s="221"/>
      <c r="AA92" s="221"/>
      <c r="AB92" s="297"/>
    </row>
    <row r="93">
      <c r="A93" s="328"/>
      <c r="B93" s="328"/>
      <c r="C93" s="221"/>
      <c r="D93" s="221"/>
      <c r="E93" s="221"/>
      <c r="F93" s="221"/>
      <c r="G93" s="221"/>
      <c r="H93" s="221"/>
      <c r="I93" s="221"/>
      <c r="J93" s="221"/>
      <c r="K93" s="221"/>
      <c r="L93" s="221"/>
      <c r="M93" s="221"/>
      <c r="N93" s="221"/>
      <c r="O93" s="221"/>
      <c r="P93" s="221"/>
      <c r="Q93" s="221"/>
      <c r="R93" s="221"/>
      <c r="S93" s="221"/>
      <c r="T93" s="221"/>
      <c r="U93" s="221"/>
      <c r="V93" s="221"/>
      <c r="W93" s="221"/>
      <c r="X93" s="221"/>
      <c r="Y93" s="221"/>
      <c r="Z93" s="221"/>
      <c r="AA93" s="221"/>
      <c r="AB93" s="297"/>
    </row>
    <row r="94">
      <c r="A94" s="134"/>
      <c r="B94" s="134"/>
      <c r="C94" s="68"/>
      <c r="D94" s="68"/>
      <c r="E94" s="68"/>
      <c r="F94" s="68"/>
      <c r="G94" s="68"/>
      <c r="H94" s="68"/>
      <c r="I94" s="221"/>
      <c r="J94" s="221"/>
      <c r="K94" s="221"/>
      <c r="L94" s="221"/>
      <c r="M94" s="221"/>
      <c r="N94" s="221"/>
      <c r="O94" s="221"/>
      <c r="P94" s="221"/>
      <c r="Q94" s="221"/>
      <c r="R94" s="221"/>
      <c r="S94" s="221"/>
      <c r="T94" s="221"/>
      <c r="U94" s="221"/>
      <c r="V94" s="221"/>
      <c r="W94" s="221"/>
      <c r="X94" s="221"/>
      <c r="Y94" s="221"/>
      <c r="Z94" s="221"/>
      <c r="AA94" s="221"/>
      <c r="AB94" s="297"/>
    </row>
    <row r="95">
      <c r="A95" s="134"/>
      <c r="B95" s="134"/>
      <c r="C95" s="68"/>
      <c r="D95" s="68"/>
      <c r="E95" s="68"/>
      <c r="F95" s="68"/>
      <c r="G95" s="68"/>
      <c r="H95" s="68"/>
      <c r="I95" s="221"/>
      <c r="J95" s="221"/>
      <c r="K95" s="221"/>
      <c r="L95" s="221"/>
      <c r="M95" s="221"/>
      <c r="N95" s="221"/>
      <c r="O95" s="221"/>
      <c r="P95" s="221"/>
      <c r="Q95" s="221"/>
      <c r="R95" s="221"/>
      <c r="S95" s="221"/>
      <c r="T95" s="221"/>
      <c r="U95" s="221"/>
      <c r="V95" s="221"/>
      <c r="W95" s="221"/>
      <c r="X95" s="221"/>
      <c r="Y95" s="221"/>
      <c r="Z95" s="221"/>
      <c r="AA95" s="221"/>
      <c r="AB95" s="297"/>
    </row>
    <row r="96">
      <c r="A96" s="134"/>
      <c r="B96" s="134"/>
      <c r="C96" s="68"/>
      <c r="D96" s="68"/>
      <c r="E96" s="68"/>
      <c r="F96" s="68"/>
      <c r="G96" s="68"/>
      <c r="H96" s="68"/>
      <c r="I96" s="221"/>
      <c r="J96" s="221"/>
      <c r="K96" s="221"/>
      <c r="L96" s="221"/>
      <c r="M96" s="221"/>
      <c r="N96" s="221"/>
      <c r="O96" s="221"/>
      <c r="P96" s="221"/>
      <c r="Q96" s="221"/>
      <c r="R96" s="221"/>
      <c r="S96" s="221"/>
      <c r="T96" s="221"/>
      <c r="U96" s="221"/>
      <c r="V96" s="221"/>
      <c r="W96" s="221"/>
      <c r="X96" s="221"/>
      <c r="Y96" s="221"/>
      <c r="Z96" s="221"/>
      <c r="AA96" s="221"/>
      <c r="AB96" s="297"/>
    </row>
    <row r="97">
      <c r="A97" s="134"/>
      <c r="B97" s="134"/>
      <c r="C97" s="68"/>
      <c r="D97" s="68"/>
      <c r="E97" s="68"/>
      <c r="F97" s="68"/>
      <c r="G97" s="68"/>
      <c r="H97" s="68"/>
      <c r="I97" s="221"/>
      <c r="J97" s="221"/>
      <c r="K97" s="221"/>
      <c r="L97" s="221"/>
      <c r="M97" s="221"/>
      <c r="N97" s="221"/>
      <c r="O97" s="221"/>
      <c r="P97" s="221"/>
      <c r="Q97" s="221"/>
      <c r="R97" s="221"/>
      <c r="S97" s="221"/>
      <c r="T97" s="221"/>
      <c r="U97" s="221"/>
      <c r="V97" s="221"/>
      <c r="W97" s="221"/>
      <c r="X97" s="221"/>
      <c r="Y97" s="221"/>
      <c r="Z97" s="221"/>
      <c r="AA97" s="221"/>
      <c r="AB97" s="297"/>
    </row>
    <row r="98">
      <c r="A98" s="134"/>
      <c r="B98" s="134"/>
      <c r="C98" s="68"/>
      <c r="D98" s="68"/>
      <c r="E98" s="68"/>
      <c r="F98" s="68"/>
      <c r="G98" s="68"/>
      <c r="H98" s="68"/>
      <c r="I98" s="221"/>
      <c r="J98" s="221"/>
      <c r="K98" s="221"/>
      <c r="L98" s="221"/>
      <c r="M98" s="221"/>
      <c r="N98" s="221"/>
      <c r="O98" s="221"/>
      <c r="P98" s="221"/>
      <c r="Q98" s="221"/>
      <c r="R98" s="221"/>
      <c r="S98" s="221"/>
      <c r="T98" s="221"/>
      <c r="U98" s="221"/>
      <c r="V98" s="221"/>
      <c r="W98" s="221"/>
      <c r="X98" s="221"/>
      <c r="Y98" s="221"/>
      <c r="Z98" s="221"/>
      <c r="AA98" s="221"/>
      <c r="AB98" s="297"/>
    </row>
    <row r="99">
      <c r="A99" s="134"/>
      <c r="B99" s="134"/>
      <c r="C99" s="68"/>
      <c r="D99" s="68"/>
      <c r="E99" s="68"/>
      <c r="F99" s="68"/>
      <c r="G99" s="68"/>
      <c r="H99" s="68"/>
      <c r="I99" s="221"/>
      <c r="J99" s="221"/>
      <c r="K99" s="221"/>
      <c r="L99" s="221"/>
      <c r="M99" s="221"/>
      <c r="N99" s="221"/>
      <c r="O99" s="221"/>
      <c r="P99" s="221"/>
      <c r="Q99" s="221"/>
      <c r="R99" s="221"/>
      <c r="S99" s="221"/>
      <c r="T99" s="221"/>
      <c r="U99" s="221"/>
      <c r="V99" s="221"/>
      <c r="W99" s="221"/>
      <c r="X99" s="221"/>
      <c r="Y99" s="221"/>
      <c r="Z99" s="221"/>
      <c r="AA99" s="221"/>
      <c r="AB99" s="297"/>
    </row>
    <row r="100">
      <c r="A100" s="134"/>
      <c r="B100" s="134"/>
      <c r="C100" s="68"/>
      <c r="D100" s="68"/>
      <c r="E100" s="68"/>
      <c r="F100" s="68"/>
      <c r="G100" s="68"/>
      <c r="H100" s="68"/>
      <c r="I100" s="221"/>
      <c r="J100" s="221"/>
      <c r="K100" s="221"/>
      <c r="L100" s="221"/>
      <c r="M100" s="221"/>
      <c r="N100" s="221"/>
      <c r="O100" s="221"/>
      <c r="P100" s="221"/>
      <c r="Q100" s="221"/>
      <c r="R100" s="221"/>
      <c r="S100" s="221"/>
      <c r="T100" s="221"/>
      <c r="U100" s="221"/>
      <c r="V100" s="221"/>
      <c r="W100" s="221"/>
      <c r="X100" s="221"/>
      <c r="Y100" s="221"/>
      <c r="Z100" s="221"/>
      <c r="AA100" s="221"/>
      <c r="AB100" s="297"/>
    </row>
    <row r="101">
      <c r="A101" s="134"/>
      <c r="B101" s="134"/>
      <c r="C101" s="68"/>
      <c r="D101" s="68"/>
      <c r="E101" s="68"/>
      <c r="F101" s="68"/>
      <c r="G101" s="68"/>
      <c r="H101" s="68"/>
      <c r="I101" s="221"/>
      <c r="J101" s="221"/>
      <c r="K101" s="221"/>
      <c r="L101" s="221"/>
      <c r="M101" s="221"/>
      <c r="N101" s="221"/>
      <c r="O101" s="221"/>
      <c r="P101" s="221"/>
      <c r="Q101" s="221"/>
      <c r="R101" s="221"/>
      <c r="S101" s="221"/>
      <c r="T101" s="221"/>
      <c r="U101" s="221"/>
      <c r="V101" s="221"/>
      <c r="W101" s="221"/>
      <c r="X101" s="221"/>
      <c r="Y101" s="221"/>
      <c r="Z101" s="221"/>
      <c r="AA101" s="221"/>
      <c r="AB101" s="297"/>
    </row>
    <row r="102">
      <c r="A102" s="134"/>
      <c r="B102" s="134"/>
      <c r="C102" s="68"/>
      <c r="D102" s="68"/>
      <c r="E102" s="68"/>
      <c r="F102" s="68"/>
      <c r="G102" s="68"/>
      <c r="H102" s="68"/>
      <c r="I102" s="221"/>
      <c r="J102" s="221"/>
      <c r="K102" s="221"/>
      <c r="L102" s="221"/>
      <c r="M102" s="221"/>
      <c r="N102" s="221"/>
      <c r="O102" s="221"/>
      <c r="P102" s="221"/>
      <c r="Q102" s="221"/>
      <c r="R102" s="221"/>
      <c r="S102" s="221"/>
      <c r="T102" s="221"/>
      <c r="U102" s="221"/>
      <c r="V102" s="221"/>
      <c r="W102" s="221"/>
      <c r="X102" s="221"/>
      <c r="Y102" s="221"/>
      <c r="Z102" s="221"/>
      <c r="AA102" s="221"/>
      <c r="AB102" s="297"/>
    </row>
    <row r="103">
      <c r="A103" s="134"/>
      <c r="B103" s="134"/>
      <c r="C103" s="68"/>
      <c r="D103" s="68"/>
      <c r="E103" s="68"/>
      <c r="F103" s="68"/>
      <c r="G103" s="68"/>
      <c r="H103" s="68"/>
      <c r="I103" s="221"/>
      <c r="J103" s="221"/>
      <c r="K103" s="221"/>
      <c r="L103" s="221"/>
      <c r="M103" s="221"/>
      <c r="N103" s="221"/>
      <c r="O103" s="221"/>
      <c r="P103" s="221"/>
      <c r="Q103" s="221"/>
      <c r="R103" s="221"/>
      <c r="S103" s="221"/>
      <c r="T103" s="221"/>
      <c r="U103" s="221"/>
      <c r="V103" s="221"/>
      <c r="W103" s="221"/>
      <c r="X103" s="221"/>
      <c r="Y103" s="221"/>
      <c r="Z103" s="221"/>
      <c r="AA103" s="221"/>
      <c r="AB103" s="297"/>
    </row>
    <row r="104">
      <c r="A104" s="134"/>
      <c r="B104" s="134"/>
      <c r="C104" s="68"/>
      <c r="D104" s="68"/>
      <c r="E104" s="68"/>
      <c r="F104" s="68"/>
      <c r="G104" s="68"/>
      <c r="H104" s="68"/>
      <c r="I104" s="221"/>
      <c r="J104" s="221"/>
      <c r="K104" s="221"/>
      <c r="L104" s="221"/>
      <c r="M104" s="221"/>
      <c r="N104" s="221"/>
      <c r="O104" s="221"/>
      <c r="P104" s="221"/>
      <c r="Q104" s="221"/>
      <c r="R104" s="221"/>
      <c r="S104" s="221"/>
      <c r="T104" s="221"/>
      <c r="U104" s="221"/>
      <c r="V104" s="221"/>
      <c r="W104" s="221"/>
      <c r="X104" s="221"/>
      <c r="Y104" s="221"/>
      <c r="Z104" s="221"/>
      <c r="AA104" s="221"/>
      <c r="AB104" s="297"/>
    </row>
    <row r="105">
      <c r="A105" s="134"/>
      <c r="B105" s="134"/>
      <c r="C105" s="68"/>
      <c r="D105" s="68"/>
      <c r="E105" s="68"/>
      <c r="F105" s="68"/>
      <c r="G105" s="68"/>
      <c r="H105" s="68"/>
      <c r="I105" s="221"/>
      <c r="J105" s="221"/>
      <c r="K105" s="221"/>
      <c r="L105" s="221"/>
      <c r="M105" s="221"/>
      <c r="N105" s="221"/>
      <c r="O105" s="221"/>
      <c r="P105" s="221"/>
      <c r="Q105" s="221"/>
      <c r="R105" s="221"/>
      <c r="S105" s="221"/>
      <c r="T105" s="221"/>
      <c r="U105" s="221"/>
      <c r="V105" s="221"/>
      <c r="W105" s="221"/>
      <c r="X105" s="221"/>
      <c r="Y105" s="221"/>
      <c r="Z105" s="221"/>
      <c r="AA105" s="221"/>
      <c r="AB105" s="297"/>
    </row>
    <row r="106">
      <c r="A106" s="134"/>
      <c r="B106" s="134"/>
      <c r="C106" s="68"/>
      <c r="D106" s="68"/>
      <c r="E106" s="68"/>
      <c r="F106" s="68"/>
      <c r="G106" s="68"/>
      <c r="H106" s="68"/>
      <c r="I106" s="221"/>
      <c r="J106" s="221"/>
      <c r="K106" s="221"/>
      <c r="L106" s="221"/>
      <c r="M106" s="221"/>
      <c r="N106" s="221"/>
      <c r="O106" s="221"/>
      <c r="P106" s="221"/>
      <c r="Q106" s="221"/>
      <c r="R106" s="221"/>
      <c r="S106" s="221"/>
      <c r="T106" s="221"/>
      <c r="U106" s="221"/>
      <c r="V106" s="221"/>
      <c r="W106" s="221"/>
      <c r="X106" s="221"/>
      <c r="Y106" s="221"/>
      <c r="Z106" s="221"/>
      <c r="AA106" s="221"/>
      <c r="AB106" s="297"/>
    </row>
    <row r="107">
      <c r="A107" s="134"/>
      <c r="B107" s="134"/>
      <c r="C107" s="68"/>
      <c r="D107" s="68"/>
      <c r="E107" s="68"/>
      <c r="F107" s="68"/>
      <c r="G107" s="68"/>
      <c r="H107" s="68"/>
      <c r="I107" s="221"/>
      <c r="J107" s="221"/>
      <c r="K107" s="221"/>
      <c r="L107" s="221"/>
      <c r="M107" s="221"/>
      <c r="N107" s="221"/>
      <c r="O107" s="221"/>
      <c r="P107" s="221"/>
      <c r="Q107" s="221"/>
      <c r="R107" s="221"/>
      <c r="S107" s="221"/>
      <c r="T107" s="221"/>
      <c r="U107" s="221"/>
      <c r="V107" s="221"/>
      <c r="W107" s="221"/>
      <c r="X107" s="221"/>
      <c r="Y107" s="221"/>
      <c r="Z107" s="221"/>
      <c r="AA107" s="221"/>
      <c r="AB107" s="297"/>
    </row>
    <row r="108">
      <c r="A108" s="134"/>
      <c r="B108" s="134"/>
      <c r="C108" s="68"/>
      <c r="D108" s="68"/>
      <c r="E108" s="68"/>
      <c r="F108" s="68"/>
      <c r="G108" s="68"/>
      <c r="H108" s="68"/>
      <c r="I108" s="221"/>
      <c r="J108" s="221"/>
      <c r="K108" s="221"/>
      <c r="L108" s="221"/>
      <c r="M108" s="221"/>
      <c r="N108" s="221"/>
      <c r="O108" s="221"/>
      <c r="P108" s="221"/>
      <c r="Q108" s="221"/>
      <c r="R108" s="221"/>
      <c r="S108" s="221"/>
      <c r="T108" s="221"/>
      <c r="U108" s="221"/>
      <c r="V108" s="221"/>
      <c r="W108" s="221"/>
      <c r="X108" s="221"/>
      <c r="Y108" s="221"/>
      <c r="Z108" s="221"/>
      <c r="AA108" s="221"/>
      <c r="AB108" s="297"/>
    </row>
    <row r="109">
      <c r="A109" s="134"/>
      <c r="B109" s="134"/>
      <c r="C109" s="68"/>
      <c r="D109" s="68"/>
      <c r="E109" s="68"/>
      <c r="F109" s="68"/>
      <c r="G109" s="68"/>
      <c r="H109" s="68"/>
      <c r="I109" s="221"/>
      <c r="J109" s="221"/>
      <c r="K109" s="221"/>
      <c r="L109" s="221"/>
      <c r="M109" s="221"/>
      <c r="N109" s="221"/>
      <c r="O109" s="221"/>
      <c r="P109" s="221"/>
      <c r="Q109" s="221"/>
      <c r="R109" s="221"/>
      <c r="S109" s="221"/>
      <c r="T109" s="221"/>
      <c r="U109" s="221"/>
      <c r="V109" s="221"/>
      <c r="W109" s="221"/>
      <c r="X109" s="221"/>
      <c r="Y109" s="221"/>
      <c r="Z109" s="221"/>
      <c r="AA109" s="221"/>
      <c r="AB109" s="297"/>
    </row>
    <row r="110">
      <c r="A110" s="134"/>
      <c r="B110" s="134"/>
      <c r="C110" s="68"/>
      <c r="D110" s="68"/>
      <c r="E110" s="68"/>
      <c r="F110" s="68"/>
      <c r="G110" s="68"/>
      <c r="H110" s="68"/>
      <c r="I110" s="221"/>
      <c r="J110" s="221"/>
      <c r="K110" s="221"/>
      <c r="L110" s="221"/>
      <c r="M110" s="221"/>
      <c r="N110" s="221"/>
      <c r="O110" s="221"/>
      <c r="P110" s="221"/>
      <c r="Q110" s="221"/>
      <c r="R110" s="221"/>
      <c r="S110" s="221"/>
      <c r="T110" s="221"/>
      <c r="U110" s="221"/>
      <c r="V110" s="221"/>
      <c r="W110" s="221"/>
      <c r="X110" s="221"/>
      <c r="Y110" s="221"/>
      <c r="Z110" s="221"/>
      <c r="AA110" s="221"/>
      <c r="AB110" s="297"/>
    </row>
    <row r="111">
      <c r="A111" s="134"/>
      <c r="B111" s="134"/>
      <c r="C111" s="68"/>
      <c r="D111" s="68"/>
      <c r="E111" s="68"/>
      <c r="F111" s="68"/>
      <c r="G111" s="68"/>
      <c r="H111" s="68"/>
      <c r="I111" s="221"/>
      <c r="J111" s="221"/>
      <c r="K111" s="221"/>
      <c r="L111" s="221"/>
      <c r="M111" s="221"/>
      <c r="N111" s="221"/>
      <c r="O111" s="221"/>
      <c r="P111" s="221"/>
      <c r="Q111" s="221"/>
      <c r="R111" s="221"/>
      <c r="S111" s="221"/>
      <c r="T111" s="221"/>
      <c r="U111" s="221"/>
      <c r="V111" s="221"/>
      <c r="W111" s="221"/>
      <c r="X111" s="221"/>
      <c r="Y111" s="221"/>
      <c r="Z111" s="221"/>
      <c r="AA111" s="221"/>
      <c r="AB111" s="297"/>
    </row>
    <row r="112">
      <c r="A112" s="134"/>
      <c r="B112" s="134"/>
      <c r="C112" s="68"/>
      <c r="D112" s="68"/>
      <c r="E112" s="68"/>
      <c r="F112" s="68"/>
      <c r="G112" s="68"/>
      <c r="H112" s="68"/>
      <c r="I112" s="221"/>
      <c r="J112" s="221"/>
      <c r="K112" s="221"/>
      <c r="L112" s="221"/>
      <c r="M112" s="221"/>
      <c r="N112" s="221"/>
      <c r="O112" s="221"/>
      <c r="P112" s="221"/>
      <c r="Q112" s="221"/>
      <c r="R112" s="221"/>
      <c r="S112" s="221"/>
      <c r="T112" s="221"/>
      <c r="U112" s="221"/>
      <c r="V112" s="221"/>
      <c r="W112" s="221"/>
      <c r="X112" s="221"/>
      <c r="Y112" s="221"/>
      <c r="Z112" s="221"/>
      <c r="AA112" s="221"/>
      <c r="AB112" s="297"/>
    </row>
    <row r="113">
      <c r="A113" s="134"/>
      <c r="B113" s="134"/>
      <c r="C113" s="68"/>
      <c r="D113" s="68"/>
      <c r="E113" s="68"/>
      <c r="F113" s="68"/>
      <c r="G113" s="68"/>
      <c r="H113" s="68"/>
      <c r="I113" s="221"/>
      <c r="J113" s="221"/>
      <c r="K113" s="221"/>
      <c r="L113" s="221"/>
      <c r="M113" s="221"/>
      <c r="N113" s="221"/>
      <c r="O113" s="221"/>
      <c r="P113" s="221"/>
      <c r="Q113" s="221"/>
      <c r="R113" s="221"/>
      <c r="S113" s="221"/>
      <c r="T113" s="221"/>
      <c r="U113" s="221"/>
      <c r="V113" s="221"/>
      <c r="W113" s="221"/>
      <c r="X113" s="221"/>
      <c r="Y113" s="221"/>
      <c r="Z113" s="221"/>
      <c r="AA113" s="221"/>
      <c r="AB113" s="297"/>
    </row>
    <row r="114">
      <c r="A114" s="134"/>
      <c r="B114" s="134"/>
      <c r="C114" s="68"/>
      <c r="D114" s="68"/>
      <c r="E114" s="68"/>
      <c r="F114" s="68"/>
      <c r="G114" s="68"/>
      <c r="H114" s="68"/>
      <c r="I114" s="221"/>
      <c r="J114" s="221"/>
      <c r="K114" s="221"/>
      <c r="L114" s="221"/>
      <c r="M114" s="221"/>
      <c r="N114" s="221"/>
      <c r="O114" s="221"/>
      <c r="P114" s="221"/>
      <c r="Q114" s="221"/>
      <c r="R114" s="221"/>
      <c r="S114" s="221"/>
      <c r="T114" s="221"/>
      <c r="U114" s="221"/>
      <c r="V114" s="221"/>
      <c r="W114" s="221"/>
      <c r="X114" s="221"/>
      <c r="Y114" s="221"/>
      <c r="Z114" s="221"/>
      <c r="AA114" s="221"/>
      <c r="AB114" s="297"/>
    </row>
    <row r="115">
      <c r="A115" s="134"/>
      <c r="B115" s="134"/>
      <c r="C115" s="68"/>
      <c r="D115" s="68"/>
      <c r="E115" s="68"/>
      <c r="F115" s="68"/>
      <c r="G115" s="68"/>
      <c r="H115" s="68"/>
      <c r="I115" s="221"/>
      <c r="J115" s="221"/>
      <c r="K115" s="221"/>
      <c r="L115" s="221"/>
      <c r="M115" s="221"/>
      <c r="N115" s="221"/>
      <c r="O115" s="221"/>
      <c r="P115" s="221"/>
      <c r="Q115" s="221"/>
      <c r="R115" s="221"/>
      <c r="S115" s="221"/>
      <c r="T115" s="221"/>
      <c r="U115" s="221"/>
      <c r="V115" s="221"/>
      <c r="W115" s="221"/>
      <c r="X115" s="221"/>
      <c r="Y115" s="221"/>
      <c r="Z115" s="221"/>
      <c r="AA115" s="221"/>
      <c r="AB115" s="297"/>
    </row>
    <row r="116">
      <c r="A116" s="134"/>
      <c r="B116" s="134"/>
      <c r="C116" s="68"/>
      <c r="D116" s="68"/>
      <c r="E116" s="68"/>
      <c r="F116" s="68"/>
      <c r="G116" s="68"/>
      <c r="H116" s="68"/>
      <c r="I116" s="221"/>
      <c r="J116" s="221"/>
      <c r="K116" s="221"/>
      <c r="L116" s="221"/>
      <c r="M116" s="221"/>
      <c r="N116" s="221"/>
      <c r="O116" s="221"/>
      <c r="P116" s="221"/>
      <c r="Q116" s="221"/>
      <c r="R116" s="221"/>
      <c r="S116" s="221"/>
      <c r="T116" s="221"/>
      <c r="U116" s="221"/>
      <c r="V116" s="221"/>
      <c r="W116" s="221"/>
      <c r="X116" s="221"/>
      <c r="Y116" s="221"/>
      <c r="Z116" s="221"/>
      <c r="AA116" s="221"/>
      <c r="AB116" s="297"/>
    </row>
    <row r="117">
      <c r="A117" s="134"/>
      <c r="B117" s="134"/>
      <c r="C117" s="68"/>
      <c r="D117" s="68"/>
      <c r="E117" s="68"/>
      <c r="F117" s="68"/>
      <c r="G117" s="68"/>
      <c r="H117" s="68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221"/>
      <c r="X117" s="221"/>
      <c r="Y117" s="221"/>
      <c r="Z117" s="221"/>
      <c r="AA117" s="221"/>
      <c r="AB117" s="297"/>
    </row>
    <row r="118">
      <c r="A118" s="134"/>
      <c r="B118" s="134"/>
      <c r="C118" s="68"/>
      <c r="D118" s="68"/>
      <c r="E118" s="68"/>
      <c r="F118" s="68"/>
      <c r="G118" s="68"/>
      <c r="H118" s="68"/>
      <c r="I118" s="221"/>
      <c r="J118" s="221"/>
      <c r="K118" s="221"/>
      <c r="L118" s="221"/>
      <c r="M118" s="221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97"/>
    </row>
    <row r="119">
      <c r="A119" s="134"/>
      <c r="B119" s="134"/>
      <c r="C119" s="68"/>
      <c r="D119" s="68"/>
      <c r="E119" s="68"/>
      <c r="F119" s="68"/>
      <c r="G119" s="68"/>
      <c r="H119" s="68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97"/>
    </row>
    <row r="120">
      <c r="A120" s="134"/>
      <c r="B120" s="134"/>
      <c r="C120" s="68"/>
      <c r="D120" s="68"/>
      <c r="E120" s="68"/>
      <c r="F120" s="68"/>
      <c r="G120" s="68"/>
      <c r="H120" s="68"/>
      <c r="I120" s="221"/>
      <c r="J120" s="221"/>
      <c r="K120" s="221"/>
      <c r="L120" s="221"/>
      <c r="M120" s="221"/>
      <c r="N120" s="221"/>
      <c r="O120" s="221"/>
      <c r="P120" s="221"/>
      <c r="Q120" s="221"/>
      <c r="R120" s="221"/>
      <c r="S120" s="221"/>
      <c r="T120" s="221"/>
      <c r="U120" s="221"/>
      <c r="V120" s="221"/>
      <c r="W120" s="221"/>
      <c r="X120" s="221"/>
      <c r="Y120" s="221"/>
      <c r="Z120" s="221"/>
      <c r="AA120" s="221"/>
      <c r="AB120" s="297"/>
    </row>
    <row r="121">
      <c r="A121" s="134"/>
      <c r="B121" s="134"/>
      <c r="C121" s="68"/>
      <c r="D121" s="68"/>
      <c r="E121" s="68"/>
      <c r="F121" s="68"/>
      <c r="G121" s="68"/>
      <c r="H121" s="68"/>
      <c r="I121" s="221"/>
      <c r="J121" s="221"/>
      <c r="K121" s="221"/>
      <c r="L121" s="221"/>
      <c r="M121" s="221"/>
      <c r="N121" s="221"/>
      <c r="O121" s="221"/>
      <c r="P121" s="221"/>
      <c r="Q121" s="221"/>
      <c r="R121" s="221"/>
      <c r="S121" s="221"/>
      <c r="T121" s="221"/>
      <c r="U121" s="221"/>
      <c r="V121" s="221"/>
      <c r="W121" s="221"/>
      <c r="X121" s="221"/>
      <c r="Y121" s="221"/>
      <c r="Z121" s="221"/>
      <c r="AA121" s="221"/>
      <c r="AB121" s="297"/>
    </row>
    <row r="122">
      <c r="A122" s="134"/>
      <c r="B122" s="134"/>
      <c r="C122" s="68"/>
      <c r="D122" s="68"/>
      <c r="E122" s="68"/>
      <c r="F122" s="68"/>
      <c r="G122" s="68"/>
      <c r="H122" s="68"/>
      <c r="I122" s="221"/>
      <c r="J122" s="221"/>
      <c r="K122" s="221"/>
      <c r="L122" s="221"/>
      <c r="M122" s="221"/>
      <c r="N122" s="221"/>
      <c r="O122" s="221"/>
      <c r="P122" s="221"/>
      <c r="Q122" s="221"/>
      <c r="R122" s="221"/>
      <c r="S122" s="221"/>
      <c r="T122" s="221"/>
      <c r="U122" s="221"/>
      <c r="V122" s="221"/>
      <c r="W122" s="221"/>
      <c r="X122" s="221"/>
      <c r="Y122" s="221"/>
      <c r="Z122" s="221"/>
      <c r="AA122" s="221"/>
      <c r="AB122" s="297"/>
    </row>
    <row r="123">
      <c r="A123" s="134"/>
      <c r="B123" s="134"/>
      <c r="C123" s="68"/>
      <c r="D123" s="68"/>
      <c r="E123" s="68"/>
      <c r="F123" s="68"/>
      <c r="G123" s="68"/>
      <c r="H123" s="68"/>
      <c r="I123" s="221"/>
      <c r="J123" s="221"/>
      <c r="K123" s="221"/>
      <c r="L123" s="221"/>
      <c r="M123" s="221"/>
      <c r="N123" s="221"/>
      <c r="O123" s="221"/>
      <c r="P123" s="221"/>
      <c r="Q123" s="221"/>
      <c r="R123" s="221"/>
      <c r="S123" s="221"/>
      <c r="T123" s="221"/>
      <c r="U123" s="221"/>
      <c r="V123" s="221"/>
      <c r="W123" s="221"/>
      <c r="X123" s="221"/>
      <c r="Y123" s="221"/>
      <c r="Z123" s="221"/>
      <c r="AA123" s="221"/>
      <c r="AB123" s="297"/>
    </row>
    <row r="124">
      <c r="A124" s="134"/>
      <c r="B124" s="134"/>
      <c r="C124" s="68"/>
      <c r="D124" s="68"/>
      <c r="E124" s="68"/>
      <c r="F124" s="68"/>
      <c r="G124" s="68"/>
      <c r="H124" s="68"/>
      <c r="I124" s="221"/>
      <c r="J124" s="221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221"/>
      <c r="Z124" s="221"/>
      <c r="AA124" s="221"/>
      <c r="AB124" s="297"/>
    </row>
    <row r="125">
      <c r="A125" s="134"/>
      <c r="B125" s="134"/>
      <c r="C125" s="68"/>
      <c r="D125" s="68"/>
      <c r="E125" s="68"/>
      <c r="F125" s="68"/>
      <c r="G125" s="68"/>
      <c r="H125" s="68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97"/>
    </row>
    <row r="126">
      <c r="A126" s="134"/>
      <c r="B126" s="134"/>
      <c r="C126" s="68"/>
      <c r="D126" s="68"/>
      <c r="E126" s="68"/>
      <c r="F126" s="68"/>
      <c r="G126" s="68"/>
      <c r="H126" s="68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21"/>
      <c r="T126" s="221"/>
      <c r="U126" s="221"/>
      <c r="V126" s="221"/>
      <c r="W126" s="221"/>
      <c r="X126" s="221"/>
      <c r="Y126" s="221"/>
      <c r="Z126" s="221"/>
      <c r="AA126" s="221"/>
      <c r="AB126" s="297"/>
    </row>
    <row r="127">
      <c r="A127" s="134"/>
      <c r="B127" s="134"/>
      <c r="C127" s="68"/>
      <c r="D127" s="68"/>
      <c r="E127" s="68"/>
      <c r="F127" s="68"/>
      <c r="G127" s="68"/>
      <c r="H127" s="68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97"/>
    </row>
    <row r="128">
      <c r="A128" s="134"/>
      <c r="B128" s="134"/>
      <c r="C128" s="68"/>
      <c r="D128" s="68"/>
      <c r="E128" s="68"/>
      <c r="F128" s="68"/>
      <c r="G128" s="68"/>
      <c r="H128" s="68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21"/>
      <c r="T128" s="221"/>
      <c r="U128" s="221"/>
      <c r="V128" s="221"/>
      <c r="W128" s="221"/>
      <c r="X128" s="221"/>
      <c r="Y128" s="221"/>
      <c r="Z128" s="221"/>
      <c r="AA128" s="221"/>
      <c r="AB128" s="297"/>
    </row>
    <row r="129">
      <c r="A129" s="134"/>
      <c r="B129" s="134"/>
      <c r="C129" s="68"/>
      <c r="D129" s="68"/>
      <c r="E129" s="68"/>
      <c r="F129" s="68"/>
      <c r="G129" s="68"/>
      <c r="H129" s="68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221"/>
      <c r="Z129" s="221"/>
      <c r="AA129" s="221"/>
      <c r="AB129" s="297"/>
    </row>
    <row r="130">
      <c r="A130" s="134"/>
      <c r="B130" s="134"/>
      <c r="C130" s="68"/>
      <c r="D130" s="68"/>
      <c r="E130" s="68"/>
      <c r="F130" s="68"/>
      <c r="G130" s="68"/>
      <c r="H130" s="68"/>
      <c r="I130" s="221"/>
      <c r="J130" s="221"/>
      <c r="K130" s="221"/>
      <c r="L130" s="221"/>
      <c r="M130" s="221"/>
      <c r="N130" s="221"/>
      <c r="O130" s="221"/>
      <c r="P130" s="221"/>
      <c r="Q130" s="221"/>
      <c r="R130" s="221"/>
      <c r="S130" s="221"/>
      <c r="T130" s="221"/>
      <c r="U130" s="221"/>
      <c r="V130" s="221"/>
      <c r="W130" s="221"/>
      <c r="X130" s="221"/>
      <c r="Y130" s="221"/>
      <c r="Z130" s="221"/>
      <c r="AA130" s="221"/>
      <c r="AB130" s="297"/>
    </row>
    <row r="131">
      <c r="A131" s="134"/>
      <c r="B131" s="134"/>
      <c r="C131" s="68"/>
      <c r="D131" s="68"/>
      <c r="E131" s="68"/>
      <c r="F131" s="68"/>
      <c r="G131" s="68"/>
      <c r="H131" s="68"/>
      <c r="I131" s="221"/>
      <c r="J131" s="221"/>
      <c r="K131" s="221"/>
      <c r="L131" s="221"/>
      <c r="M131" s="221"/>
      <c r="N131" s="221"/>
      <c r="O131" s="221"/>
      <c r="P131" s="221"/>
      <c r="Q131" s="221"/>
      <c r="R131" s="221"/>
      <c r="S131" s="221"/>
      <c r="T131" s="221"/>
      <c r="U131" s="221"/>
      <c r="V131" s="221"/>
      <c r="W131" s="221"/>
      <c r="X131" s="221"/>
      <c r="Y131" s="221"/>
      <c r="Z131" s="221"/>
      <c r="AA131" s="221"/>
      <c r="AB131" s="297"/>
    </row>
    <row r="132">
      <c r="A132" s="134"/>
      <c r="B132" s="134"/>
      <c r="C132" s="68"/>
      <c r="D132" s="68"/>
      <c r="E132" s="68"/>
      <c r="F132" s="68"/>
      <c r="G132" s="68"/>
      <c r="H132" s="68"/>
      <c r="I132" s="221"/>
      <c r="J132" s="221"/>
      <c r="K132" s="221"/>
      <c r="L132" s="221"/>
      <c r="M132" s="221"/>
      <c r="N132" s="221"/>
      <c r="O132" s="221"/>
      <c r="P132" s="221"/>
      <c r="Q132" s="221"/>
      <c r="R132" s="221"/>
      <c r="S132" s="221"/>
      <c r="T132" s="221"/>
      <c r="U132" s="221"/>
      <c r="V132" s="221"/>
      <c r="W132" s="221"/>
      <c r="X132" s="221"/>
      <c r="Y132" s="221"/>
      <c r="Z132" s="221"/>
      <c r="AA132" s="221"/>
      <c r="AB132" s="297"/>
    </row>
    <row r="133">
      <c r="A133" s="134"/>
      <c r="B133" s="134"/>
      <c r="C133" s="68"/>
      <c r="D133" s="68"/>
      <c r="E133" s="68"/>
      <c r="F133" s="68"/>
      <c r="G133" s="68"/>
      <c r="H133" s="68"/>
      <c r="I133" s="221"/>
      <c r="J133" s="221"/>
      <c r="K133" s="221"/>
      <c r="L133" s="221"/>
      <c r="M133" s="221"/>
      <c r="N133" s="221"/>
      <c r="O133" s="221"/>
      <c r="P133" s="221"/>
      <c r="Q133" s="221"/>
      <c r="R133" s="221"/>
      <c r="S133" s="221"/>
      <c r="T133" s="221"/>
      <c r="U133" s="221"/>
      <c r="V133" s="221"/>
      <c r="W133" s="221"/>
      <c r="X133" s="221"/>
      <c r="Y133" s="221"/>
      <c r="Z133" s="221"/>
      <c r="AA133" s="221"/>
      <c r="AB133" s="297"/>
    </row>
    <row r="134">
      <c r="A134" s="134"/>
      <c r="B134" s="134"/>
      <c r="C134" s="68"/>
      <c r="D134" s="68"/>
      <c r="E134" s="68"/>
      <c r="F134" s="68"/>
      <c r="G134" s="68"/>
      <c r="H134" s="68"/>
      <c r="I134" s="221"/>
      <c r="J134" s="221"/>
      <c r="K134" s="221"/>
      <c r="L134" s="221"/>
      <c r="M134" s="221"/>
      <c r="N134" s="221"/>
      <c r="O134" s="221"/>
      <c r="P134" s="221"/>
      <c r="Q134" s="221"/>
      <c r="R134" s="221"/>
      <c r="S134" s="221"/>
      <c r="T134" s="221"/>
      <c r="U134" s="221"/>
      <c r="V134" s="221"/>
      <c r="W134" s="221"/>
      <c r="X134" s="221"/>
      <c r="Y134" s="221"/>
      <c r="Z134" s="221"/>
      <c r="AA134" s="221"/>
      <c r="AB134" s="297"/>
    </row>
    <row r="135">
      <c r="A135" s="134"/>
      <c r="B135" s="134"/>
      <c r="C135" s="68"/>
      <c r="D135" s="68"/>
      <c r="E135" s="68"/>
      <c r="F135" s="68"/>
      <c r="G135" s="68"/>
      <c r="H135" s="68"/>
      <c r="I135" s="221"/>
      <c r="J135" s="221"/>
      <c r="K135" s="221"/>
      <c r="L135" s="221"/>
      <c r="M135" s="221"/>
      <c r="N135" s="221"/>
      <c r="O135" s="221"/>
      <c r="P135" s="221"/>
      <c r="Q135" s="221"/>
      <c r="R135" s="221"/>
      <c r="S135" s="221"/>
      <c r="T135" s="221"/>
      <c r="U135" s="221"/>
      <c r="V135" s="221"/>
      <c r="W135" s="221"/>
      <c r="X135" s="221"/>
      <c r="Y135" s="221"/>
      <c r="Z135" s="221"/>
      <c r="AA135" s="221"/>
      <c r="AB135" s="297"/>
    </row>
    <row r="136">
      <c r="A136" s="134"/>
      <c r="B136" s="134"/>
      <c r="C136" s="68"/>
      <c r="D136" s="68"/>
      <c r="E136" s="68"/>
      <c r="F136" s="68"/>
      <c r="G136" s="68"/>
      <c r="H136" s="68"/>
      <c r="I136" s="221"/>
      <c r="J136" s="221"/>
      <c r="K136" s="221"/>
      <c r="L136" s="221"/>
      <c r="M136" s="221"/>
      <c r="N136" s="221"/>
      <c r="O136" s="221"/>
      <c r="P136" s="221"/>
      <c r="Q136" s="221"/>
      <c r="R136" s="221"/>
      <c r="S136" s="221"/>
      <c r="T136" s="221"/>
      <c r="U136" s="221"/>
      <c r="V136" s="221"/>
      <c r="W136" s="221"/>
      <c r="X136" s="221"/>
      <c r="Y136" s="221"/>
      <c r="Z136" s="221"/>
      <c r="AA136" s="221"/>
      <c r="AB136" s="297"/>
    </row>
    <row r="137">
      <c r="A137" s="134"/>
      <c r="B137" s="134"/>
      <c r="C137" s="68"/>
      <c r="D137" s="68"/>
      <c r="E137" s="68"/>
      <c r="F137" s="68"/>
      <c r="G137" s="68"/>
      <c r="H137" s="68"/>
      <c r="I137" s="221"/>
      <c r="J137" s="221"/>
      <c r="K137" s="221"/>
      <c r="L137" s="221"/>
      <c r="M137" s="221"/>
      <c r="N137" s="221"/>
      <c r="O137" s="221"/>
      <c r="P137" s="221"/>
      <c r="Q137" s="221"/>
      <c r="R137" s="221"/>
      <c r="S137" s="221"/>
      <c r="T137" s="221"/>
      <c r="U137" s="221"/>
      <c r="V137" s="221"/>
      <c r="W137" s="221"/>
      <c r="X137" s="221"/>
      <c r="Y137" s="221"/>
      <c r="Z137" s="221"/>
      <c r="AA137" s="221"/>
      <c r="AB137" s="297"/>
    </row>
    <row r="138">
      <c r="A138" s="134"/>
      <c r="B138" s="134"/>
      <c r="C138" s="68"/>
      <c r="D138" s="68"/>
      <c r="E138" s="68"/>
      <c r="F138" s="68"/>
      <c r="G138" s="68"/>
      <c r="H138" s="68"/>
      <c r="I138" s="221"/>
      <c r="J138" s="221"/>
      <c r="K138" s="221"/>
      <c r="L138" s="221"/>
      <c r="M138" s="221"/>
      <c r="N138" s="221"/>
      <c r="O138" s="221"/>
      <c r="P138" s="221"/>
      <c r="Q138" s="221"/>
      <c r="R138" s="221"/>
      <c r="S138" s="221"/>
      <c r="T138" s="221"/>
      <c r="U138" s="221"/>
      <c r="V138" s="221"/>
      <c r="W138" s="221"/>
      <c r="X138" s="221"/>
      <c r="Y138" s="221"/>
      <c r="Z138" s="221"/>
      <c r="AA138" s="221"/>
      <c r="AB138" s="297"/>
    </row>
    <row r="139">
      <c r="A139" s="134"/>
      <c r="B139" s="134"/>
      <c r="C139" s="68"/>
      <c r="D139" s="68"/>
      <c r="E139" s="68"/>
      <c r="F139" s="68"/>
      <c r="G139" s="68"/>
      <c r="H139" s="68"/>
      <c r="I139" s="221"/>
      <c r="J139" s="221"/>
      <c r="K139" s="221"/>
      <c r="L139" s="221"/>
      <c r="M139" s="221"/>
      <c r="N139" s="221"/>
      <c r="O139" s="221"/>
      <c r="P139" s="221"/>
      <c r="Q139" s="221"/>
      <c r="R139" s="221"/>
      <c r="S139" s="221"/>
      <c r="T139" s="221"/>
      <c r="U139" s="221"/>
      <c r="V139" s="221"/>
      <c r="W139" s="221"/>
      <c r="X139" s="221"/>
      <c r="Y139" s="221"/>
      <c r="Z139" s="221"/>
      <c r="AA139" s="221"/>
      <c r="AB139" s="297"/>
    </row>
    <row r="140">
      <c r="A140" s="134"/>
      <c r="B140" s="134"/>
      <c r="C140" s="68"/>
      <c r="D140" s="68"/>
      <c r="E140" s="68"/>
      <c r="F140" s="68"/>
      <c r="G140" s="68"/>
      <c r="H140" s="68"/>
      <c r="I140" s="221"/>
      <c r="J140" s="221"/>
      <c r="K140" s="221"/>
      <c r="L140" s="221"/>
      <c r="M140" s="221"/>
      <c r="N140" s="221"/>
      <c r="O140" s="221"/>
      <c r="P140" s="221"/>
      <c r="Q140" s="221"/>
      <c r="R140" s="221"/>
      <c r="S140" s="221"/>
      <c r="T140" s="221"/>
      <c r="U140" s="221"/>
      <c r="V140" s="221"/>
      <c r="W140" s="221"/>
      <c r="X140" s="221"/>
      <c r="Y140" s="221"/>
      <c r="Z140" s="221"/>
      <c r="AA140" s="221"/>
      <c r="AB140" s="297"/>
    </row>
    <row r="141">
      <c r="A141" s="134"/>
      <c r="B141" s="134"/>
      <c r="C141" s="68"/>
      <c r="D141" s="68"/>
      <c r="E141" s="68"/>
      <c r="F141" s="68"/>
      <c r="G141" s="68"/>
      <c r="H141" s="68"/>
      <c r="I141" s="221"/>
      <c r="J141" s="221"/>
      <c r="K141" s="221"/>
      <c r="L141" s="221"/>
      <c r="M141" s="221"/>
      <c r="N141" s="221"/>
      <c r="O141" s="221"/>
      <c r="P141" s="221"/>
      <c r="Q141" s="221"/>
      <c r="R141" s="221"/>
      <c r="S141" s="221"/>
      <c r="T141" s="221"/>
      <c r="U141" s="221"/>
      <c r="V141" s="221"/>
      <c r="W141" s="221"/>
      <c r="X141" s="221"/>
      <c r="Y141" s="221"/>
      <c r="Z141" s="221"/>
      <c r="AA141" s="221"/>
      <c r="AB141" s="297"/>
    </row>
    <row r="142">
      <c r="A142" s="134"/>
      <c r="B142" s="134"/>
      <c r="C142" s="68"/>
      <c r="D142" s="68"/>
      <c r="E142" s="68"/>
      <c r="F142" s="68"/>
      <c r="G142" s="68"/>
      <c r="H142" s="68"/>
      <c r="I142" s="221"/>
      <c r="J142" s="221"/>
      <c r="K142" s="221"/>
      <c r="L142" s="221"/>
      <c r="M142" s="221"/>
      <c r="N142" s="221"/>
      <c r="O142" s="221"/>
      <c r="P142" s="221"/>
      <c r="Q142" s="221"/>
      <c r="R142" s="221"/>
      <c r="S142" s="221"/>
      <c r="T142" s="221"/>
      <c r="U142" s="221"/>
      <c r="V142" s="221"/>
      <c r="W142" s="221"/>
      <c r="X142" s="221"/>
      <c r="Y142" s="221"/>
      <c r="Z142" s="221"/>
      <c r="AA142" s="221"/>
      <c r="AB142" s="297"/>
    </row>
    <row r="143">
      <c r="A143" s="134"/>
      <c r="B143" s="134"/>
      <c r="C143" s="68"/>
      <c r="D143" s="68"/>
      <c r="E143" s="68"/>
      <c r="F143" s="68"/>
      <c r="G143" s="68"/>
      <c r="H143" s="68"/>
      <c r="I143" s="221"/>
      <c r="J143" s="221"/>
      <c r="K143" s="221"/>
      <c r="L143" s="221"/>
      <c r="M143" s="221"/>
      <c r="N143" s="221"/>
      <c r="O143" s="221"/>
      <c r="P143" s="221"/>
      <c r="Q143" s="221"/>
      <c r="R143" s="221"/>
      <c r="S143" s="221"/>
      <c r="T143" s="221"/>
      <c r="U143" s="221"/>
      <c r="V143" s="221"/>
      <c r="W143" s="221"/>
      <c r="X143" s="221"/>
      <c r="Y143" s="221"/>
      <c r="Z143" s="221"/>
      <c r="AA143" s="221"/>
      <c r="AB143" s="297"/>
    </row>
    <row r="144">
      <c r="A144" s="134"/>
      <c r="B144" s="134"/>
      <c r="C144" s="68"/>
      <c r="D144" s="68"/>
      <c r="E144" s="68"/>
      <c r="F144" s="68"/>
      <c r="G144" s="68"/>
      <c r="H144" s="68"/>
      <c r="I144" s="221"/>
      <c r="J144" s="221"/>
      <c r="K144" s="221"/>
      <c r="L144" s="221"/>
      <c r="M144" s="221"/>
      <c r="N144" s="221"/>
      <c r="O144" s="221"/>
      <c r="P144" s="221"/>
      <c r="Q144" s="221"/>
      <c r="R144" s="221"/>
      <c r="S144" s="221"/>
      <c r="T144" s="221"/>
      <c r="U144" s="221"/>
      <c r="V144" s="221"/>
      <c r="W144" s="221"/>
      <c r="X144" s="221"/>
      <c r="Y144" s="221"/>
      <c r="Z144" s="221"/>
      <c r="AA144" s="221"/>
      <c r="AB144" s="297"/>
    </row>
    <row r="145">
      <c r="A145" s="134"/>
      <c r="B145" s="134"/>
      <c r="C145" s="68"/>
      <c r="D145" s="68"/>
      <c r="E145" s="68"/>
      <c r="F145" s="68"/>
      <c r="G145" s="68"/>
      <c r="H145" s="68"/>
      <c r="I145" s="221"/>
      <c r="J145" s="221"/>
      <c r="K145" s="221"/>
      <c r="L145" s="221"/>
      <c r="M145" s="221"/>
      <c r="N145" s="221"/>
      <c r="O145" s="221"/>
      <c r="P145" s="221"/>
      <c r="Q145" s="221"/>
      <c r="R145" s="221"/>
      <c r="S145" s="221"/>
      <c r="T145" s="221"/>
      <c r="U145" s="221"/>
      <c r="V145" s="221"/>
      <c r="W145" s="221"/>
      <c r="X145" s="221"/>
      <c r="Y145" s="221"/>
      <c r="Z145" s="221"/>
      <c r="AA145" s="221"/>
      <c r="AB145" s="297"/>
    </row>
    <row r="146">
      <c r="A146" s="134"/>
      <c r="B146" s="134"/>
      <c r="C146" s="68"/>
      <c r="D146" s="68"/>
      <c r="E146" s="68"/>
      <c r="F146" s="68"/>
      <c r="G146" s="68"/>
      <c r="H146" s="68"/>
      <c r="I146" s="221"/>
      <c r="J146" s="221"/>
      <c r="K146" s="221"/>
      <c r="L146" s="221"/>
      <c r="M146" s="221"/>
      <c r="N146" s="221"/>
      <c r="O146" s="221"/>
      <c r="P146" s="221"/>
      <c r="Q146" s="221"/>
      <c r="R146" s="221"/>
      <c r="S146" s="221"/>
      <c r="T146" s="221"/>
      <c r="U146" s="221"/>
      <c r="V146" s="221"/>
      <c r="W146" s="221"/>
      <c r="X146" s="221"/>
      <c r="Y146" s="221"/>
      <c r="Z146" s="221"/>
      <c r="AA146" s="221"/>
      <c r="AB146" s="297"/>
    </row>
    <row r="147">
      <c r="A147" s="134"/>
      <c r="B147" s="134"/>
      <c r="C147" s="68"/>
      <c r="D147" s="68"/>
      <c r="E147" s="68"/>
      <c r="F147" s="68"/>
      <c r="G147" s="68"/>
      <c r="H147" s="68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97"/>
    </row>
    <row r="148">
      <c r="A148" s="134"/>
      <c r="B148" s="134"/>
      <c r="C148" s="68"/>
      <c r="D148" s="68"/>
      <c r="E148" s="68"/>
      <c r="F148" s="68"/>
      <c r="G148" s="68"/>
      <c r="H148" s="68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221"/>
      <c r="W148" s="221"/>
      <c r="X148" s="221"/>
      <c r="Y148" s="221"/>
      <c r="Z148" s="221"/>
      <c r="AA148" s="221"/>
      <c r="AB148" s="297"/>
    </row>
    <row r="149">
      <c r="A149" s="134"/>
      <c r="B149" s="134"/>
      <c r="C149" s="68"/>
      <c r="D149" s="68"/>
      <c r="E149" s="68"/>
      <c r="F149" s="68"/>
      <c r="G149" s="68"/>
      <c r="H149" s="68"/>
      <c r="I149" s="221"/>
      <c r="J149" s="221"/>
      <c r="K149" s="221"/>
      <c r="L149" s="221"/>
      <c r="M149" s="221"/>
      <c r="N149" s="221"/>
      <c r="O149" s="221"/>
      <c r="P149" s="221"/>
      <c r="Q149" s="221"/>
      <c r="R149" s="221"/>
      <c r="S149" s="221"/>
      <c r="T149" s="221"/>
      <c r="U149" s="221"/>
      <c r="V149" s="221"/>
      <c r="W149" s="221"/>
      <c r="X149" s="221"/>
      <c r="Y149" s="221"/>
      <c r="Z149" s="221"/>
      <c r="AA149" s="221"/>
      <c r="AB149" s="297"/>
    </row>
    <row r="150">
      <c r="A150" s="134"/>
      <c r="B150" s="134"/>
      <c r="C150" s="68"/>
      <c r="D150" s="68"/>
      <c r="E150" s="68"/>
      <c r="F150" s="68"/>
      <c r="G150" s="68"/>
      <c r="H150" s="68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221"/>
      <c r="X150" s="221"/>
      <c r="Y150" s="221"/>
      <c r="Z150" s="221"/>
      <c r="AA150" s="221"/>
      <c r="AB150" s="297"/>
    </row>
    <row r="151">
      <c r="A151" s="134"/>
      <c r="B151" s="134"/>
      <c r="C151" s="68"/>
      <c r="D151" s="68"/>
      <c r="E151" s="68"/>
      <c r="F151" s="68"/>
      <c r="G151" s="68"/>
      <c r="H151" s="68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97"/>
    </row>
    <row r="152">
      <c r="A152" s="134"/>
      <c r="B152" s="134"/>
      <c r="C152" s="68"/>
      <c r="D152" s="68"/>
      <c r="E152" s="68"/>
      <c r="F152" s="68"/>
      <c r="G152" s="68"/>
      <c r="H152" s="68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97"/>
    </row>
    <row r="153">
      <c r="A153" s="134"/>
      <c r="B153" s="134"/>
      <c r="C153" s="68"/>
      <c r="D153" s="68"/>
      <c r="E153" s="68"/>
      <c r="F153" s="68"/>
      <c r="G153" s="68"/>
      <c r="H153" s="68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97"/>
    </row>
    <row r="154">
      <c r="A154" s="134"/>
      <c r="B154" s="134"/>
      <c r="C154" s="68"/>
      <c r="D154" s="68"/>
      <c r="E154" s="68"/>
      <c r="F154" s="68"/>
      <c r="G154" s="68"/>
      <c r="H154" s="68"/>
      <c r="I154" s="221"/>
      <c r="J154" s="221"/>
      <c r="K154" s="221"/>
      <c r="L154" s="221"/>
      <c r="M154" s="221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97"/>
    </row>
    <row r="155">
      <c r="A155" s="134"/>
      <c r="B155" s="134"/>
      <c r="C155" s="68"/>
      <c r="D155" s="68"/>
      <c r="E155" s="68"/>
      <c r="F155" s="68"/>
      <c r="G155" s="68"/>
      <c r="H155" s="68"/>
      <c r="I155" s="221"/>
      <c r="J155" s="221"/>
      <c r="K155" s="221"/>
      <c r="L155" s="221"/>
      <c r="M155" s="221"/>
      <c r="N155" s="221"/>
      <c r="O155" s="221"/>
      <c r="P155" s="221"/>
      <c r="Q155" s="221"/>
      <c r="R155" s="221"/>
      <c r="S155" s="221"/>
      <c r="T155" s="221"/>
      <c r="U155" s="221"/>
      <c r="V155" s="221"/>
      <c r="W155" s="221"/>
      <c r="X155" s="221"/>
      <c r="Y155" s="221"/>
      <c r="Z155" s="221"/>
      <c r="AA155" s="221"/>
      <c r="AB155" s="297"/>
    </row>
    <row r="156">
      <c r="A156" s="134"/>
      <c r="B156" s="134"/>
      <c r="C156" s="68"/>
      <c r="D156" s="68"/>
      <c r="E156" s="68"/>
      <c r="F156" s="68"/>
      <c r="G156" s="68"/>
      <c r="H156" s="68"/>
      <c r="I156" s="221"/>
      <c r="J156" s="221"/>
      <c r="K156" s="221"/>
      <c r="L156" s="221"/>
      <c r="M156" s="221"/>
      <c r="N156" s="221"/>
      <c r="O156" s="221"/>
      <c r="P156" s="221"/>
      <c r="Q156" s="221"/>
      <c r="R156" s="221"/>
      <c r="S156" s="221"/>
      <c r="T156" s="221"/>
      <c r="U156" s="221"/>
      <c r="V156" s="221"/>
      <c r="W156" s="221"/>
      <c r="X156" s="221"/>
      <c r="Y156" s="221"/>
      <c r="Z156" s="221"/>
      <c r="AA156" s="221"/>
      <c r="AB156" s="297"/>
    </row>
    <row r="157">
      <c r="A157" s="134"/>
      <c r="B157" s="134"/>
      <c r="C157" s="68"/>
      <c r="D157" s="68"/>
      <c r="E157" s="68"/>
      <c r="F157" s="68"/>
      <c r="G157" s="68"/>
      <c r="H157" s="68"/>
      <c r="I157" s="221"/>
      <c r="J157" s="221"/>
      <c r="K157" s="221"/>
      <c r="L157" s="221"/>
      <c r="M157" s="221"/>
      <c r="N157" s="221"/>
      <c r="O157" s="221"/>
      <c r="P157" s="221"/>
      <c r="Q157" s="221"/>
      <c r="R157" s="221"/>
      <c r="S157" s="221"/>
      <c r="T157" s="221"/>
      <c r="U157" s="221"/>
      <c r="V157" s="221"/>
      <c r="W157" s="221"/>
      <c r="X157" s="221"/>
      <c r="Y157" s="221"/>
      <c r="Z157" s="221"/>
      <c r="AA157" s="221"/>
      <c r="AB157" s="297"/>
    </row>
    <row r="158">
      <c r="A158" s="134"/>
      <c r="B158" s="134"/>
      <c r="C158" s="68"/>
      <c r="D158" s="68"/>
      <c r="E158" s="68"/>
      <c r="F158" s="68"/>
      <c r="G158" s="68"/>
      <c r="H158" s="68"/>
      <c r="I158" s="221"/>
      <c r="J158" s="221"/>
      <c r="K158" s="221"/>
      <c r="L158" s="221"/>
      <c r="M158" s="221"/>
      <c r="N158" s="221"/>
      <c r="O158" s="221"/>
      <c r="P158" s="221"/>
      <c r="Q158" s="221"/>
      <c r="R158" s="221"/>
      <c r="S158" s="221"/>
      <c r="T158" s="221"/>
      <c r="U158" s="221"/>
      <c r="V158" s="221"/>
      <c r="W158" s="221"/>
      <c r="X158" s="221"/>
      <c r="Y158" s="221"/>
      <c r="Z158" s="221"/>
      <c r="AA158" s="221"/>
      <c r="AB158" s="297"/>
    </row>
    <row r="159">
      <c r="A159" s="134"/>
      <c r="B159" s="134"/>
      <c r="C159" s="68"/>
      <c r="D159" s="68"/>
      <c r="E159" s="68"/>
      <c r="F159" s="68"/>
      <c r="G159" s="68"/>
      <c r="H159" s="68"/>
      <c r="I159" s="221"/>
      <c r="J159" s="221"/>
      <c r="K159" s="221"/>
      <c r="L159" s="221"/>
      <c r="M159" s="221"/>
      <c r="N159" s="221"/>
      <c r="O159" s="221"/>
      <c r="P159" s="221"/>
      <c r="Q159" s="221"/>
      <c r="R159" s="221"/>
      <c r="S159" s="221"/>
      <c r="T159" s="221"/>
      <c r="U159" s="221"/>
      <c r="V159" s="221"/>
      <c r="W159" s="221"/>
      <c r="X159" s="221"/>
      <c r="Y159" s="221"/>
      <c r="Z159" s="221"/>
      <c r="AA159" s="221"/>
      <c r="AB159" s="297"/>
    </row>
    <row r="160">
      <c r="A160" s="134"/>
      <c r="B160" s="134"/>
      <c r="C160" s="68"/>
      <c r="D160" s="68"/>
      <c r="E160" s="68"/>
      <c r="F160" s="68"/>
      <c r="G160" s="68"/>
      <c r="H160" s="68"/>
      <c r="I160" s="221"/>
      <c r="J160" s="221"/>
      <c r="K160" s="221"/>
      <c r="L160" s="221"/>
      <c r="M160" s="221"/>
      <c r="N160" s="221"/>
      <c r="O160" s="221"/>
      <c r="P160" s="221"/>
      <c r="Q160" s="221"/>
      <c r="R160" s="221"/>
      <c r="S160" s="221"/>
      <c r="T160" s="221"/>
      <c r="U160" s="221"/>
      <c r="V160" s="221"/>
      <c r="W160" s="221"/>
      <c r="X160" s="221"/>
      <c r="Y160" s="221"/>
      <c r="Z160" s="221"/>
      <c r="AA160" s="221"/>
      <c r="AB160" s="297"/>
    </row>
    <row r="161">
      <c r="A161" s="134"/>
      <c r="B161" s="134"/>
      <c r="C161" s="68"/>
      <c r="D161" s="68"/>
      <c r="E161" s="68"/>
      <c r="F161" s="68"/>
      <c r="G161" s="68"/>
      <c r="H161" s="68"/>
      <c r="I161" s="221"/>
      <c r="J161" s="221"/>
      <c r="K161" s="221"/>
      <c r="L161" s="221"/>
      <c r="M161" s="221"/>
      <c r="N161" s="221"/>
      <c r="O161" s="221"/>
      <c r="P161" s="221"/>
      <c r="Q161" s="221"/>
      <c r="R161" s="221"/>
      <c r="S161" s="221"/>
      <c r="T161" s="221"/>
      <c r="U161" s="221"/>
      <c r="V161" s="221"/>
      <c r="W161" s="221"/>
      <c r="X161" s="221"/>
      <c r="Y161" s="221"/>
      <c r="Z161" s="221"/>
      <c r="AA161" s="221"/>
      <c r="AB161" s="297"/>
    </row>
    <row r="162">
      <c r="A162" s="134"/>
      <c r="B162" s="134"/>
      <c r="C162" s="68"/>
      <c r="D162" s="68"/>
      <c r="E162" s="68"/>
      <c r="F162" s="68"/>
      <c r="G162" s="68"/>
      <c r="H162" s="68"/>
      <c r="I162" s="221"/>
      <c r="J162" s="221"/>
      <c r="K162" s="221"/>
      <c r="L162" s="221"/>
      <c r="M162" s="221"/>
      <c r="N162" s="221"/>
      <c r="O162" s="221"/>
      <c r="P162" s="221"/>
      <c r="Q162" s="221"/>
      <c r="R162" s="221"/>
      <c r="S162" s="221"/>
      <c r="T162" s="221"/>
      <c r="U162" s="221"/>
      <c r="V162" s="221"/>
      <c r="W162" s="221"/>
      <c r="X162" s="221"/>
      <c r="Y162" s="221"/>
      <c r="Z162" s="221"/>
      <c r="AA162" s="221"/>
      <c r="AB162" s="297"/>
    </row>
    <row r="163">
      <c r="A163" s="134"/>
      <c r="B163" s="134"/>
      <c r="C163" s="68"/>
      <c r="D163" s="68"/>
      <c r="E163" s="68"/>
      <c r="F163" s="68"/>
      <c r="G163" s="68"/>
      <c r="H163" s="68"/>
      <c r="I163" s="221"/>
      <c r="J163" s="221"/>
      <c r="K163" s="221"/>
      <c r="L163" s="221"/>
      <c r="M163" s="221"/>
      <c r="N163" s="221"/>
      <c r="O163" s="221"/>
      <c r="P163" s="221"/>
      <c r="Q163" s="221"/>
      <c r="R163" s="221"/>
      <c r="S163" s="221"/>
      <c r="T163" s="221"/>
      <c r="U163" s="221"/>
      <c r="V163" s="221"/>
      <c r="W163" s="221"/>
      <c r="X163" s="221"/>
      <c r="Y163" s="221"/>
      <c r="Z163" s="221"/>
      <c r="AA163" s="221"/>
      <c r="AB163" s="297"/>
    </row>
    <row r="164">
      <c r="A164" s="134"/>
      <c r="B164" s="134"/>
      <c r="C164" s="68"/>
      <c r="D164" s="68"/>
      <c r="E164" s="68"/>
      <c r="F164" s="68"/>
      <c r="G164" s="68"/>
      <c r="H164" s="68"/>
      <c r="I164" s="221"/>
      <c r="J164" s="221"/>
      <c r="K164" s="221"/>
      <c r="L164" s="221"/>
      <c r="M164" s="221"/>
      <c r="N164" s="221"/>
      <c r="O164" s="221"/>
      <c r="P164" s="221"/>
      <c r="Q164" s="221"/>
      <c r="R164" s="221"/>
      <c r="S164" s="221"/>
      <c r="T164" s="221"/>
      <c r="U164" s="221"/>
      <c r="V164" s="221"/>
      <c r="W164" s="221"/>
      <c r="X164" s="221"/>
      <c r="Y164" s="221"/>
      <c r="Z164" s="221"/>
      <c r="AA164" s="221"/>
      <c r="AB164" s="297"/>
    </row>
    <row r="165">
      <c r="A165" s="134"/>
      <c r="B165" s="134"/>
      <c r="C165" s="68"/>
      <c r="D165" s="68"/>
      <c r="E165" s="68"/>
      <c r="F165" s="68"/>
      <c r="G165" s="68"/>
      <c r="H165" s="68"/>
      <c r="I165" s="221"/>
      <c r="J165" s="221"/>
      <c r="K165" s="221"/>
      <c r="L165" s="221"/>
      <c r="M165" s="221"/>
      <c r="N165" s="221"/>
      <c r="O165" s="221"/>
      <c r="P165" s="221"/>
      <c r="Q165" s="221"/>
      <c r="R165" s="221"/>
      <c r="S165" s="221"/>
      <c r="T165" s="221"/>
      <c r="U165" s="221"/>
      <c r="V165" s="221"/>
      <c r="W165" s="221"/>
      <c r="X165" s="221"/>
      <c r="Y165" s="221"/>
      <c r="Z165" s="221"/>
      <c r="AA165" s="221"/>
      <c r="AB165" s="297"/>
    </row>
    <row r="166">
      <c r="A166" s="134"/>
      <c r="B166" s="134"/>
      <c r="C166" s="68"/>
      <c r="D166" s="68"/>
      <c r="E166" s="68"/>
      <c r="F166" s="68"/>
      <c r="G166" s="68"/>
      <c r="H166" s="68"/>
      <c r="I166" s="221"/>
      <c r="J166" s="221"/>
      <c r="K166" s="221"/>
      <c r="L166" s="221"/>
      <c r="M166" s="221"/>
      <c r="N166" s="221"/>
      <c r="O166" s="221"/>
      <c r="P166" s="221"/>
      <c r="Q166" s="221"/>
      <c r="R166" s="221"/>
      <c r="S166" s="221"/>
      <c r="T166" s="221"/>
      <c r="U166" s="221"/>
      <c r="V166" s="221"/>
      <c r="W166" s="221"/>
      <c r="X166" s="221"/>
      <c r="Y166" s="221"/>
      <c r="Z166" s="221"/>
      <c r="AA166" s="221"/>
      <c r="AB166" s="297"/>
    </row>
    <row r="167">
      <c r="A167" s="134"/>
      <c r="B167" s="134"/>
      <c r="C167" s="68"/>
      <c r="D167" s="68"/>
      <c r="E167" s="68"/>
      <c r="F167" s="68"/>
      <c r="G167" s="68"/>
      <c r="H167" s="68"/>
      <c r="I167" s="221"/>
      <c r="J167" s="221"/>
      <c r="K167" s="221"/>
      <c r="L167" s="221"/>
      <c r="M167" s="221"/>
      <c r="N167" s="221"/>
      <c r="O167" s="221"/>
      <c r="P167" s="221"/>
      <c r="Q167" s="221"/>
      <c r="R167" s="221"/>
      <c r="S167" s="221"/>
      <c r="T167" s="221"/>
      <c r="U167" s="221"/>
      <c r="V167" s="221"/>
      <c r="W167" s="221"/>
      <c r="X167" s="221"/>
      <c r="Y167" s="221"/>
      <c r="Z167" s="221"/>
      <c r="AA167" s="221"/>
      <c r="AB167" s="297"/>
    </row>
    <row r="168">
      <c r="A168" s="134"/>
      <c r="B168" s="134"/>
      <c r="C168" s="68"/>
      <c r="D168" s="68"/>
      <c r="E168" s="68"/>
      <c r="F168" s="68"/>
      <c r="G168" s="68"/>
      <c r="H168" s="68"/>
      <c r="I168" s="221"/>
      <c r="J168" s="221"/>
      <c r="K168" s="221"/>
      <c r="L168" s="221"/>
      <c r="M168" s="221"/>
      <c r="N168" s="221"/>
      <c r="O168" s="221"/>
      <c r="P168" s="221"/>
      <c r="Q168" s="221"/>
      <c r="R168" s="221"/>
      <c r="S168" s="221"/>
      <c r="T168" s="221"/>
      <c r="U168" s="221"/>
      <c r="V168" s="221"/>
      <c r="W168" s="221"/>
      <c r="X168" s="221"/>
      <c r="Y168" s="221"/>
      <c r="Z168" s="221"/>
      <c r="AA168" s="221"/>
      <c r="AB168" s="297"/>
    </row>
    <row r="169">
      <c r="A169" s="134"/>
      <c r="B169" s="134"/>
      <c r="C169" s="68"/>
      <c r="D169" s="68"/>
      <c r="E169" s="68"/>
      <c r="F169" s="68"/>
      <c r="G169" s="68"/>
      <c r="H169" s="68"/>
      <c r="I169" s="221"/>
      <c r="J169" s="221"/>
      <c r="K169" s="221"/>
      <c r="L169" s="221"/>
      <c r="M169" s="221"/>
      <c r="N169" s="221"/>
      <c r="O169" s="221"/>
      <c r="P169" s="221"/>
      <c r="Q169" s="221"/>
      <c r="R169" s="221"/>
      <c r="S169" s="221"/>
      <c r="T169" s="221"/>
      <c r="U169" s="221"/>
      <c r="V169" s="221"/>
      <c r="W169" s="221"/>
      <c r="X169" s="221"/>
      <c r="Y169" s="221"/>
      <c r="Z169" s="221"/>
      <c r="AA169" s="221"/>
      <c r="AB169" s="297"/>
    </row>
    <row r="170">
      <c r="A170" s="134"/>
      <c r="B170" s="134"/>
      <c r="C170" s="68"/>
      <c r="D170" s="68"/>
      <c r="E170" s="68"/>
      <c r="F170" s="68"/>
      <c r="G170" s="68"/>
      <c r="H170" s="68"/>
      <c r="I170" s="221"/>
      <c r="J170" s="221"/>
      <c r="K170" s="221"/>
      <c r="L170" s="221"/>
      <c r="M170" s="221"/>
      <c r="N170" s="221"/>
      <c r="O170" s="221"/>
      <c r="P170" s="221"/>
      <c r="Q170" s="221"/>
      <c r="R170" s="221"/>
      <c r="S170" s="221"/>
      <c r="T170" s="221"/>
      <c r="U170" s="221"/>
      <c r="V170" s="221"/>
      <c r="W170" s="221"/>
      <c r="X170" s="221"/>
      <c r="Y170" s="221"/>
      <c r="Z170" s="221"/>
      <c r="AA170" s="221"/>
      <c r="AB170" s="297"/>
    </row>
    <row r="171">
      <c r="A171" s="134"/>
      <c r="B171" s="134"/>
      <c r="C171" s="68"/>
      <c r="D171" s="68"/>
      <c r="E171" s="68"/>
      <c r="F171" s="68"/>
      <c r="G171" s="68"/>
      <c r="H171" s="68"/>
      <c r="I171" s="221"/>
      <c r="J171" s="221"/>
      <c r="K171" s="221"/>
      <c r="L171" s="221"/>
      <c r="M171" s="221"/>
      <c r="N171" s="221"/>
      <c r="O171" s="221"/>
      <c r="P171" s="221"/>
      <c r="Q171" s="221"/>
      <c r="R171" s="221"/>
      <c r="S171" s="221"/>
      <c r="T171" s="221"/>
      <c r="U171" s="221"/>
      <c r="V171" s="221"/>
      <c r="W171" s="221"/>
      <c r="X171" s="221"/>
      <c r="Y171" s="221"/>
      <c r="Z171" s="221"/>
      <c r="AA171" s="221"/>
      <c r="AB171" s="297"/>
    </row>
    <row r="172">
      <c r="A172" s="134"/>
      <c r="B172" s="134"/>
      <c r="C172" s="68"/>
      <c r="D172" s="68"/>
      <c r="E172" s="68"/>
      <c r="F172" s="68"/>
      <c r="G172" s="68"/>
      <c r="H172" s="68"/>
      <c r="I172" s="221"/>
      <c r="J172" s="221"/>
      <c r="K172" s="221"/>
      <c r="L172" s="221"/>
      <c r="M172" s="221"/>
      <c r="N172" s="221"/>
      <c r="O172" s="221"/>
      <c r="P172" s="221"/>
      <c r="Q172" s="221"/>
      <c r="R172" s="221"/>
      <c r="S172" s="221"/>
      <c r="T172" s="221"/>
      <c r="U172" s="221"/>
      <c r="V172" s="221"/>
      <c r="W172" s="221"/>
      <c r="X172" s="221"/>
      <c r="Y172" s="221"/>
      <c r="Z172" s="221"/>
      <c r="AA172" s="221"/>
      <c r="AB172" s="297"/>
    </row>
    <row r="173">
      <c r="A173" s="134"/>
      <c r="B173" s="134"/>
      <c r="C173" s="68"/>
      <c r="D173" s="68"/>
      <c r="E173" s="68"/>
      <c r="F173" s="68"/>
      <c r="G173" s="68"/>
      <c r="H173" s="68"/>
      <c r="I173" s="221"/>
      <c r="J173" s="221"/>
      <c r="K173" s="221"/>
      <c r="L173" s="221"/>
      <c r="M173" s="221"/>
      <c r="N173" s="221"/>
      <c r="O173" s="221"/>
      <c r="P173" s="221"/>
      <c r="Q173" s="221"/>
      <c r="R173" s="221"/>
      <c r="S173" s="221"/>
      <c r="T173" s="221"/>
      <c r="U173" s="221"/>
      <c r="V173" s="221"/>
      <c r="W173" s="221"/>
      <c r="X173" s="221"/>
      <c r="Y173" s="221"/>
      <c r="Z173" s="221"/>
      <c r="AA173" s="221"/>
      <c r="AB173" s="297"/>
    </row>
    <row r="174">
      <c r="A174" s="134"/>
      <c r="B174" s="134"/>
      <c r="C174" s="68"/>
      <c r="D174" s="68"/>
      <c r="E174" s="68"/>
      <c r="F174" s="68"/>
      <c r="G174" s="68"/>
      <c r="H174" s="68"/>
      <c r="I174" s="221"/>
      <c r="J174" s="221"/>
      <c r="K174" s="221"/>
      <c r="L174" s="221"/>
      <c r="M174" s="221"/>
      <c r="N174" s="221"/>
      <c r="O174" s="221"/>
      <c r="P174" s="221"/>
      <c r="Q174" s="221"/>
      <c r="R174" s="221"/>
      <c r="S174" s="221"/>
      <c r="T174" s="221"/>
      <c r="U174" s="221"/>
      <c r="V174" s="221"/>
      <c r="W174" s="221"/>
      <c r="X174" s="221"/>
      <c r="Y174" s="221"/>
      <c r="Z174" s="221"/>
      <c r="AA174" s="221"/>
      <c r="AB174" s="297"/>
    </row>
    <row r="175">
      <c r="A175" s="134"/>
      <c r="B175" s="134"/>
      <c r="C175" s="68"/>
      <c r="D175" s="68"/>
      <c r="E175" s="68"/>
      <c r="F175" s="68"/>
      <c r="G175" s="68"/>
      <c r="H175" s="68"/>
      <c r="I175" s="221"/>
      <c r="J175" s="221"/>
      <c r="K175" s="221"/>
      <c r="L175" s="221"/>
      <c r="M175" s="221"/>
      <c r="N175" s="221"/>
      <c r="O175" s="221"/>
      <c r="P175" s="221"/>
      <c r="Q175" s="221"/>
      <c r="R175" s="221"/>
      <c r="S175" s="221"/>
      <c r="T175" s="221"/>
      <c r="U175" s="221"/>
      <c r="V175" s="221"/>
      <c r="W175" s="221"/>
      <c r="X175" s="221"/>
      <c r="Y175" s="221"/>
      <c r="Z175" s="221"/>
      <c r="AA175" s="221"/>
      <c r="AB175" s="297"/>
    </row>
    <row r="176">
      <c r="A176" s="134"/>
      <c r="B176" s="134"/>
      <c r="C176" s="68"/>
      <c r="D176" s="68"/>
      <c r="E176" s="68"/>
      <c r="F176" s="68"/>
      <c r="G176" s="68"/>
      <c r="H176" s="68"/>
      <c r="I176" s="221"/>
      <c r="J176" s="221"/>
      <c r="K176" s="221"/>
      <c r="L176" s="221"/>
      <c r="M176" s="221"/>
      <c r="N176" s="221"/>
      <c r="O176" s="221"/>
      <c r="P176" s="221"/>
      <c r="Q176" s="221"/>
      <c r="R176" s="221"/>
      <c r="S176" s="221"/>
      <c r="T176" s="221"/>
      <c r="U176" s="221"/>
      <c r="V176" s="221"/>
      <c r="W176" s="221"/>
      <c r="X176" s="221"/>
      <c r="Y176" s="221"/>
      <c r="Z176" s="221"/>
      <c r="AA176" s="221"/>
      <c r="AB176" s="297"/>
    </row>
    <row r="177">
      <c r="A177" s="134"/>
      <c r="B177" s="134"/>
      <c r="C177" s="68"/>
      <c r="D177" s="68"/>
      <c r="E177" s="68"/>
      <c r="F177" s="68"/>
      <c r="G177" s="68"/>
      <c r="H177" s="68"/>
      <c r="I177" s="221"/>
      <c r="J177" s="221"/>
      <c r="K177" s="221"/>
      <c r="L177" s="221"/>
      <c r="M177" s="221"/>
      <c r="N177" s="221"/>
      <c r="O177" s="221"/>
      <c r="P177" s="221"/>
      <c r="Q177" s="221"/>
      <c r="R177" s="221"/>
      <c r="S177" s="221"/>
      <c r="T177" s="221"/>
      <c r="U177" s="221"/>
      <c r="V177" s="221"/>
      <c r="W177" s="221"/>
      <c r="X177" s="221"/>
      <c r="Y177" s="221"/>
      <c r="Z177" s="221"/>
      <c r="AA177" s="221"/>
      <c r="AB177" s="297"/>
    </row>
    <row r="178">
      <c r="A178" s="134"/>
      <c r="B178" s="134"/>
      <c r="C178" s="68"/>
      <c r="D178" s="68"/>
      <c r="E178" s="68"/>
      <c r="F178" s="68"/>
      <c r="G178" s="68"/>
      <c r="H178" s="68"/>
      <c r="I178" s="221"/>
      <c r="J178" s="221"/>
      <c r="K178" s="221"/>
      <c r="L178" s="221"/>
      <c r="M178" s="221"/>
      <c r="N178" s="221"/>
      <c r="O178" s="221"/>
      <c r="P178" s="221"/>
      <c r="Q178" s="221"/>
      <c r="R178" s="221"/>
      <c r="S178" s="221"/>
      <c r="T178" s="221"/>
      <c r="U178" s="221"/>
      <c r="V178" s="221"/>
      <c r="W178" s="221"/>
      <c r="X178" s="221"/>
      <c r="Y178" s="221"/>
      <c r="Z178" s="221"/>
      <c r="AA178" s="221"/>
      <c r="AB178" s="297"/>
    </row>
    <row r="179">
      <c r="A179" s="134"/>
      <c r="B179" s="134"/>
      <c r="C179" s="68"/>
      <c r="D179" s="68"/>
      <c r="E179" s="68"/>
      <c r="F179" s="68"/>
      <c r="G179" s="68"/>
      <c r="H179" s="68"/>
      <c r="I179" s="221"/>
      <c r="J179" s="221"/>
      <c r="K179" s="221"/>
      <c r="L179" s="221"/>
      <c r="M179" s="221"/>
      <c r="N179" s="221"/>
      <c r="O179" s="221"/>
      <c r="P179" s="221"/>
      <c r="Q179" s="221"/>
      <c r="R179" s="221"/>
      <c r="S179" s="221"/>
      <c r="T179" s="221"/>
      <c r="U179" s="221"/>
      <c r="V179" s="221"/>
      <c r="W179" s="221"/>
      <c r="X179" s="221"/>
      <c r="Y179" s="221"/>
      <c r="Z179" s="221"/>
      <c r="AA179" s="221"/>
      <c r="AB179" s="297"/>
    </row>
    <row r="180">
      <c r="A180" s="134"/>
      <c r="B180" s="134"/>
      <c r="C180" s="68"/>
      <c r="D180" s="68"/>
      <c r="E180" s="68"/>
      <c r="F180" s="68"/>
      <c r="G180" s="68"/>
      <c r="H180" s="68"/>
      <c r="I180" s="221"/>
      <c r="J180" s="221"/>
      <c r="K180" s="221"/>
      <c r="L180" s="221"/>
      <c r="M180" s="221"/>
      <c r="N180" s="221"/>
      <c r="O180" s="221"/>
      <c r="P180" s="221"/>
      <c r="Q180" s="221"/>
      <c r="R180" s="221"/>
      <c r="S180" s="221"/>
      <c r="T180" s="221"/>
      <c r="U180" s="221"/>
      <c r="V180" s="221"/>
      <c r="W180" s="221"/>
      <c r="X180" s="221"/>
      <c r="Y180" s="221"/>
      <c r="Z180" s="221"/>
      <c r="AA180" s="221"/>
      <c r="AB180" s="297"/>
    </row>
    <row r="181">
      <c r="A181" s="134"/>
      <c r="B181" s="134"/>
      <c r="C181" s="68"/>
      <c r="D181" s="68"/>
      <c r="E181" s="68"/>
      <c r="F181" s="68"/>
      <c r="G181" s="68"/>
      <c r="H181" s="68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1"/>
      <c r="T181" s="221"/>
      <c r="U181" s="221"/>
      <c r="V181" s="221"/>
      <c r="W181" s="221"/>
      <c r="X181" s="221"/>
      <c r="Y181" s="221"/>
      <c r="Z181" s="221"/>
      <c r="AA181" s="221"/>
      <c r="AB181" s="297"/>
    </row>
    <row r="182">
      <c r="A182" s="134"/>
      <c r="B182" s="134"/>
      <c r="C182" s="68"/>
      <c r="D182" s="68"/>
      <c r="E182" s="68"/>
      <c r="F182" s="68"/>
      <c r="G182" s="68"/>
      <c r="H182" s="68"/>
      <c r="I182" s="221"/>
      <c r="J182" s="221"/>
      <c r="K182" s="221"/>
      <c r="L182" s="221"/>
      <c r="M182" s="221"/>
      <c r="N182" s="221"/>
      <c r="O182" s="221"/>
      <c r="P182" s="221"/>
      <c r="Q182" s="221"/>
      <c r="R182" s="221"/>
      <c r="S182" s="221"/>
      <c r="T182" s="221"/>
      <c r="U182" s="221"/>
      <c r="V182" s="221"/>
      <c r="W182" s="221"/>
      <c r="X182" s="221"/>
      <c r="Y182" s="221"/>
      <c r="Z182" s="221"/>
      <c r="AA182" s="221"/>
      <c r="AB182" s="297"/>
    </row>
    <row r="183">
      <c r="A183" s="134"/>
      <c r="B183" s="134"/>
      <c r="C183" s="68"/>
      <c r="D183" s="68"/>
      <c r="E183" s="68"/>
      <c r="F183" s="68"/>
      <c r="G183" s="68"/>
      <c r="H183" s="68"/>
      <c r="I183" s="221"/>
      <c r="J183" s="221"/>
      <c r="K183" s="221"/>
      <c r="L183" s="221"/>
      <c r="M183" s="221"/>
      <c r="N183" s="221"/>
      <c r="O183" s="221"/>
      <c r="P183" s="221"/>
      <c r="Q183" s="221"/>
      <c r="R183" s="221"/>
      <c r="S183" s="221"/>
      <c r="T183" s="221"/>
      <c r="U183" s="221"/>
      <c r="V183" s="221"/>
      <c r="W183" s="221"/>
      <c r="X183" s="221"/>
      <c r="Y183" s="221"/>
      <c r="Z183" s="221"/>
      <c r="AA183" s="221"/>
      <c r="AB183" s="297"/>
    </row>
    <row r="184">
      <c r="A184" s="134"/>
      <c r="B184" s="134"/>
      <c r="C184" s="68"/>
      <c r="D184" s="68"/>
      <c r="E184" s="68"/>
      <c r="F184" s="68"/>
      <c r="G184" s="68"/>
      <c r="H184" s="68"/>
      <c r="I184" s="221"/>
      <c r="J184" s="221"/>
      <c r="K184" s="221"/>
      <c r="L184" s="221"/>
      <c r="M184" s="221"/>
      <c r="N184" s="221"/>
      <c r="O184" s="221"/>
      <c r="P184" s="221"/>
      <c r="Q184" s="221"/>
      <c r="R184" s="221"/>
      <c r="S184" s="221"/>
      <c r="T184" s="221"/>
      <c r="U184" s="221"/>
      <c r="V184" s="221"/>
      <c r="W184" s="221"/>
      <c r="X184" s="221"/>
      <c r="Y184" s="221"/>
      <c r="Z184" s="221"/>
      <c r="AA184" s="221"/>
      <c r="AB184" s="297"/>
    </row>
    <row r="185">
      <c r="A185" s="134"/>
      <c r="B185" s="134"/>
      <c r="C185" s="68"/>
      <c r="D185" s="68"/>
      <c r="E185" s="68"/>
      <c r="F185" s="68"/>
      <c r="G185" s="68"/>
      <c r="H185" s="68"/>
      <c r="I185" s="221"/>
      <c r="J185" s="221"/>
      <c r="K185" s="221"/>
      <c r="L185" s="221"/>
      <c r="M185" s="221"/>
      <c r="N185" s="221"/>
      <c r="O185" s="221"/>
      <c r="P185" s="221"/>
      <c r="Q185" s="221"/>
      <c r="R185" s="221"/>
      <c r="S185" s="221"/>
      <c r="T185" s="221"/>
      <c r="U185" s="221"/>
      <c r="V185" s="221"/>
      <c r="W185" s="221"/>
      <c r="X185" s="221"/>
      <c r="Y185" s="221"/>
      <c r="Z185" s="221"/>
      <c r="AA185" s="221"/>
      <c r="AB185" s="297"/>
    </row>
    <row r="186">
      <c r="A186" s="134"/>
      <c r="B186" s="134"/>
      <c r="C186" s="68"/>
      <c r="D186" s="68"/>
      <c r="E186" s="68"/>
      <c r="F186" s="68"/>
      <c r="G186" s="68"/>
      <c r="H186" s="68"/>
      <c r="I186" s="221"/>
      <c r="J186" s="221"/>
      <c r="K186" s="221"/>
      <c r="L186" s="221"/>
      <c r="M186" s="221"/>
      <c r="N186" s="221"/>
      <c r="O186" s="221"/>
      <c r="P186" s="221"/>
      <c r="Q186" s="221"/>
      <c r="R186" s="221"/>
      <c r="S186" s="221"/>
      <c r="T186" s="221"/>
      <c r="U186" s="221"/>
      <c r="V186" s="221"/>
      <c r="W186" s="221"/>
      <c r="X186" s="221"/>
      <c r="Y186" s="221"/>
      <c r="Z186" s="221"/>
      <c r="AA186" s="221"/>
      <c r="AB186" s="297"/>
    </row>
    <row r="187">
      <c r="A187" s="134"/>
      <c r="B187" s="134"/>
      <c r="C187" s="68"/>
      <c r="D187" s="68"/>
      <c r="E187" s="68"/>
      <c r="F187" s="68"/>
      <c r="G187" s="68"/>
      <c r="H187" s="68"/>
      <c r="I187" s="221"/>
      <c r="J187" s="221"/>
      <c r="K187" s="221"/>
      <c r="L187" s="221"/>
      <c r="M187" s="221"/>
      <c r="N187" s="221"/>
      <c r="O187" s="221"/>
      <c r="P187" s="221"/>
      <c r="Q187" s="221"/>
      <c r="R187" s="221"/>
      <c r="S187" s="221"/>
      <c r="T187" s="221"/>
      <c r="U187" s="221"/>
      <c r="V187" s="221"/>
      <c r="W187" s="221"/>
      <c r="X187" s="221"/>
      <c r="Y187" s="221"/>
      <c r="Z187" s="221"/>
      <c r="AA187" s="221"/>
      <c r="AB187" s="297"/>
    </row>
    <row r="188">
      <c r="A188" s="134"/>
      <c r="B188" s="134"/>
      <c r="C188" s="68"/>
      <c r="D188" s="68"/>
      <c r="E188" s="68"/>
      <c r="F188" s="68"/>
      <c r="G188" s="68"/>
      <c r="H188" s="68"/>
      <c r="I188" s="221"/>
      <c r="J188" s="221"/>
      <c r="K188" s="221"/>
      <c r="L188" s="221"/>
      <c r="M188" s="221"/>
      <c r="N188" s="221"/>
      <c r="O188" s="221"/>
      <c r="P188" s="221"/>
      <c r="Q188" s="221"/>
      <c r="R188" s="221"/>
      <c r="S188" s="221"/>
      <c r="T188" s="221"/>
      <c r="U188" s="221"/>
      <c r="V188" s="221"/>
      <c r="W188" s="221"/>
      <c r="X188" s="221"/>
      <c r="Y188" s="221"/>
      <c r="Z188" s="221"/>
      <c r="AA188" s="221"/>
      <c r="AB188" s="297"/>
    </row>
    <row r="189">
      <c r="A189" s="134"/>
      <c r="B189" s="134"/>
      <c r="C189" s="68"/>
      <c r="D189" s="68"/>
      <c r="E189" s="68"/>
      <c r="F189" s="68"/>
      <c r="G189" s="68"/>
      <c r="H189" s="68"/>
      <c r="I189" s="221"/>
      <c r="J189" s="221"/>
      <c r="K189" s="221"/>
      <c r="L189" s="221"/>
      <c r="M189" s="221"/>
      <c r="N189" s="221"/>
      <c r="O189" s="221"/>
      <c r="P189" s="221"/>
      <c r="Q189" s="221"/>
      <c r="R189" s="221"/>
      <c r="S189" s="221"/>
      <c r="T189" s="221"/>
      <c r="U189" s="221"/>
      <c r="V189" s="221"/>
      <c r="W189" s="221"/>
      <c r="X189" s="221"/>
      <c r="Y189" s="221"/>
      <c r="Z189" s="221"/>
      <c r="AA189" s="221"/>
      <c r="AB189" s="297"/>
    </row>
    <row r="190">
      <c r="A190" s="134"/>
      <c r="B190" s="134"/>
      <c r="C190" s="68"/>
      <c r="D190" s="68"/>
      <c r="E190" s="68"/>
      <c r="F190" s="68"/>
      <c r="G190" s="68"/>
      <c r="H190" s="68"/>
      <c r="I190" s="221"/>
      <c r="J190" s="221"/>
      <c r="K190" s="221"/>
      <c r="L190" s="221"/>
      <c r="M190" s="221"/>
      <c r="N190" s="221"/>
      <c r="O190" s="221"/>
      <c r="P190" s="221"/>
      <c r="Q190" s="221"/>
      <c r="R190" s="221"/>
      <c r="S190" s="221"/>
      <c r="T190" s="221"/>
      <c r="U190" s="221"/>
      <c r="V190" s="221"/>
      <c r="W190" s="221"/>
      <c r="X190" s="221"/>
      <c r="Y190" s="221"/>
      <c r="Z190" s="221"/>
      <c r="AA190" s="221"/>
      <c r="AB190" s="297"/>
    </row>
    <row r="191">
      <c r="A191" s="134"/>
      <c r="B191" s="134"/>
      <c r="C191" s="68"/>
      <c r="D191" s="68"/>
      <c r="E191" s="68"/>
      <c r="F191" s="68"/>
      <c r="G191" s="68"/>
      <c r="H191" s="68"/>
      <c r="I191" s="221"/>
      <c r="J191" s="221"/>
      <c r="K191" s="221"/>
      <c r="L191" s="221"/>
      <c r="M191" s="221"/>
      <c r="N191" s="221"/>
      <c r="O191" s="221"/>
      <c r="P191" s="221"/>
      <c r="Q191" s="221"/>
      <c r="R191" s="221"/>
      <c r="S191" s="221"/>
      <c r="T191" s="221"/>
      <c r="U191" s="221"/>
      <c r="V191" s="221"/>
      <c r="W191" s="221"/>
      <c r="X191" s="221"/>
      <c r="Y191" s="221"/>
      <c r="Z191" s="221"/>
      <c r="AA191" s="221"/>
      <c r="AB191" s="297"/>
    </row>
    <row r="192">
      <c r="A192" s="134"/>
      <c r="B192" s="134"/>
      <c r="C192" s="68"/>
      <c r="D192" s="68"/>
      <c r="E192" s="68"/>
      <c r="F192" s="68"/>
      <c r="G192" s="68"/>
      <c r="H192" s="68"/>
      <c r="I192" s="221"/>
      <c r="J192" s="221"/>
      <c r="K192" s="221"/>
      <c r="L192" s="221"/>
      <c r="M192" s="221"/>
      <c r="N192" s="221"/>
      <c r="O192" s="221"/>
      <c r="P192" s="221"/>
      <c r="Q192" s="221"/>
      <c r="R192" s="221"/>
      <c r="S192" s="221"/>
      <c r="T192" s="221"/>
      <c r="U192" s="221"/>
      <c r="V192" s="221"/>
      <c r="W192" s="221"/>
      <c r="X192" s="221"/>
      <c r="Y192" s="221"/>
      <c r="Z192" s="221"/>
      <c r="AA192" s="221"/>
      <c r="AB192" s="297"/>
    </row>
    <row r="193">
      <c r="A193" s="134"/>
      <c r="B193" s="134"/>
      <c r="C193" s="68"/>
      <c r="D193" s="68"/>
      <c r="E193" s="68"/>
      <c r="F193" s="68"/>
      <c r="G193" s="68"/>
      <c r="H193" s="68"/>
      <c r="I193" s="221"/>
      <c r="J193" s="221"/>
      <c r="K193" s="221"/>
      <c r="L193" s="221"/>
      <c r="M193" s="221"/>
      <c r="N193" s="221"/>
      <c r="O193" s="221"/>
      <c r="P193" s="221"/>
      <c r="Q193" s="221"/>
      <c r="R193" s="221"/>
      <c r="S193" s="221"/>
      <c r="T193" s="221"/>
      <c r="U193" s="221"/>
      <c r="V193" s="221"/>
      <c r="W193" s="221"/>
      <c r="X193" s="221"/>
      <c r="Y193" s="221"/>
      <c r="Z193" s="221"/>
      <c r="AA193" s="221"/>
      <c r="AB193" s="297"/>
    </row>
    <row r="194">
      <c r="A194" s="134"/>
      <c r="B194" s="134"/>
      <c r="C194" s="68"/>
      <c r="D194" s="68"/>
      <c r="E194" s="68"/>
      <c r="F194" s="68"/>
      <c r="G194" s="68"/>
      <c r="H194" s="68"/>
      <c r="I194" s="221"/>
      <c r="J194" s="221"/>
      <c r="K194" s="221"/>
      <c r="L194" s="221"/>
      <c r="M194" s="221"/>
      <c r="N194" s="221"/>
      <c r="O194" s="221"/>
      <c r="P194" s="221"/>
      <c r="Q194" s="221"/>
      <c r="R194" s="221"/>
      <c r="S194" s="221"/>
      <c r="T194" s="221"/>
      <c r="U194" s="221"/>
      <c r="V194" s="221"/>
      <c r="W194" s="221"/>
      <c r="X194" s="221"/>
      <c r="Y194" s="221"/>
      <c r="Z194" s="221"/>
      <c r="AA194" s="221"/>
      <c r="AB194" s="297"/>
    </row>
    <row r="195">
      <c r="A195" s="134"/>
      <c r="B195" s="134"/>
      <c r="C195" s="68"/>
      <c r="D195" s="68"/>
      <c r="E195" s="68"/>
      <c r="F195" s="68"/>
      <c r="G195" s="68"/>
      <c r="H195" s="68"/>
      <c r="I195" s="221"/>
      <c r="J195" s="221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221"/>
      <c r="Z195" s="221"/>
      <c r="AA195" s="221"/>
      <c r="AB195" s="297"/>
    </row>
    <row r="196">
      <c r="A196" s="134"/>
      <c r="B196" s="134"/>
      <c r="C196" s="68"/>
      <c r="D196" s="68"/>
      <c r="E196" s="68"/>
      <c r="F196" s="68"/>
      <c r="G196" s="68"/>
      <c r="H196" s="68"/>
      <c r="I196" s="221"/>
      <c r="J196" s="221"/>
      <c r="K196" s="221"/>
      <c r="L196" s="221"/>
      <c r="M196" s="221"/>
      <c r="N196" s="221"/>
      <c r="O196" s="221"/>
      <c r="P196" s="221"/>
      <c r="Q196" s="221"/>
      <c r="R196" s="221"/>
      <c r="S196" s="221"/>
      <c r="T196" s="221"/>
      <c r="U196" s="221"/>
      <c r="V196" s="221"/>
      <c r="W196" s="221"/>
      <c r="X196" s="221"/>
      <c r="Y196" s="221"/>
      <c r="Z196" s="221"/>
      <c r="AA196" s="221"/>
      <c r="AB196" s="297"/>
    </row>
    <row r="197">
      <c r="A197" s="134"/>
      <c r="B197" s="134"/>
      <c r="C197" s="68"/>
      <c r="D197" s="68"/>
      <c r="E197" s="68"/>
      <c r="F197" s="68"/>
      <c r="G197" s="68"/>
      <c r="H197" s="68"/>
      <c r="I197" s="221"/>
      <c r="J197" s="221"/>
      <c r="K197" s="221"/>
      <c r="L197" s="221"/>
      <c r="M197" s="221"/>
      <c r="N197" s="221"/>
      <c r="O197" s="221"/>
      <c r="P197" s="221"/>
      <c r="Q197" s="221"/>
      <c r="R197" s="221"/>
      <c r="S197" s="221"/>
      <c r="T197" s="221"/>
      <c r="U197" s="221"/>
      <c r="V197" s="221"/>
      <c r="W197" s="221"/>
      <c r="X197" s="221"/>
      <c r="Y197" s="221"/>
      <c r="Z197" s="221"/>
      <c r="AA197" s="221"/>
      <c r="AB197" s="297"/>
    </row>
    <row r="198">
      <c r="A198" s="134"/>
      <c r="B198" s="134"/>
      <c r="C198" s="68"/>
      <c r="D198" s="68"/>
      <c r="E198" s="68"/>
      <c r="F198" s="68"/>
      <c r="G198" s="68"/>
      <c r="H198" s="68"/>
      <c r="I198" s="221"/>
      <c r="J198" s="221"/>
      <c r="K198" s="221"/>
      <c r="L198" s="221"/>
      <c r="M198" s="221"/>
      <c r="N198" s="221"/>
      <c r="O198" s="221"/>
      <c r="P198" s="221"/>
      <c r="Q198" s="221"/>
      <c r="R198" s="221"/>
      <c r="S198" s="221"/>
      <c r="T198" s="221"/>
      <c r="U198" s="221"/>
      <c r="V198" s="221"/>
      <c r="W198" s="221"/>
      <c r="X198" s="221"/>
      <c r="Y198" s="221"/>
      <c r="Z198" s="221"/>
      <c r="AA198" s="221"/>
      <c r="AB198" s="297"/>
    </row>
    <row r="199">
      <c r="A199" s="134"/>
      <c r="B199" s="134"/>
      <c r="C199" s="68"/>
      <c r="D199" s="68"/>
      <c r="E199" s="68"/>
      <c r="F199" s="68"/>
      <c r="G199" s="68"/>
      <c r="H199" s="68"/>
      <c r="I199" s="221"/>
      <c r="J199" s="221"/>
      <c r="K199" s="221"/>
      <c r="L199" s="221"/>
      <c r="M199" s="221"/>
      <c r="N199" s="221"/>
      <c r="O199" s="221"/>
      <c r="P199" s="221"/>
      <c r="Q199" s="221"/>
      <c r="R199" s="221"/>
      <c r="S199" s="221"/>
      <c r="T199" s="221"/>
      <c r="U199" s="221"/>
      <c r="V199" s="221"/>
      <c r="W199" s="221"/>
      <c r="X199" s="221"/>
      <c r="Y199" s="221"/>
      <c r="Z199" s="221"/>
      <c r="AA199" s="221"/>
      <c r="AB199" s="297"/>
    </row>
    <row r="200">
      <c r="A200" s="134"/>
      <c r="B200" s="134"/>
      <c r="C200" s="68"/>
      <c r="D200" s="68"/>
      <c r="E200" s="68"/>
      <c r="F200" s="68"/>
      <c r="G200" s="68"/>
      <c r="H200" s="68"/>
      <c r="I200" s="221"/>
      <c r="J200" s="221"/>
      <c r="K200" s="221"/>
      <c r="L200" s="221"/>
      <c r="M200" s="221"/>
      <c r="N200" s="221"/>
      <c r="O200" s="221"/>
      <c r="P200" s="221"/>
      <c r="Q200" s="221"/>
      <c r="R200" s="221"/>
      <c r="S200" s="221"/>
      <c r="T200" s="221"/>
      <c r="U200" s="221"/>
      <c r="V200" s="221"/>
      <c r="W200" s="221"/>
      <c r="X200" s="221"/>
      <c r="Y200" s="221"/>
      <c r="Z200" s="221"/>
      <c r="AA200" s="221"/>
      <c r="AB200" s="297"/>
    </row>
    <row r="201">
      <c r="A201" s="134"/>
      <c r="B201" s="134"/>
      <c r="C201" s="68"/>
      <c r="D201" s="68"/>
      <c r="E201" s="68"/>
      <c r="F201" s="68"/>
      <c r="G201" s="68"/>
      <c r="H201" s="68"/>
      <c r="I201" s="221"/>
      <c r="J201" s="221"/>
      <c r="K201" s="221"/>
      <c r="L201" s="221"/>
      <c r="M201" s="221"/>
      <c r="N201" s="221"/>
      <c r="O201" s="221"/>
      <c r="P201" s="221"/>
      <c r="Q201" s="221"/>
      <c r="R201" s="221"/>
      <c r="S201" s="221"/>
      <c r="T201" s="221"/>
      <c r="U201" s="221"/>
      <c r="V201" s="221"/>
      <c r="W201" s="221"/>
      <c r="X201" s="221"/>
      <c r="Y201" s="221"/>
      <c r="Z201" s="221"/>
      <c r="AA201" s="221"/>
      <c r="AB201" s="297"/>
    </row>
    <row r="202">
      <c r="A202" s="134"/>
      <c r="B202" s="134"/>
      <c r="C202" s="68"/>
      <c r="D202" s="68"/>
      <c r="E202" s="68"/>
      <c r="F202" s="68"/>
      <c r="G202" s="68"/>
      <c r="H202" s="68"/>
      <c r="I202" s="221"/>
      <c r="J202" s="221"/>
      <c r="K202" s="221"/>
      <c r="L202" s="221"/>
      <c r="M202" s="221"/>
      <c r="N202" s="221"/>
      <c r="O202" s="221"/>
      <c r="P202" s="221"/>
      <c r="Q202" s="221"/>
      <c r="R202" s="221"/>
      <c r="S202" s="221"/>
      <c r="T202" s="221"/>
      <c r="U202" s="221"/>
      <c r="V202" s="221"/>
      <c r="W202" s="221"/>
      <c r="X202" s="221"/>
      <c r="Y202" s="221"/>
      <c r="Z202" s="221"/>
      <c r="AA202" s="221"/>
      <c r="AB202" s="297"/>
    </row>
    <row r="203">
      <c r="A203" s="134"/>
      <c r="B203" s="134"/>
      <c r="C203" s="68"/>
      <c r="D203" s="68"/>
      <c r="E203" s="68"/>
      <c r="F203" s="68"/>
      <c r="G203" s="68"/>
      <c r="H203" s="68"/>
      <c r="I203" s="221"/>
      <c r="J203" s="221"/>
      <c r="K203" s="221"/>
      <c r="L203" s="221"/>
      <c r="M203" s="221"/>
      <c r="N203" s="221"/>
      <c r="O203" s="221"/>
      <c r="P203" s="221"/>
      <c r="Q203" s="221"/>
      <c r="R203" s="221"/>
      <c r="S203" s="221"/>
      <c r="T203" s="221"/>
      <c r="U203" s="221"/>
      <c r="V203" s="221"/>
      <c r="W203" s="221"/>
      <c r="X203" s="221"/>
      <c r="Y203" s="221"/>
      <c r="Z203" s="221"/>
      <c r="AA203" s="221"/>
      <c r="AB203" s="297"/>
    </row>
    <row r="204">
      <c r="A204" s="134"/>
      <c r="B204" s="134"/>
      <c r="C204" s="68"/>
      <c r="D204" s="68"/>
      <c r="E204" s="68"/>
      <c r="F204" s="68"/>
      <c r="G204" s="68"/>
      <c r="H204" s="68"/>
      <c r="I204" s="221"/>
      <c r="J204" s="221"/>
      <c r="K204" s="221"/>
      <c r="L204" s="221"/>
      <c r="M204" s="221"/>
      <c r="N204" s="221"/>
      <c r="O204" s="221"/>
      <c r="P204" s="221"/>
      <c r="Q204" s="221"/>
      <c r="R204" s="221"/>
      <c r="S204" s="221"/>
      <c r="T204" s="221"/>
      <c r="U204" s="221"/>
      <c r="V204" s="221"/>
      <c r="W204" s="221"/>
      <c r="X204" s="221"/>
      <c r="Y204" s="221"/>
      <c r="Z204" s="221"/>
      <c r="AA204" s="221"/>
      <c r="AB204" s="297"/>
    </row>
    <row r="205">
      <c r="A205" s="134"/>
      <c r="B205" s="134"/>
      <c r="C205" s="68"/>
      <c r="D205" s="68"/>
      <c r="E205" s="68"/>
      <c r="F205" s="68"/>
      <c r="G205" s="68"/>
      <c r="H205" s="68"/>
      <c r="I205" s="221"/>
      <c r="J205" s="221"/>
      <c r="K205" s="221"/>
      <c r="L205" s="221"/>
      <c r="M205" s="221"/>
      <c r="N205" s="221"/>
      <c r="O205" s="221"/>
      <c r="P205" s="221"/>
      <c r="Q205" s="221"/>
      <c r="R205" s="221"/>
      <c r="S205" s="221"/>
      <c r="T205" s="221"/>
      <c r="U205" s="221"/>
      <c r="V205" s="221"/>
      <c r="W205" s="221"/>
      <c r="X205" s="221"/>
      <c r="Y205" s="221"/>
      <c r="Z205" s="221"/>
      <c r="AA205" s="221"/>
      <c r="AB205" s="297"/>
    </row>
    <row r="206">
      <c r="A206" s="134"/>
      <c r="B206" s="134"/>
      <c r="C206" s="68"/>
      <c r="D206" s="68"/>
      <c r="E206" s="68"/>
      <c r="F206" s="68"/>
      <c r="G206" s="68"/>
      <c r="H206" s="68"/>
      <c r="I206" s="221"/>
      <c r="J206" s="221"/>
      <c r="K206" s="221"/>
      <c r="L206" s="221"/>
      <c r="M206" s="221"/>
      <c r="N206" s="221"/>
      <c r="O206" s="221"/>
      <c r="P206" s="221"/>
      <c r="Q206" s="221"/>
      <c r="R206" s="221"/>
      <c r="S206" s="221"/>
      <c r="T206" s="221"/>
      <c r="U206" s="221"/>
      <c r="V206" s="221"/>
      <c r="W206" s="221"/>
      <c r="X206" s="221"/>
      <c r="Y206" s="221"/>
      <c r="Z206" s="221"/>
      <c r="AA206" s="221"/>
      <c r="AB206" s="297"/>
    </row>
    <row r="207">
      <c r="A207" s="134"/>
      <c r="B207" s="134"/>
      <c r="C207" s="68"/>
      <c r="D207" s="68"/>
      <c r="E207" s="68"/>
      <c r="F207" s="68"/>
      <c r="G207" s="68"/>
      <c r="H207" s="68"/>
      <c r="I207" s="221"/>
      <c r="J207" s="221"/>
      <c r="K207" s="221"/>
      <c r="L207" s="221"/>
      <c r="M207" s="221"/>
      <c r="N207" s="221"/>
      <c r="O207" s="221"/>
      <c r="P207" s="221"/>
      <c r="Q207" s="221"/>
      <c r="R207" s="221"/>
      <c r="S207" s="221"/>
      <c r="T207" s="221"/>
      <c r="U207" s="221"/>
      <c r="V207" s="221"/>
      <c r="W207" s="221"/>
      <c r="X207" s="221"/>
      <c r="Y207" s="221"/>
      <c r="Z207" s="221"/>
      <c r="AA207" s="221"/>
      <c r="AB207" s="297"/>
    </row>
    <row r="208">
      <c r="A208" s="134"/>
      <c r="B208" s="134"/>
      <c r="C208" s="68"/>
      <c r="D208" s="68"/>
      <c r="E208" s="68"/>
      <c r="F208" s="68"/>
      <c r="G208" s="68"/>
      <c r="H208" s="68"/>
      <c r="I208" s="221"/>
      <c r="J208" s="221"/>
      <c r="K208" s="221"/>
      <c r="L208" s="221"/>
      <c r="M208" s="221"/>
      <c r="N208" s="221"/>
      <c r="O208" s="221"/>
      <c r="P208" s="221"/>
      <c r="Q208" s="221"/>
      <c r="R208" s="221"/>
      <c r="S208" s="221"/>
      <c r="T208" s="221"/>
      <c r="U208" s="221"/>
      <c r="V208" s="221"/>
      <c r="W208" s="221"/>
      <c r="X208" s="221"/>
      <c r="Y208" s="221"/>
      <c r="Z208" s="221"/>
      <c r="AA208" s="221"/>
      <c r="AB208" s="297"/>
    </row>
    <row r="209">
      <c r="A209" s="134"/>
      <c r="B209" s="134"/>
      <c r="C209" s="68"/>
      <c r="D209" s="68"/>
      <c r="E209" s="68"/>
      <c r="F209" s="68"/>
      <c r="G209" s="68"/>
      <c r="H209" s="68"/>
      <c r="I209" s="221"/>
      <c r="J209" s="221"/>
      <c r="K209" s="221"/>
      <c r="L209" s="221"/>
      <c r="M209" s="221"/>
      <c r="N209" s="221"/>
      <c r="O209" s="221"/>
      <c r="P209" s="221"/>
      <c r="Q209" s="221"/>
      <c r="R209" s="221"/>
      <c r="S209" s="221"/>
      <c r="T209" s="221"/>
      <c r="U209" s="221"/>
      <c r="V209" s="221"/>
      <c r="W209" s="221"/>
      <c r="X209" s="221"/>
      <c r="Y209" s="221"/>
      <c r="Z209" s="221"/>
      <c r="AA209" s="221"/>
      <c r="AB209" s="297"/>
    </row>
    <row r="210">
      <c r="A210" s="134"/>
      <c r="B210" s="134"/>
      <c r="C210" s="68"/>
      <c r="D210" s="68"/>
      <c r="E210" s="68"/>
      <c r="F210" s="68"/>
      <c r="G210" s="68"/>
      <c r="H210" s="68"/>
      <c r="I210" s="221"/>
      <c r="J210" s="221"/>
      <c r="K210" s="221"/>
      <c r="L210" s="221"/>
      <c r="M210" s="221"/>
      <c r="N210" s="221"/>
      <c r="O210" s="221"/>
      <c r="P210" s="221"/>
      <c r="Q210" s="221"/>
      <c r="R210" s="221"/>
      <c r="S210" s="221"/>
      <c r="T210" s="221"/>
      <c r="U210" s="221"/>
      <c r="V210" s="221"/>
      <c r="W210" s="221"/>
      <c r="X210" s="221"/>
      <c r="Y210" s="221"/>
      <c r="Z210" s="221"/>
      <c r="AA210" s="221"/>
      <c r="AB210" s="297"/>
    </row>
    <row r="211">
      <c r="A211" s="134"/>
      <c r="B211" s="134"/>
      <c r="C211" s="68"/>
      <c r="D211" s="68"/>
      <c r="E211" s="68"/>
      <c r="F211" s="68"/>
      <c r="G211" s="68"/>
      <c r="H211" s="68"/>
      <c r="I211" s="221"/>
      <c r="J211" s="221"/>
      <c r="K211" s="221"/>
      <c r="L211" s="221"/>
      <c r="M211" s="221"/>
      <c r="N211" s="221"/>
      <c r="O211" s="221"/>
      <c r="P211" s="221"/>
      <c r="Q211" s="221"/>
      <c r="R211" s="221"/>
      <c r="S211" s="221"/>
      <c r="T211" s="221"/>
      <c r="U211" s="221"/>
      <c r="V211" s="221"/>
      <c r="W211" s="221"/>
      <c r="X211" s="221"/>
      <c r="Y211" s="221"/>
      <c r="Z211" s="221"/>
      <c r="AA211" s="221"/>
      <c r="AB211" s="297"/>
    </row>
    <row r="212">
      <c r="A212" s="134"/>
      <c r="B212" s="134"/>
      <c r="C212" s="68"/>
      <c r="D212" s="68"/>
      <c r="E212" s="68"/>
      <c r="F212" s="68"/>
      <c r="G212" s="68"/>
      <c r="H212" s="68"/>
      <c r="I212" s="221"/>
      <c r="J212" s="221"/>
      <c r="K212" s="221"/>
      <c r="L212" s="221"/>
      <c r="M212" s="221"/>
      <c r="N212" s="221"/>
      <c r="O212" s="221"/>
      <c r="P212" s="221"/>
      <c r="Q212" s="221"/>
      <c r="R212" s="221"/>
      <c r="S212" s="221"/>
      <c r="T212" s="221"/>
      <c r="U212" s="221"/>
      <c r="V212" s="221"/>
      <c r="W212" s="221"/>
      <c r="X212" s="221"/>
      <c r="Y212" s="221"/>
      <c r="Z212" s="221"/>
      <c r="AA212" s="221"/>
      <c r="AB212" s="297"/>
    </row>
    <row r="213">
      <c r="A213" s="134"/>
      <c r="B213" s="134"/>
      <c r="C213" s="68"/>
      <c r="D213" s="68"/>
      <c r="E213" s="68"/>
      <c r="F213" s="68"/>
      <c r="G213" s="68"/>
      <c r="H213" s="68"/>
      <c r="I213" s="221"/>
      <c r="J213" s="221"/>
      <c r="K213" s="221"/>
      <c r="L213" s="221"/>
      <c r="M213" s="221"/>
      <c r="N213" s="221"/>
      <c r="O213" s="221"/>
      <c r="P213" s="221"/>
      <c r="Q213" s="221"/>
      <c r="R213" s="221"/>
      <c r="S213" s="221"/>
      <c r="T213" s="221"/>
      <c r="U213" s="221"/>
      <c r="V213" s="221"/>
      <c r="W213" s="221"/>
      <c r="X213" s="221"/>
      <c r="Y213" s="221"/>
      <c r="Z213" s="221"/>
      <c r="AA213" s="221"/>
      <c r="AB213" s="297"/>
    </row>
    <row r="214">
      <c r="A214" s="134"/>
      <c r="B214" s="134"/>
      <c r="C214" s="68"/>
      <c r="D214" s="68"/>
      <c r="E214" s="68"/>
      <c r="F214" s="68"/>
      <c r="G214" s="68"/>
      <c r="H214" s="68"/>
      <c r="I214" s="221"/>
      <c r="J214" s="221"/>
      <c r="K214" s="221"/>
      <c r="L214" s="221"/>
      <c r="M214" s="221"/>
      <c r="N214" s="221"/>
      <c r="O214" s="221"/>
      <c r="P214" s="221"/>
      <c r="Q214" s="221"/>
      <c r="R214" s="221"/>
      <c r="S214" s="221"/>
      <c r="T214" s="221"/>
      <c r="U214" s="221"/>
      <c r="V214" s="221"/>
      <c r="W214" s="221"/>
      <c r="X214" s="221"/>
      <c r="Y214" s="221"/>
      <c r="Z214" s="221"/>
      <c r="AA214" s="221"/>
      <c r="AB214" s="297"/>
    </row>
    <row r="215">
      <c r="A215" s="134"/>
      <c r="B215" s="134"/>
      <c r="C215" s="68"/>
      <c r="D215" s="68"/>
      <c r="E215" s="68"/>
      <c r="F215" s="68"/>
      <c r="G215" s="68"/>
      <c r="H215" s="68"/>
      <c r="I215" s="221"/>
      <c r="J215" s="221"/>
      <c r="K215" s="221"/>
      <c r="L215" s="221"/>
      <c r="M215" s="221"/>
      <c r="N215" s="221"/>
      <c r="O215" s="221"/>
      <c r="P215" s="221"/>
      <c r="Q215" s="221"/>
      <c r="R215" s="221"/>
      <c r="S215" s="221"/>
      <c r="T215" s="221"/>
      <c r="U215" s="221"/>
      <c r="V215" s="221"/>
      <c r="W215" s="221"/>
      <c r="X215" s="221"/>
      <c r="Y215" s="221"/>
      <c r="Z215" s="221"/>
      <c r="AA215" s="221"/>
      <c r="AB215" s="297"/>
    </row>
    <row r="216">
      <c r="A216" s="134"/>
      <c r="B216" s="134"/>
      <c r="C216" s="68"/>
      <c r="D216" s="68"/>
      <c r="E216" s="68"/>
      <c r="F216" s="68"/>
      <c r="G216" s="68"/>
      <c r="H216" s="68"/>
      <c r="I216" s="221"/>
      <c r="J216" s="221"/>
      <c r="K216" s="221"/>
      <c r="L216" s="221"/>
      <c r="M216" s="221"/>
      <c r="N216" s="221"/>
      <c r="O216" s="221"/>
      <c r="P216" s="221"/>
      <c r="Q216" s="221"/>
      <c r="R216" s="221"/>
      <c r="S216" s="221"/>
      <c r="T216" s="221"/>
      <c r="U216" s="221"/>
      <c r="V216" s="221"/>
      <c r="W216" s="221"/>
      <c r="X216" s="221"/>
      <c r="Y216" s="221"/>
      <c r="Z216" s="221"/>
      <c r="AA216" s="221"/>
      <c r="AB216" s="297"/>
    </row>
    <row r="217">
      <c r="A217" s="134"/>
      <c r="B217" s="134"/>
      <c r="C217" s="68"/>
      <c r="D217" s="68"/>
      <c r="E217" s="68"/>
      <c r="F217" s="68"/>
      <c r="G217" s="68"/>
      <c r="H217" s="68"/>
      <c r="I217" s="221"/>
      <c r="J217" s="221"/>
      <c r="K217" s="221"/>
      <c r="L217" s="221"/>
      <c r="M217" s="221"/>
      <c r="N217" s="221"/>
      <c r="O217" s="221"/>
      <c r="P217" s="221"/>
      <c r="Q217" s="221"/>
      <c r="R217" s="221"/>
      <c r="S217" s="221"/>
      <c r="T217" s="221"/>
      <c r="U217" s="221"/>
      <c r="V217" s="221"/>
      <c r="W217" s="221"/>
      <c r="X217" s="221"/>
      <c r="Y217" s="221"/>
      <c r="Z217" s="221"/>
      <c r="AA217" s="221"/>
      <c r="AB217" s="297"/>
    </row>
    <row r="218">
      <c r="A218" s="134"/>
      <c r="B218" s="134"/>
      <c r="C218" s="68"/>
      <c r="D218" s="68"/>
      <c r="E218" s="68"/>
      <c r="F218" s="68"/>
      <c r="G218" s="68"/>
      <c r="H218" s="68"/>
      <c r="I218" s="221"/>
      <c r="J218" s="221"/>
      <c r="K218" s="221"/>
      <c r="L218" s="221"/>
      <c r="M218" s="221"/>
      <c r="N218" s="221"/>
      <c r="O218" s="221"/>
      <c r="P218" s="221"/>
      <c r="Q218" s="221"/>
      <c r="R218" s="221"/>
      <c r="S218" s="221"/>
      <c r="T218" s="221"/>
      <c r="U218" s="221"/>
      <c r="V218" s="221"/>
      <c r="W218" s="221"/>
      <c r="X218" s="221"/>
      <c r="Y218" s="221"/>
      <c r="Z218" s="221"/>
      <c r="AA218" s="221"/>
      <c r="AB218" s="297"/>
    </row>
    <row r="219">
      <c r="A219" s="134"/>
      <c r="B219" s="134"/>
      <c r="C219" s="68"/>
      <c r="D219" s="68"/>
      <c r="E219" s="68"/>
      <c r="F219" s="68"/>
      <c r="G219" s="68"/>
      <c r="H219" s="68"/>
      <c r="I219" s="221"/>
      <c r="J219" s="221"/>
      <c r="K219" s="221"/>
      <c r="L219" s="221"/>
      <c r="M219" s="221"/>
      <c r="N219" s="221"/>
      <c r="O219" s="221"/>
      <c r="P219" s="221"/>
      <c r="Q219" s="221"/>
      <c r="R219" s="221"/>
      <c r="S219" s="221"/>
      <c r="T219" s="221"/>
      <c r="U219" s="221"/>
      <c r="V219" s="221"/>
      <c r="W219" s="221"/>
      <c r="X219" s="221"/>
      <c r="Y219" s="221"/>
      <c r="Z219" s="221"/>
      <c r="AA219" s="221"/>
      <c r="AB219" s="297"/>
    </row>
    <row r="220">
      <c r="A220" s="134"/>
      <c r="B220" s="134"/>
      <c r="C220" s="68"/>
      <c r="D220" s="68"/>
      <c r="E220" s="68"/>
      <c r="F220" s="68"/>
      <c r="G220" s="68"/>
      <c r="H220" s="68"/>
      <c r="I220" s="221"/>
      <c r="J220" s="221"/>
      <c r="K220" s="221"/>
      <c r="L220" s="221"/>
      <c r="M220" s="221"/>
      <c r="N220" s="221"/>
      <c r="O220" s="221"/>
      <c r="P220" s="221"/>
      <c r="Q220" s="221"/>
      <c r="R220" s="221"/>
      <c r="S220" s="221"/>
      <c r="T220" s="221"/>
      <c r="U220" s="221"/>
      <c r="V220" s="221"/>
      <c r="W220" s="221"/>
      <c r="X220" s="221"/>
      <c r="Y220" s="221"/>
      <c r="Z220" s="221"/>
      <c r="AA220" s="221"/>
      <c r="AB220" s="297"/>
    </row>
    <row r="221">
      <c r="A221" s="134"/>
      <c r="B221" s="134"/>
      <c r="C221" s="68"/>
      <c r="D221" s="68"/>
      <c r="E221" s="68"/>
      <c r="F221" s="68"/>
      <c r="G221" s="68"/>
      <c r="H221" s="68"/>
      <c r="I221" s="221"/>
      <c r="J221" s="221"/>
      <c r="K221" s="221"/>
      <c r="L221" s="221"/>
      <c r="M221" s="221"/>
      <c r="N221" s="221"/>
      <c r="O221" s="221"/>
      <c r="P221" s="221"/>
      <c r="Q221" s="221"/>
      <c r="R221" s="221"/>
      <c r="S221" s="221"/>
      <c r="T221" s="221"/>
      <c r="U221" s="221"/>
      <c r="V221" s="221"/>
      <c r="W221" s="221"/>
      <c r="X221" s="221"/>
      <c r="Y221" s="221"/>
      <c r="Z221" s="221"/>
      <c r="AA221" s="221"/>
      <c r="AB221" s="297"/>
    </row>
    <row r="222">
      <c r="A222" s="134"/>
      <c r="B222" s="134"/>
      <c r="C222" s="68"/>
      <c r="D222" s="68"/>
      <c r="E222" s="68"/>
      <c r="F222" s="68"/>
      <c r="G222" s="68"/>
      <c r="H222" s="68"/>
      <c r="I222" s="221"/>
      <c r="J222" s="221"/>
      <c r="K222" s="221"/>
      <c r="L222" s="221"/>
      <c r="M222" s="221"/>
      <c r="N222" s="221"/>
      <c r="O222" s="221"/>
      <c r="P222" s="221"/>
      <c r="Q222" s="221"/>
      <c r="R222" s="221"/>
      <c r="S222" s="221"/>
      <c r="T222" s="221"/>
      <c r="U222" s="221"/>
      <c r="V222" s="221"/>
      <c r="W222" s="221"/>
      <c r="X222" s="221"/>
      <c r="Y222" s="221"/>
      <c r="Z222" s="221"/>
      <c r="AA222" s="221"/>
      <c r="AB222" s="297"/>
    </row>
    <row r="223">
      <c r="A223" s="134"/>
      <c r="B223" s="134"/>
      <c r="C223" s="68"/>
      <c r="D223" s="68"/>
      <c r="E223" s="68"/>
      <c r="F223" s="68"/>
      <c r="G223" s="68"/>
      <c r="H223" s="68"/>
      <c r="I223" s="221"/>
      <c r="J223" s="221"/>
      <c r="K223" s="221"/>
      <c r="L223" s="221"/>
      <c r="M223" s="221"/>
      <c r="N223" s="221"/>
      <c r="O223" s="221"/>
      <c r="P223" s="221"/>
      <c r="Q223" s="221"/>
      <c r="R223" s="221"/>
      <c r="S223" s="221"/>
      <c r="T223" s="221"/>
      <c r="U223" s="221"/>
      <c r="V223" s="221"/>
      <c r="W223" s="221"/>
      <c r="X223" s="221"/>
      <c r="Y223" s="221"/>
      <c r="Z223" s="221"/>
      <c r="AA223" s="221"/>
      <c r="AB223" s="297"/>
    </row>
    <row r="224">
      <c r="A224" s="134"/>
      <c r="B224" s="134"/>
      <c r="C224" s="68"/>
      <c r="D224" s="68"/>
      <c r="E224" s="68"/>
      <c r="F224" s="68"/>
      <c r="G224" s="68"/>
      <c r="H224" s="68"/>
      <c r="I224" s="221"/>
      <c r="J224" s="221"/>
      <c r="K224" s="221"/>
      <c r="L224" s="221"/>
      <c r="M224" s="221"/>
      <c r="N224" s="221"/>
      <c r="O224" s="221"/>
      <c r="P224" s="221"/>
      <c r="Q224" s="221"/>
      <c r="R224" s="221"/>
      <c r="S224" s="221"/>
      <c r="T224" s="221"/>
      <c r="U224" s="221"/>
      <c r="V224" s="221"/>
      <c r="W224" s="221"/>
      <c r="X224" s="221"/>
      <c r="Y224" s="221"/>
      <c r="Z224" s="221"/>
      <c r="AA224" s="221"/>
      <c r="AB224" s="297"/>
    </row>
    <row r="225">
      <c r="A225" s="134"/>
      <c r="B225" s="134"/>
      <c r="C225" s="68"/>
      <c r="D225" s="68"/>
      <c r="E225" s="68"/>
      <c r="F225" s="68"/>
      <c r="G225" s="68"/>
      <c r="H225" s="68"/>
      <c r="I225" s="221"/>
      <c r="J225" s="221"/>
      <c r="K225" s="221"/>
      <c r="L225" s="221"/>
      <c r="M225" s="221"/>
      <c r="N225" s="221"/>
      <c r="O225" s="221"/>
      <c r="P225" s="221"/>
      <c r="Q225" s="221"/>
      <c r="R225" s="221"/>
      <c r="S225" s="221"/>
      <c r="T225" s="221"/>
      <c r="U225" s="221"/>
      <c r="V225" s="221"/>
      <c r="W225" s="221"/>
      <c r="X225" s="221"/>
      <c r="Y225" s="221"/>
      <c r="Z225" s="221"/>
      <c r="AA225" s="221"/>
      <c r="AB225" s="297"/>
    </row>
    <row r="226">
      <c r="A226" s="134"/>
      <c r="B226" s="134"/>
      <c r="C226" s="68"/>
      <c r="D226" s="68"/>
      <c r="E226" s="68"/>
      <c r="F226" s="68"/>
      <c r="G226" s="68"/>
      <c r="H226" s="68"/>
      <c r="I226" s="221"/>
      <c r="J226" s="221"/>
      <c r="K226" s="221"/>
      <c r="L226" s="221"/>
      <c r="M226" s="221"/>
      <c r="N226" s="221"/>
      <c r="O226" s="221"/>
      <c r="P226" s="221"/>
      <c r="Q226" s="221"/>
      <c r="R226" s="221"/>
      <c r="S226" s="221"/>
      <c r="T226" s="221"/>
      <c r="U226" s="221"/>
      <c r="V226" s="221"/>
      <c r="W226" s="221"/>
      <c r="X226" s="221"/>
      <c r="Y226" s="221"/>
      <c r="Z226" s="221"/>
      <c r="AA226" s="221"/>
      <c r="AB226" s="297"/>
    </row>
    <row r="227">
      <c r="A227" s="134"/>
      <c r="B227" s="134"/>
      <c r="C227" s="68"/>
      <c r="D227" s="68"/>
      <c r="E227" s="68"/>
      <c r="F227" s="68"/>
      <c r="G227" s="68"/>
      <c r="H227" s="68"/>
      <c r="I227" s="221"/>
      <c r="J227" s="221"/>
      <c r="K227" s="221"/>
      <c r="L227" s="221"/>
      <c r="M227" s="221"/>
      <c r="N227" s="221"/>
      <c r="O227" s="221"/>
      <c r="P227" s="221"/>
      <c r="Q227" s="221"/>
      <c r="R227" s="221"/>
      <c r="S227" s="221"/>
      <c r="T227" s="221"/>
      <c r="U227" s="221"/>
      <c r="V227" s="221"/>
      <c r="W227" s="221"/>
      <c r="X227" s="221"/>
      <c r="Y227" s="221"/>
      <c r="Z227" s="221"/>
      <c r="AA227" s="221"/>
      <c r="AB227" s="297"/>
    </row>
    <row r="228">
      <c r="A228" s="134"/>
      <c r="B228" s="134"/>
      <c r="C228" s="68"/>
      <c r="D228" s="68"/>
      <c r="E228" s="68"/>
      <c r="F228" s="68"/>
      <c r="G228" s="68"/>
      <c r="H228" s="68"/>
      <c r="I228" s="221"/>
      <c r="J228" s="221"/>
      <c r="K228" s="221"/>
      <c r="L228" s="221"/>
      <c r="M228" s="221"/>
      <c r="N228" s="221"/>
      <c r="O228" s="221"/>
      <c r="P228" s="221"/>
      <c r="Q228" s="221"/>
      <c r="R228" s="221"/>
      <c r="S228" s="221"/>
      <c r="T228" s="221"/>
      <c r="U228" s="221"/>
      <c r="V228" s="221"/>
      <c r="W228" s="221"/>
      <c r="X228" s="221"/>
      <c r="Y228" s="221"/>
      <c r="Z228" s="221"/>
      <c r="AA228" s="221"/>
      <c r="AB228" s="297"/>
    </row>
    <row r="229">
      <c r="A229" s="134"/>
      <c r="B229" s="134"/>
      <c r="C229" s="68"/>
      <c r="D229" s="68"/>
      <c r="E229" s="68"/>
      <c r="F229" s="68"/>
      <c r="G229" s="68"/>
      <c r="H229" s="68"/>
      <c r="I229" s="221"/>
      <c r="J229" s="221"/>
      <c r="K229" s="221"/>
      <c r="L229" s="221"/>
      <c r="M229" s="221"/>
      <c r="N229" s="221"/>
      <c r="O229" s="221"/>
      <c r="P229" s="221"/>
      <c r="Q229" s="221"/>
      <c r="R229" s="221"/>
      <c r="S229" s="221"/>
      <c r="T229" s="221"/>
      <c r="U229" s="221"/>
      <c r="V229" s="221"/>
      <c r="W229" s="221"/>
      <c r="X229" s="221"/>
      <c r="Y229" s="221"/>
      <c r="Z229" s="221"/>
      <c r="AA229" s="221"/>
      <c r="AB229" s="297"/>
    </row>
    <row r="230">
      <c r="A230" s="134"/>
      <c r="B230" s="134"/>
      <c r="C230" s="68"/>
      <c r="D230" s="68"/>
      <c r="E230" s="68"/>
      <c r="F230" s="68"/>
      <c r="G230" s="68"/>
      <c r="H230" s="68"/>
      <c r="I230" s="221"/>
      <c r="J230" s="221"/>
      <c r="K230" s="221"/>
      <c r="L230" s="221"/>
      <c r="M230" s="221"/>
      <c r="N230" s="221"/>
      <c r="O230" s="221"/>
      <c r="P230" s="221"/>
      <c r="Q230" s="221"/>
      <c r="R230" s="221"/>
      <c r="S230" s="221"/>
      <c r="T230" s="221"/>
      <c r="U230" s="221"/>
      <c r="V230" s="221"/>
      <c r="W230" s="221"/>
      <c r="X230" s="221"/>
      <c r="Y230" s="221"/>
      <c r="Z230" s="221"/>
      <c r="AA230" s="221"/>
      <c r="AB230" s="297"/>
    </row>
    <row r="231">
      <c r="A231" s="134"/>
      <c r="B231" s="134"/>
      <c r="C231" s="68"/>
      <c r="D231" s="68"/>
      <c r="E231" s="68"/>
      <c r="F231" s="68"/>
      <c r="G231" s="68"/>
      <c r="H231" s="68"/>
      <c r="I231" s="221"/>
      <c r="J231" s="221"/>
      <c r="K231" s="221"/>
      <c r="L231" s="221"/>
      <c r="M231" s="221"/>
      <c r="N231" s="221"/>
      <c r="O231" s="221"/>
      <c r="P231" s="221"/>
      <c r="Q231" s="221"/>
      <c r="R231" s="221"/>
      <c r="S231" s="221"/>
      <c r="T231" s="221"/>
      <c r="U231" s="221"/>
      <c r="V231" s="221"/>
      <c r="W231" s="221"/>
      <c r="X231" s="221"/>
      <c r="Y231" s="221"/>
      <c r="Z231" s="221"/>
      <c r="AA231" s="221"/>
      <c r="AB231" s="297"/>
    </row>
    <row r="232">
      <c r="A232" s="134"/>
      <c r="B232" s="134"/>
      <c r="C232" s="68"/>
      <c r="D232" s="68"/>
      <c r="E232" s="68"/>
      <c r="F232" s="68"/>
      <c r="G232" s="68"/>
      <c r="H232" s="68"/>
      <c r="I232" s="221"/>
      <c r="J232" s="221"/>
      <c r="K232" s="221"/>
      <c r="L232" s="221"/>
      <c r="M232" s="221"/>
      <c r="N232" s="221"/>
      <c r="O232" s="221"/>
      <c r="P232" s="221"/>
      <c r="Q232" s="221"/>
      <c r="R232" s="221"/>
      <c r="S232" s="221"/>
      <c r="T232" s="221"/>
      <c r="U232" s="221"/>
      <c r="V232" s="221"/>
      <c r="W232" s="221"/>
      <c r="X232" s="221"/>
      <c r="Y232" s="221"/>
      <c r="Z232" s="221"/>
      <c r="AA232" s="221"/>
      <c r="AB232" s="297"/>
    </row>
    <row r="233">
      <c r="A233" s="134"/>
      <c r="B233" s="134"/>
      <c r="C233" s="68"/>
      <c r="D233" s="68"/>
      <c r="E233" s="68"/>
      <c r="F233" s="68"/>
      <c r="G233" s="68"/>
      <c r="H233" s="68"/>
      <c r="I233" s="221"/>
      <c r="J233" s="221"/>
      <c r="K233" s="221"/>
      <c r="L233" s="221"/>
      <c r="M233" s="221"/>
      <c r="N233" s="221"/>
      <c r="O233" s="221"/>
      <c r="P233" s="221"/>
      <c r="Q233" s="221"/>
      <c r="R233" s="221"/>
      <c r="S233" s="221"/>
      <c r="T233" s="221"/>
      <c r="U233" s="221"/>
      <c r="V233" s="221"/>
      <c r="W233" s="221"/>
      <c r="X233" s="221"/>
      <c r="Y233" s="221"/>
      <c r="Z233" s="221"/>
      <c r="AA233" s="221"/>
      <c r="AB233" s="297"/>
    </row>
    <row r="234">
      <c r="A234" s="134"/>
      <c r="B234" s="134"/>
      <c r="C234" s="68"/>
      <c r="D234" s="68"/>
      <c r="E234" s="68"/>
      <c r="F234" s="68"/>
      <c r="G234" s="68"/>
      <c r="H234" s="68"/>
      <c r="I234" s="221"/>
      <c r="J234" s="221"/>
      <c r="K234" s="221"/>
      <c r="L234" s="221"/>
      <c r="M234" s="221"/>
      <c r="N234" s="221"/>
      <c r="O234" s="221"/>
      <c r="P234" s="221"/>
      <c r="Q234" s="221"/>
      <c r="R234" s="221"/>
      <c r="S234" s="221"/>
      <c r="T234" s="221"/>
      <c r="U234" s="221"/>
      <c r="V234" s="221"/>
      <c r="W234" s="221"/>
      <c r="X234" s="221"/>
      <c r="Y234" s="221"/>
      <c r="Z234" s="221"/>
      <c r="AA234" s="221"/>
      <c r="AB234" s="297"/>
    </row>
    <row r="235">
      <c r="A235" s="134"/>
      <c r="B235" s="134"/>
      <c r="C235" s="68"/>
      <c r="D235" s="68"/>
      <c r="E235" s="68"/>
      <c r="F235" s="68"/>
      <c r="G235" s="68"/>
      <c r="H235" s="68"/>
      <c r="I235" s="221"/>
      <c r="J235" s="221"/>
      <c r="K235" s="221"/>
      <c r="L235" s="221"/>
      <c r="M235" s="221"/>
      <c r="N235" s="221"/>
      <c r="O235" s="221"/>
      <c r="P235" s="221"/>
      <c r="Q235" s="221"/>
      <c r="R235" s="221"/>
      <c r="S235" s="221"/>
      <c r="T235" s="221"/>
      <c r="U235" s="221"/>
      <c r="V235" s="221"/>
      <c r="W235" s="221"/>
      <c r="X235" s="221"/>
      <c r="Y235" s="221"/>
      <c r="Z235" s="221"/>
      <c r="AA235" s="221"/>
      <c r="AB235" s="297"/>
    </row>
    <row r="236">
      <c r="A236" s="134"/>
      <c r="B236" s="134"/>
      <c r="C236" s="68"/>
      <c r="D236" s="68"/>
      <c r="E236" s="68"/>
      <c r="F236" s="68"/>
      <c r="G236" s="68"/>
      <c r="H236" s="68"/>
      <c r="I236" s="221"/>
      <c r="J236" s="221"/>
      <c r="K236" s="221"/>
      <c r="L236" s="221"/>
      <c r="M236" s="221"/>
      <c r="N236" s="221"/>
      <c r="O236" s="221"/>
      <c r="P236" s="221"/>
      <c r="Q236" s="221"/>
      <c r="R236" s="221"/>
      <c r="S236" s="221"/>
      <c r="T236" s="221"/>
      <c r="U236" s="221"/>
      <c r="V236" s="221"/>
      <c r="W236" s="221"/>
      <c r="X236" s="221"/>
      <c r="Y236" s="221"/>
      <c r="Z236" s="221"/>
      <c r="AA236" s="221"/>
      <c r="AB236" s="297"/>
    </row>
    <row r="237">
      <c r="A237" s="134"/>
      <c r="B237" s="134"/>
      <c r="C237" s="68"/>
      <c r="D237" s="68"/>
      <c r="E237" s="68"/>
      <c r="F237" s="68"/>
      <c r="G237" s="68"/>
      <c r="H237" s="68"/>
      <c r="I237" s="221"/>
      <c r="J237" s="221"/>
      <c r="K237" s="221"/>
      <c r="L237" s="221"/>
      <c r="M237" s="221"/>
      <c r="N237" s="221"/>
      <c r="O237" s="221"/>
      <c r="P237" s="221"/>
      <c r="Q237" s="221"/>
      <c r="R237" s="221"/>
      <c r="S237" s="221"/>
      <c r="T237" s="221"/>
      <c r="U237" s="221"/>
      <c r="V237" s="221"/>
      <c r="W237" s="221"/>
      <c r="X237" s="221"/>
      <c r="Y237" s="221"/>
      <c r="Z237" s="221"/>
      <c r="AA237" s="221"/>
      <c r="AB237" s="297"/>
    </row>
    <row r="238">
      <c r="A238" s="134"/>
      <c r="B238" s="134"/>
      <c r="C238" s="68"/>
      <c r="D238" s="68"/>
      <c r="E238" s="68"/>
      <c r="F238" s="68"/>
      <c r="G238" s="68"/>
      <c r="H238" s="68"/>
      <c r="I238" s="221"/>
      <c r="J238" s="221"/>
      <c r="K238" s="221"/>
      <c r="L238" s="221"/>
      <c r="M238" s="221"/>
      <c r="N238" s="221"/>
      <c r="O238" s="221"/>
      <c r="P238" s="221"/>
      <c r="Q238" s="221"/>
      <c r="R238" s="221"/>
      <c r="S238" s="221"/>
      <c r="T238" s="221"/>
      <c r="U238" s="221"/>
      <c r="V238" s="221"/>
      <c r="W238" s="221"/>
      <c r="X238" s="221"/>
      <c r="Y238" s="221"/>
      <c r="Z238" s="221"/>
      <c r="AA238" s="221"/>
      <c r="AB238" s="297"/>
    </row>
    <row r="239">
      <c r="A239" s="134"/>
      <c r="B239" s="134"/>
      <c r="C239" s="68"/>
      <c r="D239" s="68"/>
      <c r="E239" s="68"/>
      <c r="F239" s="68"/>
      <c r="G239" s="68"/>
      <c r="H239" s="68"/>
      <c r="I239" s="221"/>
      <c r="J239" s="221"/>
      <c r="K239" s="221"/>
      <c r="L239" s="221"/>
      <c r="M239" s="221"/>
      <c r="N239" s="221"/>
      <c r="O239" s="221"/>
      <c r="P239" s="221"/>
      <c r="Q239" s="221"/>
      <c r="R239" s="221"/>
      <c r="S239" s="221"/>
      <c r="T239" s="221"/>
      <c r="U239" s="221"/>
      <c r="V239" s="221"/>
      <c r="W239" s="221"/>
      <c r="X239" s="221"/>
      <c r="Y239" s="221"/>
      <c r="Z239" s="221"/>
      <c r="AA239" s="221"/>
      <c r="AB239" s="297"/>
    </row>
    <row r="240">
      <c r="A240" s="134"/>
      <c r="B240" s="134"/>
      <c r="C240" s="68"/>
      <c r="D240" s="68"/>
      <c r="E240" s="68"/>
      <c r="F240" s="68"/>
      <c r="G240" s="68"/>
      <c r="H240" s="68"/>
      <c r="I240" s="221"/>
      <c r="J240" s="221"/>
      <c r="K240" s="221"/>
      <c r="L240" s="221"/>
      <c r="M240" s="221"/>
      <c r="N240" s="221"/>
      <c r="O240" s="221"/>
      <c r="P240" s="221"/>
      <c r="Q240" s="221"/>
      <c r="R240" s="221"/>
      <c r="S240" s="221"/>
      <c r="T240" s="221"/>
      <c r="U240" s="221"/>
      <c r="V240" s="221"/>
      <c r="W240" s="221"/>
      <c r="X240" s="221"/>
      <c r="Y240" s="221"/>
      <c r="Z240" s="221"/>
      <c r="AA240" s="221"/>
      <c r="AB240" s="297"/>
    </row>
    <row r="241">
      <c r="A241" s="134"/>
      <c r="B241" s="134"/>
      <c r="C241" s="68"/>
      <c r="D241" s="68"/>
      <c r="E241" s="68"/>
      <c r="F241" s="68"/>
      <c r="G241" s="68"/>
      <c r="H241" s="68"/>
      <c r="I241" s="221"/>
      <c r="J241" s="221"/>
      <c r="K241" s="221"/>
      <c r="L241" s="221"/>
      <c r="M241" s="221"/>
      <c r="N241" s="221"/>
      <c r="O241" s="221"/>
      <c r="P241" s="221"/>
      <c r="Q241" s="221"/>
      <c r="R241" s="221"/>
      <c r="S241" s="221"/>
      <c r="T241" s="221"/>
      <c r="U241" s="221"/>
      <c r="V241" s="221"/>
      <c r="W241" s="221"/>
      <c r="X241" s="221"/>
      <c r="Y241" s="221"/>
      <c r="Z241" s="221"/>
      <c r="AA241" s="221"/>
      <c r="AB241" s="297"/>
    </row>
    <row r="242">
      <c r="A242" s="134"/>
      <c r="B242" s="134"/>
      <c r="C242" s="68"/>
      <c r="D242" s="68"/>
      <c r="E242" s="68"/>
      <c r="F242" s="68"/>
      <c r="G242" s="68"/>
      <c r="H242" s="68"/>
      <c r="I242" s="221"/>
      <c r="J242" s="221"/>
      <c r="K242" s="221"/>
      <c r="L242" s="221"/>
      <c r="M242" s="221"/>
      <c r="N242" s="221"/>
      <c r="O242" s="221"/>
      <c r="P242" s="221"/>
      <c r="Q242" s="221"/>
      <c r="R242" s="221"/>
      <c r="S242" s="221"/>
      <c r="T242" s="221"/>
      <c r="U242" s="221"/>
      <c r="V242" s="221"/>
      <c r="W242" s="221"/>
      <c r="X242" s="221"/>
      <c r="Y242" s="221"/>
      <c r="Z242" s="221"/>
      <c r="AA242" s="221"/>
      <c r="AB242" s="297"/>
    </row>
    <row r="243">
      <c r="A243" s="134"/>
      <c r="B243" s="134"/>
      <c r="C243" s="68"/>
      <c r="D243" s="68"/>
      <c r="E243" s="68"/>
      <c r="F243" s="68"/>
      <c r="G243" s="68"/>
      <c r="H243" s="68"/>
      <c r="I243" s="221"/>
      <c r="J243" s="221"/>
      <c r="K243" s="221"/>
      <c r="L243" s="221"/>
      <c r="M243" s="221"/>
      <c r="N243" s="221"/>
      <c r="O243" s="221"/>
      <c r="P243" s="221"/>
      <c r="Q243" s="221"/>
      <c r="R243" s="221"/>
      <c r="S243" s="221"/>
      <c r="T243" s="221"/>
      <c r="U243" s="221"/>
      <c r="V243" s="221"/>
      <c r="W243" s="221"/>
      <c r="X243" s="221"/>
      <c r="Y243" s="221"/>
      <c r="Z243" s="221"/>
      <c r="AA243" s="221"/>
      <c r="AB243" s="297"/>
    </row>
    <row r="244">
      <c r="A244" s="134"/>
      <c r="B244" s="134"/>
      <c r="C244" s="68"/>
      <c r="D244" s="68"/>
      <c r="E244" s="68"/>
      <c r="F244" s="68"/>
      <c r="G244" s="68"/>
      <c r="H244" s="68"/>
      <c r="I244" s="221"/>
      <c r="J244" s="221"/>
      <c r="K244" s="221"/>
      <c r="L244" s="221"/>
      <c r="M244" s="221"/>
      <c r="N244" s="221"/>
      <c r="O244" s="221"/>
      <c r="P244" s="221"/>
      <c r="Q244" s="221"/>
      <c r="R244" s="221"/>
      <c r="S244" s="221"/>
      <c r="T244" s="221"/>
      <c r="U244" s="221"/>
      <c r="V244" s="221"/>
      <c r="W244" s="221"/>
      <c r="X244" s="221"/>
      <c r="Y244" s="221"/>
      <c r="Z244" s="221"/>
      <c r="AA244" s="221"/>
      <c r="AB244" s="297"/>
    </row>
    <row r="245">
      <c r="A245" s="134"/>
      <c r="B245" s="134"/>
      <c r="C245" s="68"/>
      <c r="D245" s="68"/>
      <c r="E245" s="68"/>
      <c r="F245" s="68"/>
      <c r="G245" s="68"/>
      <c r="H245" s="68"/>
      <c r="I245" s="221"/>
      <c r="J245" s="221"/>
      <c r="K245" s="221"/>
      <c r="L245" s="221"/>
      <c r="M245" s="221"/>
      <c r="N245" s="221"/>
      <c r="O245" s="221"/>
      <c r="P245" s="221"/>
      <c r="Q245" s="221"/>
      <c r="R245" s="221"/>
      <c r="S245" s="221"/>
      <c r="T245" s="221"/>
      <c r="U245" s="221"/>
      <c r="V245" s="221"/>
      <c r="W245" s="221"/>
      <c r="X245" s="221"/>
      <c r="Y245" s="221"/>
      <c r="Z245" s="221"/>
      <c r="AA245" s="221"/>
      <c r="AB245" s="297"/>
    </row>
    <row r="246">
      <c r="A246" s="134"/>
      <c r="B246" s="134"/>
      <c r="C246" s="68"/>
      <c r="D246" s="68"/>
      <c r="E246" s="68"/>
      <c r="F246" s="68"/>
      <c r="G246" s="68"/>
      <c r="H246" s="68"/>
      <c r="I246" s="221"/>
      <c r="J246" s="221"/>
      <c r="K246" s="221"/>
      <c r="L246" s="221"/>
      <c r="M246" s="221"/>
      <c r="N246" s="221"/>
      <c r="O246" s="221"/>
      <c r="P246" s="221"/>
      <c r="Q246" s="221"/>
      <c r="R246" s="221"/>
      <c r="S246" s="221"/>
      <c r="T246" s="221"/>
      <c r="U246" s="221"/>
      <c r="V246" s="221"/>
      <c r="W246" s="221"/>
      <c r="X246" s="221"/>
      <c r="Y246" s="221"/>
      <c r="Z246" s="221"/>
      <c r="AA246" s="221"/>
      <c r="AB246" s="297"/>
    </row>
    <row r="247">
      <c r="A247" s="134"/>
      <c r="B247" s="134"/>
      <c r="C247" s="68"/>
      <c r="D247" s="68"/>
      <c r="E247" s="68"/>
      <c r="F247" s="68"/>
      <c r="G247" s="68"/>
      <c r="H247" s="68"/>
      <c r="I247" s="221"/>
      <c r="J247" s="221"/>
      <c r="K247" s="221"/>
      <c r="L247" s="221"/>
      <c r="M247" s="221"/>
      <c r="N247" s="221"/>
      <c r="O247" s="221"/>
      <c r="P247" s="221"/>
      <c r="Q247" s="221"/>
      <c r="R247" s="221"/>
      <c r="S247" s="221"/>
      <c r="T247" s="221"/>
      <c r="U247" s="221"/>
      <c r="V247" s="221"/>
      <c r="W247" s="221"/>
      <c r="X247" s="221"/>
      <c r="Y247" s="221"/>
      <c r="Z247" s="221"/>
      <c r="AA247" s="221"/>
      <c r="AB247" s="297"/>
    </row>
    <row r="248">
      <c r="A248" s="134"/>
      <c r="B248" s="134"/>
      <c r="C248" s="68"/>
      <c r="D248" s="68"/>
      <c r="E248" s="68"/>
      <c r="F248" s="68"/>
      <c r="G248" s="68"/>
      <c r="H248" s="68"/>
      <c r="I248" s="221"/>
      <c r="J248" s="221"/>
      <c r="K248" s="221"/>
      <c r="L248" s="221"/>
      <c r="M248" s="221"/>
      <c r="N248" s="221"/>
      <c r="O248" s="221"/>
      <c r="P248" s="221"/>
      <c r="Q248" s="221"/>
      <c r="R248" s="221"/>
      <c r="S248" s="221"/>
      <c r="T248" s="221"/>
      <c r="U248" s="221"/>
      <c r="V248" s="221"/>
      <c r="W248" s="221"/>
      <c r="X248" s="221"/>
      <c r="Y248" s="221"/>
      <c r="Z248" s="221"/>
      <c r="AA248" s="221"/>
      <c r="AB248" s="297"/>
    </row>
    <row r="249">
      <c r="A249" s="134"/>
      <c r="B249" s="134"/>
      <c r="C249" s="68"/>
      <c r="D249" s="68"/>
      <c r="E249" s="68"/>
      <c r="F249" s="68"/>
      <c r="G249" s="68"/>
      <c r="H249" s="68"/>
      <c r="I249" s="221"/>
      <c r="J249" s="221"/>
      <c r="K249" s="221"/>
      <c r="L249" s="221"/>
      <c r="M249" s="221"/>
      <c r="N249" s="221"/>
      <c r="O249" s="221"/>
      <c r="P249" s="221"/>
      <c r="Q249" s="221"/>
      <c r="R249" s="221"/>
      <c r="S249" s="221"/>
      <c r="T249" s="221"/>
      <c r="U249" s="221"/>
      <c r="V249" s="221"/>
      <c r="W249" s="221"/>
      <c r="X249" s="221"/>
      <c r="Y249" s="221"/>
      <c r="Z249" s="221"/>
      <c r="AA249" s="221"/>
      <c r="AB249" s="297"/>
    </row>
    <row r="250">
      <c r="A250" s="134"/>
      <c r="B250" s="134"/>
      <c r="C250" s="68"/>
      <c r="D250" s="68"/>
      <c r="E250" s="68"/>
      <c r="F250" s="68"/>
      <c r="G250" s="68"/>
      <c r="H250" s="68"/>
      <c r="I250" s="221"/>
      <c r="J250" s="221"/>
      <c r="K250" s="221"/>
      <c r="L250" s="221"/>
      <c r="M250" s="221"/>
      <c r="N250" s="221"/>
      <c r="O250" s="221"/>
      <c r="P250" s="221"/>
      <c r="Q250" s="221"/>
      <c r="R250" s="221"/>
      <c r="S250" s="221"/>
      <c r="T250" s="221"/>
      <c r="U250" s="221"/>
      <c r="V250" s="221"/>
      <c r="W250" s="221"/>
      <c r="X250" s="221"/>
      <c r="Y250" s="221"/>
      <c r="Z250" s="221"/>
      <c r="AA250" s="221"/>
      <c r="AB250" s="297"/>
    </row>
    <row r="251">
      <c r="A251" s="134"/>
      <c r="B251" s="134"/>
      <c r="C251" s="68"/>
      <c r="D251" s="68"/>
      <c r="E251" s="68"/>
      <c r="F251" s="68"/>
      <c r="G251" s="68"/>
      <c r="H251" s="68"/>
      <c r="I251" s="221"/>
      <c r="J251" s="221"/>
      <c r="K251" s="221"/>
      <c r="L251" s="221"/>
      <c r="M251" s="221"/>
      <c r="N251" s="221"/>
      <c r="O251" s="221"/>
      <c r="P251" s="221"/>
      <c r="Q251" s="221"/>
      <c r="R251" s="221"/>
      <c r="S251" s="221"/>
      <c r="T251" s="221"/>
      <c r="U251" s="221"/>
      <c r="V251" s="221"/>
      <c r="W251" s="221"/>
      <c r="X251" s="221"/>
      <c r="Y251" s="221"/>
      <c r="Z251" s="221"/>
      <c r="AA251" s="221"/>
      <c r="AB251" s="297"/>
    </row>
    <row r="252">
      <c r="A252" s="134"/>
      <c r="B252" s="134"/>
      <c r="C252" s="68"/>
      <c r="D252" s="68"/>
      <c r="E252" s="68"/>
      <c r="F252" s="68"/>
      <c r="G252" s="68"/>
      <c r="H252" s="68"/>
      <c r="I252" s="221"/>
      <c r="J252" s="221"/>
      <c r="K252" s="221"/>
      <c r="L252" s="221"/>
      <c r="M252" s="221"/>
      <c r="N252" s="221"/>
      <c r="O252" s="221"/>
      <c r="P252" s="221"/>
      <c r="Q252" s="221"/>
      <c r="R252" s="221"/>
      <c r="S252" s="221"/>
      <c r="T252" s="221"/>
      <c r="U252" s="221"/>
      <c r="V252" s="221"/>
      <c r="W252" s="221"/>
      <c r="X252" s="221"/>
      <c r="Y252" s="221"/>
      <c r="Z252" s="221"/>
      <c r="AA252" s="221"/>
      <c r="AB252" s="297"/>
    </row>
    <row r="253">
      <c r="A253" s="134"/>
      <c r="B253" s="134"/>
      <c r="C253" s="68"/>
      <c r="D253" s="68"/>
      <c r="E253" s="68"/>
      <c r="F253" s="68"/>
      <c r="G253" s="68"/>
      <c r="H253" s="68"/>
      <c r="I253" s="221"/>
      <c r="J253" s="221"/>
      <c r="K253" s="221"/>
      <c r="L253" s="221"/>
      <c r="M253" s="221"/>
      <c r="N253" s="221"/>
      <c r="O253" s="221"/>
      <c r="P253" s="221"/>
      <c r="Q253" s="221"/>
      <c r="R253" s="221"/>
      <c r="S253" s="221"/>
      <c r="T253" s="221"/>
      <c r="U253" s="221"/>
      <c r="V253" s="221"/>
      <c r="W253" s="221"/>
      <c r="X253" s="221"/>
      <c r="Y253" s="221"/>
      <c r="Z253" s="221"/>
      <c r="AA253" s="221"/>
      <c r="AB253" s="297"/>
    </row>
    <row r="254">
      <c r="A254" s="134"/>
      <c r="B254" s="134"/>
      <c r="C254" s="68"/>
      <c r="D254" s="68"/>
      <c r="E254" s="68"/>
      <c r="F254" s="68"/>
      <c r="G254" s="68"/>
      <c r="H254" s="68"/>
      <c r="I254" s="221"/>
      <c r="J254" s="221"/>
      <c r="K254" s="221"/>
      <c r="L254" s="221"/>
      <c r="M254" s="221"/>
      <c r="N254" s="221"/>
      <c r="O254" s="221"/>
      <c r="P254" s="221"/>
      <c r="Q254" s="221"/>
      <c r="R254" s="221"/>
      <c r="S254" s="221"/>
      <c r="T254" s="221"/>
      <c r="U254" s="221"/>
      <c r="V254" s="221"/>
      <c r="W254" s="221"/>
      <c r="X254" s="221"/>
      <c r="Y254" s="221"/>
      <c r="Z254" s="221"/>
      <c r="AA254" s="221"/>
      <c r="AB254" s="297"/>
    </row>
    <row r="255">
      <c r="A255" s="134"/>
      <c r="B255" s="134"/>
      <c r="C255" s="68"/>
      <c r="D255" s="68"/>
      <c r="E255" s="68"/>
      <c r="F255" s="68"/>
      <c r="G255" s="68"/>
      <c r="H255" s="68"/>
      <c r="I255" s="221"/>
      <c r="J255" s="221"/>
      <c r="K255" s="221"/>
      <c r="L255" s="221"/>
      <c r="M255" s="221"/>
      <c r="N255" s="221"/>
      <c r="O255" s="221"/>
      <c r="P255" s="221"/>
      <c r="Q255" s="221"/>
      <c r="R255" s="221"/>
      <c r="S255" s="221"/>
      <c r="T255" s="221"/>
      <c r="U255" s="221"/>
      <c r="V255" s="221"/>
      <c r="W255" s="221"/>
      <c r="X255" s="221"/>
      <c r="Y255" s="221"/>
      <c r="Z255" s="221"/>
      <c r="AA255" s="221"/>
      <c r="AB255" s="297"/>
    </row>
    <row r="256">
      <c r="A256" s="134"/>
      <c r="B256" s="134"/>
      <c r="C256" s="68"/>
      <c r="D256" s="68"/>
      <c r="E256" s="68"/>
      <c r="F256" s="68"/>
      <c r="G256" s="68"/>
      <c r="H256" s="68"/>
      <c r="I256" s="221"/>
      <c r="J256" s="221"/>
      <c r="K256" s="221"/>
      <c r="L256" s="221"/>
      <c r="M256" s="221"/>
      <c r="N256" s="221"/>
      <c r="O256" s="221"/>
      <c r="P256" s="221"/>
      <c r="Q256" s="221"/>
      <c r="R256" s="221"/>
      <c r="S256" s="221"/>
      <c r="T256" s="221"/>
      <c r="U256" s="221"/>
      <c r="V256" s="221"/>
      <c r="W256" s="221"/>
      <c r="X256" s="221"/>
      <c r="Y256" s="221"/>
      <c r="Z256" s="221"/>
      <c r="AA256" s="221"/>
      <c r="AB256" s="297"/>
    </row>
    <row r="257">
      <c r="A257" s="134"/>
      <c r="B257" s="134"/>
      <c r="C257" s="68"/>
      <c r="D257" s="68"/>
      <c r="E257" s="68"/>
      <c r="F257" s="68"/>
      <c r="G257" s="68"/>
      <c r="H257" s="68"/>
      <c r="I257" s="221"/>
      <c r="J257" s="221"/>
      <c r="K257" s="221"/>
      <c r="L257" s="221"/>
      <c r="M257" s="221"/>
      <c r="N257" s="221"/>
      <c r="O257" s="221"/>
      <c r="P257" s="221"/>
      <c r="Q257" s="221"/>
      <c r="R257" s="221"/>
      <c r="S257" s="221"/>
      <c r="T257" s="221"/>
      <c r="U257" s="221"/>
      <c r="V257" s="221"/>
      <c r="W257" s="221"/>
      <c r="X257" s="221"/>
      <c r="Y257" s="221"/>
      <c r="Z257" s="221"/>
      <c r="AA257" s="221"/>
      <c r="AB257" s="297"/>
    </row>
    <row r="258">
      <c r="A258" s="134"/>
      <c r="B258" s="134"/>
      <c r="C258" s="68"/>
      <c r="D258" s="68"/>
      <c r="E258" s="68"/>
      <c r="F258" s="68"/>
      <c r="G258" s="68"/>
      <c r="H258" s="68"/>
      <c r="I258" s="221"/>
      <c r="J258" s="221"/>
      <c r="K258" s="221"/>
      <c r="L258" s="221"/>
      <c r="M258" s="221"/>
      <c r="N258" s="221"/>
      <c r="O258" s="221"/>
      <c r="P258" s="221"/>
      <c r="Q258" s="221"/>
      <c r="R258" s="221"/>
      <c r="S258" s="221"/>
      <c r="T258" s="221"/>
      <c r="U258" s="221"/>
      <c r="V258" s="221"/>
      <c r="W258" s="221"/>
      <c r="X258" s="221"/>
      <c r="Y258" s="221"/>
      <c r="Z258" s="221"/>
      <c r="AA258" s="221"/>
      <c r="AB258" s="297"/>
    </row>
    <row r="259">
      <c r="A259" s="134"/>
      <c r="B259" s="134"/>
      <c r="C259" s="68"/>
      <c r="D259" s="68"/>
      <c r="E259" s="68"/>
      <c r="F259" s="68"/>
      <c r="G259" s="68"/>
      <c r="H259" s="68"/>
      <c r="I259" s="221"/>
      <c r="J259" s="221"/>
      <c r="K259" s="221"/>
      <c r="L259" s="221"/>
      <c r="M259" s="221"/>
      <c r="N259" s="221"/>
      <c r="O259" s="221"/>
      <c r="P259" s="221"/>
      <c r="Q259" s="221"/>
      <c r="R259" s="221"/>
      <c r="S259" s="221"/>
      <c r="T259" s="221"/>
      <c r="U259" s="221"/>
      <c r="V259" s="221"/>
      <c r="W259" s="221"/>
      <c r="X259" s="221"/>
      <c r="Y259" s="221"/>
      <c r="Z259" s="221"/>
      <c r="AA259" s="221"/>
      <c r="AB259" s="297"/>
    </row>
    <row r="260">
      <c r="A260" s="134"/>
      <c r="B260" s="134"/>
      <c r="C260" s="68"/>
      <c r="D260" s="68"/>
      <c r="E260" s="68"/>
      <c r="F260" s="68"/>
      <c r="G260" s="68"/>
      <c r="H260" s="68"/>
      <c r="I260" s="221"/>
      <c r="J260" s="221"/>
      <c r="K260" s="221"/>
      <c r="L260" s="221"/>
      <c r="M260" s="221"/>
      <c r="N260" s="221"/>
      <c r="O260" s="221"/>
      <c r="P260" s="221"/>
      <c r="Q260" s="221"/>
      <c r="R260" s="221"/>
      <c r="S260" s="221"/>
      <c r="T260" s="221"/>
      <c r="U260" s="221"/>
      <c r="V260" s="221"/>
      <c r="W260" s="221"/>
      <c r="X260" s="221"/>
      <c r="Y260" s="221"/>
      <c r="Z260" s="221"/>
      <c r="AA260" s="221"/>
      <c r="AB260" s="297"/>
    </row>
    <row r="261">
      <c r="A261" s="134"/>
      <c r="B261" s="134"/>
      <c r="C261" s="68"/>
      <c r="D261" s="68"/>
      <c r="E261" s="68"/>
      <c r="F261" s="68"/>
      <c r="G261" s="68"/>
      <c r="H261" s="68"/>
      <c r="I261" s="221"/>
      <c r="J261" s="221"/>
      <c r="K261" s="221"/>
      <c r="L261" s="221"/>
      <c r="M261" s="221"/>
      <c r="N261" s="221"/>
      <c r="O261" s="221"/>
      <c r="P261" s="221"/>
      <c r="Q261" s="221"/>
      <c r="R261" s="221"/>
      <c r="S261" s="221"/>
      <c r="T261" s="221"/>
      <c r="U261" s="221"/>
      <c r="V261" s="221"/>
      <c r="W261" s="221"/>
      <c r="X261" s="221"/>
      <c r="Y261" s="221"/>
      <c r="Z261" s="221"/>
      <c r="AA261" s="221"/>
      <c r="AB261" s="297"/>
    </row>
    <row r="262">
      <c r="A262" s="134"/>
      <c r="B262" s="134"/>
      <c r="C262" s="68"/>
      <c r="D262" s="68"/>
      <c r="E262" s="68"/>
      <c r="F262" s="68"/>
      <c r="G262" s="68"/>
      <c r="H262" s="68"/>
      <c r="I262" s="221"/>
      <c r="J262" s="221"/>
      <c r="K262" s="221"/>
      <c r="L262" s="221"/>
      <c r="M262" s="221"/>
      <c r="N262" s="221"/>
      <c r="O262" s="221"/>
      <c r="P262" s="221"/>
      <c r="Q262" s="221"/>
      <c r="R262" s="221"/>
      <c r="S262" s="221"/>
      <c r="T262" s="221"/>
      <c r="U262" s="221"/>
      <c r="V262" s="221"/>
      <c r="W262" s="221"/>
      <c r="X262" s="221"/>
      <c r="Y262" s="221"/>
      <c r="Z262" s="221"/>
      <c r="AA262" s="221"/>
      <c r="AB262" s="297"/>
    </row>
    <row r="263">
      <c r="A263" s="134"/>
      <c r="B263" s="134"/>
      <c r="C263" s="68"/>
      <c r="D263" s="68"/>
      <c r="E263" s="68"/>
      <c r="F263" s="68"/>
      <c r="G263" s="68"/>
      <c r="H263" s="68"/>
      <c r="I263" s="221"/>
      <c r="J263" s="221"/>
      <c r="K263" s="221"/>
      <c r="L263" s="221"/>
      <c r="M263" s="221"/>
      <c r="N263" s="221"/>
      <c r="O263" s="221"/>
      <c r="P263" s="221"/>
      <c r="Q263" s="221"/>
      <c r="R263" s="221"/>
      <c r="S263" s="221"/>
      <c r="T263" s="221"/>
      <c r="U263" s="221"/>
      <c r="V263" s="221"/>
      <c r="W263" s="221"/>
      <c r="X263" s="221"/>
      <c r="Y263" s="221"/>
      <c r="Z263" s="221"/>
      <c r="AA263" s="221"/>
      <c r="AB263" s="297"/>
    </row>
    <row r="264">
      <c r="A264" s="134"/>
      <c r="B264" s="134"/>
      <c r="C264" s="68"/>
      <c r="D264" s="68"/>
      <c r="E264" s="68"/>
      <c r="F264" s="68"/>
      <c r="G264" s="68"/>
      <c r="H264" s="68"/>
      <c r="I264" s="221"/>
      <c r="J264" s="221"/>
      <c r="K264" s="221"/>
      <c r="L264" s="221"/>
      <c r="M264" s="221"/>
      <c r="N264" s="221"/>
      <c r="O264" s="221"/>
      <c r="P264" s="221"/>
      <c r="Q264" s="221"/>
      <c r="R264" s="221"/>
      <c r="S264" s="221"/>
      <c r="T264" s="221"/>
      <c r="U264" s="221"/>
      <c r="V264" s="221"/>
      <c r="W264" s="221"/>
      <c r="X264" s="221"/>
      <c r="Y264" s="221"/>
      <c r="Z264" s="221"/>
      <c r="AA264" s="221"/>
      <c r="AB264" s="297"/>
    </row>
    <row r="265">
      <c r="A265" s="134"/>
      <c r="B265" s="134"/>
      <c r="C265" s="68"/>
      <c r="D265" s="68"/>
      <c r="E265" s="68"/>
      <c r="F265" s="68"/>
      <c r="G265" s="68"/>
      <c r="H265" s="68"/>
      <c r="I265" s="221"/>
      <c r="J265" s="221"/>
      <c r="K265" s="221"/>
      <c r="L265" s="221"/>
      <c r="M265" s="221"/>
      <c r="N265" s="221"/>
      <c r="O265" s="221"/>
      <c r="P265" s="221"/>
      <c r="Q265" s="221"/>
      <c r="R265" s="221"/>
      <c r="S265" s="221"/>
      <c r="T265" s="221"/>
      <c r="U265" s="221"/>
      <c r="V265" s="221"/>
      <c r="W265" s="221"/>
      <c r="X265" s="221"/>
      <c r="Y265" s="221"/>
      <c r="Z265" s="221"/>
      <c r="AA265" s="221"/>
      <c r="AB265" s="297"/>
    </row>
    <row r="266">
      <c r="A266" s="134"/>
      <c r="B266" s="134"/>
      <c r="C266" s="68"/>
      <c r="D266" s="68"/>
      <c r="E266" s="68"/>
      <c r="F266" s="68"/>
      <c r="G266" s="68"/>
      <c r="H266" s="68"/>
      <c r="I266" s="221"/>
      <c r="J266" s="221"/>
      <c r="K266" s="221"/>
      <c r="L266" s="221"/>
      <c r="M266" s="221"/>
      <c r="N266" s="221"/>
      <c r="O266" s="221"/>
      <c r="P266" s="221"/>
      <c r="Q266" s="221"/>
      <c r="R266" s="221"/>
      <c r="S266" s="221"/>
      <c r="T266" s="221"/>
      <c r="U266" s="221"/>
      <c r="V266" s="221"/>
      <c r="W266" s="221"/>
      <c r="X266" s="221"/>
      <c r="Y266" s="221"/>
      <c r="Z266" s="221"/>
      <c r="AA266" s="221"/>
      <c r="AB266" s="297"/>
    </row>
    <row r="267">
      <c r="A267" s="134"/>
      <c r="B267" s="134"/>
      <c r="C267" s="68"/>
      <c r="D267" s="68"/>
      <c r="E267" s="68"/>
      <c r="F267" s="68"/>
      <c r="G267" s="68"/>
      <c r="H267" s="68"/>
      <c r="I267" s="221"/>
      <c r="J267" s="221"/>
      <c r="K267" s="221"/>
      <c r="L267" s="221"/>
      <c r="M267" s="221"/>
      <c r="N267" s="221"/>
      <c r="O267" s="221"/>
      <c r="P267" s="221"/>
      <c r="Q267" s="221"/>
      <c r="R267" s="221"/>
      <c r="S267" s="221"/>
      <c r="T267" s="221"/>
      <c r="U267" s="221"/>
      <c r="V267" s="221"/>
      <c r="W267" s="221"/>
      <c r="X267" s="221"/>
      <c r="Y267" s="221"/>
      <c r="Z267" s="221"/>
      <c r="AA267" s="221"/>
      <c r="AB267" s="297"/>
    </row>
    <row r="268">
      <c r="A268" s="134"/>
      <c r="B268" s="134"/>
      <c r="C268" s="68"/>
      <c r="D268" s="68"/>
      <c r="E268" s="68"/>
      <c r="F268" s="68"/>
      <c r="G268" s="68"/>
      <c r="H268" s="68"/>
      <c r="I268" s="221"/>
      <c r="J268" s="221"/>
      <c r="K268" s="221"/>
      <c r="L268" s="221"/>
      <c r="M268" s="221"/>
      <c r="N268" s="221"/>
      <c r="O268" s="221"/>
      <c r="P268" s="221"/>
      <c r="Q268" s="221"/>
      <c r="R268" s="221"/>
      <c r="S268" s="221"/>
      <c r="T268" s="221"/>
      <c r="U268" s="221"/>
      <c r="V268" s="221"/>
      <c r="W268" s="221"/>
      <c r="X268" s="221"/>
      <c r="Y268" s="221"/>
      <c r="Z268" s="221"/>
      <c r="AA268" s="221"/>
      <c r="AB268" s="297"/>
    </row>
    <row r="269">
      <c r="A269" s="134"/>
      <c r="B269" s="134"/>
      <c r="C269" s="68"/>
      <c r="D269" s="68"/>
      <c r="E269" s="68"/>
      <c r="F269" s="68"/>
      <c r="G269" s="68"/>
      <c r="H269" s="68"/>
      <c r="I269" s="221"/>
      <c r="J269" s="221"/>
      <c r="K269" s="221"/>
      <c r="L269" s="221"/>
      <c r="M269" s="221"/>
      <c r="N269" s="221"/>
      <c r="O269" s="221"/>
      <c r="P269" s="221"/>
      <c r="Q269" s="221"/>
      <c r="R269" s="221"/>
      <c r="S269" s="221"/>
      <c r="T269" s="221"/>
      <c r="U269" s="221"/>
      <c r="V269" s="221"/>
      <c r="W269" s="221"/>
      <c r="X269" s="221"/>
      <c r="Y269" s="221"/>
      <c r="Z269" s="221"/>
      <c r="AA269" s="221"/>
      <c r="AB269" s="297"/>
    </row>
    <row r="270">
      <c r="A270" s="134"/>
      <c r="B270" s="134"/>
      <c r="C270" s="68"/>
      <c r="D270" s="68"/>
      <c r="E270" s="68"/>
      <c r="F270" s="68"/>
      <c r="G270" s="68"/>
      <c r="H270" s="68"/>
      <c r="I270" s="221"/>
      <c r="J270" s="221"/>
      <c r="K270" s="221"/>
      <c r="L270" s="221"/>
      <c r="M270" s="221"/>
      <c r="N270" s="221"/>
      <c r="O270" s="221"/>
      <c r="P270" s="221"/>
      <c r="Q270" s="221"/>
      <c r="R270" s="221"/>
      <c r="S270" s="221"/>
      <c r="T270" s="221"/>
      <c r="U270" s="221"/>
      <c r="V270" s="221"/>
      <c r="W270" s="221"/>
      <c r="X270" s="221"/>
      <c r="Y270" s="221"/>
      <c r="Z270" s="221"/>
      <c r="AA270" s="221"/>
      <c r="AB270" s="297"/>
    </row>
    <row r="271">
      <c r="A271" s="134"/>
      <c r="B271" s="134"/>
      <c r="C271" s="68"/>
      <c r="D271" s="68"/>
      <c r="E271" s="68"/>
      <c r="F271" s="68"/>
      <c r="G271" s="68"/>
      <c r="H271" s="68"/>
      <c r="I271" s="221"/>
      <c r="J271" s="221"/>
      <c r="K271" s="221"/>
      <c r="L271" s="221"/>
      <c r="M271" s="221"/>
      <c r="N271" s="221"/>
      <c r="O271" s="221"/>
      <c r="P271" s="221"/>
      <c r="Q271" s="221"/>
      <c r="R271" s="221"/>
      <c r="S271" s="221"/>
      <c r="T271" s="221"/>
      <c r="U271" s="221"/>
      <c r="V271" s="221"/>
      <c r="W271" s="221"/>
      <c r="X271" s="221"/>
      <c r="Y271" s="221"/>
      <c r="Z271" s="221"/>
      <c r="AA271" s="221"/>
      <c r="AB271" s="297"/>
    </row>
    <row r="272">
      <c r="A272" s="134"/>
      <c r="B272" s="134"/>
      <c r="C272" s="68"/>
      <c r="D272" s="68"/>
      <c r="E272" s="68"/>
      <c r="F272" s="68"/>
      <c r="G272" s="68"/>
      <c r="H272" s="68"/>
      <c r="I272" s="221"/>
      <c r="J272" s="221"/>
      <c r="K272" s="221"/>
      <c r="L272" s="221"/>
      <c r="M272" s="221"/>
      <c r="N272" s="221"/>
      <c r="O272" s="221"/>
      <c r="P272" s="221"/>
      <c r="Q272" s="221"/>
      <c r="R272" s="221"/>
      <c r="S272" s="221"/>
      <c r="T272" s="221"/>
      <c r="U272" s="221"/>
      <c r="V272" s="221"/>
      <c r="W272" s="221"/>
      <c r="X272" s="221"/>
      <c r="Y272" s="221"/>
      <c r="Z272" s="221"/>
      <c r="AA272" s="221"/>
      <c r="AB272" s="297"/>
    </row>
    <row r="273">
      <c r="A273" s="134"/>
      <c r="B273" s="134"/>
      <c r="C273" s="68"/>
      <c r="D273" s="68"/>
      <c r="E273" s="68"/>
      <c r="F273" s="68"/>
      <c r="G273" s="68"/>
      <c r="H273" s="68"/>
      <c r="I273" s="221"/>
      <c r="J273" s="221"/>
      <c r="K273" s="221"/>
      <c r="L273" s="221"/>
      <c r="M273" s="221"/>
      <c r="N273" s="221"/>
      <c r="O273" s="221"/>
      <c r="P273" s="221"/>
      <c r="Q273" s="221"/>
      <c r="R273" s="221"/>
      <c r="S273" s="221"/>
      <c r="T273" s="221"/>
      <c r="U273" s="221"/>
      <c r="V273" s="221"/>
      <c r="W273" s="221"/>
      <c r="X273" s="221"/>
      <c r="Y273" s="221"/>
      <c r="Z273" s="221"/>
      <c r="AA273" s="221"/>
      <c r="AB273" s="297"/>
    </row>
    <row r="274">
      <c r="A274" s="134"/>
      <c r="B274" s="134"/>
      <c r="C274" s="68"/>
      <c r="D274" s="68"/>
      <c r="E274" s="68"/>
      <c r="F274" s="68"/>
      <c r="G274" s="68"/>
      <c r="H274" s="68"/>
      <c r="I274" s="221"/>
      <c r="J274" s="221"/>
      <c r="K274" s="221"/>
      <c r="L274" s="221"/>
      <c r="M274" s="221"/>
      <c r="N274" s="221"/>
      <c r="O274" s="221"/>
      <c r="P274" s="221"/>
      <c r="Q274" s="221"/>
      <c r="R274" s="221"/>
      <c r="S274" s="221"/>
      <c r="T274" s="221"/>
      <c r="U274" s="221"/>
      <c r="V274" s="221"/>
      <c r="W274" s="221"/>
      <c r="X274" s="221"/>
      <c r="Y274" s="221"/>
      <c r="Z274" s="221"/>
      <c r="AA274" s="221"/>
      <c r="AB274" s="297"/>
    </row>
    <row r="275">
      <c r="A275" s="134"/>
      <c r="B275" s="134"/>
      <c r="C275" s="68"/>
      <c r="D275" s="68"/>
      <c r="E275" s="68"/>
      <c r="F275" s="68"/>
      <c r="G275" s="68"/>
      <c r="H275" s="68"/>
      <c r="I275" s="221"/>
      <c r="J275" s="221"/>
      <c r="K275" s="221"/>
      <c r="L275" s="221"/>
      <c r="M275" s="221"/>
      <c r="N275" s="221"/>
      <c r="O275" s="221"/>
      <c r="P275" s="221"/>
      <c r="Q275" s="221"/>
      <c r="R275" s="221"/>
      <c r="S275" s="221"/>
      <c r="T275" s="221"/>
      <c r="U275" s="221"/>
      <c r="V275" s="221"/>
      <c r="W275" s="221"/>
      <c r="X275" s="221"/>
      <c r="Y275" s="221"/>
      <c r="Z275" s="221"/>
      <c r="AA275" s="221"/>
      <c r="AB275" s="297"/>
    </row>
    <row r="276">
      <c r="A276" s="134"/>
      <c r="B276" s="134"/>
      <c r="C276" s="68"/>
      <c r="D276" s="68"/>
      <c r="E276" s="68"/>
      <c r="F276" s="68"/>
      <c r="G276" s="68"/>
      <c r="H276" s="68"/>
      <c r="I276" s="221"/>
      <c r="J276" s="221"/>
      <c r="K276" s="221"/>
      <c r="L276" s="221"/>
      <c r="M276" s="221"/>
      <c r="N276" s="221"/>
      <c r="O276" s="221"/>
      <c r="P276" s="221"/>
      <c r="Q276" s="221"/>
      <c r="R276" s="221"/>
      <c r="S276" s="221"/>
      <c r="T276" s="221"/>
      <c r="U276" s="221"/>
      <c r="V276" s="221"/>
      <c r="W276" s="221"/>
      <c r="X276" s="221"/>
      <c r="Y276" s="221"/>
      <c r="Z276" s="221"/>
      <c r="AA276" s="221"/>
      <c r="AB276" s="297"/>
    </row>
    <row r="277">
      <c r="A277" s="134"/>
      <c r="B277" s="134"/>
      <c r="C277" s="68"/>
      <c r="D277" s="68"/>
      <c r="E277" s="68"/>
      <c r="F277" s="68"/>
      <c r="G277" s="68"/>
      <c r="H277" s="68"/>
      <c r="I277" s="221"/>
      <c r="J277" s="221"/>
      <c r="K277" s="221"/>
      <c r="L277" s="221"/>
      <c r="M277" s="221"/>
      <c r="N277" s="221"/>
      <c r="O277" s="221"/>
      <c r="P277" s="221"/>
      <c r="Q277" s="221"/>
      <c r="R277" s="221"/>
      <c r="S277" s="221"/>
      <c r="T277" s="221"/>
      <c r="U277" s="221"/>
      <c r="V277" s="221"/>
      <c r="W277" s="221"/>
      <c r="X277" s="221"/>
      <c r="Y277" s="221"/>
      <c r="Z277" s="221"/>
      <c r="AA277" s="221"/>
      <c r="AB277" s="297"/>
    </row>
    <row r="278">
      <c r="A278" s="134"/>
      <c r="B278" s="134"/>
      <c r="C278" s="68"/>
      <c r="D278" s="68"/>
      <c r="E278" s="68"/>
      <c r="F278" s="68"/>
      <c r="G278" s="68"/>
      <c r="H278" s="68"/>
      <c r="I278" s="221"/>
      <c r="J278" s="221"/>
      <c r="K278" s="221"/>
      <c r="L278" s="221"/>
      <c r="M278" s="221"/>
      <c r="N278" s="221"/>
      <c r="O278" s="221"/>
      <c r="P278" s="221"/>
      <c r="Q278" s="221"/>
      <c r="R278" s="221"/>
      <c r="S278" s="221"/>
      <c r="T278" s="221"/>
      <c r="U278" s="221"/>
      <c r="V278" s="221"/>
      <c r="W278" s="221"/>
      <c r="X278" s="221"/>
      <c r="Y278" s="221"/>
      <c r="Z278" s="221"/>
      <c r="AA278" s="221"/>
      <c r="AB278" s="297"/>
    </row>
    <row r="279">
      <c r="A279" s="134"/>
      <c r="B279" s="134"/>
      <c r="C279" s="68"/>
      <c r="D279" s="68"/>
      <c r="E279" s="68"/>
      <c r="F279" s="68"/>
      <c r="G279" s="68"/>
      <c r="H279" s="68"/>
      <c r="I279" s="221"/>
      <c r="J279" s="221"/>
      <c r="K279" s="221"/>
      <c r="L279" s="221"/>
      <c r="M279" s="221"/>
      <c r="N279" s="221"/>
      <c r="O279" s="221"/>
      <c r="P279" s="221"/>
      <c r="Q279" s="221"/>
      <c r="R279" s="221"/>
      <c r="S279" s="221"/>
      <c r="T279" s="221"/>
      <c r="U279" s="221"/>
      <c r="V279" s="221"/>
      <c r="W279" s="221"/>
      <c r="X279" s="221"/>
      <c r="Y279" s="221"/>
      <c r="Z279" s="221"/>
      <c r="AA279" s="221"/>
      <c r="AB279" s="297"/>
    </row>
    <row r="280">
      <c r="A280" s="134"/>
      <c r="B280" s="134"/>
      <c r="C280" s="68"/>
      <c r="D280" s="68"/>
      <c r="E280" s="68"/>
      <c r="F280" s="68"/>
      <c r="G280" s="68"/>
      <c r="H280" s="68"/>
      <c r="I280" s="221"/>
      <c r="J280" s="221"/>
      <c r="K280" s="221"/>
      <c r="L280" s="221"/>
      <c r="M280" s="221"/>
      <c r="N280" s="221"/>
      <c r="O280" s="221"/>
      <c r="P280" s="221"/>
      <c r="Q280" s="221"/>
      <c r="R280" s="221"/>
      <c r="S280" s="221"/>
      <c r="T280" s="221"/>
      <c r="U280" s="221"/>
      <c r="V280" s="221"/>
      <c r="W280" s="221"/>
      <c r="X280" s="221"/>
      <c r="Y280" s="221"/>
      <c r="Z280" s="221"/>
      <c r="AA280" s="221"/>
      <c r="AB280" s="297"/>
    </row>
    <row r="281">
      <c r="A281" s="134"/>
      <c r="B281" s="134"/>
      <c r="C281" s="68"/>
      <c r="D281" s="68"/>
      <c r="E281" s="68"/>
      <c r="F281" s="68"/>
      <c r="G281" s="68"/>
      <c r="H281" s="68"/>
      <c r="I281" s="221"/>
      <c r="J281" s="221"/>
      <c r="K281" s="221"/>
      <c r="L281" s="221"/>
      <c r="M281" s="221"/>
      <c r="N281" s="221"/>
      <c r="O281" s="221"/>
      <c r="P281" s="221"/>
      <c r="Q281" s="221"/>
      <c r="R281" s="221"/>
      <c r="S281" s="221"/>
      <c r="T281" s="221"/>
      <c r="U281" s="221"/>
      <c r="V281" s="221"/>
      <c r="W281" s="221"/>
      <c r="X281" s="221"/>
      <c r="Y281" s="221"/>
      <c r="Z281" s="221"/>
      <c r="AA281" s="221"/>
      <c r="AB281" s="297"/>
    </row>
    <row r="282">
      <c r="A282" s="134"/>
      <c r="B282" s="134"/>
      <c r="C282" s="68"/>
      <c r="D282" s="68"/>
      <c r="E282" s="68"/>
      <c r="F282" s="68"/>
      <c r="G282" s="68"/>
      <c r="H282" s="68"/>
      <c r="I282" s="221"/>
      <c r="J282" s="221"/>
      <c r="K282" s="221"/>
      <c r="L282" s="221"/>
      <c r="M282" s="221"/>
      <c r="N282" s="221"/>
      <c r="O282" s="221"/>
      <c r="P282" s="221"/>
      <c r="Q282" s="221"/>
      <c r="R282" s="221"/>
      <c r="S282" s="221"/>
      <c r="T282" s="221"/>
      <c r="U282" s="221"/>
      <c r="V282" s="221"/>
      <c r="W282" s="221"/>
      <c r="X282" s="221"/>
      <c r="Y282" s="221"/>
      <c r="Z282" s="221"/>
      <c r="AA282" s="221"/>
      <c r="AB282" s="297"/>
    </row>
    <row r="283">
      <c r="A283" s="134"/>
      <c r="B283" s="134"/>
      <c r="C283" s="68"/>
      <c r="D283" s="68"/>
      <c r="E283" s="68"/>
      <c r="F283" s="68"/>
      <c r="G283" s="68"/>
      <c r="H283" s="68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97"/>
    </row>
    <row r="284">
      <c r="A284" s="134"/>
      <c r="B284" s="134"/>
      <c r="C284" s="68"/>
      <c r="D284" s="68"/>
      <c r="E284" s="68"/>
      <c r="F284" s="68"/>
      <c r="G284" s="68"/>
      <c r="H284" s="68"/>
      <c r="I284" s="221"/>
      <c r="J284" s="221"/>
      <c r="K284" s="221"/>
      <c r="L284" s="221"/>
      <c r="M284" s="221"/>
      <c r="N284" s="221"/>
      <c r="O284" s="221"/>
      <c r="P284" s="221"/>
      <c r="Q284" s="221"/>
      <c r="R284" s="221"/>
      <c r="S284" s="221"/>
      <c r="T284" s="221"/>
      <c r="U284" s="221"/>
      <c r="V284" s="221"/>
      <c r="W284" s="221"/>
      <c r="X284" s="221"/>
      <c r="Y284" s="221"/>
      <c r="Z284" s="221"/>
      <c r="AA284" s="221"/>
      <c r="AB284" s="297"/>
    </row>
    <row r="285">
      <c r="A285" s="134"/>
      <c r="B285" s="134"/>
      <c r="C285" s="68"/>
      <c r="D285" s="68"/>
      <c r="E285" s="68"/>
      <c r="F285" s="68"/>
      <c r="G285" s="68"/>
      <c r="H285" s="68"/>
      <c r="I285" s="221"/>
      <c r="J285" s="221"/>
      <c r="K285" s="221"/>
      <c r="L285" s="221"/>
      <c r="M285" s="221"/>
      <c r="N285" s="221"/>
      <c r="O285" s="221"/>
      <c r="P285" s="221"/>
      <c r="Q285" s="221"/>
      <c r="R285" s="221"/>
      <c r="S285" s="221"/>
      <c r="T285" s="221"/>
      <c r="U285" s="221"/>
      <c r="V285" s="221"/>
      <c r="W285" s="221"/>
      <c r="X285" s="221"/>
      <c r="Y285" s="221"/>
      <c r="Z285" s="221"/>
      <c r="AA285" s="221"/>
      <c r="AB285" s="297"/>
    </row>
    <row r="286">
      <c r="A286" s="134"/>
      <c r="B286" s="134"/>
      <c r="C286" s="68"/>
      <c r="D286" s="68"/>
      <c r="E286" s="68"/>
      <c r="F286" s="68"/>
      <c r="G286" s="68"/>
      <c r="H286" s="68"/>
      <c r="I286" s="221"/>
      <c r="J286" s="221"/>
      <c r="K286" s="221"/>
      <c r="L286" s="221"/>
      <c r="M286" s="221"/>
      <c r="N286" s="221"/>
      <c r="O286" s="221"/>
      <c r="P286" s="221"/>
      <c r="Q286" s="221"/>
      <c r="R286" s="221"/>
      <c r="S286" s="221"/>
      <c r="T286" s="221"/>
      <c r="U286" s="221"/>
      <c r="V286" s="221"/>
      <c r="W286" s="221"/>
      <c r="X286" s="221"/>
      <c r="Y286" s="221"/>
      <c r="Z286" s="221"/>
      <c r="AA286" s="221"/>
      <c r="AB286" s="297"/>
    </row>
    <row r="287">
      <c r="A287" s="134"/>
      <c r="B287" s="134"/>
      <c r="C287" s="68"/>
      <c r="D287" s="68"/>
      <c r="E287" s="68"/>
      <c r="F287" s="68"/>
      <c r="G287" s="68"/>
      <c r="H287" s="68"/>
      <c r="I287" s="221"/>
      <c r="J287" s="221"/>
      <c r="K287" s="221"/>
      <c r="L287" s="221"/>
      <c r="M287" s="221"/>
      <c r="N287" s="221"/>
      <c r="O287" s="221"/>
      <c r="P287" s="221"/>
      <c r="Q287" s="221"/>
      <c r="R287" s="221"/>
      <c r="S287" s="221"/>
      <c r="T287" s="221"/>
      <c r="U287" s="221"/>
      <c r="V287" s="221"/>
      <c r="W287" s="221"/>
      <c r="X287" s="221"/>
      <c r="Y287" s="221"/>
      <c r="Z287" s="221"/>
      <c r="AA287" s="221"/>
      <c r="AB287" s="297"/>
    </row>
    <row r="288">
      <c r="A288" s="134"/>
      <c r="B288" s="134"/>
      <c r="C288" s="68"/>
      <c r="D288" s="68"/>
      <c r="E288" s="68"/>
      <c r="F288" s="68"/>
      <c r="G288" s="68"/>
      <c r="H288" s="68"/>
      <c r="I288" s="221"/>
      <c r="J288" s="221"/>
      <c r="K288" s="221"/>
      <c r="L288" s="221"/>
      <c r="M288" s="221"/>
      <c r="N288" s="221"/>
      <c r="O288" s="221"/>
      <c r="P288" s="221"/>
      <c r="Q288" s="221"/>
      <c r="R288" s="221"/>
      <c r="S288" s="221"/>
      <c r="T288" s="221"/>
      <c r="U288" s="221"/>
      <c r="V288" s="221"/>
      <c r="W288" s="221"/>
      <c r="X288" s="221"/>
      <c r="Y288" s="221"/>
      <c r="Z288" s="221"/>
      <c r="AA288" s="221"/>
      <c r="AB288" s="297"/>
    </row>
    <row r="289">
      <c r="A289" s="134"/>
      <c r="B289" s="134"/>
      <c r="C289" s="68"/>
      <c r="D289" s="68"/>
      <c r="E289" s="68"/>
      <c r="F289" s="68"/>
      <c r="G289" s="68"/>
      <c r="H289" s="68"/>
      <c r="I289" s="221"/>
      <c r="J289" s="221"/>
      <c r="K289" s="221"/>
      <c r="L289" s="221"/>
      <c r="M289" s="221"/>
      <c r="N289" s="221"/>
      <c r="O289" s="221"/>
      <c r="P289" s="221"/>
      <c r="Q289" s="221"/>
      <c r="R289" s="221"/>
      <c r="S289" s="221"/>
      <c r="T289" s="221"/>
      <c r="U289" s="221"/>
      <c r="V289" s="221"/>
      <c r="W289" s="221"/>
      <c r="X289" s="221"/>
      <c r="Y289" s="221"/>
      <c r="Z289" s="221"/>
      <c r="AA289" s="221"/>
      <c r="AB289" s="297"/>
    </row>
    <row r="290">
      <c r="A290" s="134"/>
      <c r="B290" s="134"/>
      <c r="C290" s="68"/>
      <c r="D290" s="68"/>
      <c r="E290" s="68"/>
      <c r="F290" s="68"/>
      <c r="G290" s="68"/>
      <c r="H290" s="68"/>
      <c r="I290" s="221"/>
      <c r="J290" s="221"/>
      <c r="K290" s="221"/>
      <c r="L290" s="221"/>
      <c r="M290" s="221"/>
      <c r="N290" s="221"/>
      <c r="O290" s="221"/>
      <c r="P290" s="221"/>
      <c r="Q290" s="221"/>
      <c r="R290" s="221"/>
      <c r="S290" s="221"/>
      <c r="T290" s="221"/>
      <c r="U290" s="221"/>
      <c r="V290" s="221"/>
      <c r="W290" s="221"/>
      <c r="X290" s="221"/>
      <c r="Y290" s="221"/>
      <c r="Z290" s="221"/>
      <c r="AA290" s="221"/>
      <c r="AB290" s="297"/>
    </row>
    <row r="291">
      <c r="A291" s="134"/>
      <c r="B291" s="134"/>
      <c r="C291" s="68"/>
      <c r="D291" s="68"/>
      <c r="E291" s="68"/>
      <c r="F291" s="68"/>
      <c r="G291" s="68"/>
      <c r="H291" s="68"/>
      <c r="I291" s="221"/>
      <c r="J291" s="221"/>
      <c r="K291" s="221"/>
      <c r="L291" s="221"/>
      <c r="M291" s="221"/>
      <c r="N291" s="221"/>
      <c r="O291" s="221"/>
      <c r="P291" s="221"/>
      <c r="Q291" s="221"/>
      <c r="R291" s="221"/>
      <c r="S291" s="221"/>
      <c r="T291" s="221"/>
      <c r="U291" s="221"/>
      <c r="V291" s="221"/>
      <c r="W291" s="221"/>
      <c r="X291" s="221"/>
      <c r="Y291" s="221"/>
      <c r="Z291" s="221"/>
      <c r="AA291" s="221"/>
      <c r="AB291" s="297"/>
    </row>
    <row r="292">
      <c r="A292" s="134"/>
      <c r="B292" s="134"/>
      <c r="C292" s="68"/>
      <c r="D292" s="68"/>
      <c r="E292" s="68"/>
      <c r="F292" s="68"/>
      <c r="G292" s="68"/>
      <c r="H292" s="68"/>
      <c r="I292" s="221"/>
      <c r="J292" s="221"/>
      <c r="K292" s="221"/>
      <c r="L292" s="221"/>
      <c r="M292" s="221"/>
      <c r="N292" s="221"/>
      <c r="O292" s="221"/>
      <c r="P292" s="221"/>
      <c r="Q292" s="221"/>
      <c r="R292" s="221"/>
      <c r="S292" s="221"/>
      <c r="T292" s="221"/>
      <c r="U292" s="221"/>
      <c r="V292" s="221"/>
      <c r="W292" s="221"/>
      <c r="X292" s="221"/>
      <c r="Y292" s="221"/>
      <c r="Z292" s="221"/>
      <c r="AA292" s="221"/>
      <c r="AB292" s="297"/>
    </row>
    <row r="293">
      <c r="A293" s="134"/>
      <c r="B293" s="134"/>
      <c r="C293" s="68"/>
      <c r="D293" s="68"/>
      <c r="E293" s="68"/>
      <c r="F293" s="68"/>
      <c r="G293" s="68"/>
      <c r="H293" s="68"/>
      <c r="I293" s="221"/>
      <c r="J293" s="221"/>
      <c r="K293" s="221"/>
      <c r="L293" s="221"/>
      <c r="M293" s="221"/>
      <c r="N293" s="221"/>
      <c r="O293" s="221"/>
      <c r="P293" s="221"/>
      <c r="Q293" s="221"/>
      <c r="R293" s="221"/>
      <c r="S293" s="221"/>
      <c r="T293" s="221"/>
      <c r="U293" s="221"/>
      <c r="V293" s="221"/>
      <c r="W293" s="221"/>
      <c r="X293" s="221"/>
      <c r="Y293" s="221"/>
      <c r="Z293" s="221"/>
      <c r="AA293" s="221"/>
      <c r="AB293" s="297"/>
    </row>
    <row r="294">
      <c r="A294" s="134"/>
      <c r="B294" s="134"/>
      <c r="C294" s="68"/>
      <c r="D294" s="68"/>
      <c r="E294" s="68"/>
      <c r="F294" s="68"/>
      <c r="G294" s="68"/>
      <c r="H294" s="68"/>
      <c r="I294" s="221"/>
      <c r="J294" s="221"/>
      <c r="K294" s="221"/>
      <c r="L294" s="221"/>
      <c r="M294" s="221"/>
      <c r="N294" s="221"/>
      <c r="O294" s="221"/>
      <c r="P294" s="221"/>
      <c r="Q294" s="221"/>
      <c r="R294" s="221"/>
      <c r="S294" s="221"/>
      <c r="T294" s="221"/>
      <c r="U294" s="221"/>
      <c r="V294" s="221"/>
      <c r="W294" s="221"/>
      <c r="X294" s="221"/>
      <c r="Y294" s="221"/>
      <c r="Z294" s="221"/>
      <c r="AA294" s="221"/>
      <c r="AB294" s="297"/>
    </row>
    <row r="295">
      <c r="A295" s="134"/>
      <c r="B295" s="134"/>
      <c r="C295" s="68"/>
      <c r="D295" s="68"/>
      <c r="E295" s="68"/>
      <c r="F295" s="68"/>
      <c r="G295" s="68"/>
      <c r="H295" s="68"/>
      <c r="I295" s="221"/>
      <c r="J295" s="221"/>
      <c r="K295" s="221"/>
      <c r="L295" s="221"/>
      <c r="M295" s="221"/>
      <c r="N295" s="221"/>
      <c r="O295" s="221"/>
      <c r="P295" s="221"/>
      <c r="Q295" s="221"/>
      <c r="R295" s="221"/>
      <c r="S295" s="221"/>
      <c r="T295" s="221"/>
      <c r="U295" s="221"/>
      <c r="V295" s="221"/>
      <c r="W295" s="221"/>
      <c r="X295" s="221"/>
      <c r="Y295" s="221"/>
      <c r="Z295" s="221"/>
      <c r="AA295" s="221"/>
      <c r="AB295" s="297"/>
    </row>
    <row r="296">
      <c r="A296" s="134"/>
      <c r="B296" s="134"/>
      <c r="C296" s="68"/>
      <c r="D296" s="68"/>
      <c r="E296" s="68"/>
      <c r="F296" s="68"/>
      <c r="G296" s="68"/>
      <c r="H296" s="68"/>
      <c r="I296" s="221"/>
      <c r="J296" s="221"/>
      <c r="K296" s="221"/>
      <c r="L296" s="221"/>
      <c r="M296" s="221"/>
      <c r="N296" s="221"/>
      <c r="O296" s="221"/>
      <c r="P296" s="221"/>
      <c r="Q296" s="221"/>
      <c r="R296" s="221"/>
      <c r="S296" s="221"/>
      <c r="T296" s="221"/>
      <c r="U296" s="221"/>
      <c r="V296" s="221"/>
      <c r="W296" s="221"/>
      <c r="X296" s="221"/>
      <c r="Y296" s="221"/>
      <c r="Z296" s="221"/>
      <c r="AA296" s="221"/>
      <c r="AB296" s="297"/>
    </row>
    <row r="297">
      <c r="A297" s="134"/>
      <c r="B297" s="134"/>
      <c r="C297" s="68"/>
      <c r="D297" s="68"/>
      <c r="E297" s="68"/>
      <c r="F297" s="68"/>
      <c r="G297" s="68"/>
      <c r="H297" s="68"/>
      <c r="I297" s="221"/>
      <c r="J297" s="221"/>
      <c r="K297" s="221"/>
      <c r="L297" s="221"/>
      <c r="M297" s="221"/>
      <c r="N297" s="221"/>
      <c r="O297" s="221"/>
      <c r="P297" s="221"/>
      <c r="Q297" s="221"/>
      <c r="R297" s="221"/>
      <c r="S297" s="221"/>
      <c r="T297" s="221"/>
      <c r="U297" s="221"/>
      <c r="V297" s="221"/>
      <c r="W297" s="221"/>
      <c r="X297" s="221"/>
      <c r="Y297" s="221"/>
      <c r="Z297" s="221"/>
      <c r="AA297" s="221"/>
      <c r="AB297" s="297"/>
    </row>
    <row r="298">
      <c r="A298" s="134"/>
      <c r="B298" s="134"/>
      <c r="C298" s="68"/>
      <c r="D298" s="68"/>
      <c r="E298" s="68"/>
      <c r="F298" s="68"/>
      <c r="G298" s="68"/>
      <c r="H298" s="68"/>
      <c r="I298" s="221"/>
      <c r="J298" s="221"/>
      <c r="K298" s="221"/>
      <c r="L298" s="221"/>
      <c r="M298" s="221"/>
      <c r="N298" s="221"/>
      <c r="O298" s="221"/>
      <c r="P298" s="221"/>
      <c r="Q298" s="221"/>
      <c r="R298" s="221"/>
      <c r="S298" s="221"/>
      <c r="T298" s="221"/>
      <c r="U298" s="221"/>
      <c r="V298" s="221"/>
      <c r="W298" s="221"/>
      <c r="X298" s="221"/>
      <c r="Y298" s="221"/>
      <c r="Z298" s="221"/>
      <c r="AA298" s="221"/>
      <c r="AB298" s="297"/>
    </row>
    <row r="299">
      <c r="A299" s="134"/>
      <c r="B299" s="134"/>
      <c r="C299" s="68"/>
      <c r="D299" s="68"/>
      <c r="E299" s="68"/>
      <c r="F299" s="68"/>
      <c r="G299" s="68"/>
      <c r="H299" s="68"/>
      <c r="I299" s="221"/>
      <c r="J299" s="221"/>
      <c r="K299" s="221"/>
      <c r="L299" s="221"/>
      <c r="M299" s="221"/>
      <c r="N299" s="221"/>
      <c r="O299" s="221"/>
      <c r="P299" s="221"/>
      <c r="Q299" s="221"/>
      <c r="R299" s="221"/>
      <c r="S299" s="221"/>
      <c r="T299" s="221"/>
      <c r="U299" s="221"/>
      <c r="V299" s="221"/>
      <c r="W299" s="221"/>
      <c r="X299" s="221"/>
      <c r="Y299" s="221"/>
      <c r="Z299" s="221"/>
      <c r="AA299" s="221"/>
      <c r="AB299" s="297"/>
    </row>
    <row r="300">
      <c r="A300" s="134"/>
      <c r="B300" s="134"/>
      <c r="C300" s="68"/>
      <c r="D300" s="68"/>
      <c r="E300" s="68"/>
      <c r="F300" s="68"/>
      <c r="G300" s="68"/>
      <c r="H300" s="68"/>
      <c r="I300" s="221"/>
      <c r="J300" s="221"/>
      <c r="K300" s="221"/>
      <c r="L300" s="221"/>
      <c r="M300" s="221"/>
      <c r="N300" s="221"/>
      <c r="O300" s="221"/>
      <c r="P300" s="221"/>
      <c r="Q300" s="221"/>
      <c r="R300" s="221"/>
      <c r="S300" s="221"/>
      <c r="T300" s="221"/>
      <c r="U300" s="221"/>
      <c r="V300" s="221"/>
      <c r="W300" s="221"/>
      <c r="X300" s="221"/>
      <c r="Y300" s="221"/>
      <c r="Z300" s="221"/>
      <c r="AA300" s="221"/>
      <c r="AB300" s="297"/>
    </row>
    <row r="301">
      <c r="A301" s="134"/>
      <c r="B301" s="134"/>
      <c r="C301" s="68"/>
      <c r="D301" s="68"/>
      <c r="E301" s="68"/>
      <c r="F301" s="68"/>
      <c r="G301" s="68"/>
      <c r="H301" s="68"/>
      <c r="I301" s="221"/>
      <c r="J301" s="221"/>
      <c r="K301" s="221"/>
      <c r="L301" s="221"/>
      <c r="M301" s="221"/>
      <c r="N301" s="221"/>
      <c r="O301" s="221"/>
      <c r="P301" s="221"/>
      <c r="Q301" s="221"/>
      <c r="R301" s="221"/>
      <c r="S301" s="221"/>
      <c r="T301" s="221"/>
      <c r="U301" s="221"/>
      <c r="V301" s="221"/>
      <c r="W301" s="221"/>
      <c r="X301" s="221"/>
      <c r="Y301" s="221"/>
      <c r="Z301" s="221"/>
      <c r="AA301" s="221"/>
      <c r="AB301" s="297"/>
    </row>
    <row r="302">
      <c r="A302" s="134"/>
      <c r="B302" s="134"/>
      <c r="C302" s="68"/>
      <c r="D302" s="68"/>
      <c r="E302" s="68"/>
      <c r="F302" s="68"/>
      <c r="G302" s="68"/>
      <c r="H302" s="68"/>
      <c r="I302" s="221"/>
      <c r="J302" s="221"/>
      <c r="K302" s="221"/>
      <c r="L302" s="221"/>
      <c r="M302" s="221"/>
      <c r="N302" s="221"/>
      <c r="O302" s="221"/>
      <c r="P302" s="221"/>
      <c r="Q302" s="221"/>
      <c r="R302" s="221"/>
      <c r="S302" s="221"/>
      <c r="T302" s="221"/>
      <c r="U302" s="221"/>
      <c r="V302" s="221"/>
      <c r="W302" s="221"/>
      <c r="X302" s="221"/>
      <c r="Y302" s="221"/>
      <c r="Z302" s="221"/>
      <c r="AA302" s="221"/>
      <c r="AB302" s="297"/>
    </row>
    <row r="303">
      <c r="A303" s="134"/>
      <c r="B303" s="134"/>
      <c r="C303" s="68"/>
      <c r="D303" s="68"/>
      <c r="E303" s="68"/>
      <c r="F303" s="68"/>
      <c r="G303" s="68"/>
      <c r="H303" s="68"/>
      <c r="I303" s="221"/>
      <c r="J303" s="221"/>
      <c r="K303" s="221"/>
      <c r="L303" s="221"/>
      <c r="M303" s="221"/>
      <c r="N303" s="221"/>
      <c r="O303" s="221"/>
      <c r="P303" s="221"/>
      <c r="Q303" s="221"/>
      <c r="R303" s="221"/>
      <c r="S303" s="221"/>
      <c r="T303" s="221"/>
      <c r="U303" s="221"/>
      <c r="V303" s="221"/>
      <c r="W303" s="221"/>
      <c r="X303" s="221"/>
      <c r="Y303" s="221"/>
      <c r="Z303" s="221"/>
      <c r="AA303" s="221"/>
      <c r="AB303" s="297"/>
    </row>
    <row r="304">
      <c r="A304" s="134"/>
      <c r="B304" s="134"/>
      <c r="C304" s="68"/>
      <c r="D304" s="68"/>
      <c r="E304" s="68"/>
      <c r="F304" s="68"/>
      <c r="G304" s="68"/>
      <c r="H304" s="68"/>
      <c r="I304" s="221"/>
      <c r="J304" s="221"/>
      <c r="K304" s="221"/>
      <c r="L304" s="221"/>
      <c r="M304" s="221"/>
      <c r="N304" s="221"/>
      <c r="O304" s="221"/>
      <c r="P304" s="221"/>
      <c r="Q304" s="221"/>
      <c r="R304" s="221"/>
      <c r="S304" s="221"/>
      <c r="T304" s="221"/>
      <c r="U304" s="221"/>
      <c r="V304" s="221"/>
      <c r="W304" s="221"/>
      <c r="X304" s="221"/>
      <c r="Y304" s="221"/>
      <c r="Z304" s="221"/>
      <c r="AA304" s="221"/>
      <c r="AB304" s="297"/>
    </row>
    <row r="305">
      <c r="A305" s="134"/>
      <c r="B305" s="134"/>
      <c r="C305" s="68"/>
      <c r="D305" s="68"/>
      <c r="E305" s="68"/>
      <c r="F305" s="68"/>
      <c r="G305" s="68"/>
      <c r="H305" s="68"/>
      <c r="I305" s="221"/>
      <c r="J305" s="221"/>
      <c r="K305" s="221"/>
      <c r="L305" s="221"/>
      <c r="M305" s="221"/>
      <c r="N305" s="221"/>
      <c r="O305" s="221"/>
      <c r="P305" s="221"/>
      <c r="Q305" s="221"/>
      <c r="R305" s="221"/>
      <c r="S305" s="221"/>
      <c r="T305" s="221"/>
      <c r="U305" s="221"/>
      <c r="V305" s="221"/>
      <c r="W305" s="221"/>
      <c r="X305" s="221"/>
      <c r="Y305" s="221"/>
      <c r="Z305" s="221"/>
      <c r="AA305" s="221"/>
      <c r="AB305" s="297"/>
    </row>
    <row r="306">
      <c r="A306" s="134"/>
      <c r="B306" s="134"/>
      <c r="C306" s="68"/>
      <c r="D306" s="68"/>
      <c r="E306" s="68"/>
      <c r="F306" s="68"/>
      <c r="G306" s="68"/>
      <c r="H306" s="68"/>
      <c r="I306" s="221"/>
      <c r="J306" s="221"/>
      <c r="K306" s="221"/>
      <c r="L306" s="221"/>
      <c r="M306" s="221"/>
      <c r="N306" s="221"/>
      <c r="O306" s="221"/>
      <c r="P306" s="221"/>
      <c r="Q306" s="221"/>
      <c r="R306" s="221"/>
      <c r="S306" s="221"/>
      <c r="T306" s="221"/>
      <c r="U306" s="221"/>
      <c r="V306" s="221"/>
      <c r="W306" s="221"/>
      <c r="X306" s="221"/>
      <c r="Y306" s="221"/>
      <c r="Z306" s="221"/>
      <c r="AA306" s="221"/>
      <c r="AB306" s="297"/>
    </row>
    <row r="307">
      <c r="A307" s="134"/>
      <c r="B307" s="134"/>
      <c r="C307" s="68"/>
      <c r="D307" s="68"/>
      <c r="E307" s="68"/>
      <c r="F307" s="68"/>
      <c r="G307" s="68"/>
      <c r="H307" s="68"/>
      <c r="I307" s="221"/>
      <c r="J307" s="221"/>
      <c r="K307" s="221"/>
      <c r="L307" s="221"/>
      <c r="M307" s="221"/>
      <c r="N307" s="221"/>
      <c r="O307" s="221"/>
      <c r="P307" s="221"/>
      <c r="Q307" s="221"/>
      <c r="R307" s="221"/>
      <c r="S307" s="221"/>
      <c r="T307" s="221"/>
      <c r="U307" s="221"/>
      <c r="V307" s="221"/>
      <c r="W307" s="221"/>
      <c r="X307" s="221"/>
      <c r="Y307" s="221"/>
      <c r="Z307" s="221"/>
      <c r="AA307" s="221"/>
      <c r="AB307" s="297"/>
    </row>
    <row r="308">
      <c r="A308" s="134"/>
      <c r="B308" s="134"/>
      <c r="C308" s="68"/>
      <c r="D308" s="68"/>
      <c r="E308" s="68"/>
      <c r="F308" s="68"/>
      <c r="G308" s="68"/>
      <c r="H308" s="68"/>
      <c r="I308" s="221"/>
      <c r="J308" s="221"/>
      <c r="K308" s="221"/>
      <c r="L308" s="221"/>
      <c r="M308" s="221"/>
      <c r="N308" s="221"/>
      <c r="O308" s="221"/>
      <c r="P308" s="221"/>
      <c r="Q308" s="221"/>
      <c r="R308" s="221"/>
      <c r="S308" s="221"/>
      <c r="T308" s="221"/>
      <c r="U308" s="221"/>
      <c r="V308" s="221"/>
      <c r="W308" s="221"/>
      <c r="X308" s="221"/>
      <c r="Y308" s="221"/>
      <c r="Z308" s="221"/>
      <c r="AA308" s="221"/>
      <c r="AB308" s="297"/>
    </row>
    <row r="309">
      <c r="A309" s="134"/>
      <c r="B309" s="134"/>
      <c r="C309" s="68"/>
      <c r="D309" s="68"/>
      <c r="E309" s="68"/>
      <c r="F309" s="68"/>
      <c r="G309" s="68"/>
      <c r="H309" s="68"/>
      <c r="I309" s="221"/>
      <c r="J309" s="221"/>
      <c r="K309" s="221"/>
      <c r="L309" s="221"/>
      <c r="M309" s="221"/>
      <c r="N309" s="221"/>
      <c r="O309" s="221"/>
      <c r="P309" s="221"/>
      <c r="Q309" s="221"/>
      <c r="R309" s="221"/>
      <c r="S309" s="221"/>
      <c r="T309" s="221"/>
      <c r="U309" s="221"/>
      <c r="V309" s="221"/>
      <c r="W309" s="221"/>
      <c r="X309" s="221"/>
      <c r="Y309" s="221"/>
      <c r="Z309" s="221"/>
      <c r="AA309" s="221"/>
      <c r="AB309" s="297"/>
    </row>
    <row r="310">
      <c r="A310" s="134"/>
      <c r="B310" s="134"/>
      <c r="C310" s="68"/>
      <c r="D310" s="68"/>
      <c r="E310" s="68"/>
      <c r="F310" s="68"/>
      <c r="G310" s="68"/>
      <c r="H310" s="68"/>
      <c r="I310" s="221"/>
      <c r="J310" s="221"/>
      <c r="K310" s="221"/>
      <c r="L310" s="221"/>
      <c r="M310" s="221"/>
      <c r="N310" s="221"/>
      <c r="O310" s="221"/>
      <c r="P310" s="221"/>
      <c r="Q310" s="221"/>
      <c r="R310" s="221"/>
      <c r="S310" s="221"/>
      <c r="T310" s="221"/>
      <c r="U310" s="221"/>
      <c r="V310" s="221"/>
      <c r="W310" s="221"/>
      <c r="X310" s="221"/>
      <c r="Y310" s="221"/>
      <c r="Z310" s="221"/>
      <c r="AA310" s="221"/>
      <c r="AB310" s="297"/>
    </row>
    <row r="311">
      <c r="A311" s="134"/>
      <c r="B311" s="134"/>
      <c r="C311" s="68"/>
      <c r="D311" s="68"/>
      <c r="E311" s="68"/>
      <c r="F311" s="68"/>
      <c r="G311" s="68"/>
      <c r="H311" s="68"/>
      <c r="I311" s="221"/>
      <c r="J311" s="221"/>
      <c r="K311" s="221"/>
      <c r="L311" s="221"/>
      <c r="M311" s="221"/>
      <c r="N311" s="221"/>
      <c r="O311" s="221"/>
      <c r="P311" s="221"/>
      <c r="Q311" s="221"/>
      <c r="R311" s="221"/>
      <c r="S311" s="221"/>
      <c r="T311" s="221"/>
      <c r="U311" s="221"/>
      <c r="V311" s="221"/>
      <c r="W311" s="221"/>
      <c r="X311" s="221"/>
      <c r="Y311" s="221"/>
      <c r="Z311" s="221"/>
      <c r="AA311" s="221"/>
      <c r="AB311" s="297"/>
    </row>
    <row r="312">
      <c r="A312" s="134"/>
      <c r="B312" s="134"/>
      <c r="C312" s="68"/>
      <c r="D312" s="68"/>
      <c r="E312" s="68"/>
      <c r="F312" s="68"/>
      <c r="G312" s="68"/>
      <c r="H312" s="68"/>
      <c r="I312" s="221"/>
      <c r="J312" s="221"/>
      <c r="K312" s="221"/>
      <c r="L312" s="221"/>
      <c r="M312" s="221"/>
      <c r="N312" s="221"/>
      <c r="O312" s="221"/>
      <c r="P312" s="221"/>
      <c r="Q312" s="221"/>
      <c r="R312" s="221"/>
      <c r="S312" s="221"/>
      <c r="T312" s="221"/>
      <c r="U312" s="221"/>
      <c r="V312" s="221"/>
      <c r="W312" s="221"/>
      <c r="X312" s="221"/>
      <c r="Y312" s="221"/>
      <c r="Z312" s="221"/>
      <c r="AA312" s="221"/>
      <c r="AB312" s="297"/>
    </row>
    <row r="313">
      <c r="A313" s="134"/>
      <c r="B313" s="134"/>
      <c r="C313" s="68"/>
      <c r="D313" s="68"/>
      <c r="E313" s="68"/>
      <c r="F313" s="68"/>
      <c r="G313" s="68"/>
      <c r="H313" s="68"/>
      <c r="I313" s="221"/>
      <c r="J313" s="221"/>
      <c r="K313" s="221"/>
      <c r="L313" s="221"/>
      <c r="M313" s="221"/>
      <c r="N313" s="221"/>
      <c r="O313" s="221"/>
      <c r="P313" s="221"/>
      <c r="Q313" s="221"/>
      <c r="R313" s="221"/>
      <c r="S313" s="221"/>
      <c r="T313" s="221"/>
      <c r="U313" s="221"/>
      <c r="V313" s="221"/>
      <c r="W313" s="221"/>
      <c r="X313" s="221"/>
      <c r="Y313" s="221"/>
      <c r="Z313" s="221"/>
      <c r="AA313" s="221"/>
      <c r="AB313" s="297"/>
    </row>
    <row r="314">
      <c r="A314" s="134"/>
      <c r="B314" s="134"/>
      <c r="C314" s="68"/>
      <c r="D314" s="68"/>
      <c r="E314" s="68"/>
      <c r="F314" s="68"/>
      <c r="G314" s="68"/>
      <c r="H314" s="68"/>
      <c r="I314" s="221"/>
      <c r="J314" s="221"/>
      <c r="K314" s="221"/>
      <c r="L314" s="221"/>
      <c r="M314" s="221"/>
      <c r="N314" s="221"/>
      <c r="O314" s="221"/>
      <c r="P314" s="221"/>
      <c r="Q314" s="221"/>
      <c r="R314" s="221"/>
      <c r="S314" s="221"/>
      <c r="T314" s="221"/>
      <c r="U314" s="221"/>
      <c r="V314" s="221"/>
      <c r="W314" s="221"/>
      <c r="X314" s="221"/>
      <c r="Y314" s="221"/>
      <c r="Z314" s="221"/>
      <c r="AA314" s="221"/>
      <c r="AB314" s="297"/>
    </row>
    <row r="315">
      <c r="A315" s="134"/>
      <c r="B315" s="134"/>
      <c r="C315" s="68"/>
      <c r="D315" s="68"/>
      <c r="E315" s="68"/>
      <c r="F315" s="68"/>
      <c r="G315" s="68"/>
      <c r="H315" s="68"/>
      <c r="I315" s="221"/>
      <c r="J315" s="221"/>
      <c r="K315" s="221"/>
      <c r="L315" s="221"/>
      <c r="M315" s="221"/>
      <c r="N315" s="221"/>
      <c r="O315" s="221"/>
      <c r="P315" s="221"/>
      <c r="Q315" s="221"/>
      <c r="R315" s="221"/>
      <c r="S315" s="221"/>
      <c r="T315" s="221"/>
      <c r="U315" s="221"/>
      <c r="V315" s="221"/>
      <c r="W315" s="221"/>
      <c r="X315" s="221"/>
      <c r="Y315" s="221"/>
      <c r="Z315" s="221"/>
      <c r="AA315" s="221"/>
      <c r="AB315" s="297"/>
    </row>
    <row r="316">
      <c r="A316" s="134"/>
      <c r="B316" s="134"/>
      <c r="C316" s="68"/>
      <c r="D316" s="68"/>
      <c r="E316" s="68"/>
      <c r="F316" s="68"/>
      <c r="G316" s="68"/>
      <c r="H316" s="68"/>
      <c r="I316" s="221"/>
      <c r="J316" s="221"/>
      <c r="K316" s="221"/>
      <c r="L316" s="221"/>
      <c r="M316" s="221"/>
      <c r="N316" s="221"/>
      <c r="O316" s="221"/>
      <c r="P316" s="221"/>
      <c r="Q316" s="221"/>
      <c r="R316" s="221"/>
      <c r="S316" s="221"/>
      <c r="T316" s="221"/>
      <c r="U316" s="221"/>
      <c r="V316" s="221"/>
      <c r="W316" s="221"/>
      <c r="X316" s="221"/>
      <c r="Y316" s="221"/>
      <c r="Z316" s="221"/>
      <c r="AA316" s="221"/>
      <c r="AB316" s="297"/>
    </row>
    <row r="317">
      <c r="A317" s="134"/>
      <c r="B317" s="134"/>
      <c r="C317" s="68"/>
      <c r="D317" s="68"/>
      <c r="E317" s="68"/>
      <c r="F317" s="68"/>
      <c r="G317" s="68"/>
      <c r="H317" s="68"/>
      <c r="I317" s="221"/>
      <c r="J317" s="221"/>
      <c r="K317" s="221"/>
      <c r="L317" s="221"/>
      <c r="M317" s="221"/>
      <c r="N317" s="221"/>
      <c r="O317" s="221"/>
      <c r="P317" s="221"/>
      <c r="Q317" s="221"/>
      <c r="R317" s="221"/>
      <c r="S317" s="221"/>
      <c r="T317" s="221"/>
      <c r="U317" s="221"/>
      <c r="V317" s="221"/>
      <c r="W317" s="221"/>
      <c r="X317" s="221"/>
      <c r="Y317" s="221"/>
      <c r="Z317" s="221"/>
      <c r="AA317" s="221"/>
      <c r="AB317" s="297"/>
    </row>
    <row r="318">
      <c r="A318" s="134"/>
      <c r="B318" s="134"/>
      <c r="C318" s="68"/>
      <c r="D318" s="68"/>
      <c r="E318" s="68"/>
      <c r="F318" s="68"/>
      <c r="G318" s="68"/>
      <c r="H318" s="68"/>
      <c r="I318" s="221"/>
      <c r="J318" s="221"/>
      <c r="K318" s="221"/>
      <c r="L318" s="221"/>
      <c r="M318" s="221"/>
      <c r="N318" s="221"/>
      <c r="O318" s="221"/>
      <c r="P318" s="221"/>
      <c r="Q318" s="221"/>
      <c r="R318" s="221"/>
      <c r="S318" s="221"/>
      <c r="T318" s="221"/>
      <c r="U318" s="221"/>
      <c r="V318" s="221"/>
      <c r="W318" s="221"/>
      <c r="X318" s="221"/>
      <c r="Y318" s="221"/>
      <c r="Z318" s="221"/>
      <c r="AA318" s="221"/>
      <c r="AB318" s="297"/>
    </row>
    <row r="319">
      <c r="A319" s="134"/>
      <c r="B319" s="134"/>
      <c r="C319" s="68"/>
      <c r="D319" s="68"/>
      <c r="E319" s="68"/>
      <c r="F319" s="68"/>
      <c r="G319" s="68"/>
      <c r="H319" s="68"/>
      <c r="I319" s="221"/>
      <c r="J319" s="221"/>
      <c r="K319" s="221"/>
      <c r="L319" s="221"/>
      <c r="M319" s="221"/>
      <c r="N319" s="221"/>
      <c r="O319" s="221"/>
      <c r="P319" s="221"/>
      <c r="Q319" s="221"/>
      <c r="R319" s="221"/>
      <c r="S319" s="221"/>
      <c r="T319" s="221"/>
      <c r="U319" s="221"/>
      <c r="V319" s="221"/>
      <c r="W319" s="221"/>
      <c r="X319" s="221"/>
      <c r="Y319" s="221"/>
      <c r="Z319" s="221"/>
      <c r="AA319" s="221"/>
      <c r="AB319" s="297"/>
    </row>
    <row r="320">
      <c r="A320" s="134"/>
      <c r="B320" s="134"/>
      <c r="C320" s="68"/>
      <c r="D320" s="68"/>
      <c r="E320" s="68"/>
      <c r="F320" s="68"/>
      <c r="G320" s="68"/>
      <c r="H320" s="68"/>
      <c r="I320" s="221"/>
      <c r="J320" s="221"/>
      <c r="K320" s="221"/>
      <c r="L320" s="221"/>
      <c r="M320" s="221"/>
      <c r="N320" s="221"/>
      <c r="O320" s="221"/>
      <c r="P320" s="221"/>
      <c r="Q320" s="221"/>
      <c r="R320" s="221"/>
      <c r="S320" s="221"/>
      <c r="T320" s="221"/>
      <c r="U320" s="221"/>
      <c r="V320" s="221"/>
      <c r="W320" s="221"/>
      <c r="X320" s="221"/>
      <c r="Y320" s="221"/>
      <c r="Z320" s="221"/>
      <c r="AA320" s="221"/>
      <c r="AB320" s="297"/>
    </row>
    <row r="321">
      <c r="A321" s="134"/>
      <c r="B321" s="134"/>
      <c r="C321" s="68"/>
      <c r="D321" s="68"/>
      <c r="E321" s="68"/>
      <c r="F321" s="68"/>
      <c r="G321" s="68"/>
      <c r="H321" s="68"/>
      <c r="I321" s="221"/>
      <c r="J321" s="221"/>
      <c r="K321" s="221"/>
      <c r="L321" s="221"/>
      <c r="M321" s="221"/>
      <c r="N321" s="221"/>
      <c r="O321" s="221"/>
      <c r="P321" s="221"/>
      <c r="Q321" s="221"/>
      <c r="R321" s="221"/>
      <c r="S321" s="221"/>
      <c r="T321" s="221"/>
      <c r="U321" s="221"/>
      <c r="V321" s="221"/>
      <c r="W321" s="221"/>
      <c r="X321" s="221"/>
      <c r="Y321" s="221"/>
      <c r="Z321" s="221"/>
      <c r="AA321" s="221"/>
      <c r="AB321" s="297"/>
    </row>
    <row r="322">
      <c r="A322" s="134"/>
      <c r="B322" s="134"/>
      <c r="C322" s="68"/>
      <c r="D322" s="68"/>
      <c r="E322" s="68"/>
      <c r="F322" s="68"/>
      <c r="G322" s="68"/>
      <c r="H322" s="68"/>
      <c r="I322" s="221"/>
      <c r="J322" s="221"/>
      <c r="K322" s="221"/>
      <c r="L322" s="221"/>
      <c r="M322" s="221"/>
      <c r="N322" s="221"/>
      <c r="O322" s="221"/>
      <c r="P322" s="221"/>
      <c r="Q322" s="221"/>
      <c r="R322" s="221"/>
      <c r="S322" s="221"/>
      <c r="T322" s="221"/>
      <c r="U322" s="221"/>
      <c r="V322" s="221"/>
      <c r="W322" s="221"/>
      <c r="X322" s="221"/>
      <c r="Y322" s="221"/>
      <c r="Z322" s="221"/>
      <c r="AA322" s="221"/>
      <c r="AB322" s="297"/>
    </row>
    <row r="323">
      <c r="A323" s="134"/>
      <c r="B323" s="134"/>
      <c r="C323" s="68"/>
      <c r="D323" s="68"/>
      <c r="E323" s="68"/>
      <c r="F323" s="68"/>
      <c r="G323" s="68"/>
      <c r="H323" s="68"/>
      <c r="I323" s="221"/>
      <c r="J323" s="221"/>
      <c r="K323" s="221"/>
      <c r="L323" s="221"/>
      <c r="M323" s="221"/>
      <c r="N323" s="221"/>
      <c r="O323" s="221"/>
      <c r="P323" s="221"/>
      <c r="Q323" s="221"/>
      <c r="R323" s="221"/>
      <c r="S323" s="221"/>
      <c r="T323" s="221"/>
      <c r="U323" s="221"/>
      <c r="V323" s="221"/>
      <c r="W323" s="221"/>
      <c r="X323" s="221"/>
      <c r="Y323" s="221"/>
      <c r="Z323" s="221"/>
      <c r="AA323" s="221"/>
      <c r="AB323" s="297"/>
    </row>
    <row r="324">
      <c r="A324" s="134"/>
      <c r="B324" s="134"/>
      <c r="C324" s="68"/>
      <c r="D324" s="68"/>
      <c r="E324" s="68"/>
      <c r="F324" s="68"/>
      <c r="G324" s="68"/>
      <c r="H324" s="68"/>
      <c r="I324" s="221"/>
      <c r="J324" s="221"/>
      <c r="K324" s="221"/>
      <c r="L324" s="221"/>
      <c r="M324" s="221"/>
      <c r="N324" s="221"/>
      <c r="O324" s="221"/>
      <c r="P324" s="221"/>
      <c r="Q324" s="221"/>
      <c r="R324" s="221"/>
      <c r="S324" s="221"/>
      <c r="T324" s="221"/>
      <c r="U324" s="221"/>
      <c r="V324" s="221"/>
      <c r="W324" s="221"/>
      <c r="X324" s="221"/>
      <c r="Y324" s="221"/>
      <c r="Z324" s="221"/>
      <c r="AA324" s="221"/>
      <c r="AB324" s="297"/>
    </row>
    <row r="325">
      <c r="A325" s="134"/>
      <c r="B325" s="134"/>
      <c r="C325" s="68"/>
      <c r="D325" s="68"/>
      <c r="E325" s="68"/>
      <c r="F325" s="68"/>
      <c r="G325" s="68"/>
      <c r="H325" s="68"/>
      <c r="I325" s="221"/>
      <c r="J325" s="221"/>
      <c r="K325" s="221"/>
      <c r="L325" s="221"/>
      <c r="M325" s="221"/>
      <c r="N325" s="221"/>
      <c r="O325" s="221"/>
      <c r="P325" s="221"/>
      <c r="Q325" s="221"/>
      <c r="R325" s="221"/>
      <c r="S325" s="221"/>
      <c r="T325" s="221"/>
      <c r="U325" s="221"/>
      <c r="V325" s="221"/>
      <c r="W325" s="221"/>
      <c r="X325" s="221"/>
      <c r="Y325" s="221"/>
      <c r="Z325" s="221"/>
      <c r="AA325" s="221"/>
      <c r="AB325" s="297"/>
    </row>
    <row r="326">
      <c r="A326" s="134"/>
      <c r="B326" s="134"/>
      <c r="C326" s="68"/>
      <c r="D326" s="68"/>
      <c r="E326" s="68"/>
      <c r="F326" s="68"/>
      <c r="G326" s="68"/>
      <c r="H326" s="68"/>
      <c r="I326" s="221"/>
      <c r="J326" s="221"/>
      <c r="K326" s="221"/>
      <c r="L326" s="221"/>
      <c r="M326" s="221"/>
      <c r="N326" s="221"/>
      <c r="O326" s="221"/>
      <c r="P326" s="221"/>
      <c r="Q326" s="221"/>
      <c r="R326" s="221"/>
      <c r="S326" s="221"/>
      <c r="T326" s="221"/>
      <c r="U326" s="221"/>
      <c r="V326" s="221"/>
      <c r="W326" s="221"/>
      <c r="X326" s="221"/>
      <c r="Y326" s="221"/>
      <c r="Z326" s="221"/>
      <c r="AA326" s="221"/>
      <c r="AB326" s="297"/>
    </row>
    <row r="327">
      <c r="A327" s="134"/>
      <c r="B327" s="134"/>
      <c r="C327" s="68"/>
      <c r="D327" s="68"/>
      <c r="E327" s="68"/>
      <c r="F327" s="68"/>
      <c r="G327" s="68"/>
      <c r="H327" s="68"/>
      <c r="I327" s="221"/>
      <c r="J327" s="221"/>
      <c r="K327" s="221"/>
      <c r="L327" s="221"/>
      <c r="M327" s="221"/>
      <c r="N327" s="221"/>
      <c r="O327" s="221"/>
      <c r="P327" s="221"/>
      <c r="Q327" s="221"/>
      <c r="R327" s="221"/>
      <c r="S327" s="221"/>
      <c r="T327" s="221"/>
      <c r="U327" s="221"/>
      <c r="V327" s="221"/>
      <c r="W327" s="221"/>
      <c r="X327" s="221"/>
      <c r="Y327" s="221"/>
      <c r="Z327" s="221"/>
      <c r="AA327" s="221"/>
      <c r="AB327" s="297"/>
    </row>
    <row r="328">
      <c r="A328" s="134"/>
      <c r="B328" s="134"/>
      <c r="C328" s="68"/>
      <c r="D328" s="68"/>
      <c r="E328" s="68"/>
      <c r="F328" s="68"/>
      <c r="G328" s="68"/>
      <c r="H328" s="68"/>
      <c r="I328" s="221"/>
      <c r="J328" s="221"/>
      <c r="K328" s="221"/>
      <c r="L328" s="221"/>
      <c r="M328" s="221"/>
      <c r="N328" s="221"/>
      <c r="O328" s="221"/>
      <c r="P328" s="221"/>
      <c r="Q328" s="221"/>
      <c r="R328" s="221"/>
      <c r="S328" s="221"/>
      <c r="T328" s="221"/>
      <c r="U328" s="221"/>
      <c r="V328" s="221"/>
      <c r="W328" s="221"/>
      <c r="X328" s="221"/>
      <c r="Y328" s="221"/>
      <c r="Z328" s="221"/>
      <c r="AA328" s="221"/>
      <c r="AB328" s="297"/>
    </row>
    <row r="329">
      <c r="A329" s="134"/>
      <c r="B329" s="134"/>
      <c r="C329" s="68"/>
      <c r="D329" s="68"/>
      <c r="E329" s="68"/>
      <c r="F329" s="68"/>
      <c r="G329" s="68"/>
      <c r="H329" s="68"/>
      <c r="I329" s="221"/>
      <c r="J329" s="221"/>
      <c r="K329" s="221"/>
      <c r="L329" s="221"/>
      <c r="M329" s="221"/>
      <c r="N329" s="221"/>
      <c r="O329" s="221"/>
      <c r="P329" s="221"/>
      <c r="Q329" s="221"/>
      <c r="R329" s="221"/>
      <c r="S329" s="221"/>
      <c r="T329" s="221"/>
      <c r="U329" s="221"/>
      <c r="V329" s="221"/>
      <c r="W329" s="221"/>
      <c r="X329" s="221"/>
      <c r="Y329" s="221"/>
      <c r="Z329" s="221"/>
      <c r="AA329" s="221"/>
      <c r="AB329" s="297"/>
    </row>
    <row r="330">
      <c r="A330" s="134"/>
      <c r="B330" s="134"/>
      <c r="C330" s="68"/>
      <c r="D330" s="68"/>
      <c r="E330" s="68"/>
      <c r="F330" s="68"/>
      <c r="G330" s="68"/>
      <c r="H330" s="68"/>
      <c r="I330" s="221"/>
      <c r="J330" s="221"/>
      <c r="K330" s="221"/>
      <c r="L330" s="221"/>
      <c r="M330" s="221"/>
      <c r="N330" s="221"/>
      <c r="O330" s="221"/>
      <c r="P330" s="221"/>
      <c r="Q330" s="221"/>
      <c r="R330" s="221"/>
      <c r="S330" s="221"/>
      <c r="T330" s="221"/>
      <c r="U330" s="221"/>
      <c r="V330" s="221"/>
      <c r="W330" s="221"/>
      <c r="X330" s="221"/>
      <c r="Y330" s="221"/>
      <c r="Z330" s="221"/>
      <c r="AA330" s="221"/>
      <c r="AB330" s="297"/>
    </row>
    <row r="331">
      <c r="A331" s="134"/>
      <c r="B331" s="134"/>
      <c r="C331" s="68"/>
      <c r="D331" s="68"/>
      <c r="E331" s="68"/>
      <c r="F331" s="68"/>
      <c r="G331" s="68"/>
      <c r="H331" s="68"/>
      <c r="I331" s="221"/>
      <c r="J331" s="221"/>
      <c r="K331" s="221"/>
      <c r="L331" s="221"/>
      <c r="M331" s="221"/>
      <c r="N331" s="221"/>
      <c r="O331" s="221"/>
      <c r="P331" s="221"/>
      <c r="Q331" s="221"/>
      <c r="R331" s="221"/>
      <c r="S331" s="221"/>
      <c r="T331" s="221"/>
      <c r="U331" s="221"/>
      <c r="V331" s="221"/>
      <c r="W331" s="221"/>
      <c r="X331" s="221"/>
      <c r="Y331" s="221"/>
      <c r="Z331" s="221"/>
      <c r="AA331" s="221"/>
      <c r="AB331" s="297"/>
    </row>
    <row r="332">
      <c r="A332" s="134"/>
      <c r="B332" s="134"/>
      <c r="C332" s="68"/>
      <c r="D332" s="68"/>
      <c r="E332" s="68"/>
      <c r="F332" s="68"/>
      <c r="G332" s="68"/>
      <c r="H332" s="68"/>
      <c r="I332" s="221"/>
      <c r="J332" s="221"/>
      <c r="K332" s="221"/>
      <c r="L332" s="221"/>
      <c r="M332" s="221"/>
      <c r="N332" s="221"/>
      <c r="O332" s="221"/>
      <c r="P332" s="221"/>
      <c r="Q332" s="221"/>
      <c r="R332" s="221"/>
      <c r="S332" s="221"/>
      <c r="T332" s="221"/>
      <c r="U332" s="221"/>
      <c r="V332" s="221"/>
      <c r="W332" s="221"/>
      <c r="X332" s="221"/>
      <c r="Y332" s="221"/>
      <c r="Z332" s="221"/>
      <c r="AA332" s="221"/>
      <c r="AB332" s="297"/>
    </row>
    <row r="333">
      <c r="A333" s="134"/>
      <c r="B333" s="134"/>
      <c r="C333" s="68"/>
      <c r="D333" s="68"/>
      <c r="E333" s="68"/>
      <c r="F333" s="68"/>
      <c r="G333" s="68"/>
      <c r="H333" s="68"/>
      <c r="I333" s="221"/>
      <c r="J333" s="221"/>
      <c r="K333" s="221"/>
      <c r="L333" s="221"/>
      <c r="M333" s="221"/>
      <c r="N333" s="221"/>
      <c r="O333" s="221"/>
      <c r="P333" s="221"/>
      <c r="Q333" s="221"/>
      <c r="R333" s="221"/>
      <c r="S333" s="221"/>
      <c r="T333" s="221"/>
      <c r="U333" s="221"/>
      <c r="V333" s="221"/>
      <c r="W333" s="221"/>
      <c r="X333" s="221"/>
      <c r="Y333" s="221"/>
      <c r="Z333" s="221"/>
      <c r="AA333" s="221"/>
      <c r="AB333" s="297"/>
    </row>
    <row r="334">
      <c r="A334" s="134"/>
      <c r="B334" s="134"/>
      <c r="C334" s="68"/>
      <c r="D334" s="68"/>
      <c r="E334" s="68"/>
      <c r="F334" s="68"/>
      <c r="G334" s="68"/>
      <c r="H334" s="68"/>
      <c r="I334" s="221"/>
      <c r="J334" s="221"/>
      <c r="K334" s="221"/>
      <c r="L334" s="221"/>
      <c r="M334" s="221"/>
      <c r="N334" s="221"/>
      <c r="O334" s="221"/>
      <c r="P334" s="221"/>
      <c r="Q334" s="221"/>
      <c r="R334" s="221"/>
      <c r="S334" s="221"/>
      <c r="T334" s="221"/>
      <c r="U334" s="221"/>
      <c r="V334" s="221"/>
      <c r="W334" s="221"/>
      <c r="X334" s="221"/>
      <c r="Y334" s="221"/>
      <c r="Z334" s="221"/>
      <c r="AA334" s="221"/>
      <c r="AB334" s="297"/>
    </row>
    <row r="335">
      <c r="A335" s="134"/>
      <c r="B335" s="134"/>
      <c r="C335" s="68"/>
      <c r="D335" s="68"/>
      <c r="E335" s="68"/>
      <c r="F335" s="68"/>
      <c r="G335" s="68"/>
      <c r="H335" s="68"/>
      <c r="I335" s="221"/>
      <c r="J335" s="221"/>
      <c r="K335" s="221"/>
      <c r="L335" s="221"/>
      <c r="M335" s="221"/>
      <c r="N335" s="221"/>
      <c r="O335" s="221"/>
      <c r="P335" s="221"/>
      <c r="Q335" s="221"/>
      <c r="R335" s="221"/>
      <c r="S335" s="221"/>
      <c r="T335" s="221"/>
      <c r="U335" s="221"/>
      <c r="V335" s="221"/>
      <c r="W335" s="221"/>
      <c r="X335" s="221"/>
      <c r="Y335" s="221"/>
      <c r="Z335" s="221"/>
      <c r="AA335" s="221"/>
      <c r="AB335" s="297"/>
    </row>
    <row r="336">
      <c r="A336" s="134"/>
      <c r="B336" s="134"/>
      <c r="C336" s="68"/>
      <c r="D336" s="68"/>
      <c r="E336" s="68"/>
      <c r="F336" s="68"/>
      <c r="G336" s="68"/>
      <c r="H336" s="68"/>
      <c r="I336" s="221"/>
      <c r="J336" s="221"/>
      <c r="K336" s="221"/>
      <c r="L336" s="221"/>
      <c r="M336" s="221"/>
      <c r="N336" s="221"/>
      <c r="O336" s="221"/>
      <c r="P336" s="221"/>
      <c r="Q336" s="221"/>
      <c r="R336" s="221"/>
      <c r="S336" s="221"/>
      <c r="T336" s="221"/>
      <c r="U336" s="221"/>
      <c r="V336" s="221"/>
      <c r="W336" s="221"/>
      <c r="X336" s="221"/>
      <c r="Y336" s="221"/>
      <c r="Z336" s="221"/>
      <c r="AA336" s="221"/>
      <c r="AB336" s="297"/>
    </row>
    <row r="337">
      <c r="A337" s="134"/>
      <c r="B337" s="134"/>
      <c r="C337" s="68"/>
      <c r="D337" s="68"/>
      <c r="E337" s="68"/>
      <c r="F337" s="68"/>
      <c r="G337" s="68"/>
      <c r="H337" s="68"/>
      <c r="I337" s="221"/>
      <c r="J337" s="221"/>
      <c r="K337" s="221"/>
      <c r="L337" s="221"/>
      <c r="M337" s="221"/>
      <c r="N337" s="221"/>
      <c r="O337" s="221"/>
      <c r="P337" s="221"/>
      <c r="Q337" s="221"/>
      <c r="R337" s="221"/>
      <c r="S337" s="221"/>
      <c r="T337" s="221"/>
      <c r="U337" s="221"/>
      <c r="V337" s="221"/>
      <c r="W337" s="221"/>
      <c r="X337" s="221"/>
      <c r="Y337" s="221"/>
      <c r="Z337" s="221"/>
      <c r="AA337" s="221"/>
      <c r="AB337" s="297"/>
    </row>
    <row r="338">
      <c r="A338" s="134"/>
      <c r="B338" s="134"/>
      <c r="C338" s="68"/>
      <c r="D338" s="68"/>
      <c r="E338" s="68"/>
      <c r="F338" s="68"/>
      <c r="G338" s="68"/>
      <c r="H338" s="68"/>
      <c r="I338" s="221"/>
      <c r="J338" s="221"/>
      <c r="K338" s="221"/>
      <c r="L338" s="221"/>
      <c r="M338" s="221"/>
      <c r="N338" s="221"/>
      <c r="O338" s="221"/>
      <c r="P338" s="221"/>
      <c r="Q338" s="221"/>
      <c r="R338" s="221"/>
      <c r="S338" s="221"/>
      <c r="T338" s="221"/>
      <c r="U338" s="221"/>
      <c r="V338" s="221"/>
      <c r="W338" s="221"/>
      <c r="X338" s="221"/>
      <c r="Y338" s="221"/>
      <c r="Z338" s="221"/>
      <c r="AA338" s="221"/>
      <c r="AB338" s="297"/>
    </row>
    <row r="339">
      <c r="A339" s="134"/>
      <c r="B339" s="134"/>
      <c r="C339" s="68"/>
      <c r="D339" s="68"/>
      <c r="E339" s="68"/>
      <c r="F339" s="68"/>
      <c r="G339" s="68"/>
      <c r="H339" s="68"/>
      <c r="I339" s="221"/>
      <c r="J339" s="221"/>
      <c r="K339" s="221"/>
      <c r="L339" s="221"/>
      <c r="M339" s="221"/>
      <c r="N339" s="221"/>
      <c r="O339" s="221"/>
      <c r="P339" s="221"/>
      <c r="Q339" s="221"/>
      <c r="R339" s="221"/>
      <c r="S339" s="221"/>
      <c r="T339" s="221"/>
      <c r="U339" s="221"/>
      <c r="V339" s="221"/>
      <c r="W339" s="221"/>
      <c r="X339" s="221"/>
      <c r="Y339" s="221"/>
      <c r="Z339" s="221"/>
      <c r="AA339" s="221"/>
      <c r="AB339" s="297"/>
    </row>
    <row r="340">
      <c r="A340" s="134"/>
      <c r="B340" s="134"/>
      <c r="C340" s="68"/>
      <c r="D340" s="68"/>
      <c r="E340" s="68"/>
      <c r="F340" s="68"/>
      <c r="G340" s="68"/>
      <c r="H340" s="68"/>
      <c r="I340" s="221"/>
      <c r="J340" s="221"/>
      <c r="K340" s="221"/>
      <c r="L340" s="221"/>
      <c r="M340" s="221"/>
      <c r="N340" s="221"/>
      <c r="O340" s="221"/>
      <c r="P340" s="221"/>
      <c r="Q340" s="221"/>
      <c r="R340" s="221"/>
      <c r="S340" s="221"/>
      <c r="T340" s="221"/>
      <c r="U340" s="221"/>
      <c r="V340" s="221"/>
      <c r="W340" s="221"/>
      <c r="X340" s="221"/>
      <c r="Y340" s="221"/>
      <c r="Z340" s="221"/>
      <c r="AA340" s="221"/>
      <c r="AB340" s="297"/>
    </row>
    <row r="341">
      <c r="A341" s="134"/>
      <c r="B341" s="134"/>
      <c r="C341" s="68"/>
      <c r="D341" s="68"/>
      <c r="E341" s="68"/>
      <c r="F341" s="68"/>
      <c r="G341" s="68"/>
      <c r="H341" s="68"/>
      <c r="I341" s="221"/>
      <c r="J341" s="221"/>
      <c r="K341" s="221"/>
      <c r="L341" s="221"/>
      <c r="M341" s="221"/>
      <c r="N341" s="221"/>
      <c r="O341" s="221"/>
      <c r="P341" s="221"/>
      <c r="Q341" s="221"/>
      <c r="R341" s="221"/>
      <c r="S341" s="221"/>
      <c r="T341" s="221"/>
      <c r="U341" s="221"/>
      <c r="V341" s="221"/>
      <c r="W341" s="221"/>
      <c r="X341" s="221"/>
      <c r="Y341" s="221"/>
      <c r="Z341" s="221"/>
      <c r="AA341" s="221"/>
      <c r="AB341" s="297"/>
    </row>
    <row r="342">
      <c r="A342" s="134"/>
      <c r="B342" s="134"/>
      <c r="C342" s="68"/>
      <c r="D342" s="68"/>
      <c r="E342" s="68"/>
      <c r="F342" s="68"/>
      <c r="G342" s="68"/>
      <c r="H342" s="68"/>
      <c r="I342" s="221"/>
      <c r="J342" s="221"/>
      <c r="K342" s="221"/>
      <c r="L342" s="221"/>
      <c r="M342" s="221"/>
      <c r="N342" s="221"/>
      <c r="O342" s="221"/>
      <c r="P342" s="221"/>
      <c r="Q342" s="221"/>
      <c r="R342" s="221"/>
      <c r="S342" s="221"/>
      <c r="T342" s="221"/>
      <c r="U342" s="221"/>
      <c r="V342" s="221"/>
      <c r="W342" s="221"/>
      <c r="X342" s="221"/>
      <c r="Y342" s="221"/>
      <c r="Z342" s="221"/>
      <c r="AA342" s="221"/>
      <c r="AB342" s="297"/>
    </row>
    <row r="343">
      <c r="A343" s="134"/>
      <c r="B343" s="134"/>
      <c r="C343" s="68"/>
      <c r="D343" s="68"/>
      <c r="E343" s="68"/>
      <c r="F343" s="68"/>
      <c r="G343" s="68"/>
      <c r="H343" s="68"/>
      <c r="I343" s="221"/>
      <c r="J343" s="221"/>
      <c r="K343" s="221"/>
      <c r="L343" s="221"/>
      <c r="M343" s="221"/>
      <c r="N343" s="221"/>
      <c r="O343" s="221"/>
      <c r="P343" s="221"/>
      <c r="Q343" s="221"/>
      <c r="R343" s="221"/>
      <c r="S343" s="221"/>
      <c r="T343" s="221"/>
      <c r="U343" s="221"/>
      <c r="V343" s="221"/>
      <c r="W343" s="221"/>
      <c r="X343" s="221"/>
      <c r="Y343" s="221"/>
      <c r="Z343" s="221"/>
      <c r="AA343" s="221"/>
      <c r="AB343" s="297"/>
    </row>
    <row r="344">
      <c r="A344" s="134"/>
      <c r="B344" s="134"/>
      <c r="C344" s="68"/>
      <c r="D344" s="68"/>
      <c r="E344" s="68"/>
      <c r="F344" s="68"/>
      <c r="G344" s="68"/>
      <c r="H344" s="68"/>
      <c r="I344" s="221"/>
      <c r="J344" s="221"/>
      <c r="K344" s="221"/>
      <c r="L344" s="221"/>
      <c r="M344" s="221"/>
      <c r="N344" s="221"/>
      <c r="O344" s="221"/>
      <c r="P344" s="221"/>
      <c r="Q344" s="221"/>
      <c r="R344" s="221"/>
      <c r="S344" s="221"/>
      <c r="T344" s="221"/>
      <c r="U344" s="221"/>
      <c r="V344" s="221"/>
      <c r="W344" s="221"/>
      <c r="X344" s="221"/>
      <c r="Y344" s="221"/>
      <c r="Z344" s="221"/>
      <c r="AA344" s="221"/>
      <c r="AB344" s="297"/>
    </row>
    <row r="345">
      <c r="A345" s="134"/>
      <c r="B345" s="134"/>
      <c r="C345" s="68"/>
      <c r="D345" s="68"/>
      <c r="E345" s="68"/>
      <c r="F345" s="68"/>
      <c r="G345" s="68"/>
      <c r="H345" s="68"/>
      <c r="I345" s="221"/>
      <c r="J345" s="221"/>
      <c r="K345" s="221"/>
      <c r="L345" s="221"/>
      <c r="M345" s="221"/>
      <c r="N345" s="221"/>
      <c r="O345" s="221"/>
      <c r="P345" s="221"/>
      <c r="Q345" s="221"/>
      <c r="R345" s="221"/>
      <c r="S345" s="221"/>
      <c r="T345" s="221"/>
      <c r="U345" s="221"/>
      <c r="V345" s="221"/>
      <c r="W345" s="221"/>
      <c r="X345" s="221"/>
      <c r="Y345" s="221"/>
      <c r="Z345" s="221"/>
      <c r="AA345" s="221"/>
      <c r="AB345" s="297"/>
    </row>
    <row r="346">
      <c r="A346" s="134"/>
      <c r="B346" s="134"/>
      <c r="C346" s="68"/>
      <c r="D346" s="68"/>
      <c r="E346" s="68"/>
      <c r="F346" s="68"/>
      <c r="G346" s="68"/>
      <c r="H346" s="68"/>
      <c r="I346" s="221"/>
      <c r="J346" s="221"/>
      <c r="K346" s="221"/>
      <c r="L346" s="221"/>
      <c r="M346" s="221"/>
      <c r="N346" s="221"/>
      <c r="O346" s="221"/>
      <c r="P346" s="221"/>
      <c r="Q346" s="221"/>
      <c r="R346" s="221"/>
      <c r="S346" s="221"/>
      <c r="T346" s="221"/>
      <c r="U346" s="221"/>
      <c r="V346" s="221"/>
      <c r="W346" s="221"/>
      <c r="X346" s="221"/>
      <c r="Y346" s="221"/>
      <c r="Z346" s="221"/>
      <c r="AA346" s="221"/>
      <c r="AB346" s="297"/>
    </row>
    <row r="347">
      <c r="A347" s="134"/>
      <c r="B347" s="134"/>
      <c r="C347" s="68"/>
      <c r="D347" s="68"/>
      <c r="E347" s="68"/>
      <c r="F347" s="68"/>
      <c r="G347" s="68"/>
      <c r="H347" s="68"/>
      <c r="I347" s="221"/>
      <c r="J347" s="221"/>
      <c r="K347" s="221"/>
      <c r="L347" s="221"/>
      <c r="M347" s="221"/>
      <c r="N347" s="221"/>
      <c r="O347" s="221"/>
      <c r="P347" s="221"/>
      <c r="Q347" s="221"/>
      <c r="R347" s="221"/>
      <c r="S347" s="221"/>
      <c r="T347" s="221"/>
      <c r="U347" s="221"/>
      <c r="V347" s="221"/>
      <c r="W347" s="221"/>
      <c r="X347" s="221"/>
      <c r="Y347" s="221"/>
      <c r="Z347" s="221"/>
      <c r="AA347" s="221"/>
      <c r="AB347" s="297"/>
    </row>
    <row r="348">
      <c r="A348" s="134"/>
      <c r="B348" s="134"/>
      <c r="C348" s="68"/>
      <c r="D348" s="68"/>
      <c r="E348" s="68"/>
      <c r="F348" s="68"/>
      <c r="G348" s="68"/>
      <c r="H348" s="68"/>
      <c r="I348" s="221"/>
      <c r="J348" s="221"/>
      <c r="K348" s="221"/>
      <c r="L348" s="221"/>
      <c r="M348" s="221"/>
      <c r="N348" s="221"/>
      <c r="O348" s="221"/>
      <c r="P348" s="221"/>
      <c r="Q348" s="221"/>
      <c r="R348" s="221"/>
      <c r="S348" s="221"/>
      <c r="T348" s="221"/>
      <c r="U348" s="221"/>
      <c r="V348" s="221"/>
      <c r="W348" s="221"/>
      <c r="X348" s="221"/>
      <c r="Y348" s="221"/>
      <c r="Z348" s="221"/>
      <c r="AA348" s="221"/>
      <c r="AB348" s="297"/>
    </row>
    <row r="349">
      <c r="A349" s="134"/>
      <c r="B349" s="134"/>
      <c r="C349" s="68"/>
      <c r="D349" s="68"/>
      <c r="E349" s="68"/>
      <c r="F349" s="68"/>
      <c r="G349" s="68"/>
      <c r="H349" s="68"/>
      <c r="I349" s="221"/>
      <c r="J349" s="221"/>
      <c r="K349" s="221"/>
      <c r="L349" s="221"/>
      <c r="M349" s="221"/>
      <c r="N349" s="221"/>
      <c r="O349" s="221"/>
      <c r="P349" s="221"/>
      <c r="Q349" s="221"/>
      <c r="R349" s="221"/>
      <c r="S349" s="221"/>
      <c r="T349" s="221"/>
      <c r="U349" s="221"/>
      <c r="V349" s="221"/>
      <c r="W349" s="221"/>
      <c r="X349" s="221"/>
      <c r="Y349" s="221"/>
      <c r="Z349" s="221"/>
      <c r="AA349" s="221"/>
      <c r="AB349" s="297"/>
    </row>
    <row r="350">
      <c r="A350" s="134"/>
      <c r="B350" s="134"/>
      <c r="C350" s="68"/>
      <c r="D350" s="68"/>
      <c r="E350" s="68"/>
      <c r="F350" s="68"/>
      <c r="G350" s="68"/>
      <c r="H350" s="68"/>
      <c r="I350" s="221"/>
      <c r="J350" s="221"/>
      <c r="K350" s="221"/>
      <c r="L350" s="221"/>
      <c r="M350" s="221"/>
      <c r="N350" s="221"/>
      <c r="O350" s="221"/>
      <c r="P350" s="221"/>
      <c r="Q350" s="221"/>
      <c r="R350" s="221"/>
      <c r="S350" s="221"/>
      <c r="T350" s="221"/>
      <c r="U350" s="221"/>
      <c r="V350" s="221"/>
      <c r="W350" s="221"/>
      <c r="X350" s="221"/>
      <c r="Y350" s="221"/>
      <c r="Z350" s="221"/>
      <c r="AA350" s="221"/>
      <c r="AB350" s="297"/>
    </row>
    <row r="351">
      <c r="A351" s="134"/>
      <c r="B351" s="134"/>
      <c r="C351" s="68"/>
      <c r="D351" s="68"/>
      <c r="E351" s="68"/>
      <c r="F351" s="68"/>
      <c r="G351" s="68"/>
      <c r="H351" s="68"/>
      <c r="I351" s="221"/>
      <c r="J351" s="221"/>
      <c r="K351" s="221"/>
      <c r="L351" s="221"/>
      <c r="M351" s="221"/>
      <c r="N351" s="221"/>
      <c r="O351" s="221"/>
      <c r="P351" s="221"/>
      <c r="Q351" s="221"/>
      <c r="R351" s="221"/>
      <c r="S351" s="221"/>
      <c r="T351" s="221"/>
      <c r="U351" s="221"/>
      <c r="V351" s="221"/>
      <c r="W351" s="221"/>
      <c r="X351" s="221"/>
      <c r="Y351" s="221"/>
      <c r="Z351" s="221"/>
      <c r="AA351" s="221"/>
      <c r="AB351" s="297"/>
    </row>
    <row r="352">
      <c r="A352" s="134"/>
      <c r="B352" s="134"/>
      <c r="C352" s="68"/>
      <c r="D352" s="68"/>
      <c r="E352" s="68"/>
      <c r="F352" s="68"/>
      <c r="G352" s="68"/>
      <c r="H352" s="68"/>
      <c r="I352" s="221"/>
      <c r="J352" s="221"/>
      <c r="K352" s="221"/>
      <c r="L352" s="221"/>
      <c r="M352" s="221"/>
      <c r="N352" s="221"/>
      <c r="O352" s="221"/>
      <c r="P352" s="221"/>
      <c r="Q352" s="221"/>
      <c r="R352" s="221"/>
      <c r="S352" s="221"/>
      <c r="T352" s="221"/>
      <c r="U352" s="221"/>
      <c r="V352" s="221"/>
      <c r="W352" s="221"/>
      <c r="X352" s="221"/>
      <c r="Y352" s="221"/>
      <c r="Z352" s="221"/>
      <c r="AA352" s="221"/>
      <c r="AB352" s="297"/>
    </row>
    <row r="353">
      <c r="A353" s="134"/>
      <c r="B353" s="134"/>
      <c r="C353" s="68"/>
      <c r="D353" s="68"/>
      <c r="E353" s="68"/>
      <c r="F353" s="68"/>
      <c r="G353" s="68"/>
      <c r="H353" s="68"/>
      <c r="I353" s="221"/>
      <c r="J353" s="221"/>
      <c r="K353" s="221"/>
      <c r="L353" s="221"/>
      <c r="M353" s="221"/>
      <c r="N353" s="221"/>
      <c r="O353" s="221"/>
      <c r="P353" s="221"/>
      <c r="Q353" s="221"/>
      <c r="R353" s="221"/>
      <c r="S353" s="221"/>
      <c r="T353" s="221"/>
      <c r="U353" s="221"/>
      <c r="V353" s="221"/>
      <c r="W353" s="221"/>
      <c r="X353" s="221"/>
      <c r="Y353" s="221"/>
      <c r="Z353" s="221"/>
      <c r="AA353" s="221"/>
      <c r="AB353" s="297"/>
    </row>
    <row r="354">
      <c r="A354" s="134"/>
      <c r="B354" s="134"/>
      <c r="C354" s="68"/>
      <c r="D354" s="68"/>
      <c r="E354" s="68"/>
      <c r="F354" s="68"/>
      <c r="G354" s="68"/>
      <c r="H354" s="68"/>
      <c r="I354" s="221"/>
      <c r="J354" s="221"/>
      <c r="K354" s="221"/>
      <c r="L354" s="221"/>
      <c r="M354" s="221"/>
      <c r="N354" s="221"/>
      <c r="O354" s="221"/>
      <c r="P354" s="221"/>
      <c r="Q354" s="221"/>
      <c r="R354" s="221"/>
      <c r="S354" s="221"/>
      <c r="T354" s="221"/>
      <c r="U354" s="221"/>
      <c r="V354" s="221"/>
      <c r="W354" s="221"/>
      <c r="X354" s="221"/>
      <c r="Y354" s="221"/>
      <c r="Z354" s="221"/>
      <c r="AA354" s="221"/>
      <c r="AB354" s="297"/>
    </row>
    <row r="355">
      <c r="A355" s="134"/>
      <c r="B355" s="134"/>
      <c r="C355" s="68"/>
      <c r="D355" s="68"/>
      <c r="E355" s="68"/>
      <c r="F355" s="68"/>
      <c r="G355" s="68"/>
      <c r="H355" s="68"/>
      <c r="I355" s="221"/>
      <c r="J355" s="221"/>
      <c r="K355" s="221"/>
      <c r="L355" s="221"/>
      <c r="M355" s="221"/>
      <c r="N355" s="221"/>
      <c r="O355" s="221"/>
      <c r="P355" s="221"/>
      <c r="Q355" s="221"/>
      <c r="R355" s="221"/>
      <c r="S355" s="221"/>
      <c r="T355" s="221"/>
      <c r="U355" s="221"/>
      <c r="V355" s="221"/>
      <c r="W355" s="221"/>
      <c r="X355" s="221"/>
      <c r="Y355" s="221"/>
      <c r="Z355" s="221"/>
      <c r="AA355" s="221"/>
      <c r="AB355" s="297"/>
    </row>
    <row r="356">
      <c r="A356" s="134"/>
      <c r="B356" s="134"/>
      <c r="C356" s="68"/>
      <c r="D356" s="68"/>
      <c r="E356" s="68"/>
      <c r="F356" s="68"/>
      <c r="G356" s="68"/>
      <c r="H356" s="68"/>
      <c r="I356" s="221"/>
      <c r="J356" s="221"/>
      <c r="K356" s="221"/>
      <c r="L356" s="221"/>
      <c r="M356" s="221"/>
      <c r="N356" s="221"/>
      <c r="O356" s="221"/>
      <c r="P356" s="221"/>
      <c r="Q356" s="221"/>
      <c r="R356" s="221"/>
      <c r="S356" s="221"/>
      <c r="T356" s="221"/>
      <c r="U356" s="221"/>
      <c r="V356" s="221"/>
      <c r="W356" s="221"/>
      <c r="X356" s="221"/>
      <c r="Y356" s="221"/>
      <c r="Z356" s="221"/>
      <c r="AA356" s="221"/>
      <c r="AB356" s="297"/>
    </row>
    <row r="357">
      <c r="A357" s="134"/>
      <c r="B357" s="134"/>
      <c r="C357" s="68"/>
      <c r="D357" s="68"/>
      <c r="E357" s="68"/>
      <c r="F357" s="68"/>
      <c r="G357" s="68"/>
      <c r="H357" s="68"/>
      <c r="I357" s="221"/>
      <c r="J357" s="221"/>
      <c r="K357" s="221"/>
      <c r="L357" s="221"/>
      <c r="M357" s="221"/>
      <c r="N357" s="221"/>
      <c r="O357" s="221"/>
      <c r="P357" s="221"/>
      <c r="Q357" s="221"/>
      <c r="R357" s="221"/>
      <c r="S357" s="221"/>
      <c r="T357" s="221"/>
      <c r="U357" s="221"/>
      <c r="V357" s="221"/>
      <c r="W357" s="221"/>
      <c r="X357" s="221"/>
      <c r="Y357" s="221"/>
      <c r="Z357" s="221"/>
      <c r="AA357" s="221"/>
      <c r="AB357" s="297"/>
    </row>
    <row r="358">
      <c r="A358" s="134"/>
      <c r="B358" s="134"/>
      <c r="C358" s="68"/>
      <c r="D358" s="68"/>
      <c r="E358" s="68"/>
      <c r="F358" s="68"/>
      <c r="G358" s="68"/>
      <c r="H358" s="68"/>
      <c r="I358" s="221"/>
      <c r="J358" s="221"/>
      <c r="K358" s="221"/>
      <c r="L358" s="221"/>
      <c r="M358" s="221"/>
      <c r="N358" s="221"/>
      <c r="O358" s="221"/>
      <c r="P358" s="221"/>
      <c r="Q358" s="221"/>
      <c r="R358" s="221"/>
      <c r="S358" s="221"/>
      <c r="T358" s="221"/>
      <c r="U358" s="221"/>
      <c r="V358" s="221"/>
      <c r="W358" s="221"/>
      <c r="X358" s="221"/>
      <c r="Y358" s="221"/>
      <c r="Z358" s="221"/>
      <c r="AA358" s="221"/>
      <c r="AB358" s="297"/>
    </row>
    <row r="359">
      <c r="A359" s="134"/>
      <c r="B359" s="134"/>
      <c r="C359" s="68"/>
      <c r="D359" s="68"/>
      <c r="E359" s="68"/>
      <c r="F359" s="68"/>
      <c r="G359" s="68"/>
      <c r="H359" s="68"/>
      <c r="I359" s="221"/>
      <c r="J359" s="221"/>
      <c r="K359" s="221"/>
      <c r="L359" s="221"/>
      <c r="M359" s="221"/>
      <c r="N359" s="221"/>
      <c r="O359" s="221"/>
      <c r="P359" s="221"/>
      <c r="Q359" s="221"/>
      <c r="R359" s="221"/>
      <c r="S359" s="221"/>
      <c r="T359" s="221"/>
      <c r="U359" s="221"/>
      <c r="V359" s="221"/>
      <c r="W359" s="221"/>
      <c r="X359" s="221"/>
      <c r="Y359" s="221"/>
      <c r="Z359" s="221"/>
      <c r="AA359" s="221"/>
      <c r="AB359" s="297"/>
    </row>
    <row r="360">
      <c r="A360" s="134"/>
      <c r="B360" s="134"/>
      <c r="C360" s="68"/>
      <c r="D360" s="68"/>
      <c r="E360" s="68"/>
      <c r="F360" s="68"/>
      <c r="G360" s="68"/>
      <c r="H360" s="68"/>
      <c r="I360" s="221"/>
      <c r="J360" s="221"/>
      <c r="K360" s="221"/>
      <c r="L360" s="221"/>
      <c r="M360" s="221"/>
      <c r="N360" s="221"/>
      <c r="O360" s="221"/>
      <c r="P360" s="221"/>
      <c r="Q360" s="221"/>
      <c r="R360" s="221"/>
      <c r="S360" s="221"/>
      <c r="T360" s="221"/>
      <c r="U360" s="221"/>
      <c r="V360" s="221"/>
      <c r="W360" s="221"/>
      <c r="X360" s="221"/>
      <c r="Y360" s="221"/>
      <c r="Z360" s="221"/>
      <c r="AA360" s="221"/>
      <c r="AB360" s="297"/>
    </row>
    <row r="361">
      <c r="A361" s="134"/>
      <c r="B361" s="134"/>
      <c r="C361" s="68"/>
      <c r="D361" s="68"/>
      <c r="E361" s="68"/>
      <c r="F361" s="68"/>
      <c r="G361" s="68"/>
      <c r="H361" s="68"/>
      <c r="I361" s="221"/>
      <c r="J361" s="221"/>
      <c r="K361" s="221"/>
      <c r="L361" s="221"/>
      <c r="M361" s="221"/>
      <c r="N361" s="221"/>
      <c r="O361" s="221"/>
      <c r="P361" s="221"/>
      <c r="Q361" s="221"/>
      <c r="R361" s="221"/>
      <c r="S361" s="221"/>
      <c r="T361" s="221"/>
      <c r="U361" s="221"/>
      <c r="V361" s="221"/>
      <c r="W361" s="221"/>
      <c r="X361" s="221"/>
      <c r="Y361" s="221"/>
      <c r="Z361" s="221"/>
      <c r="AA361" s="221"/>
      <c r="AB361" s="297"/>
    </row>
    <row r="362">
      <c r="A362" s="134"/>
      <c r="B362" s="134"/>
      <c r="C362" s="68"/>
      <c r="D362" s="68"/>
      <c r="E362" s="68"/>
      <c r="F362" s="68"/>
      <c r="G362" s="68"/>
      <c r="H362" s="68"/>
      <c r="I362" s="221"/>
      <c r="J362" s="221"/>
      <c r="K362" s="221"/>
      <c r="L362" s="221"/>
      <c r="M362" s="221"/>
      <c r="N362" s="221"/>
      <c r="O362" s="221"/>
      <c r="P362" s="221"/>
      <c r="Q362" s="221"/>
      <c r="R362" s="221"/>
      <c r="S362" s="221"/>
      <c r="T362" s="221"/>
      <c r="U362" s="221"/>
      <c r="V362" s="221"/>
      <c r="W362" s="221"/>
      <c r="X362" s="221"/>
      <c r="Y362" s="221"/>
      <c r="Z362" s="221"/>
      <c r="AA362" s="221"/>
      <c r="AB362" s="297"/>
    </row>
    <row r="363">
      <c r="A363" s="134"/>
      <c r="B363" s="134"/>
      <c r="C363" s="68"/>
      <c r="D363" s="68"/>
      <c r="E363" s="68"/>
      <c r="F363" s="68"/>
      <c r="G363" s="68"/>
      <c r="H363" s="68"/>
      <c r="I363" s="221"/>
      <c r="J363" s="221"/>
      <c r="K363" s="221"/>
      <c r="L363" s="221"/>
      <c r="M363" s="221"/>
      <c r="N363" s="221"/>
      <c r="O363" s="221"/>
      <c r="P363" s="221"/>
      <c r="Q363" s="221"/>
      <c r="R363" s="221"/>
      <c r="S363" s="221"/>
      <c r="T363" s="221"/>
      <c r="U363" s="221"/>
      <c r="V363" s="221"/>
      <c r="W363" s="221"/>
      <c r="X363" s="221"/>
      <c r="Y363" s="221"/>
      <c r="Z363" s="221"/>
      <c r="AA363" s="221"/>
      <c r="AB363" s="297"/>
    </row>
    <row r="364">
      <c r="A364" s="134"/>
      <c r="B364" s="134"/>
      <c r="C364" s="68"/>
      <c r="D364" s="68"/>
      <c r="E364" s="68"/>
      <c r="F364" s="68"/>
      <c r="G364" s="68"/>
      <c r="H364" s="68"/>
      <c r="I364" s="221"/>
      <c r="J364" s="221"/>
      <c r="K364" s="221"/>
      <c r="L364" s="221"/>
      <c r="M364" s="221"/>
      <c r="N364" s="221"/>
      <c r="O364" s="221"/>
      <c r="P364" s="221"/>
      <c r="Q364" s="221"/>
      <c r="R364" s="221"/>
      <c r="S364" s="221"/>
      <c r="T364" s="221"/>
      <c r="U364" s="221"/>
      <c r="V364" s="221"/>
      <c r="W364" s="221"/>
      <c r="X364" s="221"/>
      <c r="Y364" s="221"/>
      <c r="Z364" s="221"/>
      <c r="AA364" s="221"/>
      <c r="AB364" s="297"/>
    </row>
    <row r="365">
      <c r="A365" s="134"/>
      <c r="B365" s="134"/>
      <c r="C365" s="68"/>
      <c r="D365" s="68"/>
      <c r="E365" s="68"/>
      <c r="F365" s="68"/>
      <c r="G365" s="68"/>
      <c r="H365" s="68"/>
      <c r="I365" s="221"/>
      <c r="J365" s="221"/>
      <c r="K365" s="221"/>
      <c r="L365" s="221"/>
      <c r="M365" s="221"/>
      <c r="N365" s="221"/>
      <c r="O365" s="221"/>
      <c r="P365" s="221"/>
      <c r="Q365" s="221"/>
      <c r="R365" s="221"/>
      <c r="S365" s="221"/>
      <c r="T365" s="221"/>
      <c r="U365" s="221"/>
      <c r="V365" s="221"/>
      <c r="W365" s="221"/>
      <c r="X365" s="221"/>
      <c r="Y365" s="221"/>
      <c r="Z365" s="221"/>
      <c r="AA365" s="221"/>
      <c r="AB365" s="297"/>
    </row>
    <row r="366">
      <c r="A366" s="134"/>
      <c r="B366" s="134"/>
      <c r="C366" s="68"/>
      <c r="D366" s="68"/>
      <c r="E366" s="68"/>
      <c r="F366" s="68"/>
      <c r="G366" s="68"/>
      <c r="H366" s="68"/>
      <c r="I366" s="221"/>
      <c r="J366" s="221"/>
      <c r="K366" s="221"/>
      <c r="L366" s="221"/>
      <c r="M366" s="221"/>
      <c r="N366" s="221"/>
      <c r="O366" s="221"/>
      <c r="P366" s="221"/>
      <c r="Q366" s="221"/>
      <c r="R366" s="221"/>
      <c r="S366" s="221"/>
      <c r="T366" s="221"/>
      <c r="U366" s="221"/>
      <c r="V366" s="221"/>
      <c r="W366" s="221"/>
      <c r="X366" s="221"/>
      <c r="Y366" s="221"/>
      <c r="Z366" s="221"/>
      <c r="AA366" s="221"/>
      <c r="AB366" s="297"/>
    </row>
    <row r="367">
      <c r="A367" s="134"/>
      <c r="B367" s="134"/>
      <c r="C367" s="68"/>
      <c r="D367" s="68"/>
      <c r="E367" s="68"/>
      <c r="F367" s="68"/>
      <c r="G367" s="68"/>
      <c r="H367" s="68"/>
      <c r="I367" s="221"/>
      <c r="J367" s="221"/>
      <c r="K367" s="221"/>
      <c r="L367" s="221"/>
      <c r="M367" s="221"/>
      <c r="N367" s="221"/>
      <c r="O367" s="221"/>
      <c r="P367" s="221"/>
      <c r="Q367" s="221"/>
      <c r="R367" s="221"/>
      <c r="S367" s="221"/>
      <c r="T367" s="221"/>
      <c r="U367" s="221"/>
      <c r="V367" s="221"/>
      <c r="W367" s="221"/>
      <c r="X367" s="221"/>
      <c r="Y367" s="221"/>
      <c r="Z367" s="221"/>
      <c r="AA367" s="221"/>
      <c r="AB367" s="297"/>
    </row>
    <row r="368">
      <c r="A368" s="134"/>
      <c r="B368" s="134"/>
      <c r="C368" s="68"/>
      <c r="D368" s="68"/>
      <c r="E368" s="68"/>
      <c r="F368" s="68"/>
      <c r="G368" s="68"/>
      <c r="H368" s="68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97"/>
    </row>
    <row r="369">
      <c r="A369" s="134"/>
      <c r="B369" s="134"/>
      <c r="C369" s="68"/>
      <c r="D369" s="68"/>
      <c r="E369" s="68"/>
      <c r="F369" s="68"/>
      <c r="G369" s="68"/>
      <c r="H369" s="68"/>
      <c r="I369" s="221"/>
      <c r="J369" s="221"/>
      <c r="K369" s="221"/>
      <c r="L369" s="221"/>
      <c r="M369" s="221"/>
      <c r="N369" s="221"/>
      <c r="O369" s="221"/>
      <c r="P369" s="221"/>
      <c r="Q369" s="221"/>
      <c r="R369" s="221"/>
      <c r="S369" s="221"/>
      <c r="T369" s="221"/>
      <c r="U369" s="221"/>
      <c r="V369" s="221"/>
      <c r="W369" s="221"/>
      <c r="X369" s="221"/>
      <c r="Y369" s="221"/>
      <c r="Z369" s="221"/>
      <c r="AA369" s="221"/>
      <c r="AB369" s="297"/>
    </row>
    <row r="370">
      <c r="A370" s="134"/>
      <c r="B370" s="134"/>
      <c r="C370" s="68"/>
      <c r="D370" s="68"/>
      <c r="E370" s="68"/>
      <c r="F370" s="68"/>
      <c r="G370" s="68"/>
      <c r="H370" s="68"/>
      <c r="I370" s="221"/>
      <c r="J370" s="221"/>
      <c r="K370" s="221"/>
      <c r="L370" s="221"/>
      <c r="M370" s="221"/>
      <c r="N370" s="221"/>
      <c r="O370" s="221"/>
      <c r="P370" s="221"/>
      <c r="Q370" s="221"/>
      <c r="R370" s="221"/>
      <c r="S370" s="221"/>
      <c r="T370" s="221"/>
      <c r="U370" s="221"/>
      <c r="V370" s="221"/>
      <c r="W370" s="221"/>
      <c r="X370" s="221"/>
      <c r="Y370" s="221"/>
      <c r="Z370" s="221"/>
      <c r="AA370" s="221"/>
      <c r="AB370" s="297"/>
    </row>
    <row r="371">
      <c r="A371" s="134"/>
      <c r="B371" s="134"/>
      <c r="C371" s="68"/>
      <c r="D371" s="68"/>
      <c r="E371" s="68"/>
      <c r="F371" s="68"/>
      <c r="G371" s="68"/>
      <c r="H371" s="68"/>
      <c r="I371" s="221"/>
      <c r="J371" s="221"/>
      <c r="K371" s="221"/>
      <c r="L371" s="221"/>
      <c r="M371" s="221"/>
      <c r="N371" s="221"/>
      <c r="O371" s="221"/>
      <c r="P371" s="221"/>
      <c r="Q371" s="221"/>
      <c r="R371" s="221"/>
      <c r="S371" s="221"/>
      <c r="T371" s="221"/>
      <c r="U371" s="221"/>
      <c r="V371" s="221"/>
      <c r="W371" s="221"/>
      <c r="X371" s="221"/>
      <c r="Y371" s="221"/>
      <c r="Z371" s="221"/>
      <c r="AA371" s="221"/>
      <c r="AB371" s="297"/>
    </row>
    <row r="372">
      <c r="A372" s="134"/>
      <c r="B372" s="134"/>
      <c r="C372" s="68"/>
      <c r="D372" s="68"/>
      <c r="E372" s="68"/>
      <c r="F372" s="68"/>
      <c r="G372" s="68"/>
      <c r="H372" s="68"/>
      <c r="I372" s="221"/>
      <c r="J372" s="221"/>
      <c r="K372" s="221"/>
      <c r="L372" s="221"/>
      <c r="M372" s="221"/>
      <c r="N372" s="221"/>
      <c r="O372" s="221"/>
      <c r="P372" s="221"/>
      <c r="Q372" s="221"/>
      <c r="R372" s="221"/>
      <c r="S372" s="221"/>
      <c r="T372" s="221"/>
      <c r="U372" s="221"/>
      <c r="V372" s="221"/>
      <c r="W372" s="221"/>
      <c r="X372" s="221"/>
      <c r="Y372" s="221"/>
      <c r="Z372" s="221"/>
      <c r="AA372" s="221"/>
      <c r="AB372" s="297"/>
    </row>
    <row r="373">
      <c r="A373" s="134"/>
      <c r="B373" s="134"/>
      <c r="C373" s="68"/>
      <c r="D373" s="68"/>
      <c r="E373" s="68"/>
      <c r="F373" s="68"/>
      <c r="G373" s="68"/>
      <c r="H373" s="68"/>
      <c r="I373" s="221"/>
      <c r="J373" s="221"/>
      <c r="K373" s="221"/>
      <c r="L373" s="221"/>
      <c r="M373" s="221"/>
      <c r="N373" s="221"/>
      <c r="O373" s="221"/>
      <c r="P373" s="221"/>
      <c r="Q373" s="221"/>
      <c r="R373" s="221"/>
      <c r="S373" s="221"/>
      <c r="T373" s="221"/>
      <c r="U373" s="221"/>
      <c r="V373" s="221"/>
      <c r="W373" s="221"/>
      <c r="X373" s="221"/>
      <c r="Y373" s="221"/>
      <c r="Z373" s="221"/>
      <c r="AA373" s="221"/>
      <c r="AB373" s="297"/>
    </row>
    <row r="374">
      <c r="A374" s="134"/>
      <c r="B374" s="134"/>
      <c r="C374" s="68"/>
      <c r="D374" s="68"/>
      <c r="E374" s="68"/>
      <c r="F374" s="68"/>
      <c r="G374" s="68"/>
      <c r="H374" s="68"/>
      <c r="I374" s="221"/>
      <c r="J374" s="221"/>
      <c r="K374" s="221"/>
      <c r="L374" s="221"/>
      <c r="M374" s="221"/>
      <c r="N374" s="221"/>
      <c r="O374" s="221"/>
      <c r="P374" s="221"/>
      <c r="Q374" s="221"/>
      <c r="R374" s="221"/>
      <c r="S374" s="221"/>
      <c r="T374" s="221"/>
      <c r="U374" s="221"/>
      <c r="V374" s="221"/>
      <c r="W374" s="221"/>
      <c r="X374" s="221"/>
      <c r="Y374" s="221"/>
      <c r="Z374" s="221"/>
      <c r="AA374" s="221"/>
      <c r="AB374" s="297"/>
    </row>
    <row r="375">
      <c r="A375" s="134"/>
      <c r="B375" s="134"/>
      <c r="C375" s="68"/>
      <c r="D375" s="68"/>
      <c r="E375" s="68"/>
      <c r="F375" s="68"/>
      <c r="G375" s="68"/>
      <c r="H375" s="68"/>
      <c r="I375" s="221"/>
      <c r="J375" s="221"/>
      <c r="K375" s="221"/>
      <c r="L375" s="221"/>
      <c r="M375" s="221"/>
      <c r="N375" s="221"/>
      <c r="O375" s="221"/>
      <c r="P375" s="221"/>
      <c r="Q375" s="221"/>
      <c r="R375" s="221"/>
      <c r="S375" s="221"/>
      <c r="T375" s="221"/>
      <c r="U375" s="221"/>
      <c r="V375" s="221"/>
      <c r="W375" s="221"/>
      <c r="X375" s="221"/>
      <c r="Y375" s="221"/>
      <c r="Z375" s="221"/>
      <c r="AA375" s="221"/>
      <c r="AB375" s="297"/>
    </row>
    <row r="376">
      <c r="A376" s="134"/>
      <c r="B376" s="134"/>
      <c r="C376" s="68"/>
      <c r="D376" s="68"/>
      <c r="E376" s="68"/>
      <c r="F376" s="68"/>
      <c r="G376" s="68"/>
      <c r="H376" s="68"/>
      <c r="I376" s="221"/>
      <c r="J376" s="221"/>
      <c r="K376" s="221"/>
      <c r="L376" s="221"/>
      <c r="M376" s="221"/>
      <c r="N376" s="221"/>
      <c r="O376" s="221"/>
      <c r="P376" s="221"/>
      <c r="Q376" s="221"/>
      <c r="R376" s="221"/>
      <c r="S376" s="221"/>
      <c r="T376" s="221"/>
      <c r="U376" s="221"/>
      <c r="V376" s="221"/>
      <c r="W376" s="221"/>
      <c r="X376" s="221"/>
      <c r="Y376" s="221"/>
      <c r="Z376" s="221"/>
      <c r="AA376" s="221"/>
      <c r="AB376" s="297"/>
    </row>
    <row r="377">
      <c r="A377" s="134"/>
      <c r="B377" s="134"/>
      <c r="C377" s="68"/>
      <c r="D377" s="68"/>
      <c r="E377" s="68"/>
      <c r="F377" s="68"/>
      <c r="G377" s="68"/>
      <c r="H377" s="68"/>
      <c r="I377" s="221"/>
      <c r="J377" s="221"/>
      <c r="K377" s="221"/>
      <c r="L377" s="221"/>
      <c r="M377" s="221"/>
      <c r="N377" s="221"/>
      <c r="O377" s="221"/>
      <c r="P377" s="221"/>
      <c r="Q377" s="221"/>
      <c r="R377" s="221"/>
      <c r="S377" s="221"/>
      <c r="T377" s="221"/>
      <c r="U377" s="221"/>
      <c r="V377" s="221"/>
      <c r="W377" s="221"/>
      <c r="X377" s="221"/>
      <c r="Y377" s="221"/>
      <c r="Z377" s="221"/>
      <c r="AA377" s="221"/>
      <c r="AB377" s="297"/>
    </row>
    <row r="378">
      <c r="A378" s="134"/>
      <c r="B378" s="134"/>
      <c r="C378" s="68"/>
      <c r="D378" s="68"/>
      <c r="E378" s="68"/>
      <c r="F378" s="68"/>
      <c r="G378" s="68"/>
      <c r="H378" s="68"/>
      <c r="I378" s="221"/>
      <c r="J378" s="221"/>
      <c r="K378" s="221"/>
      <c r="L378" s="221"/>
      <c r="M378" s="221"/>
      <c r="N378" s="221"/>
      <c r="O378" s="221"/>
      <c r="P378" s="221"/>
      <c r="Q378" s="221"/>
      <c r="R378" s="221"/>
      <c r="S378" s="221"/>
      <c r="T378" s="221"/>
      <c r="U378" s="221"/>
      <c r="V378" s="221"/>
      <c r="W378" s="221"/>
      <c r="X378" s="221"/>
      <c r="Y378" s="221"/>
      <c r="Z378" s="221"/>
      <c r="AA378" s="221"/>
      <c r="AB378" s="297"/>
    </row>
    <row r="379">
      <c r="A379" s="134"/>
      <c r="B379" s="134"/>
      <c r="C379" s="68"/>
      <c r="D379" s="68"/>
      <c r="E379" s="68"/>
      <c r="F379" s="68"/>
      <c r="G379" s="68"/>
      <c r="H379" s="68"/>
      <c r="I379" s="221"/>
      <c r="J379" s="221"/>
      <c r="K379" s="221"/>
      <c r="L379" s="221"/>
      <c r="M379" s="221"/>
      <c r="N379" s="221"/>
      <c r="O379" s="221"/>
      <c r="P379" s="221"/>
      <c r="Q379" s="221"/>
      <c r="R379" s="221"/>
      <c r="S379" s="221"/>
      <c r="T379" s="221"/>
      <c r="U379" s="221"/>
      <c r="V379" s="221"/>
      <c r="W379" s="221"/>
      <c r="X379" s="221"/>
      <c r="Y379" s="221"/>
      <c r="Z379" s="221"/>
      <c r="AA379" s="221"/>
      <c r="AB379" s="297"/>
    </row>
    <row r="380">
      <c r="A380" s="134"/>
      <c r="B380" s="134"/>
      <c r="C380" s="68"/>
      <c r="D380" s="68"/>
      <c r="E380" s="68"/>
      <c r="F380" s="68"/>
      <c r="G380" s="68"/>
      <c r="H380" s="68"/>
      <c r="I380" s="221"/>
      <c r="J380" s="221"/>
      <c r="K380" s="221"/>
      <c r="L380" s="221"/>
      <c r="M380" s="221"/>
      <c r="N380" s="221"/>
      <c r="O380" s="221"/>
      <c r="P380" s="221"/>
      <c r="Q380" s="221"/>
      <c r="R380" s="221"/>
      <c r="S380" s="221"/>
      <c r="T380" s="221"/>
      <c r="U380" s="221"/>
      <c r="V380" s="221"/>
      <c r="W380" s="221"/>
      <c r="X380" s="221"/>
      <c r="Y380" s="221"/>
      <c r="Z380" s="221"/>
      <c r="AA380" s="221"/>
      <c r="AB380" s="297"/>
    </row>
    <row r="381">
      <c r="A381" s="134"/>
      <c r="B381" s="134"/>
      <c r="C381" s="68"/>
      <c r="D381" s="68"/>
      <c r="E381" s="68"/>
      <c r="F381" s="68"/>
      <c r="G381" s="68"/>
      <c r="H381" s="68"/>
      <c r="I381" s="221"/>
      <c r="J381" s="221"/>
      <c r="K381" s="221"/>
      <c r="L381" s="221"/>
      <c r="M381" s="221"/>
      <c r="N381" s="221"/>
      <c r="O381" s="221"/>
      <c r="P381" s="221"/>
      <c r="Q381" s="221"/>
      <c r="R381" s="221"/>
      <c r="S381" s="221"/>
      <c r="T381" s="221"/>
      <c r="U381" s="221"/>
      <c r="V381" s="221"/>
      <c r="W381" s="221"/>
      <c r="X381" s="221"/>
      <c r="Y381" s="221"/>
      <c r="Z381" s="221"/>
      <c r="AA381" s="221"/>
      <c r="AB381" s="297"/>
    </row>
    <row r="382">
      <c r="A382" s="134"/>
      <c r="B382" s="134"/>
      <c r="C382" s="68"/>
      <c r="D382" s="68"/>
      <c r="E382" s="68"/>
      <c r="F382" s="68"/>
      <c r="G382" s="68"/>
      <c r="H382" s="68"/>
      <c r="I382" s="221"/>
      <c r="J382" s="221"/>
      <c r="K382" s="221"/>
      <c r="L382" s="221"/>
      <c r="M382" s="221"/>
      <c r="N382" s="221"/>
      <c r="O382" s="221"/>
      <c r="P382" s="221"/>
      <c r="Q382" s="221"/>
      <c r="R382" s="221"/>
      <c r="S382" s="221"/>
      <c r="T382" s="221"/>
      <c r="U382" s="221"/>
      <c r="V382" s="221"/>
      <c r="W382" s="221"/>
      <c r="X382" s="221"/>
      <c r="Y382" s="221"/>
      <c r="Z382" s="221"/>
      <c r="AA382" s="221"/>
      <c r="AB382" s="297"/>
    </row>
    <row r="383">
      <c r="A383" s="134"/>
      <c r="B383" s="134"/>
      <c r="C383" s="68"/>
      <c r="D383" s="68"/>
      <c r="E383" s="68"/>
      <c r="F383" s="68"/>
      <c r="G383" s="68"/>
      <c r="H383" s="68"/>
      <c r="I383" s="221"/>
      <c r="J383" s="221"/>
      <c r="K383" s="221"/>
      <c r="L383" s="221"/>
      <c r="M383" s="221"/>
      <c r="N383" s="221"/>
      <c r="O383" s="221"/>
      <c r="P383" s="221"/>
      <c r="Q383" s="221"/>
      <c r="R383" s="221"/>
      <c r="S383" s="221"/>
      <c r="T383" s="221"/>
      <c r="U383" s="221"/>
      <c r="V383" s="221"/>
      <c r="W383" s="221"/>
      <c r="X383" s="221"/>
      <c r="Y383" s="221"/>
      <c r="Z383" s="221"/>
      <c r="AA383" s="221"/>
      <c r="AB383" s="297"/>
    </row>
    <row r="384">
      <c r="A384" s="134"/>
      <c r="B384" s="134"/>
      <c r="C384" s="68"/>
      <c r="D384" s="68"/>
      <c r="E384" s="68"/>
      <c r="F384" s="68"/>
      <c r="G384" s="68"/>
      <c r="H384" s="68"/>
      <c r="I384" s="221"/>
      <c r="J384" s="221"/>
      <c r="K384" s="221"/>
      <c r="L384" s="221"/>
      <c r="M384" s="221"/>
      <c r="N384" s="221"/>
      <c r="O384" s="221"/>
      <c r="P384" s="221"/>
      <c r="Q384" s="221"/>
      <c r="R384" s="221"/>
      <c r="S384" s="221"/>
      <c r="T384" s="221"/>
      <c r="U384" s="221"/>
      <c r="V384" s="221"/>
      <c r="W384" s="221"/>
      <c r="X384" s="221"/>
      <c r="Y384" s="221"/>
      <c r="Z384" s="221"/>
      <c r="AA384" s="221"/>
      <c r="AB384" s="297"/>
    </row>
    <row r="385">
      <c r="A385" s="134"/>
      <c r="B385" s="134"/>
      <c r="C385" s="68"/>
      <c r="D385" s="68"/>
      <c r="E385" s="68"/>
      <c r="F385" s="68"/>
      <c r="G385" s="68"/>
      <c r="H385" s="68"/>
      <c r="I385" s="221"/>
      <c r="J385" s="221"/>
      <c r="K385" s="221"/>
      <c r="L385" s="221"/>
      <c r="M385" s="221"/>
      <c r="N385" s="221"/>
      <c r="O385" s="221"/>
      <c r="P385" s="221"/>
      <c r="Q385" s="221"/>
      <c r="R385" s="221"/>
      <c r="S385" s="221"/>
      <c r="T385" s="221"/>
      <c r="U385" s="221"/>
      <c r="V385" s="221"/>
      <c r="W385" s="221"/>
      <c r="X385" s="221"/>
      <c r="Y385" s="221"/>
      <c r="Z385" s="221"/>
      <c r="AA385" s="221"/>
      <c r="AB385" s="297"/>
    </row>
    <row r="386">
      <c r="A386" s="134"/>
      <c r="B386" s="134"/>
      <c r="C386" s="68"/>
      <c r="D386" s="68"/>
      <c r="E386" s="68"/>
      <c r="F386" s="68"/>
      <c r="G386" s="68"/>
      <c r="H386" s="68"/>
      <c r="I386" s="221"/>
      <c r="J386" s="221"/>
      <c r="K386" s="221"/>
      <c r="L386" s="221"/>
      <c r="M386" s="221"/>
      <c r="N386" s="221"/>
      <c r="O386" s="221"/>
      <c r="P386" s="221"/>
      <c r="Q386" s="221"/>
      <c r="R386" s="221"/>
      <c r="S386" s="221"/>
      <c r="T386" s="221"/>
      <c r="U386" s="221"/>
      <c r="V386" s="221"/>
      <c r="W386" s="221"/>
      <c r="X386" s="221"/>
      <c r="Y386" s="221"/>
      <c r="Z386" s="221"/>
      <c r="AA386" s="221"/>
      <c r="AB386" s="297"/>
    </row>
    <row r="387">
      <c r="A387" s="134"/>
      <c r="B387" s="134"/>
      <c r="C387" s="68"/>
      <c r="D387" s="68"/>
      <c r="E387" s="68"/>
      <c r="F387" s="68"/>
      <c r="G387" s="68"/>
      <c r="H387" s="68"/>
      <c r="I387" s="221"/>
      <c r="J387" s="221"/>
      <c r="K387" s="221"/>
      <c r="L387" s="221"/>
      <c r="M387" s="221"/>
      <c r="N387" s="221"/>
      <c r="O387" s="221"/>
      <c r="P387" s="221"/>
      <c r="Q387" s="221"/>
      <c r="R387" s="221"/>
      <c r="S387" s="221"/>
      <c r="T387" s="221"/>
      <c r="U387" s="221"/>
      <c r="V387" s="221"/>
      <c r="W387" s="221"/>
      <c r="X387" s="221"/>
      <c r="Y387" s="221"/>
      <c r="Z387" s="221"/>
      <c r="AA387" s="221"/>
      <c r="AB387" s="297"/>
    </row>
    <row r="388">
      <c r="A388" s="134"/>
      <c r="B388" s="134"/>
      <c r="C388" s="68"/>
      <c r="D388" s="68"/>
      <c r="E388" s="68"/>
      <c r="F388" s="68"/>
      <c r="G388" s="68"/>
      <c r="H388" s="68"/>
      <c r="I388" s="221"/>
      <c r="J388" s="221"/>
      <c r="K388" s="221"/>
      <c r="L388" s="221"/>
      <c r="M388" s="221"/>
      <c r="N388" s="221"/>
      <c r="O388" s="221"/>
      <c r="P388" s="221"/>
      <c r="Q388" s="221"/>
      <c r="R388" s="221"/>
      <c r="S388" s="221"/>
      <c r="T388" s="221"/>
      <c r="U388" s="221"/>
      <c r="V388" s="221"/>
      <c r="W388" s="221"/>
      <c r="X388" s="221"/>
      <c r="Y388" s="221"/>
      <c r="Z388" s="221"/>
      <c r="AA388" s="221"/>
      <c r="AB388" s="297"/>
    </row>
    <row r="389">
      <c r="A389" s="134"/>
      <c r="B389" s="134"/>
      <c r="C389" s="68"/>
      <c r="D389" s="68"/>
      <c r="E389" s="68"/>
      <c r="F389" s="68"/>
      <c r="G389" s="68"/>
      <c r="H389" s="68"/>
      <c r="I389" s="221"/>
      <c r="J389" s="221"/>
      <c r="K389" s="221"/>
      <c r="L389" s="221"/>
      <c r="M389" s="221"/>
      <c r="N389" s="221"/>
      <c r="O389" s="221"/>
      <c r="P389" s="221"/>
      <c r="Q389" s="221"/>
      <c r="R389" s="221"/>
      <c r="S389" s="221"/>
      <c r="T389" s="221"/>
      <c r="U389" s="221"/>
      <c r="V389" s="221"/>
      <c r="W389" s="221"/>
      <c r="X389" s="221"/>
      <c r="Y389" s="221"/>
      <c r="Z389" s="221"/>
      <c r="AA389" s="221"/>
      <c r="AB389" s="297"/>
    </row>
    <row r="390">
      <c r="A390" s="134"/>
      <c r="B390" s="134"/>
      <c r="C390" s="68"/>
      <c r="D390" s="68"/>
      <c r="E390" s="68"/>
      <c r="F390" s="68"/>
      <c r="G390" s="68"/>
      <c r="H390" s="68"/>
      <c r="I390" s="221"/>
      <c r="J390" s="221"/>
      <c r="K390" s="221"/>
      <c r="L390" s="221"/>
      <c r="M390" s="221"/>
      <c r="N390" s="221"/>
      <c r="O390" s="221"/>
      <c r="P390" s="221"/>
      <c r="Q390" s="221"/>
      <c r="R390" s="221"/>
      <c r="S390" s="221"/>
      <c r="T390" s="221"/>
      <c r="U390" s="221"/>
      <c r="V390" s="221"/>
      <c r="W390" s="221"/>
      <c r="X390" s="221"/>
      <c r="Y390" s="221"/>
      <c r="Z390" s="221"/>
      <c r="AA390" s="221"/>
      <c r="AB390" s="297"/>
    </row>
    <row r="391">
      <c r="A391" s="134"/>
      <c r="B391" s="134"/>
      <c r="C391" s="68"/>
      <c r="D391" s="68"/>
      <c r="E391" s="68"/>
      <c r="F391" s="68"/>
      <c r="G391" s="68"/>
      <c r="H391" s="68"/>
      <c r="I391" s="221"/>
      <c r="J391" s="221"/>
      <c r="K391" s="221"/>
      <c r="L391" s="221"/>
      <c r="M391" s="221"/>
      <c r="N391" s="221"/>
      <c r="O391" s="221"/>
      <c r="P391" s="221"/>
      <c r="Q391" s="221"/>
      <c r="R391" s="221"/>
      <c r="S391" s="221"/>
      <c r="T391" s="221"/>
      <c r="U391" s="221"/>
      <c r="V391" s="221"/>
      <c r="W391" s="221"/>
      <c r="X391" s="221"/>
      <c r="Y391" s="221"/>
      <c r="Z391" s="221"/>
      <c r="AA391" s="221"/>
      <c r="AB391" s="297"/>
    </row>
    <row r="392">
      <c r="A392" s="134"/>
      <c r="B392" s="134"/>
      <c r="C392" s="68"/>
      <c r="D392" s="68"/>
      <c r="E392" s="68"/>
      <c r="F392" s="68"/>
      <c r="G392" s="68"/>
      <c r="H392" s="68"/>
      <c r="I392" s="221"/>
      <c r="J392" s="221"/>
      <c r="K392" s="221"/>
      <c r="L392" s="221"/>
      <c r="M392" s="221"/>
      <c r="N392" s="221"/>
      <c r="O392" s="221"/>
      <c r="P392" s="221"/>
      <c r="Q392" s="221"/>
      <c r="R392" s="221"/>
      <c r="S392" s="221"/>
      <c r="T392" s="221"/>
      <c r="U392" s="221"/>
      <c r="V392" s="221"/>
      <c r="W392" s="221"/>
      <c r="X392" s="221"/>
      <c r="Y392" s="221"/>
      <c r="Z392" s="221"/>
      <c r="AA392" s="221"/>
      <c r="AB392" s="297"/>
    </row>
    <row r="393">
      <c r="A393" s="134"/>
      <c r="B393" s="134"/>
      <c r="C393" s="68"/>
      <c r="D393" s="68"/>
      <c r="E393" s="68"/>
      <c r="F393" s="68"/>
      <c r="G393" s="68"/>
      <c r="H393" s="68"/>
      <c r="I393" s="221"/>
      <c r="J393" s="221"/>
      <c r="K393" s="221"/>
      <c r="L393" s="221"/>
      <c r="M393" s="221"/>
      <c r="N393" s="221"/>
      <c r="O393" s="221"/>
      <c r="P393" s="221"/>
      <c r="Q393" s="221"/>
      <c r="R393" s="221"/>
      <c r="S393" s="221"/>
      <c r="T393" s="221"/>
      <c r="U393" s="221"/>
      <c r="V393" s="221"/>
      <c r="W393" s="221"/>
      <c r="X393" s="221"/>
      <c r="Y393" s="221"/>
      <c r="Z393" s="221"/>
      <c r="AA393" s="221"/>
      <c r="AB393" s="297"/>
    </row>
    <row r="394">
      <c r="A394" s="134"/>
      <c r="B394" s="134"/>
      <c r="C394" s="68"/>
      <c r="D394" s="68"/>
      <c r="E394" s="68"/>
      <c r="F394" s="68"/>
      <c r="G394" s="68"/>
      <c r="H394" s="68"/>
      <c r="I394" s="221"/>
      <c r="J394" s="221"/>
      <c r="K394" s="221"/>
      <c r="L394" s="221"/>
      <c r="M394" s="221"/>
      <c r="N394" s="221"/>
      <c r="O394" s="221"/>
      <c r="P394" s="221"/>
      <c r="Q394" s="221"/>
      <c r="R394" s="221"/>
      <c r="S394" s="221"/>
      <c r="T394" s="221"/>
      <c r="U394" s="221"/>
      <c r="V394" s="221"/>
      <c r="W394" s="221"/>
      <c r="X394" s="221"/>
      <c r="Y394" s="221"/>
      <c r="Z394" s="221"/>
      <c r="AA394" s="221"/>
      <c r="AB394" s="297"/>
    </row>
    <row r="395">
      <c r="A395" s="134"/>
      <c r="B395" s="134"/>
      <c r="C395" s="68"/>
      <c r="D395" s="68"/>
      <c r="E395" s="68"/>
      <c r="F395" s="68"/>
      <c r="G395" s="68"/>
      <c r="H395" s="68"/>
      <c r="I395" s="221"/>
      <c r="J395" s="221"/>
      <c r="K395" s="221"/>
      <c r="L395" s="221"/>
      <c r="M395" s="221"/>
      <c r="N395" s="221"/>
      <c r="O395" s="221"/>
      <c r="P395" s="221"/>
      <c r="Q395" s="221"/>
      <c r="R395" s="221"/>
      <c r="S395" s="221"/>
      <c r="T395" s="221"/>
      <c r="U395" s="221"/>
      <c r="V395" s="221"/>
      <c r="W395" s="221"/>
      <c r="X395" s="221"/>
      <c r="Y395" s="221"/>
      <c r="Z395" s="221"/>
      <c r="AA395" s="221"/>
      <c r="AB395" s="297"/>
    </row>
    <row r="396">
      <c r="A396" s="134"/>
      <c r="B396" s="134"/>
      <c r="C396" s="68"/>
      <c r="D396" s="68"/>
      <c r="E396" s="68"/>
      <c r="F396" s="68"/>
      <c r="G396" s="68"/>
      <c r="H396" s="68"/>
      <c r="I396" s="221"/>
      <c r="J396" s="221"/>
      <c r="K396" s="221"/>
      <c r="L396" s="221"/>
      <c r="M396" s="221"/>
      <c r="N396" s="221"/>
      <c r="O396" s="221"/>
      <c r="P396" s="221"/>
      <c r="Q396" s="221"/>
      <c r="R396" s="221"/>
      <c r="S396" s="221"/>
      <c r="T396" s="221"/>
      <c r="U396" s="221"/>
      <c r="V396" s="221"/>
      <c r="W396" s="221"/>
      <c r="X396" s="221"/>
      <c r="Y396" s="221"/>
      <c r="Z396" s="221"/>
      <c r="AA396" s="221"/>
      <c r="AB396" s="297"/>
    </row>
    <row r="397">
      <c r="A397" s="134"/>
      <c r="B397" s="134"/>
      <c r="C397" s="68"/>
      <c r="D397" s="68"/>
      <c r="E397" s="68"/>
      <c r="F397" s="68"/>
      <c r="G397" s="68"/>
      <c r="H397" s="68"/>
      <c r="I397" s="221"/>
      <c r="J397" s="221"/>
      <c r="K397" s="221"/>
      <c r="L397" s="221"/>
      <c r="M397" s="221"/>
      <c r="N397" s="221"/>
      <c r="O397" s="221"/>
      <c r="P397" s="221"/>
      <c r="Q397" s="221"/>
      <c r="R397" s="221"/>
      <c r="S397" s="221"/>
      <c r="T397" s="221"/>
      <c r="U397" s="221"/>
      <c r="V397" s="221"/>
      <c r="W397" s="221"/>
      <c r="X397" s="221"/>
      <c r="Y397" s="221"/>
      <c r="Z397" s="221"/>
      <c r="AA397" s="221"/>
      <c r="AB397" s="297"/>
    </row>
    <row r="398">
      <c r="A398" s="134"/>
      <c r="B398" s="134"/>
      <c r="C398" s="68"/>
      <c r="D398" s="68"/>
      <c r="E398" s="68"/>
      <c r="F398" s="68"/>
      <c r="G398" s="68"/>
      <c r="H398" s="68"/>
      <c r="I398" s="221"/>
      <c r="J398" s="221"/>
      <c r="K398" s="221"/>
      <c r="L398" s="221"/>
      <c r="M398" s="221"/>
      <c r="N398" s="221"/>
      <c r="O398" s="221"/>
      <c r="P398" s="221"/>
      <c r="Q398" s="221"/>
      <c r="R398" s="221"/>
      <c r="S398" s="221"/>
      <c r="T398" s="221"/>
      <c r="U398" s="221"/>
      <c r="V398" s="221"/>
      <c r="W398" s="221"/>
      <c r="X398" s="221"/>
      <c r="Y398" s="221"/>
      <c r="Z398" s="221"/>
      <c r="AA398" s="221"/>
      <c r="AB398" s="297"/>
    </row>
    <row r="399">
      <c r="A399" s="134"/>
      <c r="B399" s="134"/>
      <c r="C399" s="68"/>
      <c r="D399" s="68"/>
      <c r="E399" s="68"/>
      <c r="F399" s="68"/>
      <c r="G399" s="68"/>
      <c r="H399" s="68"/>
      <c r="I399" s="221"/>
      <c r="J399" s="221"/>
      <c r="K399" s="221"/>
      <c r="L399" s="221"/>
      <c r="M399" s="221"/>
      <c r="N399" s="221"/>
      <c r="O399" s="221"/>
      <c r="P399" s="221"/>
      <c r="Q399" s="221"/>
      <c r="R399" s="221"/>
      <c r="S399" s="221"/>
      <c r="T399" s="221"/>
      <c r="U399" s="221"/>
      <c r="V399" s="221"/>
      <c r="W399" s="221"/>
      <c r="X399" s="221"/>
      <c r="Y399" s="221"/>
      <c r="Z399" s="221"/>
      <c r="AA399" s="221"/>
      <c r="AB399" s="297"/>
    </row>
    <row r="400">
      <c r="A400" s="134"/>
      <c r="B400" s="134"/>
      <c r="C400" s="68"/>
      <c r="D400" s="68"/>
      <c r="E400" s="68"/>
      <c r="F400" s="68"/>
      <c r="G400" s="68"/>
      <c r="H400" s="68"/>
      <c r="I400" s="221"/>
      <c r="J400" s="221"/>
      <c r="K400" s="221"/>
      <c r="L400" s="221"/>
      <c r="M400" s="221"/>
      <c r="N400" s="221"/>
      <c r="O400" s="221"/>
      <c r="P400" s="221"/>
      <c r="Q400" s="221"/>
      <c r="R400" s="221"/>
      <c r="S400" s="221"/>
      <c r="T400" s="221"/>
      <c r="U400" s="221"/>
      <c r="V400" s="221"/>
      <c r="W400" s="221"/>
      <c r="X400" s="221"/>
      <c r="Y400" s="221"/>
      <c r="Z400" s="221"/>
      <c r="AA400" s="221"/>
      <c r="AB400" s="297"/>
    </row>
    <row r="401">
      <c r="A401" s="134"/>
      <c r="B401" s="134"/>
      <c r="C401" s="68"/>
      <c r="D401" s="68"/>
      <c r="E401" s="68"/>
      <c r="F401" s="68"/>
      <c r="G401" s="68"/>
      <c r="H401" s="68"/>
      <c r="I401" s="221"/>
      <c r="J401" s="221"/>
      <c r="K401" s="221"/>
      <c r="L401" s="221"/>
      <c r="M401" s="221"/>
      <c r="N401" s="221"/>
      <c r="O401" s="221"/>
      <c r="P401" s="221"/>
      <c r="Q401" s="221"/>
      <c r="R401" s="221"/>
      <c r="S401" s="221"/>
      <c r="T401" s="221"/>
      <c r="U401" s="221"/>
      <c r="V401" s="221"/>
      <c r="W401" s="221"/>
      <c r="X401" s="221"/>
      <c r="Y401" s="221"/>
      <c r="Z401" s="221"/>
      <c r="AA401" s="221"/>
      <c r="AB401" s="297"/>
    </row>
    <row r="402">
      <c r="A402" s="134"/>
      <c r="B402" s="134"/>
      <c r="C402" s="68"/>
      <c r="D402" s="68"/>
      <c r="E402" s="68"/>
      <c r="F402" s="68"/>
      <c r="G402" s="68"/>
      <c r="H402" s="68"/>
      <c r="I402" s="221"/>
      <c r="J402" s="221"/>
      <c r="K402" s="221"/>
      <c r="L402" s="221"/>
      <c r="M402" s="221"/>
      <c r="N402" s="221"/>
      <c r="O402" s="221"/>
      <c r="P402" s="221"/>
      <c r="Q402" s="221"/>
      <c r="R402" s="221"/>
      <c r="S402" s="221"/>
      <c r="T402" s="221"/>
      <c r="U402" s="221"/>
      <c r="V402" s="221"/>
      <c r="W402" s="221"/>
      <c r="X402" s="221"/>
      <c r="Y402" s="221"/>
      <c r="Z402" s="221"/>
      <c r="AA402" s="221"/>
      <c r="AB402" s="297"/>
    </row>
    <row r="403">
      <c r="A403" s="134"/>
      <c r="B403" s="134"/>
      <c r="C403" s="68"/>
      <c r="D403" s="68"/>
      <c r="E403" s="68"/>
      <c r="F403" s="68"/>
      <c r="G403" s="68"/>
      <c r="H403" s="68"/>
      <c r="I403" s="221"/>
      <c r="J403" s="221"/>
      <c r="K403" s="221"/>
      <c r="L403" s="221"/>
      <c r="M403" s="221"/>
      <c r="N403" s="221"/>
      <c r="O403" s="221"/>
      <c r="P403" s="221"/>
      <c r="Q403" s="221"/>
      <c r="R403" s="221"/>
      <c r="S403" s="221"/>
      <c r="T403" s="221"/>
      <c r="U403" s="221"/>
      <c r="V403" s="221"/>
      <c r="W403" s="221"/>
      <c r="X403" s="221"/>
      <c r="Y403" s="221"/>
      <c r="Z403" s="221"/>
      <c r="AA403" s="221"/>
      <c r="AB403" s="297"/>
    </row>
    <row r="404">
      <c r="A404" s="134"/>
      <c r="B404" s="134"/>
      <c r="C404" s="68"/>
      <c r="D404" s="68"/>
      <c r="E404" s="68"/>
      <c r="F404" s="68"/>
      <c r="G404" s="68"/>
      <c r="H404" s="68"/>
      <c r="I404" s="221"/>
      <c r="J404" s="221"/>
      <c r="K404" s="221"/>
      <c r="L404" s="221"/>
      <c r="M404" s="221"/>
      <c r="N404" s="221"/>
      <c r="O404" s="221"/>
      <c r="P404" s="221"/>
      <c r="Q404" s="221"/>
      <c r="R404" s="221"/>
      <c r="S404" s="221"/>
      <c r="T404" s="221"/>
      <c r="U404" s="221"/>
      <c r="V404" s="221"/>
      <c r="W404" s="221"/>
      <c r="X404" s="221"/>
      <c r="Y404" s="221"/>
      <c r="Z404" s="221"/>
      <c r="AA404" s="221"/>
      <c r="AB404" s="297"/>
    </row>
    <row r="405">
      <c r="A405" s="134"/>
      <c r="B405" s="134"/>
      <c r="C405" s="68"/>
      <c r="D405" s="68"/>
      <c r="E405" s="68"/>
      <c r="F405" s="68"/>
      <c r="G405" s="68"/>
      <c r="H405" s="68"/>
      <c r="I405" s="221"/>
      <c r="J405" s="221"/>
      <c r="K405" s="221"/>
      <c r="L405" s="221"/>
      <c r="M405" s="221"/>
      <c r="N405" s="221"/>
      <c r="O405" s="221"/>
      <c r="P405" s="221"/>
      <c r="Q405" s="221"/>
      <c r="R405" s="221"/>
      <c r="S405" s="221"/>
      <c r="T405" s="221"/>
      <c r="U405" s="221"/>
      <c r="V405" s="221"/>
      <c r="W405" s="221"/>
      <c r="X405" s="221"/>
      <c r="Y405" s="221"/>
      <c r="Z405" s="221"/>
      <c r="AA405" s="221"/>
      <c r="AB405" s="297"/>
    </row>
    <row r="406">
      <c r="A406" s="134"/>
      <c r="B406" s="134"/>
      <c r="C406" s="68"/>
      <c r="D406" s="68"/>
      <c r="E406" s="68"/>
      <c r="F406" s="68"/>
      <c r="G406" s="68"/>
      <c r="H406" s="68"/>
      <c r="I406" s="221"/>
      <c r="J406" s="221"/>
      <c r="K406" s="221"/>
      <c r="L406" s="221"/>
      <c r="M406" s="221"/>
      <c r="N406" s="221"/>
      <c r="O406" s="221"/>
      <c r="P406" s="221"/>
      <c r="Q406" s="221"/>
      <c r="R406" s="221"/>
      <c r="S406" s="221"/>
      <c r="T406" s="221"/>
      <c r="U406" s="221"/>
      <c r="V406" s="221"/>
      <c r="W406" s="221"/>
      <c r="X406" s="221"/>
      <c r="Y406" s="221"/>
      <c r="Z406" s="221"/>
      <c r="AA406" s="221"/>
      <c r="AB406" s="297"/>
    </row>
    <row r="407">
      <c r="A407" s="134"/>
      <c r="B407" s="134"/>
      <c r="C407" s="68"/>
      <c r="D407" s="68"/>
      <c r="E407" s="68"/>
      <c r="F407" s="68"/>
      <c r="G407" s="68"/>
      <c r="H407" s="68"/>
      <c r="I407" s="221"/>
      <c r="J407" s="221"/>
      <c r="K407" s="221"/>
      <c r="L407" s="221"/>
      <c r="M407" s="221"/>
      <c r="N407" s="221"/>
      <c r="O407" s="221"/>
      <c r="P407" s="221"/>
      <c r="Q407" s="221"/>
      <c r="R407" s="221"/>
      <c r="S407" s="221"/>
      <c r="T407" s="221"/>
      <c r="U407" s="221"/>
      <c r="V407" s="221"/>
      <c r="W407" s="221"/>
      <c r="X407" s="221"/>
      <c r="Y407" s="221"/>
      <c r="Z407" s="221"/>
      <c r="AA407" s="221"/>
      <c r="AB407" s="297"/>
    </row>
    <row r="408">
      <c r="A408" s="134"/>
      <c r="B408" s="134"/>
      <c r="C408" s="68"/>
      <c r="D408" s="68"/>
      <c r="E408" s="68"/>
      <c r="F408" s="68"/>
      <c r="G408" s="68"/>
      <c r="H408" s="68"/>
      <c r="I408" s="221"/>
      <c r="J408" s="221"/>
      <c r="K408" s="221"/>
      <c r="L408" s="221"/>
      <c r="M408" s="221"/>
      <c r="N408" s="221"/>
      <c r="O408" s="221"/>
      <c r="P408" s="221"/>
      <c r="Q408" s="221"/>
      <c r="R408" s="221"/>
      <c r="S408" s="221"/>
      <c r="T408" s="221"/>
      <c r="U408" s="221"/>
      <c r="V408" s="221"/>
      <c r="W408" s="221"/>
      <c r="X408" s="221"/>
      <c r="Y408" s="221"/>
      <c r="Z408" s="221"/>
      <c r="AA408" s="221"/>
      <c r="AB408" s="297"/>
    </row>
    <row r="409">
      <c r="A409" s="134"/>
      <c r="B409" s="134"/>
      <c r="C409" s="68"/>
      <c r="D409" s="68"/>
      <c r="E409" s="68"/>
      <c r="F409" s="68"/>
      <c r="G409" s="68"/>
      <c r="H409" s="68"/>
      <c r="I409" s="221"/>
      <c r="J409" s="221"/>
      <c r="K409" s="221"/>
      <c r="L409" s="221"/>
      <c r="M409" s="221"/>
      <c r="N409" s="221"/>
      <c r="O409" s="221"/>
      <c r="P409" s="221"/>
      <c r="Q409" s="221"/>
      <c r="R409" s="221"/>
      <c r="S409" s="221"/>
      <c r="T409" s="221"/>
      <c r="U409" s="221"/>
      <c r="V409" s="221"/>
      <c r="W409" s="221"/>
      <c r="X409" s="221"/>
      <c r="Y409" s="221"/>
      <c r="Z409" s="221"/>
      <c r="AA409" s="221"/>
      <c r="AB409" s="297"/>
    </row>
    <row r="410">
      <c r="A410" s="134"/>
      <c r="B410" s="134"/>
      <c r="C410" s="68"/>
      <c r="D410" s="68"/>
      <c r="E410" s="68"/>
      <c r="F410" s="68"/>
      <c r="G410" s="68"/>
      <c r="H410" s="68"/>
      <c r="I410" s="221"/>
      <c r="J410" s="221"/>
      <c r="K410" s="221"/>
      <c r="L410" s="221"/>
      <c r="M410" s="221"/>
      <c r="N410" s="221"/>
      <c r="O410" s="221"/>
      <c r="P410" s="221"/>
      <c r="Q410" s="221"/>
      <c r="R410" s="221"/>
      <c r="S410" s="221"/>
      <c r="T410" s="221"/>
      <c r="U410" s="221"/>
      <c r="V410" s="221"/>
      <c r="W410" s="221"/>
      <c r="X410" s="221"/>
      <c r="Y410" s="221"/>
      <c r="Z410" s="221"/>
      <c r="AA410" s="221"/>
      <c r="AB410" s="297"/>
    </row>
    <row r="411">
      <c r="A411" s="134"/>
      <c r="B411" s="134"/>
      <c r="C411" s="68"/>
      <c r="D411" s="68"/>
      <c r="E411" s="68"/>
      <c r="F411" s="68"/>
      <c r="G411" s="68"/>
      <c r="H411" s="68"/>
      <c r="I411" s="221"/>
      <c r="J411" s="221"/>
      <c r="K411" s="221"/>
      <c r="L411" s="221"/>
      <c r="M411" s="221"/>
      <c r="N411" s="221"/>
      <c r="O411" s="221"/>
      <c r="P411" s="221"/>
      <c r="Q411" s="221"/>
      <c r="R411" s="221"/>
      <c r="S411" s="221"/>
      <c r="T411" s="221"/>
      <c r="U411" s="221"/>
      <c r="V411" s="221"/>
      <c r="W411" s="221"/>
      <c r="X411" s="221"/>
      <c r="Y411" s="221"/>
      <c r="Z411" s="221"/>
      <c r="AA411" s="221"/>
      <c r="AB411" s="297"/>
    </row>
    <row r="412">
      <c r="A412" s="134"/>
      <c r="B412" s="134"/>
      <c r="C412" s="68"/>
      <c r="D412" s="68"/>
      <c r="E412" s="68"/>
      <c r="F412" s="68"/>
      <c r="G412" s="68"/>
      <c r="H412" s="68"/>
      <c r="I412" s="221"/>
      <c r="J412" s="221"/>
      <c r="K412" s="221"/>
      <c r="L412" s="221"/>
      <c r="M412" s="221"/>
      <c r="N412" s="221"/>
      <c r="O412" s="221"/>
      <c r="P412" s="221"/>
      <c r="Q412" s="221"/>
      <c r="R412" s="221"/>
      <c r="S412" s="221"/>
      <c r="T412" s="221"/>
      <c r="U412" s="221"/>
      <c r="V412" s="221"/>
      <c r="W412" s="221"/>
      <c r="X412" s="221"/>
      <c r="Y412" s="221"/>
      <c r="Z412" s="221"/>
      <c r="AA412" s="221"/>
      <c r="AB412" s="297"/>
    </row>
    <row r="413">
      <c r="A413" s="134"/>
      <c r="B413" s="134"/>
      <c r="C413" s="68"/>
      <c r="D413" s="68"/>
      <c r="E413" s="68"/>
      <c r="F413" s="68"/>
      <c r="G413" s="68"/>
      <c r="H413" s="68"/>
      <c r="I413" s="221"/>
      <c r="J413" s="221"/>
      <c r="K413" s="221"/>
      <c r="L413" s="221"/>
      <c r="M413" s="221"/>
      <c r="N413" s="221"/>
      <c r="O413" s="221"/>
      <c r="P413" s="221"/>
      <c r="Q413" s="221"/>
      <c r="R413" s="221"/>
      <c r="S413" s="221"/>
      <c r="T413" s="221"/>
      <c r="U413" s="221"/>
      <c r="V413" s="221"/>
      <c r="W413" s="221"/>
      <c r="X413" s="221"/>
      <c r="Y413" s="221"/>
      <c r="Z413" s="221"/>
      <c r="AA413" s="221"/>
      <c r="AB413" s="297"/>
    </row>
    <row r="414">
      <c r="A414" s="134"/>
      <c r="B414" s="134"/>
      <c r="C414" s="68"/>
      <c r="D414" s="68"/>
      <c r="E414" s="68"/>
      <c r="F414" s="68"/>
      <c r="G414" s="68"/>
      <c r="H414" s="68"/>
      <c r="I414" s="221"/>
      <c r="J414" s="221"/>
      <c r="K414" s="221"/>
      <c r="L414" s="221"/>
      <c r="M414" s="221"/>
      <c r="N414" s="221"/>
      <c r="O414" s="221"/>
      <c r="P414" s="221"/>
      <c r="Q414" s="221"/>
      <c r="R414" s="221"/>
      <c r="S414" s="221"/>
      <c r="T414" s="221"/>
      <c r="U414" s="221"/>
      <c r="V414" s="221"/>
      <c r="W414" s="221"/>
      <c r="X414" s="221"/>
      <c r="Y414" s="221"/>
      <c r="Z414" s="221"/>
      <c r="AA414" s="221"/>
      <c r="AB414" s="297"/>
    </row>
    <row r="415">
      <c r="A415" s="134"/>
      <c r="B415" s="134"/>
      <c r="C415" s="68"/>
      <c r="D415" s="68"/>
      <c r="E415" s="68"/>
      <c r="F415" s="68"/>
      <c r="G415" s="68"/>
      <c r="H415" s="68"/>
      <c r="I415" s="221"/>
      <c r="J415" s="221"/>
      <c r="K415" s="221"/>
      <c r="L415" s="221"/>
      <c r="M415" s="221"/>
      <c r="N415" s="221"/>
      <c r="O415" s="221"/>
      <c r="P415" s="221"/>
      <c r="Q415" s="221"/>
      <c r="R415" s="221"/>
      <c r="S415" s="221"/>
      <c r="T415" s="221"/>
      <c r="U415" s="221"/>
      <c r="V415" s="221"/>
      <c r="W415" s="221"/>
      <c r="X415" s="221"/>
      <c r="Y415" s="221"/>
      <c r="Z415" s="221"/>
      <c r="AA415" s="221"/>
      <c r="AB415" s="297"/>
    </row>
    <row r="416">
      <c r="A416" s="134"/>
      <c r="B416" s="134"/>
      <c r="C416" s="68"/>
      <c r="D416" s="68"/>
      <c r="E416" s="68"/>
      <c r="F416" s="68"/>
      <c r="G416" s="68"/>
      <c r="H416" s="68"/>
      <c r="I416" s="221"/>
      <c r="J416" s="221"/>
      <c r="K416" s="221"/>
      <c r="L416" s="221"/>
      <c r="M416" s="221"/>
      <c r="N416" s="221"/>
      <c r="O416" s="221"/>
      <c r="P416" s="221"/>
      <c r="Q416" s="221"/>
      <c r="R416" s="221"/>
      <c r="S416" s="221"/>
      <c r="T416" s="221"/>
      <c r="U416" s="221"/>
      <c r="V416" s="221"/>
      <c r="W416" s="221"/>
      <c r="X416" s="221"/>
      <c r="Y416" s="221"/>
      <c r="Z416" s="221"/>
      <c r="AA416" s="221"/>
      <c r="AB416" s="297"/>
    </row>
    <row r="417">
      <c r="A417" s="134"/>
      <c r="B417" s="134"/>
      <c r="C417" s="68"/>
      <c r="D417" s="68"/>
      <c r="E417" s="68"/>
      <c r="F417" s="68"/>
      <c r="G417" s="68"/>
      <c r="H417" s="68"/>
      <c r="I417" s="221"/>
      <c r="J417" s="221"/>
      <c r="K417" s="221"/>
      <c r="L417" s="221"/>
      <c r="M417" s="221"/>
      <c r="N417" s="221"/>
      <c r="O417" s="221"/>
      <c r="P417" s="221"/>
      <c r="Q417" s="221"/>
      <c r="R417" s="221"/>
      <c r="S417" s="221"/>
      <c r="T417" s="221"/>
      <c r="U417" s="221"/>
      <c r="V417" s="221"/>
      <c r="W417" s="221"/>
      <c r="X417" s="221"/>
      <c r="Y417" s="221"/>
      <c r="Z417" s="221"/>
      <c r="AA417" s="221"/>
      <c r="AB417" s="297"/>
    </row>
    <row r="418">
      <c r="A418" s="134"/>
      <c r="B418" s="134"/>
      <c r="C418" s="68"/>
      <c r="D418" s="68"/>
      <c r="E418" s="68"/>
      <c r="F418" s="68"/>
      <c r="G418" s="68"/>
      <c r="H418" s="68"/>
      <c r="I418" s="221"/>
      <c r="J418" s="221"/>
      <c r="K418" s="221"/>
      <c r="L418" s="221"/>
      <c r="M418" s="221"/>
      <c r="N418" s="221"/>
      <c r="O418" s="221"/>
      <c r="P418" s="221"/>
      <c r="Q418" s="221"/>
      <c r="R418" s="221"/>
      <c r="S418" s="221"/>
      <c r="T418" s="221"/>
      <c r="U418" s="221"/>
      <c r="V418" s="221"/>
      <c r="W418" s="221"/>
      <c r="X418" s="221"/>
      <c r="Y418" s="221"/>
      <c r="Z418" s="221"/>
      <c r="AA418" s="221"/>
      <c r="AB418" s="297"/>
    </row>
    <row r="419">
      <c r="A419" s="134"/>
      <c r="B419" s="134"/>
      <c r="C419" s="68"/>
      <c r="D419" s="68"/>
      <c r="E419" s="68"/>
      <c r="F419" s="68"/>
      <c r="G419" s="68"/>
      <c r="H419" s="68"/>
      <c r="I419" s="221"/>
      <c r="J419" s="221"/>
      <c r="K419" s="221"/>
      <c r="L419" s="221"/>
      <c r="M419" s="221"/>
      <c r="N419" s="221"/>
      <c r="O419" s="221"/>
      <c r="P419" s="221"/>
      <c r="Q419" s="221"/>
      <c r="R419" s="221"/>
      <c r="S419" s="221"/>
      <c r="T419" s="221"/>
      <c r="U419" s="221"/>
      <c r="V419" s="221"/>
      <c r="W419" s="221"/>
      <c r="X419" s="221"/>
      <c r="Y419" s="221"/>
      <c r="Z419" s="221"/>
      <c r="AA419" s="221"/>
      <c r="AB419" s="297"/>
    </row>
    <row r="420">
      <c r="A420" s="134"/>
      <c r="B420" s="134"/>
      <c r="C420" s="68"/>
      <c r="D420" s="68"/>
      <c r="E420" s="68"/>
      <c r="F420" s="68"/>
      <c r="G420" s="68"/>
      <c r="H420" s="68"/>
      <c r="I420" s="221"/>
      <c r="J420" s="221"/>
      <c r="K420" s="221"/>
      <c r="L420" s="221"/>
      <c r="M420" s="221"/>
      <c r="N420" s="221"/>
      <c r="O420" s="221"/>
      <c r="P420" s="221"/>
      <c r="Q420" s="221"/>
      <c r="R420" s="221"/>
      <c r="S420" s="221"/>
      <c r="T420" s="221"/>
      <c r="U420" s="221"/>
      <c r="V420" s="221"/>
      <c r="W420" s="221"/>
      <c r="X420" s="221"/>
      <c r="Y420" s="221"/>
      <c r="Z420" s="221"/>
      <c r="AA420" s="221"/>
      <c r="AB420" s="297"/>
    </row>
    <row r="421">
      <c r="A421" s="134"/>
      <c r="B421" s="134"/>
      <c r="C421" s="68"/>
      <c r="D421" s="68"/>
      <c r="E421" s="68"/>
      <c r="F421" s="68"/>
      <c r="G421" s="68"/>
      <c r="H421" s="68"/>
      <c r="I421" s="221"/>
      <c r="J421" s="221"/>
      <c r="K421" s="221"/>
      <c r="L421" s="221"/>
      <c r="M421" s="221"/>
      <c r="N421" s="221"/>
      <c r="O421" s="221"/>
      <c r="P421" s="221"/>
      <c r="Q421" s="221"/>
      <c r="R421" s="221"/>
      <c r="S421" s="221"/>
      <c r="T421" s="221"/>
      <c r="U421" s="221"/>
      <c r="V421" s="221"/>
      <c r="W421" s="221"/>
      <c r="X421" s="221"/>
      <c r="Y421" s="221"/>
      <c r="Z421" s="221"/>
      <c r="AA421" s="221"/>
      <c r="AB421" s="297"/>
    </row>
    <row r="422">
      <c r="A422" s="134"/>
      <c r="B422" s="134"/>
      <c r="C422" s="68"/>
      <c r="D422" s="68"/>
      <c r="E422" s="68"/>
      <c r="F422" s="68"/>
      <c r="G422" s="68"/>
      <c r="H422" s="68"/>
      <c r="I422" s="221"/>
      <c r="J422" s="221"/>
      <c r="K422" s="221"/>
      <c r="L422" s="221"/>
      <c r="M422" s="221"/>
      <c r="N422" s="221"/>
      <c r="O422" s="221"/>
      <c r="P422" s="221"/>
      <c r="Q422" s="221"/>
      <c r="R422" s="221"/>
      <c r="S422" s="221"/>
      <c r="T422" s="221"/>
      <c r="U422" s="221"/>
      <c r="V422" s="221"/>
      <c r="W422" s="221"/>
      <c r="X422" s="221"/>
      <c r="Y422" s="221"/>
      <c r="Z422" s="221"/>
      <c r="AA422" s="221"/>
      <c r="AB422" s="297"/>
    </row>
    <row r="423">
      <c r="A423" s="134"/>
      <c r="B423" s="134"/>
      <c r="C423" s="68"/>
      <c r="D423" s="68"/>
      <c r="E423" s="68"/>
      <c r="F423" s="68"/>
      <c r="G423" s="68"/>
      <c r="H423" s="68"/>
      <c r="I423" s="221"/>
      <c r="J423" s="221"/>
      <c r="K423" s="221"/>
      <c r="L423" s="221"/>
      <c r="M423" s="221"/>
      <c r="N423" s="221"/>
      <c r="O423" s="221"/>
      <c r="P423" s="221"/>
      <c r="Q423" s="221"/>
      <c r="R423" s="221"/>
      <c r="S423" s="221"/>
      <c r="T423" s="221"/>
      <c r="U423" s="221"/>
      <c r="V423" s="221"/>
      <c r="W423" s="221"/>
      <c r="X423" s="221"/>
      <c r="Y423" s="221"/>
      <c r="Z423" s="221"/>
      <c r="AA423" s="221"/>
      <c r="AB423" s="297"/>
    </row>
    <row r="424">
      <c r="A424" s="134"/>
      <c r="B424" s="134"/>
      <c r="C424" s="68"/>
      <c r="D424" s="68"/>
      <c r="E424" s="68"/>
      <c r="F424" s="68"/>
      <c r="G424" s="68"/>
      <c r="H424" s="68"/>
      <c r="I424" s="221"/>
      <c r="J424" s="221"/>
      <c r="K424" s="221"/>
      <c r="L424" s="221"/>
      <c r="M424" s="221"/>
      <c r="N424" s="221"/>
      <c r="O424" s="221"/>
      <c r="P424" s="221"/>
      <c r="Q424" s="221"/>
      <c r="R424" s="221"/>
      <c r="S424" s="221"/>
      <c r="T424" s="221"/>
      <c r="U424" s="221"/>
      <c r="V424" s="221"/>
      <c r="W424" s="221"/>
      <c r="X424" s="221"/>
      <c r="Y424" s="221"/>
      <c r="Z424" s="221"/>
      <c r="AA424" s="221"/>
      <c r="AB424" s="297"/>
    </row>
    <row r="425">
      <c r="A425" s="134"/>
      <c r="B425" s="134"/>
      <c r="C425" s="68"/>
      <c r="D425" s="68"/>
      <c r="E425" s="68"/>
      <c r="F425" s="68"/>
      <c r="G425" s="68"/>
      <c r="H425" s="68"/>
      <c r="I425" s="221"/>
      <c r="J425" s="221"/>
      <c r="K425" s="221"/>
      <c r="L425" s="221"/>
      <c r="M425" s="221"/>
      <c r="N425" s="221"/>
      <c r="O425" s="221"/>
      <c r="P425" s="221"/>
      <c r="Q425" s="221"/>
      <c r="R425" s="221"/>
      <c r="S425" s="221"/>
      <c r="T425" s="221"/>
      <c r="U425" s="221"/>
      <c r="V425" s="221"/>
      <c r="W425" s="221"/>
      <c r="X425" s="221"/>
      <c r="Y425" s="221"/>
      <c r="Z425" s="221"/>
      <c r="AA425" s="221"/>
      <c r="AB425" s="297"/>
    </row>
    <row r="426">
      <c r="A426" s="134"/>
      <c r="B426" s="134"/>
      <c r="C426" s="68"/>
      <c r="D426" s="68"/>
      <c r="E426" s="68"/>
      <c r="F426" s="68"/>
      <c r="G426" s="68"/>
      <c r="H426" s="68"/>
      <c r="I426" s="221"/>
      <c r="J426" s="221"/>
      <c r="K426" s="221"/>
      <c r="L426" s="221"/>
      <c r="M426" s="221"/>
      <c r="N426" s="221"/>
      <c r="O426" s="221"/>
      <c r="P426" s="221"/>
      <c r="Q426" s="221"/>
      <c r="R426" s="221"/>
      <c r="S426" s="221"/>
      <c r="T426" s="221"/>
      <c r="U426" s="221"/>
      <c r="V426" s="221"/>
      <c r="W426" s="221"/>
      <c r="X426" s="221"/>
      <c r="Y426" s="221"/>
      <c r="Z426" s="221"/>
      <c r="AA426" s="221"/>
      <c r="AB426" s="297"/>
    </row>
    <row r="427">
      <c r="A427" s="134"/>
      <c r="B427" s="134"/>
      <c r="C427" s="68"/>
      <c r="D427" s="68"/>
      <c r="E427" s="68"/>
      <c r="F427" s="68"/>
      <c r="G427" s="68"/>
      <c r="H427" s="68"/>
      <c r="I427" s="221"/>
      <c r="J427" s="221"/>
      <c r="K427" s="221"/>
      <c r="L427" s="221"/>
      <c r="M427" s="221"/>
      <c r="N427" s="221"/>
      <c r="O427" s="221"/>
      <c r="P427" s="221"/>
      <c r="Q427" s="221"/>
      <c r="R427" s="221"/>
      <c r="S427" s="221"/>
      <c r="T427" s="221"/>
      <c r="U427" s="221"/>
      <c r="V427" s="221"/>
      <c r="W427" s="221"/>
      <c r="X427" s="221"/>
      <c r="Y427" s="221"/>
      <c r="Z427" s="221"/>
      <c r="AA427" s="221"/>
      <c r="AB427" s="297"/>
    </row>
    <row r="428">
      <c r="A428" s="134"/>
      <c r="B428" s="134"/>
      <c r="C428" s="68"/>
      <c r="D428" s="68"/>
      <c r="E428" s="68"/>
      <c r="F428" s="68"/>
      <c r="G428" s="68"/>
      <c r="H428" s="68"/>
      <c r="I428" s="221"/>
      <c r="J428" s="221"/>
      <c r="K428" s="221"/>
      <c r="L428" s="221"/>
      <c r="M428" s="221"/>
      <c r="N428" s="221"/>
      <c r="O428" s="221"/>
      <c r="P428" s="221"/>
      <c r="Q428" s="221"/>
      <c r="R428" s="221"/>
      <c r="S428" s="221"/>
      <c r="T428" s="221"/>
      <c r="U428" s="221"/>
      <c r="V428" s="221"/>
      <c r="W428" s="221"/>
      <c r="X428" s="221"/>
      <c r="Y428" s="221"/>
      <c r="Z428" s="221"/>
      <c r="AA428" s="221"/>
      <c r="AB428" s="297"/>
    </row>
    <row r="429">
      <c r="A429" s="134"/>
      <c r="B429" s="134"/>
      <c r="C429" s="68"/>
      <c r="D429" s="68"/>
      <c r="E429" s="68"/>
      <c r="F429" s="68"/>
      <c r="G429" s="68"/>
      <c r="H429" s="68"/>
      <c r="I429" s="221"/>
      <c r="J429" s="221"/>
      <c r="K429" s="221"/>
      <c r="L429" s="221"/>
      <c r="M429" s="221"/>
      <c r="N429" s="221"/>
      <c r="O429" s="221"/>
      <c r="P429" s="221"/>
      <c r="Q429" s="221"/>
      <c r="R429" s="221"/>
      <c r="S429" s="221"/>
      <c r="T429" s="221"/>
      <c r="U429" s="221"/>
      <c r="V429" s="221"/>
      <c r="W429" s="221"/>
      <c r="X429" s="221"/>
      <c r="Y429" s="221"/>
      <c r="Z429" s="221"/>
      <c r="AA429" s="221"/>
      <c r="AB429" s="297"/>
    </row>
    <row r="430">
      <c r="A430" s="134"/>
      <c r="B430" s="134"/>
      <c r="C430" s="68"/>
      <c r="D430" s="68"/>
      <c r="E430" s="68"/>
      <c r="F430" s="68"/>
      <c r="G430" s="68"/>
      <c r="H430" s="68"/>
      <c r="I430" s="221"/>
      <c r="J430" s="221"/>
      <c r="K430" s="221"/>
      <c r="L430" s="221"/>
      <c r="M430" s="221"/>
      <c r="N430" s="221"/>
      <c r="O430" s="221"/>
      <c r="P430" s="221"/>
      <c r="Q430" s="221"/>
      <c r="R430" s="221"/>
      <c r="S430" s="221"/>
      <c r="T430" s="221"/>
      <c r="U430" s="221"/>
      <c r="V430" s="221"/>
      <c r="W430" s="221"/>
      <c r="X430" s="221"/>
      <c r="Y430" s="221"/>
      <c r="Z430" s="221"/>
      <c r="AA430" s="221"/>
      <c r="AB430" s="297"/>
    </row>
    <row r="431">
      <c r="A431" s="134"/>
      <c r="B431" s="134"/>
      <c r="C431" s="68"/>
      <c r="D431" s="68"/>
      <c r="E431" s="68"/>
      <c r="F431" s="68"/>
      <c r="G431" s="68"/>
      <c r="H431" s="68"/>
      <c r="I431" s="221"/>
      <c r="J431" s="221"/>
      <c r="K431" s="221"/>
      <c r="L431" s="221"/>
      <c r="M431" s="221"/>
      <c r="N431" s="221"/>
      <c r="O431" s="221"/>
      <c r="P431" s="221"/>
      <c r="Q431" s="221"/>
      <c r="R431" s="221"/>
      <c r="S431" s="221"/>
      <c r="T431" s="221"/>
      <c r="U431" s="221"/>
      <c r="V431" s="221"/>
      <c r="W431" s="221"/>
      <c r="X431" s="221"/>
      <c r="Y431" s="221"/>
      <c r="Z431" s="221"/>
      <c r="AA431" s="221"/>
      <c r="AB431" s="297"/>
    </row>
    <row r="432">
      <c r="A432" s="134"/>
      <c r="B432" s="134"/>
      <c r="C432" s="68"/>
      <c r="D432" s="68"/>
      <c r="E432" s="68"/>
      <c r="F432" s="68"/>
      <c r="G432" s="68"/>
      <c r="H432" s="68"/>
      <c r="I432" s="221"/>
      <c r="J432" s="221"/>
      <c r="K432" s="221"/>
      <c r="L432" s="221"/>
      <c r="M432" s="221"/>
      <c r="N432" s="221"/>
      <c r="O432" s="221"/>
      <c r="P432" s="221"/>
      <c r="Q432" s="221"/>
      <c r="R432" s="221"/>
      <c r="S432" s="221"/>
      <c r="T432" s="221"/>
      <c r="U432" s="221"/>
      <c r="V432" s="221"/>
      <c r="W432" s="221"/>
      <c r="X432" s="221"/>
      <c r="Y432" s="221"/>
      <c r="Z432" s="221"/>
      <c r="AA432" s="221"/>
      <c r="AB432" s="297"/>
    </row>
    <row r="433">
      <c r="A433" s="134"/>
      <c r="B433" s="134"/>
      <c r="C433" s="68"/>
      <c r="D433" s="68"/>
      <c r="E433" s="68"/>
      <c r="F433" s="68"/>
      <c r="G433" s="68"/>
      <c r="H433" s="68"/>
      <c r="I433" s="221"/>
      <c r="J433" s="221"/>
      <c r="K433" s="221"/>
      <c r="L433" s="221"/>
      <c r="M433" s="221"/>
      <c r="N433" s="221"/>
      <c r="O433" s="221"/>
      <c r="P433" s="221"/>
      <c r="Q433" s="221"/>
      <c r="R433" s="221"/>
      <c r="S433" s="221"/>
      <c r="T433" s="221"/>
      <c r="U433" s="221"/>
      <c r="V433" s="221"/>
      <c r="W433" s="221"/>
      <c r="X433" s="221"/>
      <c r="Y433" s="221"/>
      <c r="Z433" s="221"/>
      <c r="AA433" s="221"/>
      <c r="AB433" s="297"/>
    </row>
    <row r="434">
      <c r="A434" s="134"/>
      <c r="B434" s="134"/>
      <c r="C434" s="68"/>
      <c r="D434" s="68"/>
      <c r="E434" s="68"/>
      <c r="F434" s="68"/>
      <c r="G434" s="68"/>
      <c r="H434" s="68"/>
      <c r="I434" s="221"/>
      <c r="J434" s="221"/>
      <c r="K434" s="221"/>
      <c r="L434" s="221"/>
      <c r="M434" s="221"/>
      <c r="N434" s="221"/>
      <c r="O434" s="221"/>
      <c r="P434" s="221"/>
      <c r="Q434" s="221"/>
      <c r="R434" s="221"/>
      <c r="S434" s="221"/>
      <c r="T434" s="221"/>
      <c r="U434" s="221"/>
      <c r="V434" s="221"/>
      <c r="W434" s="221"/>
      <c r="X434" s="221"/>
      <c r="Y434" s="221"/>
      <c r="Z434" s="221"/>
      <c r="AA434" s="221"/>
      <c r="AB434" s="297"/>
    </row>
    <row r="435">
      <c r="A435" s="134"/>
      <c r="B435" s="134"/>
      <c r="C435" s="68"/>
      <c r="D435" s="68"/>
      <c r="E435" s="68"/>
      <c r="F435" s="68"/>
      <c r="G435" s="68"/>
      <c r="H435" s="68"/>
      <c r="I435" s="221"/>
      <c r="J435" s="221"/>
      <c r="K435" s="221"/>
      <c r="L435" s="221"/>
      <c r="M435" s="221"/>
      <c r="N435" s="221"/>
      <c r="O435" s="221"/>
      <c r="P435" s="221"/>
      <c r="Q435" s="221"/>
      <c r="R435" s="221"/>
      <c r="S435" s="221"/>
      <c r="T435" s="221"/>
      <c r="U435" s="221"/>
      <c r="V435" s="221"/>
      <c r="W435" s="221"/>
      <c r="X435" s="221"/>
      <c r="Y435" s="221"/>
      <c r="Z435" s="221"/>
      <c r="AA435" s="221"/>
      <c r="AB435" s="297"/>
    </row>
    <row r="436">
      <c r="A436" s="134"/>
      <c r="B436" s="134"/>
      <c r="C436" s="68"/>
      <c r="D436" s="68"/>
      <c r="E436" s="68"/>
      <c r="F436" s="68"/>
      <c r="G436" s="68"/>
      <c r="H436" s="68"/>
      <c r="I436" s="221"/>
      <c r="J436" s="221"/>
      <c r="K436" s="221"/>
      <c r="L436" s="221"/>
      <c r="M436" s="221"/>
      <c r="N436" s="221"/>
      <c r="O436" s="221"/>
      <c r="P436" s="221"/>
      <c r="Q436" s="221"/>
      <c r="R436" s="221"/>
      <c r="S436" s="221"/>
      <c r="T436" s="221"/>
      <c r="U436" s="221"/>
      <c r="V436" s="221"/>
      <c r="W436" s="221"/>
      <c r="X436" s="221"/>
      <c r="Y436" s="221"/>
      <c r="Z436" s="221"/>
      <c r="AA436" s="221"/>
      <c r="AB436" s="297"/>
    </row>
    <row r="437">
      <c r="A437" s="134"/>
      <c r="B437" s="134"/>
      <c r="C437" s="68"/>
      <c r="D437" s="68"/>
      <c r="E437" s="68"/>
      <c r="F437" s="68"/>
      <c r="G437" s="68"/>
      <c r="H437" s="68"/>
      <c r="I437" s="221"/>
      <c r="J437" s="221"/>
      <c r="K437" s="221"/>
      <c r="L437" s="221"/>
      <c r="M437" s="221"/>
      <c r="N437" s="221"/>
      <c r="O437" s="221"/>
      <c r="P437" s="221"/>
      <c r="Q437" s="221"/>
      <c r="R437" s="221"/>
      <c r="S437" s="221"/>
      <c r="T437" s="221"/>
      <c r="U437" s="221"/>
      <c r="V437" s="221"/>
      <c r="W437" s="221"/>
      <c r="X437" s="221"/>
      <c r="Y437" s="221"/>
      <c r="Z437" s="221"/>
      <c r="AA437" s="221"/>
      <c r="AB437" s="297"/>
    </row>
    <row r="438">
      <c r="A438" s="134"/>
      <c r="B438" s="134"/>
      <c r="C438" s="68"/>
      <c r="D438" s="68"/>
      <c r="E438" s="68"/>
      <c r="F438" s="68"/>
      <c r="G438" s="68"/>
      <c r="H438" s="68"/>
      <c r="I438" s="221"/>
      <c r="J438" s="221"/>
      <c r="K438" s="221"/>
      <c r="L438" s="221"/>
      <c r="M438" s="221"/>
      <c r="N438" s="221"/>
      <c r="O438" s="221"/>
      <c r="P438" s="221"/>
      <c r="Q438" s="221"/>
      <c r="R438" s="221"/>
      <c r="S438" s="221"/>
      <c r="T438" s="221"/>
      <c r="U438" s="221"/>
      <c r="V438" s="221"/>
      <c r="W438" s="221"/>
      <c r="X438" s="221"/>
      <c r="Y438" s="221"/>
      <c r="Z438" s="221"/>
      <c r="AA438" s="221"/>
      <c r="AB438" s="297"/>
    </row>
    <row r="439">
      <c r="A439" s="134"/>
      <c r="B439" s="134"/>
      <c r="C439" s="68"/>
      <c r="D439" s="68"/>
      <c r="E439" s="68"/>
      <c r="F439" s="68"/>
      <c r="G439" s="68"/>
      <c r="H439" s="68"/>
      <c r="I439" s="221"/>
      <c r="J439" s="221"/>
      <c r="K439" s="221"/>
      <c r="L439" s="221"/>
      <c r="M439" s="221"/>
      <c r="N439" s="221"/>
      <c r="O439" s="221"/>
      <c r="P439" s="221"/>
      <c r="Q439" s="221"/>
      <c r="R439" s="221"/>
      <c r="S439" s="221"/>
      <c r="T439" s="221"/>
      <c r="U439" s="221"/>
      <c r="V439" s="221"/>
      <c r="W439" s="221"/>
      <c r="X439" s="221"/>
      <c r="Y439" s="221"/>
      <c r="Z439" s="221"/>
      <c r="AA439" s="221"/>
      <c r="AB439" s="297"/>
    </row>
    <row r="440">
      <c r="A440" s="134"/>
      <c r="B440" s="134"/>
      <c r="C440" s="68"/>
      <c r="D440" s="68"/>
      <c r="E440" s="68"/>
      <c r="F440" s="68"/>
      <c r="G440" s="68"/>
      <c r="H440" s="68"/>
      <c r="I440" s="221"/>
      <c r="J440" s="221"/>
      <c r="K440" s="221"/>
      <c r="L440" s="221"/>
      <c r="M440" s="221"/>
      <c r="N440" s="221"/>
      <c r="O440" s="221"/>
      <c r="P440" s="221"/>
      <c r="Q440" s="221"/>
      <c r="R440" s="221"/>
      <c r="S440" s="221"/>
      <c r="T440" s="221"/>
      <c r="U440" s="221"/>
      <c r="V440" s="221"/>
      <c r="W440" s="221"/>
      <c r="X440" s="221"/>
      <c r="Y440" s="221"/>
      <c r="Z440" s="221"/>
      <c r="AA440" s="221"/>
      <c r="AB440" s="297"/>
    </row>
    <row r="441">
      <c r="A441" s="134"/>
      <c r="B441" s="134"/>
      <c r="C441" s="68"/>
      <c r="D441" s="68"/>
      <c r="E441" s="68"/>
      <c r="F441" s="68"/>
      <c r="G441" s="68"/>
      <c r="H441" s="68"/>
      <c r="I441" s="221"/>
      <c r="J441" s="221"/>
      <c r="K441" s="221"/>
      <c r="L441" s="221"/>
      <c r="M441" s="221"/>
      <c r="N441" s="221"/>
      <c r="O441" s="221"/>
      <c r="P441" s="221"/>
      <c r="Q441" s="221"/>
      <c r="R441" s="221"/>
      <c r="S441" s="221"/>
      <c r="T441" s="221"/>
      <c r="U441" s="221"/>
      <c r="V441" s="221"/>
      <c r="W441" s="221"/>
      <c r="X441" s="221"/>
      <c r="Y441" s="221"/>
      <c r="Z441" s="221"/>
      <c r="AA441" s="221"/>
      <c r="AB441" s="297"/>
    </row>
    <row r="442">
      <c r="A442" s="134"/>
      <c r="B442" s="134"/>
      <c r="C442" s="68"/>
      <c r="D442" s="68"/>
      <c r="E442" s="68"/>
      <c r="F442" s="68"/>
      <c r="G442" s="68"/>
      <c r="H442" s="68"/>
      <c r="I442" s="221"/>
      <c r="J442" s="221"/>
      <c r="K442" s="221"/>
      <c r="L442" s="221"/>
      <c r="M442" s="221"/>
      <c r="N442" s="221"/>
      <c r="O442" s="221"/>
      <c r="P442" s="221"/>
      <c r="Q442" s="221"/>
      <c r="R442" s="221"/>
      <c r="S442" s="221"/>
      <c r="T442" s="221"/>
      <c r="U442" s="221"/>
      <c r="V442" s="221"/>
      <c r="W442" s="221"/>
      <c r="X442" s="221"/>
      <c r="Y442" s="221"/>
      <c r="Z442" s="221"/>
      <c r="AA442" s="221"/>
      <c r="AB442" s="297"/>
    </row>
    <row r="443">
      <c r="A443" s="134"/>
      <c r="B443" s="134"/>
      <c r="C443" s="68"/>
      <c r="D443" s="68"/>
      <c r="E443" s="68"/>
      <c r="F443" s="68"/>
      <c r="G443" s="68"/>
      <c r="H443" s="68"/>
      <c r="I443" s="221"/>
      <c r="J443" s="221"/>
      <c r="K443" s="221"/>
      <c r="L443" s="221"/>
      <c r="M443" s="221"/>
      <c r="N443" s="221"/>
      <c r="O443" s="221"/>
      <c r="P443" s="221"/>
      <c r="Q443" s="221"/>
      <c r="R443" s="221"/>
      <c r="S443" s="221"/>
      <c r="T443" s="221"/>
      <c r="U443" s="221"/>
      <c r="V443" s="221"/>
      <c r="W443" s="221"/>
      <c r="X443" s="221"/>
      <c r="Y443" s="221"/>
      <c r="Z443" s="221"/>
      <c r="AA443" s="221"/>
      <c r="AB443" s="297"/>
    </row>
    <row r="444">
      <c r="A444" s="134"/>
      <c r="B444" s="134"/>
      <c r="C444" s="68"/>
      <c r="D444" s="68"/>
      <c r="E444" s="68"/>
      <c r="F444" s="68"/>
      <c r="G444" s="68"/>
      <c r="H444" s="68"/>
      <c r="I444" s="221"/>
      <c r="J444" s="221"/>
      <c r="K444" s="221"/>
      <c r="L444" s="221"/>
      <c r="M444" s="221"/>
      <c r="N444" s="221"/>
      <c r="O444" s="221"/>
      <c r="P444" s="221"/>
      <c r="Q444" s="221"/>
      <c r="R444" s="221"/>
      <c r="S444" s="221"/>
      <c r="T444" s="221"/>
      <c r="U444" s="221"/>
      <c r="V444" s="221"/>
      <c r="W444" s="221"/>
      <c r="X444" s="221"/>
      <c r="Y444" s="221"/>
      <c r="Z444" s="221"/>
      <c r="AA444" s="221"/>
      <c r="AB444" s="297"/>
    </row>
    <row r="445">
      <c r="A445" s="134"/>
      <c r="B445" s="134"/>
      <c r="C445" s="68"/>
      <c r="D445" s="68"/>
      <c r="E445" s="68"/>
      <c r="F445" s="68"/>
      <c r="G445" s="68"/>
      <c r="H445" s="68"/>
      <c r="I445" s="221"/>
      <c r="J445" s="221"/>
      <c r="K445" s="221"/>
      <c r="L445" s="221"/>
      <c r="M445" s="221"/>
      <c r="N445" s="221"/>
      <c r="O445" s="221"/>
      <c r="P445" s="221"/>
      <c r="Q445" s="221"/>
      <c r="R445" s="221"/>
      <c r="S445" s="221"/>
      <c r="T445" s="221"/>
      <c r="U445" s="221"/>
      <c r="V445" s="221"/>
      <c r="W445" s="221"/>
      <c r="X445" s="221"/>
      <c r="Y445" s="221"/>
      <c r="Z445" s="221"/>
      <c r="AA445" s="221"/>
      <c r="AB445" s="297"/>
    </row>
    <row r="446">
      <c r="A446" s="134"/>
      <c r="B446" s="134"/>
      <c r="C446" s="68"/>
      <c r="D446" s="68"/>
      <c r="E446" s="68"/>
      <c r="F446" s="68"/>
      <c r="G446" s="68"/>
      <c r="H446" s="68"/>
      <c r="I446" s="221"/>
      <c r="J446" s="221"/>
      <c r="K446" s="221"/>
      <c r="L446" s="221"/>
      <c r="M446" s="221"/>
      <c r="N446" s="221"/>
      <c r="O446" s="221"/>
      <c r="P446" s="221"/>
      <c r="Q446" s="221"/>
      <c r="R446" s="221"/>
      <c r="S446" s="221"/>
      <c r="T446" s="221"/>
      <c r="U446" s="221"/>
      <c r="V446" s="221"/>
      <c r="W446" s="221"/>
      <c r="X446" s="221"/>
      <c r="Y446" s="221"/>
      <c r="Z446" s="221"/>
      <c r="AA446" s="221"/>
      <c r="AB446" s="297"/>
    </row>
    <row r="447">
      <c r="A447" s="134"/>
      <c r="B447" s="134"/>
      <c r="C447" s="68"/>
      <c r="D447" s="68"/>
      <c r="E447" s="68"/>
      <c r="F447" s="68"/>
      <c r="G447" s="68"/>
      <c r="H447" s="68"/>
      <c r="I447" s="221"/>
      <c r="J447" s="221"/>
      <c r="K447" s="221"/>
      <c r="L447" s="221"/>
      <c r="M447" s="221"/>
      <c r="N447" s="221"/>
      <c r="O447" s="221"/>
      <c r="P447" s="221"/>
      <c r="Q447" s="221"/>
      <c r="R447" s="221"/>
      <c r="S447" s="221"/>
      <c r="T447" s="221"/>
      <c r="U447" s="221"/>
      <c r="V447" s="221"/>
      <c r="W447" s="221"/>
      <c r="X447" s="221"/>
      <c r="Y447" s="221"/>
      <c r="Z447" s="221"/>
      <c r="AA447" s="221"/>
      <c r="AB447" s="297"/>
    </row>
    <row r="448">
      <c r="A448" s="134"/>
      <c r="B448" s="134"/>
      <c r="C448" s="68"/>
      <c r="D448" s="68"/>
      <c r="E448" s="68"/>
      <c r="F448" s="68"/>
      <c r="G448" s="68"/>
      <c r="H448" s="68"/>
      <c r="I448" s="221"/>
      <c r="J448" s="221"/>
      <c r="K448" s="221"/>
      <c r="L448" s="221"/>
      <c r="M448" s="221"/>
      <c r="N448" s="221"/>
      <c r="O448" s="221"/>
      <c r="P448" s="221"/>
      <c r="Q448" s="221"/>
      <c r="R448" s="221"/>
      <c r="S448" s="221"/>
      <c r="T448" s="221"/>
      <c r="U448" s="221"/>
      <c r="V448" s="221"/>
      <c r="W448" s="221"/>
      <c r="X448" s="221"/>
      <c r="Y448" s="221"/>
      <c r="Z448" s="221"/>
      <c r="AA448" s="221"/>
      <c r="AB448" s="297"/>
    </row>
    <row r="449">
      <c r="A449" s="134"/>
      <c r="B449" s="134"/>
      <c r="C449" s="68"/>
      <c r="D449" s="68"/>
      <c r="E449" s="68"/>
      <c r="F449" s="68"/>
      <c r="G449" s="68"/>
      <c r="H449" s="68"/>
      <c r="I449" s="221"/>
      <c r="J449" s="221"/>
      <c r="K449" s="221"/>
      <c r="L449" s="221"/>
      <c r="M449" s="221"/>
      <c r="N449" s="221"/>
      <c r="O449" s="221"/>
      <c r="P449" s="221"/>
      <c r="Q449" s="221"/>
      <c r="R449" s="221"/>
      <c r="S449" s="221"/>
      <c r="T449" s="221"/>
      <c r="U449" s="221"/>
      <c r="V449" s="221"/>
      <c r="W449" s="221"/>
      <c r="X449" s="221"/>
      <c r="Y449" s="221"/>
      <c r="Z449" s="221"/>
      <c r="AA449" s="221"/>
      <c r="AB449" s="297"/>
    </row>
    <row r="450">
      <c r="A450" s="134"/>
      <c r="B450" s="134"/>
      <c r="C450" s="68"/>
      <c r="D450" s="68"/>
      <c r="E450" s="68"/>
      <c r="F450" s="68"/>
      <c r="G450" s="68"/>
      <c r="H450" s="68"/>
      <c r="I450" s="221"/>
      <c r="J450" s="221"/>
      <c r="K450" s="221"/>
      <c r="L450" s="221"/>
      <c r="M450" s="221"/>
      <c r="N450" s="221"/>
      <c r="O450" s="221"/>
      <c r="P450" s="221"/>
      <c r="Q450" s="221"/>
      <c r="R450" s="221"/>
      <c r="S450" s="221"/>
      <c r="T450" s="221"/>
      <c r="U450" s="221"/>
      <c r="V450" s="221"/>
      <c r="W450" s="221"/>
      <c r="X450" s="221"/>
      <c r="Y450" s="221"/>
      <c r="Z450" s="221"/>
      <c r="AA450" s="221"/>
      <c r="AB450" s="297"/>
    </row>
    <row r="451">
      <c r="A451" s="134"/>
      <c r="B451" s="134"/>
      <c r="C451" s="68"/>
      <c r="D451" s="68"/>
      <c r="E451" s="68"/>
      <c r="F451" s="68"/>
      <c r="G451" s="68"/>
      <c r="H451" s="68"/>
      <c r="I451" s="221"/>
      <c r="J451" s="221"/>
      <c r="K451" s="221"/>
      <c r="L451" s="221"/>
      <c r="M451" s="221"/>
      <c r="N451" s="221"/>
      <c r="O451" s="221"/>
      <c r="P451" s="221"/>
      <c r="Q451" s="221"/>
      <c r="R451" s="221"/>
      <c r="S451" s="221"/>
      <c r="T451" s="221"/>
      <c r="U451" s="221"/>
      <c r="V451" s="221"/>
      <c r="W451" s="221"/>
      <c r="X451" s="221"/>
      <c r="Y451" s="221"/>
      <c r="Z451" s="221"/>
      <c r="AA451" s="221"/>
      <c r="AB451" s="297"/>
    </row>
    <row r="452">
      <c r="A452" s="134"/>
      <c r="B452" s="134"/>
      <c r="C452" s="68"/>
      <c r="D452" s="68"/>
      <c r="E452" s="68"/>
      <c r="F452" s="68"/>
      <c r="G452" s="68"/>
      <c r="H452" s="68"/>
      <c r="I452" s="221"/>
      <c r="J452" s="221"/>
      <c r="K452" s="221"/>
      <c r="L452" s="221"/>
      <c r="M452" s="221"/>
      <c r="N452" s="221"/>
      <c r="O452" s="221"/>
      <c r="P452" s="221"/>
      <c r="Q452" s="221"/>
      <c r="R452" s="221"/>
      <c r="S452" s="221"/>
      <c r="T452" s="221"/>
      <c r="U452" s="221"/>
      <c r="V452" s="221"/>
      <c r="W452" s="221"/>
      <c r="X452" s="221"/>
      <c r="Y452" s="221"/>
      <c r="Z452" s="221"/>
      <c r="AA452" s="221"/>
      <c r="AB452" s="297"/>
    </row>
    <row r="453">
      <c r="A453" s="134"/>
      <c r="B453" s="134"/>
      <c r="C453" s="68"/>
      <c r="D453" s="68"/>
      <c r="E453" s="68"/>
      <c r="F453" s="68"/>
      <c r="G453" s="68"/>
      <c r="H453" s="68"/>
      <c r="I453" s="221"/>
      <c r="J453" s="221"/>
      <c r="K453" s="221"/>
      <c r="L453" s="221"/>
      <c r="M453" s="221"/>
      <c r="N453" s="221"/>
      <c r="O453" s="221"/>
      <c r="P453" s="221"/>
      <c r="Q453" s="221"/>
      <c r="R453" s="221"/>
      <c r="S453" s="221"/>
      <c r="T453" s="221"/>
      <c r="U453" s="221"/>
      <c r="V453" s="221"/>
      <c r="W453" s="221"/>
      <c r="X453" s="221"/>
      <c r="Y453" s="221"/>
      <c r="Z453" s="221"/>
      <c r="AA453" s="221"/>
      <c r="AB453" s="297"/>
    </row>
    <row r="454">
      <c r="A454" s="134"/>
      <c r="B454" s="134"/>
      <c r="C454" s="68"/>
      <c r="D454" s="68"/>
      <c r="E454" s="68"/>
      <c r="F454" s="68"/>
      <c r="G454" s="68"/>
      <c r="H454" s="68"/>
      <c r="I454" s="221"/>
      <c r="J454" s="221"/>
      <c r="K454" s="221"/>
      <c r="L454" s="221"/>
      <c r="M454" s="221"/>
      <c r="N454" s="221"/>
      <c r="O454" s="221"/>
      <c r="P454" s="221"/>
      <c r="Q454" s="221"/>
      <c r="R454" s="221"/>
      <c r="S454" s="221"/>
      <c r="T454" s="221"/>
      <c r="U454" s="221"/>
      <c r="V454" s="221"/>
      <c r="W454" s="221"/>
      <c r="X454" s="221"/>
      <c r="Y454" s="221"/>
      <c r="Z454" s="221"/>
      <c r="AA454" s="221"/>
      <c r="AB454" s="297"/>
    </row>
    <row r="455">
      <c r="A455" s="134"/>
      <c r="B455" s="134"/>
      <c r="C455" s="68"/>
      <c r="D455" s="68"/>
      <c r="E455" s="68"/>
      <c r="F455" s="68"/>
      <c r="G455" s="68"/>
      <c r="H455" s="68"/>
      <c r="I455" s="221"/>
      <c r="J455" s="221"/>
      <c r="K455" s="221"/>
      <c r="L455" s="221"/>
      <c r="M455" s="221"/>
      <c r="N455" s="221"/>
      <c r="O455" s="221"/>
      <c r="P455" s="221"/>
      <c r="Q455" s="221"/>
      <c r="R455" s="221"/>
      <c r="S455" s="221"/>
      <c r="T455" s="221"/>
      <c r="U455" s="221"/>
      <c r="V455" s="221"/>
      <c r="W455" s="221"/>
      <c r="X455" s="221"/>
      <c r="Y455" s="221"/>
      <c r="Z455" s="221"/>
      <c r="AA455" s="221"/>
      <c r="AB455" s="297"/>
    </row>
    <row r="456">
      <c r="A456" s="134"/>
      <c r="B456" s="134"/>
      <c r="C456" s="68"/>
      <c r="D456" s="68"/>
      <c r="E456" s="68"/>
      <c r="F456" s="68"/>
      <c r="G456" s="68"/>
      <c r="H456" s="68"/>
      <c r="I456" s="221"/>
      <c r="J456" s="221"/>
      <c r="K456" s="221"/>
      <c r="L456" s="221"/>
      <c r="M456" s="221"/>
      <c r="N456" s="221"/>
      <c r="O456" s="221"/>
      <c r="P456" s="221"/>
      <c r="Q456" s="221"/>
      <c r="R456" s="221"/>
      <c r="S456" s="221"/>
      <c r="T456" s="221"/>
      <c r="U456" s="221"/>
      <c r="V456" s="221"/>
      <c r="W456" s="221"/>
      <c r="X456" s="221"/>
      <c r="Y456" s="221"/>
      <c r="Z456" s="221"/>
      <c r="AA456" s="221"/>
      <c r="AB456" s="297"/>
    </row>
    <row r="457">
      <c r="A457" s="134"/>
      <c r="B457" s="134"/>
      <c r="C457" s="68"/>
      <c r="D457" s="68"/>
      <c r="E457" s="68"/>
      <c r="F457" s="68"/>
      <c r="G457" s="68"/>
      <c r="H457" s="68"/>
      <c r="I457" s="221"/>
      <c r="J457" s="221"/>
      <c r="K457" s="221"/>
      <c r="L457" s="221"/>
      <c r="M457" s="221"/>
      <c r="N457" s="221"/>
      <c r="O457" s="221"/>
      <c r="P457" s="221"/>
      <c r="Q457" s="221"/>
      <c r="R457" s="221"/>
      <c r="S457" s="221"/>
      <c r="T457" s="221"/>
      <c r="U457" s="221"/>
      <c r="V457" s="221"/>
      <c r="W457" s="221"/>
      <c r="X457" s="221"/>
      <c r="Y457" s="221"/>
      <c r="Z457" s="221"/>
      <c r="AA457" s="221"/>
      <c r="AB457" s="297"/>
    </row>
    <row r="458">
      <c r="A458" s="134"/>
      <c r="B458" s="134"/>
      <c r="C458" s="68"/>
      <c r="D458" s="68"/>
      <c r="E458" s="68"/>
      <c r="F458" s="68"/>
      <c r="G458" s="68"/>
      <c r="H458" s="68"/>
      <c r="I458" s="221"/>
      <c r="J458" s="221"/>
      <c r="K458" s="221"/>
      <c r="L458" s="221"/>
      <c r="M458" s="221"/>
      <c r="N458" s="221"/>
      <c r="O458" s="221"/>
      <c r="P458" s="221"/>
      <c r="Q458" s="221"/>
      <c r="R458" s="221"/>
      <c r="S458" s="221"/>
      <c r="T458" s="221"/>
      <c r="U458" s="221"/>
      <c r="V458" s="221"/>
      <c r="W458" s="221"/>
      <c r="X458" s="221"/>
      <c r="Y458" s="221"/>
      <c r="Z458" s="221"/>
      <c r="AA458" s="221"/>
      <c r="AB458" s="297"/>
    </row>
    <row r="459">
      <c r="A459" s="134"/>
      <c r="B459" s="134"/>
      <c r="C459" s="68"/>
      <c r="D459" s="68"/>
      <c r="E459" s="68"/>
      <c r="F459" s="68"/>
      <c r="G459" s="68"/>
      <c r="H459" s="68"/>
      <c r="I459" s="221"/>
      <c r="J459" s="221"/>
      <c r="K459" s="221"/>
      <c r="L459" s="221"/>
      <c r="M459" s="221"/>
      <c r="N459" s="221"/>
      <c r="O459" s="221"/>
      <c r="P459" s="221"/>
      <c r="Q459" s="221"/>
      <c r="R459" s="221"/>
      <c r="S459" s="221"/>
      <c r="T459" s="221"/>
      <c r="U459" s="221"/>
      <c r="V459" s="221"/>
      <c r="W459" s="221"/>
      <c r="X459" s="221"/>
      <c r="Y459" s="221"/>
      <c r="Z459" s="221"/>
      <c r="AA459" s="221"/>
      <c r="AB459" s="297"/>
    </row>
    <row r="460">
      <c r="A460" s="134"/>
      <c r="B460" s="134"/>
      <c r="C460" s="68"/>
      <c r="D460" s="68"/>
      <c r="E460" s="68"/>
      <c r="F460" s="68"/>
      <c r="G460" s="68"/>
      <c r="H460" s="68"/>
      <c r="I460" s="221"/>
      <c r="J460" s="221"/>
      <c r="K460" s="221"/>
      <c r="L460" s="221"/>
      <c r="M460" s="221"/>
      <c r="N460" s="221"/>
      <c r="O460" s="221"/>
      <c r="P460" s="221"/>
      <c r="Q460" s="221"/>
      <c r="R460" s="221"/>
      <c r="S460" s="221"/>
      <c r="T460" s="221"/>
      <c r="U460" s="221"/>
      <c r="V460" s="221"/>
      <c r="W460" s="221"/>
      <c r="X460" s="221"/>
      <c r="Y460" s="221"/>
      <c r="Z460" s="221"/>
      <c r="AA460" s="221"/>
      <c r="AB460" s="297"/>
    </row>
    <row r="461">
      <c r="A461" s="134"/>
      <c r="B461" s="134"/>
      <c r="C461" s="68"/>
      <c r="D461" s="68"/>
      <c r="E461" s="68"/>
      <c r="F461" s="68"/>
      <c r="G461" s="68"/>
      <c r="H461" s="68"/>
      <c r="I461" s="221"/>
      <c r="J461" s="221"/>
      <c r="K461" s="221"/>
      <c r="L461" s="221"/>
      <c r="M461" s="221"/>
      <c r="N461" s="221"/>
      <c r="O461" s="221"/>
      <c r="P461" s="221"/>
      <c r="Q461" s="221"/>
      <c r="R461" s="221"/>
      <c r="S461" s="221"/>
      <c r="T461" s="221"/>
      <c r="U461" s="221"/>
      <c r="V461" s="221"/>
      <c r="W461" s="221"/>
      <c r="X461" s="221"/>
      <c r="Y461" s="221"/>
      <c r="Z461" s="221"/>
      <c r="AA461" s="221"/>
      <c r="AB461" s="297"/>
    </row>
    <row r="462">
      <c r="A462" s="134"/>
      <c r="B462" s="134"/>
      <c r="C462" s="68"/>
      <c r="D462" s="68"/>
      <c r="E462" s="68"/>
      <c r="F462" s="68"/>
      <c r="G462" s="68"/>
      <c r="H462" s="68"/>
      <c r="I462" s="221"/>
      <c r="J462" s="221"/>
      <c r="K462" s="221"/>
      <c r="L462" s="221"/>
      <c r="M462" s="221"/>
      <c r="N462" s="221"/>
      <c r="O462" s="221"/>
      <c r="P462" s="221"/>
      <c r="Q462" s="221"/>
      <c r="R462" s="221"/>
      <c r="S462" s="221"/>
      <c r="T462" s="221"/>
      <c r="U462" s="221"/>
      <c r="V462" s="221"/>
      <c r="W462" s="221"/>
      <c r="X462" s="221"/>
      <c r="Y462" s="221"/>
      <c r="Z462" s="221"/>
      <c r="AA462" s="221"/>
      <c r="AB462" s="297"/>
    </row>
    <row r="463">
      <c r="A463" s="134"/>
      <c r="B463" s="134"/>
      <c r="C463" s="68"/>
      <c r="D463" s="68"/>
      <c r="E463" s="68"/>
      <c r="F463" s="68"/>
      <c r="G463" s="68"/>
      <c r="H463" s="68"/>
      <c r="I463" s="221"/>
      <c r="J463" s="221"/>
      <c r="K463" s="221"/>
      <c r="L463" s="221"/>
      <c r="M463" s="221"/>
      <c r="N463" s="221"/>
      <c r="O463" s="221"/>
      <c r="P463" s="221"/>
      <c r="Q463" s="221"/>
      <c r="R463" s="221"/>
      <c r="S463" s="221"/>
      <c r="T463" s="221"/>
      <c r="U463" s="221"/>
      <c r="V463" s="221"/>
      <c r="W463" s="221"/>
      <c r="X463" s="221"/>
      <c r="Y463" s="221"/>
      <c r="Z463" s="221"/>
      <c r="AA463" s="221"/>
      <c r="AB463" s="297"/>
    </row>
    <row r="464">
      <c r="A464" s="134"/>
      <c r="B464" s="134"/>
      <c r="C464" s="68"/>
      <c r="D464" s="68"/>
      <c r="E464" s="68"/>
      <c r="F464" s="68"/>
      <c r="G464" s="68"/>
      <c r="H464" s="68"/>
      <c r="I464" s="221"/>
      <c r="J464" s="221"/>
      <c r="K464" s="221"/>
      <c r="L464" s="221"/>
      <c r="M464" s="221"/>
      <c r="N464" s="221"/>
      <c r="O464" s="221"/>
      <c r="P464" s="221"/>
      <c r="Q464" s="221"/>
      <c r="R464" s="221"/>
      <c r="S464" s="221"/>
      <c r="T464" s="221"/>
      <c r="U464" s="221"/>
      <c r="V464" s="221"/>
      <c r="W464" s="221"/>
      <c r="X464" s="221"/>
      <c r="Y464" s="221"/>
      <c r="Z464" s="221"/>
      <c r="AA464" s="221"/>
      <c r="AB464" s="297"/>
    </row>
    <row r="465">
      <c r="A465" s="134"/>
      <c r="B465" s="134"/>
      <c r="C465" s="68"/>
      <c r="D465" s="68"/>
      <c r="E465" s="68"/>
      <c r="F465" s="68"/>
      <c r="G465" s="68"/>
      <c r="H465" s="68"/>
      <c r="I465" s="221"/>
      <c r="J465" s="221"/>
      <c r="K465" s="221"/>
      <c r="L465" s="221"/>
      <c r="M465" s="221"/>
      <c r="N465" s="221"/>
      <c r="O465" s="221"/>
      <c r="P465" s="221"/>
      <c r="Q465" s="221"/>
      <c r="R465" s="221"/>
      <c r="S465" s="221"/>
      <c r="T465" s="221"/>
      <c r="U465" s="221"/>
      <c r="V465" s="221"/>
      <c r="W465" s="221"/>
      <c r="X465" s="221"/>
      <c r="Y465" s="221"/>
      <c r="Z465" s="221"/>
      <c r="AA465" s="221"/>
      <c r="AB465" s="297"/>
    </row>
    <row r="466">
      <c r="A466" s="134"/>
      <c r="B466" s="134"/>
      <c r="C466" s="68"/>
      <c r="D466" s="68"/>
      <c r="E466" s="68"/>
      <c r="F466" s="68"/>
      <c r="G466" s="68"/>
      <c r="H466" s="68"/>
      <c r="I466" s="221"/>
      <c r="J466" s="221"/>
      <c r="K466" s="221"/>
      <c r="L466" s="221"/>
      <c r="M466" s="221"/>
      <c r="N466" s="221"/>
      <c r="O466" s="221"/>
      <c r="P466" s="221"/>
      <c r="Q466" s="221"/>
      <c r="R466" s="221"/>
      <c r="S466" s="221"/>
      <c r="T466" s="221"/>
      <c r="U466" s="221"/>
      <c r="V466" s="221"/>
      <c r="W466" s="221"/>
      <c r="X466" s="221"/>
      <c r="Y466" s="221"/>
      <c r="Z466" s="221"/>
      <c r="AA466" s="221"/>
      <c r="AB466" s="297"/>
    </row>
    <row r="467">
      <c r="A467" s="134"/>
      <c r="B467" s="134"/>
      <c r="C467" s="68"/>
      <c r="D467" s="68"/>
      <c r="E467" s="68"/>
      <c r="F467" s="68"/>
      <c r="G467" s="68"/>
      <c r="H467" s="68"/>
      <c r="I467" s="221"/>
      <c r="J467" s="221"/>
      <c r="K467" s="221"/>
      <c r="L467" s="221"/>
      <c r="M467" s="221"/>
      <c r="N467" s="221"/>
      <c r="O467" s="221"/>
      <c r="P467" s="221"/>
      <c r="Q467" s="221"/>
      <c r="R467" s="221"/>
      <c r="S467" s="221"/>
      <c r="T467" s="221"/>
      <c r="U467" s="221"/>
      <c r="V467" s="221"/>
      <c r="W467" s="221"/>
      <c r="X467" s="221"/>
      <c r="Y467" s="221"/>
      <c r="Z467" s="221"/>
      <c r="AA467" s="221"/>
      <c r="AB467" s="297"/>
    </row>
    <row r="468">
      <c r="A468" s="134"/>
      <c r="B468" s="134"/>
      <c r="C468" s="68"/>
      <c r="D468" s="68"/>
      <c r="E468" s="68"/>
      <c r="F468" s="68"/>
      <c r="G468" s="68"/>
      <c r="H468" s="68"/>
      <c r="I468" s="221"/>
      <c r="J468" s="221"/>
      <c r="K468" s="221"/>
      <c r="L468" s="221"/>
      <c r="M468" s="221"/>
      <c r="N468" s="221"/>
      <c r="O468" s="221"/>
      <c r="P468" s="221"/>
      <c r="Q468" s="221"/>
      <c r="R468" s="221"/>
      <c r="S468" s="221"/>
      <c r="T468" s="221"/>
      <c r="U468" s="221"/>
      <c r="V468" s="221"/>
      <c r="W468" s="221"/>
      <c r="X468" s="221"/>
      <c r="Y468" s="221"/>
      <c r="Z468" s="221"/>
      <c r="AA468" s="221"/>
      <c r="AB468" s="297"/>
    </row>
    <row r="469">
      <c r="A469" s="134"/>
      <c r="B469" s="134"/>
      <c r="C469" s="68"/>
      <c r="D469" s="68"/>
      <c r="E469" s="68"/>
      <c r="F469" s="68"/>
      <c r="G469" s="68"/>
      <c r="H469" s="68"/>
      <c r="I469" s="221"/>
      <c r="J469" s="221"/>
      <c r="K469" s="221"/>
      <c r="L469" s="221"/>
      <c r="M469" s="221"/>
      <c r="N469" s="221"/>
      <c r="O469" s="221"/>
      <c r="P469" s="221"/>
      <c r="Q469" s="221"/>
      <c r="R469" s="221"/>
      <c r="S469" s="221"/>
      <c r="T469" s="221"/>
      <c r="U469" s="221"/>
      <c r="V469" s="221"/>
      <c r="W469" s="221"/>
      <c r="X469" s="221"/>
      <c r="Y469" s="221"/>
      <c r="Z469" s="221"/>
      <c r="AA469" s="221"/>
      <c r="AB469" s="297"/>
    </row>
    <row r="470">
      <c r="A470" s="134"/>
      <c r="B470" s="134"/>
      <c r="C470" s="68"/>
      <c r="D470" s="68"/>
      <c r="E470" s="68"/>
      <c r="F470" s="68"/>
      <c r="G470" s="68"/>
      <c r="H470" s="68"/>
      <c r="I470" s="221"/>
      <c r="J470" s="221"/>
      <c r="K470" s="221"/>
      <c r="L470" s="221"/>
      <c r="M470" s="221"/>
      <c r="N470" s="221"/>
      <c r="O470" s="221"/>
      <c r="P470" s="221"/>
      <c r="Q470" s="221"/>
      <c r="R470" s="221"/>
      <c r="S470" s="221"/>
      <c r="T470" s="221"/>
      <c r="U470" s="221"/>
      <c r="V470" s="221"/>
      <c r="W470" s="221"/>
      <c r="X470" s="221"/>
      <c r="Y470" s="221"/>
      <c r="Z470" s="221"/>
      <c r="AA470" s="221"/>
      <c r="AB470" s="297"/>
    </row>
    <row r="471">
      <c r="A471" s="134"/>
      <c r="B471" s="134"/>
      <c r="C471" s="68"/>
      <c r="D471" s="68"/>
      <c r="E471" s="68"/>
      <c r="F471" s="68"/>
      <c r="G471" s="68"/>
      <c r="H471" s="68"/>
      <c r="I471" s="221"/>
      <c r="J471" s="221"/>
      <c r="K471" s="221"/>
      <c r="L471" s="221"/>
      <c r="M471" s="221"/>
      <c r="N471" s="221"/>
      <c r="O471" s="221"/>
      <c r="P471" s="221"/>
      <c r="Q471" s="221"/>
      <c r="R471" s="221"/>
      <c r="S471" s="221"/>
      <c r="T471" s="221"/>
      <c r="U471" s="221"/>
      <c r="V471" s="221"/>
      <c r="W471" s="221"/>
      <c r="X471" s="221"/>
      <c r="Y471" s="221"/>
      <c r="Z471" s="221"/>
      <c r="AA471" s="221"/>
      <c r="AB471" s="297"/>
    </row>
    <row r="472">
      <c r="A472" s="134"/>
      <c r="B472" s="134"/>
      <c r="C472" s="68"/>
      <c r="D472" s="68"/>
      <c r="E472" s="68"/>
      <c r="F472" s="68"/>
      <c r="G472" s="68"/>
      <c r="H472" s="68"/>
      <c r="I472" s="221"/>
      <c r="J472" s="221"/>
      <c r="K472" s="221"/>
      <c r="L472" s="221"/>
      <c r="M472" s="221"/>
      <c r="N472" s="221"/>
      <c r="O472" s="221"/>
      <c r="P472" s="221"/>
      <c r="Q472" s="221"/>
      <c r="R472" s="221"/>
      <c r="S472" s="221"/>
      <c r="T472" s="221"/>
      <c r="U472" s="221"/>
      <c r="V472" s="221"/>
      <c r="W472" s="221"/>
      <c r="X472" s="221"/>
      <c r="Y472" s="221"/>
      <c r="Z472" s="221"/>
      <c r="AA472" s="221"/>
      <c r="AB472" s="297"/>
    </row>
    <row r="473">
      <c r="A473" s="134"/>
      <c r="B473" s="134"/>
      <c r="C473" s="68"/>
      <c r="D473" s="68"/>
      <c r="E473" s="68"/>
      <c r="F473" s="68"/>
      <c r="G473" s="68"/>
      <c r="H473" s="68"/>
      <c r="I473" s="221"/>
      <c r="J473" s="221"/>
      <c r="K473" s="221"/>
      <c r="L473" s="221"/>
      <c r="M473" s="221"/>
      <c r="N473" s="221"/>
      <c r="O473" s="221"/>
      <c r="P473" s="221"/>
      <c r="Q473" s="221"/>
      <c r="R473" s="221"/>
      <c r="S473" s="221"/>
      <c r="T473" s="221"/>
      <c r="U473" s="221"/>
      <c r="V473" s="221"/>
      <c r="W473" s="221"/>
      <c r="X473" s="221"/>
      <c r="Y473" s="221"/>
      <c r="Z473" s="221"/>
      <c r="AA473" s="221"/>
      <c r="AB473" s="297"/>
    </row>
    <row r="474">
      <c r="A474" s="134"/>
      <c r="B474" s="134"/>
      <c r="C474" s="68"/>
      <c r="D474" s="68"/>
      <c r="E474" s="68"/>
      <c r="F474" s="68"/>
      <c r="G474" s="68"/>
      <c r="H474" s="68"/>
      <c r="I474" s="221"/>
      <c r="J474" s="221"/>
      <c r="K474" s="221"/>
      <c r="L474" s="221"/>
      <c r="M474" s="221"/>
      <c r="N474" s="221"/>
      <c r="O474" s="221"/>
      <c r="P474" s="221"/>
      <c r="Q474" s="221"/>
      <c r="R474" s="221"/>
      <c r="S474" s="221"/>
      <c r="T474" s="221"/>
      <c r="U474" s="221"/>
      <c r="V474" s="221"/>
      <c r="W474" s="221"/>
      <c r="X474" s="221"/>
      <c r="Y474" s="221"/>
      <c r="Z474" s="221"/>
      <c r="AA474" s="221"/>
      <c r="AB474" s="297"/>
    </row>
    <row r="475">
      <c r="A475" s="134"/>
      <c r="B475" s="134"/>
      <c r="C475" s="68"/>
      <c r="D475" s="68"/>
      <c r="E475" s="68"/>
      <c r="F475" s="68"/>
      <c r="G475" s="68"/>
      <c r="H475" s="68"/>
      <c r="I475" s="221"/>
      <c r="J475" s="221"/>
      <c r="K475" s="221"/>
      <c r="L475" s="221"/>
      <c r="M475" s="221"/>
      <c r="N475" s="221"/>
      <c r="O475" s="221"/>
      <c r="P475" s="221"/>
      <c r="Q475" s="221"/>
      <c r="R475" s="221"/>
      <c r="S475" s="221"/>
      <c r="T475" s="221"/>
      <c r="U475" s="221"/>
      <c r="V475" s="221"/>
      <c r="W475" s="221"/>
      <c r="X475" s="221"/>
      <c r="Y475" s="221"/>
      <c r="Z475" s="221"/>
      <c r="AA475" s="221"/>
      <c r="AB475" s="297"/>
    </row>
    <row r="476">
      <c r="A476" s="134"/>
      <c r="B476" s="134"/>
      <c r="C476" s="68"/>
      <c r="D476" s="68"/>
      <c r="E476" s="68"/>
      <c r="F476" s="68"/>
      <c r="G476" s="68"/>
      <c r="H476" s="68"/>
      <c r="I476" s="221"/>
      <c r="J476" s="221"/>
      <c r="K476" s="221"/>
      <c r="L476" s="221"/>
      <c r="M476" s="221"/>
      <c r="N476" s="221"/>
      <c r="O476" s="221"/>
      <c r="P476" s="221"/>
      <c r="Q476" s="221"/>
      <c r="R476" s="221"/>
      <c r="S476" s="221"/>
      <c r="T476" s="221"/>
      <c r="U476" s="221"/>
      <c r="V476" s="221"/>
      <c r="W476" s="221"/>
      <c r="X476" s="221"/>
      <c r="Y476" s="221"/>
      <c r="Z476" s="221"/>
      <c r="AA476" s="221"/>
      <c r="AB476" s="297"/>
    </row>
    <row r="477">
      <c r="A477" s="134"/>
      <c r="B477" s="134"/>
      <c r="C477" s="68"/>
      <c r="D477" s="68"/>
      <c r="E477" s="68"/>
      <c r="F477" s="68"/>
      <c r="G477" s="68"/>
      <c r="H477" s="68"/>
      <c r="I477" s="221"/>
      <c r="J477" s="221"/>
      <c r="K477" s="221"/>
      <c r="L477" s="221"/>
      <c r="M477" s="221"/>
      <c r="N477" s="221"/>
      <c r="O477" s="221"/>
      <c r="P477" s="221"/>
      <c r="Q477" s="221"/>
      <c r="R477" s="221"/>
      <c r="S477" s="221"/>
      <c r="T477" s="221"/>
      <c r="U477" s="221"/>
      <c r="V477" s="221"/>
      <c r="W477" s="221"/>
      <c r="X477" s="221"/>
      <c r="Y477" s="221"/>
      <c r="Z477" s="221"/>
      <c r="AA477" s="221"/>
      <c r="AB477" s="297"/>
    </row>
    <row r="478">
      <c r="A478" s="134"/>
      <c r="B478" s="134"/>
      <c r="C478" s="68"/>
      <c r="D478" s="68"/>
      <c r="E478" s="68"/>
      <c r="F478" s="68"/>
      <c r="G478" s="68"/>
      <c r="H478" s="68"/>
      <c r="I478" s="221"/>
      <c r="J478" s="221"/>
      <c r="K478" s="221"/>
      <c r="L478" s="221"/>
      <c r="M478" s="221"/>
      <c r="N478" s="221"/>
      <c r="O478" s="221"/>
      <c r="P478" s="221"/>
      <c r="Q478" s="221"/>
      <c r="R478" s="221"/>
      <c r="S478" s="221"/>
      <c r="T478" s="221"/>
      <c r="U478" s="221"/>
      <c r="V478" s="221"/>
      <c r="W478" s="221"/>
      <c r="X478" s="221"/>
      <c r="Y478" s="221"/>
      <c r="Z478" s="221"/>
      <c r="AA478" s="221"/>
      <c r="AB478" s="297"/>
    </row>
    <row r="479">
      <c r="A479" s="134"/>
      <c r="B479" s="134"/>
      <c r="C479" s="68"/>
      <c r="D479" s="68"/>
      <c r="E479" s="68"/>
      <c r="F479" s="68"/>
      <c r="G479" s="68"/>
      <c r="H479" s="68"/>
      <c r="I479" s="221"/>
      <c r="J479" s="221"/>
      <c r="K479" s="221"/>
      <c r="L479" s="221"/>
      <c r="M479" s="221"/>
      <c r="N479" s="221"/>
      <c r="O479" s="221"/>
      <c r="P479" s="221"/>
      <c r="Q479" s="221"/>
      <c r="R479" s="221"/>
      <c r="S479" s="221"/>
      <c r="T479" s="221"/>
      <c r="U479" s="221"/>
      <c r="V479" s="221"/>
      <c r="W479" s="221"/>
      <c r="X479" s="221"/>
      <c r="Y479" s="221"/>
      <c r="Z479" s="221"/>
      <c r="AA479" s="221"/>
      <c r="AB479" s="297"/>
    </row>
    <row r="480">
      <c r="A480" s="134"/>
      <c r="B480" s="134"/>
      <c r="C480" s="68"/>
      <c r="D480" s="68"/>
      <c r="E480" s="68"/>
      <c r="F480" s="68"/>
      <c r="G480" s="68"/>
      <c r="H480" s="68"/>
      <c r="I480" s="221"/>
      <c r="J480" s="221"/>
      <c r="K480" s="221"/>
      <c r="L480" s="221"/>
      <c r="M480" s="221"/>
      <c r="N480" s="221"/>
      <c r="O480" s="221"/>
      <c r="P480" s="221"/>
      <c r="Q480" s="221"/>
      <c r="R480" s="221"/>
      <c r="S480" s="221"/>
      <c r="T480" s="221"/>
      <c r="U480" s="221"/>
      <c r="V480" s="221"/>
      <c r="W480" s="221"/>
      <c r="X480" s="221"/>
      <c r="Y480" s="221"/>
      <c r="Z480" s="221"/>
      <c r="AA480" s="221"/>
      <c r="AB480" s="297"/>
    </row>
    <row r="481">
      <c r="A481" s="134"/>
      <c r="B481" s="134"/>
      <c r="C481" s="68"/>
      <c r="D481" s="68"/>
      <c r="E481" s="68"/>
      <c r="F481" s="68"/>
      <c r="G481" s="68"/>
      <c r="H481" s="68"/>
      <c r="I481" s="221"/>
      <c r="J481" s="221"/>
      <c r="K481" s="221"/>
      <c r="L481" s="221"/>
      <c r="M481" s="221"/>
      <c r="N481" s="221"/>
      <c r="O481" s="221"/>
      <c r="P481" s="221"/>
      <c r="Q481" s="221"/>
      <c r="R481" s="221"/>
      <c r="S481" s="221"/>
      <c r="T481" s="221"/>
      <c r="U481" s="221"/>
      <c r="V481" s="221"/>
      <c r="W481" s="221"/>
      <c r="X481" s="221"/>
      <c r="Y481" s="221"/>
      <c r="Z481" s="221"/>
      <c r="AA481" s="221"/>
      <c r="AB481" s="297"/>
    </row>
    <row r="482">
      <c r="A482" s="134"/>
      <c r="B482" s="134"/>
      <c r="C482" s="68"/>
      <c r="D482" s="68"/>
      <c r="E482" s="68"/>
      <c r="F482" s="68"/>
      <c r="G482" s="68"/>
      <c r="H482" s="68"/>
      <c r="I482" s="221"/>
      <c r="J482" s="221"/>
      <c r="K482" s="221"/>
      <c r="L482" s="221"/>
      <c r="M482" s="221"/>
      <c r="N482" s="221"/>
      <c r="O482" s="221"/>
      <c r="P482" s="221"/>
      <c r="Q482" s="221"/>
      <c r="R482" s="221"/>
      <c r="S482" s="221"/>
      <c r="T482" s="221"/>
      <c r="U482" s="221"/>
      <c r="V482" s="221"/>
      <c r="W482" s="221"/>
      <c r="X482" s="221"/>
      <c r="Y482" s="221"/>
      <c r="Z482" s="221"/>
      <c r="AA482" s="221"/>
      <c r="AB482" s="297"/>
    </row>
    <row r="483">
      <c r="A483" s="134"/>
      <c r="B483" s="134"/>
      <c r="C483" s="68"/>
      <c r="D483" s="68"/>
      <c r="E483" s="68"/>
      <c r="F483" s="68"/>
      <c r="G483" s="68"/>
      <c r="H483" s="68"/>
      <c r="I483" s="221"/>
      <c r="J483" s="221"/>
      <c r="K483" s="221"/>
      <c r="L483" s="221"/>
      <c r="M483" s="221"/>
      <c r="N483" s="221"/>
      <c r="O483" s="221"/>
      <c r="P483" s="221"/>
      <c r="Q483" s="221"/>
      <c r="R483" s="221"/>
      <c r="S483" s="221"/>
      <c r="T483" s="221"/>
      <c r="U483" s="221"/>
      <c r="V483" s="221"/>
      <c r="W483" s="221"/>
      <c r="X483" s="221"/>
      <c r="Y483" s="221"/>
      <c r="Z483" s="221"/>
      <c r="AA483" s="221"/>
      <c r="AB483" s="297"/>
    </row>
    <row r="484">
      <c r="A484" s="134"/>
      <c r="B484" s="134"/>
      <c r="C484" s="68"/>
      <c r="D484" s="68"/>
      <c r="E484" s="68"/>
      <c r="F484" s="68"/>
      <c r="G484" s="68"/>
      <c r="H484" s="68"/>
      <c r="I484" s="221"/>
      <c r="J484" s="221"/>
      <c r="K484" s="221"/>
      <c r="L484" s="221"/>
      <c r="M484" s="221"/>
      <c r="N484" s="221"/>
      <c r="O484" s="221"/>
      <c r="P484" s="221"/>
      <c r="Q484" s="221"/>
      <c r="R484" s="221"/>
      <c r="S484" s="221"/>
      <c r="T484" s="221"/>
      <c r="U484" s="221"/>
      <c r="V484" s="221"/>
      <c r="W484" s="221"/>
      <c r="X484" s="221"/>
      <c r="Y484" s="221"/>
      <c r="Z484" s="221"/>
      <c r="AA484" s="221"/>
      <c r="AB484" s="297"/>
    </row>
    <row r="485">
      <c r="A485" s="134"/>
      <c r="B485" s="134"/>
      <c r="C485" s="68"/>
      <c r="D485" s="68"/>
      <c r="E485" s="68"/>
      <c r="F485" s="68"/>
      <c r="G485" s="68"/>
      <c r="H485" s="68"/>
      <c r="I485" s="221"/>
      <c r="J485" s="221"/>
      <c r="K485" s="221"/>
      <c r="L485" s="221"/>
      <c r="M485" s="221"/>
      <c r="N485" s="221"/>
      <c r="O485" s="221"/>
      <c r="P485" s="221"/>
      <c r="Q485" s="221"/>
      <c r="R485" s="221"/>
      <c r="S485" s="221"/>
      <c r="T485" s="221"/>
      <c r="U485" s="221"/>
      <c r="V485" s="221"/>
      <c r="W485" s="221"/>
      <c r="X485" s="221"/>
      <c r="Y485" s="221"/>
      <c r="Z485" s="221"/>
      <c r="AA485" s="221"/>
      <c r="AB485" s="297"/>
    </row>
    <row r="486">
      <c r="A486" s="134"/>
      <c r="B486" s="134"/>
      <c r="C486" s="68"/>
      <c r="D486" s="68"/>
      <c r="E486" s="68"/>
      <c r="F486" s="68"/>
      <c r="G486" s="68"/>
      <c r="H486" s="68"/>
      <c r="I486" s="221"/>
      <c r="J486" s="221"/>
      <c r="K486" s="221"/>
      <c r="L486" s="221"/>
      <c r="M486" s="221"/>
      <c r="N486" s="221"/>
      <c r="O486" s="221"/>
      <c r="P486" s="221"/>
      <c r="Q486" s="221"/>
      <c r="R486" s="221"/>
      <c r="S486" s="221"/>
      <c r="T486" s="221"/>
      <c r="U486" s="221"/>
      <c r="V486" s="221"/>
      <c r="W486" s="221"/>
      <c r="X486" s="221"/>
      <c r="Y486" s="221"/>
      <c r="Z486" s="221"/>
      <c r="AA486" s="221"/>
      <c r="AB486" s="297"/>
    </row>
    <row r="487">
      <c r="A487" s="134"/>
      <c r="B487" s="134"/>
      <c r="C487" s="68"/>
      <c r="D487" s="68"/>
      <c r="E487" s="68"/>
      <c r="F487" s="68"/>
      <c r="G487" s="68"/>
      <c r="H487" s="68"/>
      <c r="I487" s="221"/>
      <c r="J487" s="221"/>
      <c r="K487" s="221"/>
      <c r="L487" s="221"/>
      <c r="M487" s="221"/>
      <c r="N487" s="221"/>
      <c r="O487" s="221"/>
      <c r="P487" s="221"/>
      <c r="Q487" s="221"/>
      <c r="R487" s="221"/>
      <c r="S487" s="221"/>
      <c r="T487" s="221"/>
      <c r="U487" s="221"/>
      <c r="V487" s="221"/>
      <c r="W487" s="221"/>
      <c r="X487" s="221"/>
      <c r="Y487" s="221"/>
      <c r="Z487" s="221"/>
      <c r="AA487" s="221"/>
      <c r="AB487" s="297"/>
    </row>
    <row r="488">
      <c r="A488" s="134"/>
      <c r="B488" s="134"/>
      <c r="C488" s="68"/>
      <c r="D488" s="68"/>
      <c r="E488" s="68"/>
      <c r="F488" s="68"/>
      <c r="G488" s="68"/>
      <c r="H488" s="68"/>
      <c r="I488" s="221"/>
      <c r="J488" s="221"/>
      <c r="K488" s="221"/>
      <c r="L488" s="221"/>
      <c r="M488" s="221"/>
      <c r="N488" s="221"/>
      <c r="O488" s="221"/>
      <c r="P488" s="221"/>
      <c r="Q488" s="221"/>
      <c r="R488" s="221"/>
      <c r="S488" s="221"/>
      <c r="T488" s="221"/>
      <c r="U488" s="221"/>
      <c r="V488" s="221"/>
      <c r="W488" s="221"/>
      <c r="X488" s="221"/>
      <c r="Y488" s="221"/>
      <c r="Z488" s="221"/>
      <c r="AA488" s="221"/>
      <c r="AB488" s="297"/>
    </row>
    <row r="489">
      <c r="A489" s="134"/>
      <c r="B489" s="134"/>
      <c r="C489" s="68"/>
      <c r="D489" s="68"/>
      <c r="E489" s="68"/>
      <c r="F489" s="68"/>
      <c r="G489" s="68"/>
      <c r="H489" s="68"/>
      <c r="I489" s="221"/>
      <c r="J489" s="221"/>
      <c r="K489" s="221"/>
      <c r="L489" s="221"/>
      <c r="M489" s="221"/>
      <c r="N489" s="221"/>
      <c r="O489" s="221"/>
      <c r="P489" s="221"/>
      <c r="Q489" s="221"/>
      <c r="R489" s="221"/>
      <c r="S489" s="221"/>
      <c r="T489" s="221"/>
      <c r="U489" s="221"/>
      <c r="V489" s="221"/>
      <c r="W489" s="221"/>
      <c r="X489" s="221"/>
      <c r="Y489" s="221"/>
      <c r="Z489" s="221"/>
      <c r="AA489" s="221"/>
      <c r="AB489" s="297"/>
    </row>
    <row r="490">
      <c r="A490" s="134"/>
      <c r="B490" s="134"/>
      <c r="C490" s="68"/>
      <c r="D490" s="68"/>
      <c r="E490" s="68"/>
      <c r="F490" s="68"/>
      <c r="G490" s="68"/>
      <c r="H490" s="68"/>
      <c r="I490" s="221"/>
      <c r="J490" s="221"/>
      <c r="K490" s="221"/>
      <c r="L490" s="221"/>
      <c r="M490" s="221"/>
      <c r="N490" s="221"/>
      <c r="O490" s="221"/>
      <c r="P490" s="221"/>
      <c r="Q490" s="221"/>
      <c r="R490" s="221"/>
      <c r="S490" s="221"/>
      <c r="T490" s="221"/>
      <c r="U490" s="221"/>
      <c r="V490" s="221"/>
      <c r="W490" s="221"/>
      <c r="X490" s="221"/>
      <c r="Y490" s="221"/>
      <c r="Z490" s="221"/>
      <c r="AA490" s="221"/>
      <c r="AB490" s="297"/>
    </row>
    <row r="491">
      <c r="A491" s="134"/>
      <c r="B491" s="134"/>
      <c r="C491" s="68"/>
      <c r="D491" s="68"/>
      <c r="E491" s="68"/>
      <c r="F491" s="68"/>
      <c r="G491" s="68"/>
      <c r="H491" s="68"/>
      <c r="I491" s="221"/>
      <c r="J491" s="221"/>
      <c r="K491" s="221"/>
      <c r="L491" s="221"/>
      <c r="M491" s="221"/>
      <c r="N491" s="221"/>
      <c r="O491" s="221"/>
      <c r="P491" s="221"/>
      <c r="Q491" s="221"/>
      <c r="R491" s="221"/>
      <c r="S491" s="221"/>
      <c r="T491" s="221"/>
      <c r="U491" s="221"/>
      <c r="V491" s="221"/>
      <c r="W491" s="221"/>
      <c r="X491" s="221"/>
      <c r="Y491" s="221"/>
      <c r="Z491" s="221"/>
      <c r="AA491" s="221"/>
      <c r="AB491" s="297"/>
    </row>
    <row r="492">
      <c r="A492" s="134"/>
      <c r="B492" s="134"/>
      <c r="C492" s="68"/>
      <c r="D492" s="68"/>
      <c r="E492" s="68"/>
      <c r="F492" s="68"/>
      <c r="G492" s="68"/>
      <c r="H492" s="68"/>
      <c r="I492" s="221"/>
      <c r="J492" s="221"/>
      <c r="K492" s="221"/>
      <c r="L492" s="221"/>
      <c r="M492" s="221"/>
      <c r="N492" s="221"/>
      <c r="O492" s="221"/>
      <c r="P492" s="221"/>
      <c r="Q492" s="221"/>
      <c r="R492" s="221"/>
      <c r="S492" s="221"/>
      <c r="T492" s="221"/>
      <c r="U492" s="221"/>
      <c r="V492" s="221"/>
      <c r="W492" s="221"/>
      <c r="X492" s="221"/>
      <c r="Y492" s="221"/>
      <c r="Z492" s="221"/>
      <c r="AA492" s="221"/>
      <c r="AB492" s="297"/>
    </row>
    <row r="493">
      <c r="A493" s="134"/>
      <c r="B493" s="134"/>
      <c r="C493" s="68"/>
      <c r="D493" s="68"/>
      <c r="E493" s="68"/>
      <c r="F493" s="68"/>
      <c r="G493" s="68"/>
      <c r="H493" s="68"/>
      <c r="I493" s="221"/>
      <c r="J493" s="221"/>
      <c r="K493" s="221"/>
      <c r="L493" s="221"/>
      <c r="M493" s="221"/>
      <c r="N493" s="221"/>
      <c r="O493" s="221"/>
      <c r="P493" s="221"/>
      <c r="Q493" s="221"/>
      <c r="R493" s="221"/>
      <c r="S493" s="221"/>
      <c r="T493" s="221"/>
      <c r="U493" s="221"/>
      <c r="V493" s="221"/>
      <c r="W493" s="221"/>
      <c r="X493" s="221"/>
      <c r="Y493" s="221"/>
      <c r="Z493" s="221"/>
      <c r="AA493" s="221"/>
      <c r="AB493" s="297"/>
    </row>
    <row r="494">
      <c r="A494" s="134"/>
      <c r="B494" s="134"/>
      <c r="C494" s="68"/>
      <c r="D494" s="68"/>
      <c r="E494" s="68"/>
      <c r="F494" s="68"/>
      <c r="G494" s="68"/>
      <c r="H494" s="68"/>
      <c r="I494" s="221"/>
      <c r="J494" s="221"/>
      <c r="K494" s="221"/>
      <c r="L494" s="221"/>
      <c r="M494" s="221"/>
      <c r="N494" s="221"/>
      <c r="O494" s="221"/>
      <c r="P494" s="221"/>
      <c r="Q494" s="221"/>
      <c r="R494" s="221"/>
      <c r="S494" s="221"/>
      <c r="T494" s="221"/>
      <c r="U494" s="221"/>
      <c r="V494" s="221"/>
      <c r="W494" s="221"/>
      <c r="X494" s="221"/>
      <c r="Y494" s="221"/>
      <c r="Z494" s="221"/>
      <c r="AA494" s="221"/>
      <c r="AB494" s="297"/>
    </row>
    <row r="495">
      <c r="A495" s="134"/>
      <c r="B495" s="134"/>
      <c r="C495" s="68"/>
      <c r="D495" s="68"/>
      <c r="E495" s="68"/>
      <c r="F495" s="68"/>
      <c r="G495" s="68"/>
      <c r="H495" s="68"/>
      <c r="I495" s="221"/>
      <c r="J495" s="221"/>
      <c r="K495" s="221"/>
      <c r="L495" s="221"/>
      <c r="M495" s="221"/>
      <c r="N495" s="221"/>
      <c r="O495" s="221"/>
      <c r="P495" s="221"/>
      <c r="Q495" s="221"/>
      <c r="R495" s="221"/>
      <c r="S495" s="221"/>
      <c r="T495" s="221"/>
      <c r="U495" s="221"/>
      <c r="V495" s="221"/>
      <c r="W495" s="221"/>
      <c r="X495" s="221"/>
      <c r="Y495" s="221"/>
      <c r="Z495" s="221"/>
      <c r="AA495" s="221"/>
      <c r="AB495" s="297"/>
    </row>
    <row r="496">
      <c r="A496" s="134"/>
      <c r="B496" s="134"/>
      <c r="C496" s="68"/>
      <c r="D496" s="68"/>
      <c r="E496" s="68"/>
      <c r="F496" s="68"/>
      <c r="G496" s="68"/>
      <c r="H496" s="68"/>
      <c r="I496" s="221"/>
      <c r="J496" s="221"/>
      <c r="K496" s="221"/>
      <c r="L496" s="221"/>
      <c r="M496" s="221"/>
      <c r="N496" s="221"/>
      <c r="O496" s="221"/>
      <c r="P496" s="221"/>
      <c r="Q496" s="221"/>
      <c r="R496" s="221"/>
      <c r="S496" s="221"/>
      <c r="T496" s="221"/>
      <c r="U496" s="221"/>
      <c r="V496" s="221"/>
      <c r="W496" s="221"/>
      <c r="X496" s="221"/>
      <c r="Y496" s="221"/>
      <c r="Z496" s="221"/>
      <c r="AA496" s="221"/>
      <c r="AB496" s="297"/>
    </row>
    <row r="497">
      <c r="A497" s="134"/>
      <c r="B497" s="134"/>
      <c r="C497" s="68"/>
      <c r="D497" s="68"/>
      <c r="E497" s="68"/>
      <c r="F497" s="68"/>
      <c r="G497" s="68"/>
      <c r="H497" s="68"/>
      <c r="I497" s="221"/>
      <c r="J497" s="221"/>
      <c r="K497" s="221"/>
      <c r="L497" s="221"/>
      <c r="M497" s="221"/>
      <c r="N497" s="221"/>
      <c r="O497" s="221"/>
      <c r="P497" s="221"/>
      <c r="Q497" s="221"/>
      <c r="R497" s="221"/>
      <c r="S497" s="221"/>
      <c r="T497" s="221"/>
      <c r="U497" s="221"/>
      <c r="V497" s="221"/>
      <c r="W497" s="221"/>
      <c r="X497" s="221"/>
      <c r="Y497" s="221"/>
      <c r="Z497" s="221"/>
      <c r="AA497" s="221"/>
      <c r="AB497" s="297"/>
    </row>
    <row r="498">
      <c r="A498" s="134"/>
      <c r="B498" s="134"/>
      <c r="C498" s="68"/>
      <c r="D498" s="68"/>
      <c r="E498" s="68"/>
      <c r="F498" s="68"/>
      <c r="G498" s="68"/>
      <c r="H498" s="68"/>
      <c r="I498" s="221"/>
      <c r="J498" s="221"/>
      <c r="K498" s="221"/>
      <c r="L498" s="221"/>
      <c r="M498" s="221"/>
      <c r="N498" s="221"/>
      <c r="O498" s="221"/>
      <c r="P498" s="221"/>
      <c r="Q498" s="221"/>
      <c r="R498" s="221"/>
      <c r="S498" s="221"/>
      <c r="T498" s="221"/>
      <c r="U498" s="221"/>
      <c r="V498" s="221"/>
      <c r="W498" s="221"/>
      <c r="X498" s="221"/>
      <c r="Y498" s="221"/>
      <c r="Z498" s="221"/>
      <c r="AA498" s="221"/>
      <c r="AB498" s="297"/>
    </row>
    <row r="499">
      <c r="A499" s="134"/>
      <c r="B499" s="134"/>
      <c r="C499" s="68"/>
      <c r="D499" s="68"/>
      <c r="E499" s="68"/>
      <c r="F499" s="68"/>
      <c r="G499" s="68"/>
      <c r="H499" s="68"/>
      <c r="I499" s="221"/>
      <c r="J499" s="221"/>
      <c r="K499" s="221"/>
      <c r="L499" s="221"/>
      <c r="M499" s="221"/>
      <c r="N499" s="221"/>
      <c r="O499" s="221"/>
      <c r="P499" s="221"/>
      <c r="Q499" s="221"/>
      <c r="R499" s="221"/>
      <c r="S499" s="221"/>
      <c r="T499" s="221"/>
      <c r="U499" s="221"/>
      <c r="V499" s="221"/>
      <c r="W499" s="221"/>
      <c r="X499" s="221"/>
      <c r="Y499" s="221"/>
      <c r="Z499" s="221"/>
      <c r="AA499" s="221"/>
      <c r="AB499" s="297"/>
    </row>
    <row r="500">
      <c r="A500" s="134"/>
      <c r="B500" s="134"/>
      <c r="C500" s="68"/>
      <c r="D500" s="68"/>
      <c r="E500" s="68"/>
      <c r="F500" s="68"/>
      <c r="G500" s="68"/>
      <c r="H500" s="68"/>
      <c r="I500" s="221"/>
      <c r="J500" s="221"/>
      <c r="K500" s="221"/>
      <c r="L500" s="221"/>
      <c r="M500" s="221"/>
      <c r="N500" s="221"/>
      <c r="O500" s="221"/>
      <c r="P500" s="221"/>
      <c r="Q500" s="221"/>
      <c r="R500" s="221"/>
      <c r="S500" s="221"/>
      <c r="T500" s="221"/>
      <c r="U500" s="221"/>
      <c r="V500" s="221"/>
      <c r="W500" s="221"/>
      <c r="X500" s="221"/>
      <c r="Y500" s="221"/>
      <c r="Z500" s="221"/>
      <c r="AA500" s="221"/>
      <c r="AB500" s="297"/>
    </row>
    <row r="501">
      <c r="A501" s="134"/>
      <c r="B501" s="134"/>
      <c r="C501" s="68"/>
      <c r="D501" s="68"/>
      <c r="E501" s="68"/>
      <c r="F501" s="68"/>
      <c r="G501" s="68"/>
      <c r="H501" s="68"/>
      <c r="I501" s="221"/>
      <c r="J501" s="221"/>
      <c r="K501" s="221"/>
      <c r="L501" s="221"/>
      <c r="M501" s="221"/>
      <c r="N501" s="221"/>
      <c r="O501" s="221"/>
      <c r="P501" s="221"/>
      <c r="Q501" s="221"/>
      <c r="R501" s="221"/>
      <c r="S501" s="221"/>
      <c r="T501" s="221"/>
      <c r="U501" s="221"/>
      <c r="V501" s="221"/>
      <c r="W501" s="221"/>
      <c r="X501" s="221"/>
      <c r="Y501" s="221"/>
      <c r="Z501" s="221"/>
      <c r="AA501" s="221"/>
      <c r="AB501" s="297"/>
    </row>
    <row r="502">
      <c r="A502" s="134"/>
      <c r="B502" s="134"/>
      <c r="C502" s="68"/>
      <c r="D502" s="68"/>
      <c r="E502" s="68"/>
      <c r="F502" s="68"/>
      <c r="G502" s="68"/>
      <c r="H502" s="68"/>
      <c r="I502" s="221"/>
      <c r="J502" s="221"/>
      <c r="K502" s="221"/>
      <c r="L502" s="221"/>
      <c r="M502" s="221"/>
      <c r="N502" s="221"/>
      <c r="O502" s="221"/>
      <c r="P502" s="221"/>
      <c r="Q502" s="221"/>
      <c r="R502" s="221"/>
      <c r="S502" s="221"/>
      <c r="T502" s="221"/>
      <c r="U502" s="221"/>
      <c r="V502" s="221"/>
      <c r="W502" s="221"/>
      <c r="X502" s="221"/>
      <c r="Y502" s="221"/>
      <c r="Z502" s="221"/>
      <c r="AA502" s="221"/>
      <c r="AB502" s="297"/>
    </row>
    <row r="503">
      <c r="A503" s="134"/>
      <c r="B503" s="134"/>
      <c r="C503" s="68"/>
      <c r="D503" s="68"/>
      <c r="E503" s="68"/>
      <c r="F503" s="68"/>
      <c r="G503" s="68"/>
      <c r="H503" s="68"/>
      <c r="I503" s="221"/>
      <c r="J503" s="221"/>
      <c r="K503" s="221"/>
      <c r="L503" s="221"/>
      <c r="M503" s="221"/>
      <c r="N503" s="221"/>
      <c r="O503" s="221"/>
      <c r="P503" s="221"/>
      <c r="Q503" s="221"/>
      <c r="R503" s="221"/>
      <c r="S503" s="221"/>
      <c r="T503" s="221"/>
      <c r="U503" s="221"/>
      <c r="V503" s="221"/>
      <c r="W503" s="221"/>
      <c r="X503" s="221"/>
      <c r="Y503" s="221"/>
      <c r="Z503" s="221"/>
      <c r="AA503" s="221"/>
      <c r="AB503" s="297"/>
    </row>
    <row r="504">
      <c r="A504" s="134"/>
      <c r="B504" s="134"/>
      <c r="C504" s="68"/>
      <c r="D504" s="68"/>
      <c r="E504" s="68"/>
      <c r="F504" s="68"/>
      <c r="G504" s="68"/>
      <c r="H504" s="68"/>
      <c r="I504" s="221"/>
      <c r="J504" s="221"/>
      <c r="K504" s="221"/>
      <c r="L504" s="221"/>
      <c r="M504" s="221"/>
      <c r="N504" s="221"/>
      <c r="O504" s="221"/>
      <c r="P504" s="221"/>
      <c r="Q504" s="221"/>
      <c r="R504" s="221"/>
      <c r="S504" s="221"/>
      <c r="T504" s="221"/>
      <c r="U504" s="221"/>
      <c r="V504" s="221"/>
      <c r="W504" s="221"/>
      <c r="X504" s="221"/>
      <c r="Y504" s="221"/>
      <c r="Z504" s="221"/>
      <c r="AA504" s="221"/>
      <c r="AB504" s="297"/>
    </row>
    <row r="505">
      <c r="A505" s="134"/>
      <c r="B505" s="134"/>
      <c r="C505" s="68"/>
      <c r="D505" s="68"/>
      <c r="E505" s="68"/>
      <c r="F505" s="68"/>
      <c r="G505" s="68"/>
      <c r="H505" s="68"/>
      <c r="I505" s="221"/>
      <c r="J505" s="221"/>
      <c r="K505" s="221"/>
      <c r="L505" s="221"/>
      <c r="M505" s="221"/>
      <c r="N505" s="221"/>
      <c r="O505" s="221"/>
      <c r="P505" s="221"/>
      <c r="Q505" s="221"/>
      <c r="R505" s="221"/>
      <c r="S505" s="221"/>
      <c r="T505" s="221"/>
      <c r="U505" s="221"/>
      <c r="V505" s="221"/>
      <c r="W505" s="221"/>
      <c r="X505" s="221"/>
      <c r="Y505" s="221"/>
      <c r="Z505" s="221"/>
      <c r="AA505" s="221"/>
      <c r="AB505" s="297"/>
    </row>
    <row r="506">
      <c r="A506" s="134"/>
      <c r="B506" s="134"/>
      <c r="C506" s="68"/>
      <c r="D506" s="68"/>
      <c r="E506" s="68"/>
      <c r="F506" s="68"/>
      <c r="G506" s="68"/>
      <c r="H506" s="68"/>
      <c r="I506" s="221"/>
      <c r="J506" s="221"/>
      <c r="K506" s="221"/>
      <c r="L506" s="221"/>
      <c r="M506" s="221"/>
      <c r="N506" s="221"/>
      <c r="O506" s="221"/>
      <c r="P506" s="221"/>
      <c r="Q506" s="221"/>
      <c r="R506" s="221"/>
      <c r="S506" s="221"/>
      <c r="T506" s="221"/>
      <c r="U506" s="221"/>
      <c r="V506" s="221"/>
      <c r="W506" s="221"/>
      <c r="X506" s="221"/>
      <c r="Y506" s="221"/>
      <c r="Z506" s="221"/>
      <c r="AA506" s="221"/>
      <c r="AB506" s="297"/>
    </row>
    <row r="507">
      <c r="A507" s="134"/>
      <c r="B507" s="134"/>
      <c r="C507" s="68"/>
      <c r="D507" s="68"/>
      <c r="E507" s="68"/>
      <c r="F507" s="68"/>
      <c r="G507" s="68"/>
      <c r="H507" s="68"/>
      <c r="I507" s="221"/>
      <c r="J507" s="221"/>
      <c r="K507" s="221"/>
      <c r="L507" s="221"/>
      <c r="M507" s="221"/>
      <c r="N507" s="221"/>
      <c r="O507" s="221"/>
      <c r="P507" s="221"/>
      <c r="Q507" s="221"/>
      <c r="R507" s="221"/>
      <c r="S507" s="221"/>
      <c r="T507" s="221"/>
      <c r="U507" s="221"/>
      <c r="V507" s="221"/>
      <c r="W507" s="221"/>
      <c r="X507" s="221"/>
      <c r="Y507" s="221"/>
      <c r="Z507" s="221"/>
      <c r="AA507" s="221"/>
      <c r="AB507" s="297"/>
    </row>
    <row r="508">
      <c r="A508" s="134"/>
      <c r="B508" s="134"/>
      <c r="C508" s="68"/>
      <c r="D508" s="68"/>
      <c r="E508" s="68"/>
      <c r="F508" s="68"/>
      <c r="G508" s="68"/>
      <c r="H508" s="68"/>
      <c r="I508" s="221"/>
      <c r="J508" s="221"/>
      <c r="K508" s="221"/>
      <c r="L508" s="221"/>
      <c r="M508" s="221"/>
      <c r="N508" s="221"/>
      <c r="O508" s="221"/>
      <c r="P508" s="221"/>
      <c r="Q508" s="221"/>
      <c r="R508" s="221"/>
      <c r="S508" s="221"/>
      <c r="T508" s="221"/>
      <c r="U508" s="221"/>
      <c r="V508" s="221"/>
      <c r="W508" s="221"/>
      <c r="X508" s="221"/>
      <c r="Y508" s="221"/>
      <c r="Z508" s="221"/>
      <c r="AA508" s="221"/>
      <c r="AB508" s="297"/>
    </row>
    <row r="509">
      <c r="A509" s="134"/>
      <c r="B509" s="134"/>
      <c r="C509" s="68"/>
      <c r="D509" s="68"/>
      <c r="E509" s="68"/>
      <c r="F509" s="68"/>
      <c r="G509" s="68"/>
      <c r="H509" s="68"/>
      <c r="I509" s="221"/>
      <c r="J509" s="221"/>
      <c r="K509" s="221"/>
      <c r="L509" s="221"/>
      <c r="M509" s="221"/>
      <c r="N509" s="221"/>
      <c r="O509" s="221"/>
      <c r="P509" s="221"/>
      <c r="Q509" s="221"/>
      <c r="R509" s="221"/>
      <c r="S509" s="221"/>
      <c r="T509" s="221"/>
      <c r="U509" s="221"/>
      <c r="V509" s="221"/>
      <c r="W509" s="221"/>
      <c r="X509" s="221"/>
      <c r="Y509" s="221"/>
      <c r="Z509" s="221"/>
      <c r="AA509" s="221"/>
      <c r="AB509" s="297"/>
    </row>
    <row r="510">
      <c r="A510" s="134"/>
      <c r="B510" s="134"/>
      <c r="C510" s="68"/>
      <c r="D510" s="68"/>
      <c r="E510" s="68"/>
      <c r="F510" s="68"/>
      <c r="G510" s="68"/>
      <c r="H510" s="68"/>
      <c r="I510" s="221"/>
      <c r="J510" s="221"/>
      <c r="K510" s="221"/>
      <c r="L510" s="221"/>
      <c r="M510" s="221"/>
      <c r="N510" s="221"/>
      <c r="O510" s="221"/>
      <c r="P510" s="221"/>
      <c r="Q510" s="221"/>
      <c r="R510" s="221"/>
      <c r="S510" s="221"/>
      <c r="T510" s="221"/>
      <c r="U510" s="221"/>
      <c r="V510" s="221"/>
      <c r="W510" s="221"/>
      <c r="X510" s="221"/>
      <c r="Y510" s="221"/>
      <c r="Z510" s="221"/>
      <c r="AA510" s="221"/>
      <c r="AB510" s="297"/>
    </row>
    <row r="511">
      <c r="A511" s="134"/>
      <c r="B511" s="134"/>
      <c r="C511" s="68"/>
      <c r="D511" s="68"/>
      <c r="E511" s="68"/>
      <c r="F511" s="68"/>
      <c r="G511" s="68"/>
      <c r="H511" s="68"/>
      <c r="I511" s="221"/>
      <c r="J511" s="221"/>
      <c r="K511" s="221"/>
      <c r="L511" s="221"/>
      <c r="M511" s="221"/>
      <c r="N511" s="221"/>
      <c r="O511" s="221"/>
      <c r="P511" s="221"/>
      <c r="Q511" s="221"/>
      <c r="R511" s="221"/>
      <c r="S511" s="221"/>
      <c r="T511" s="221"/>
      <c r="U511" s="221"/>
      <c r="V511" s="221"/>
      <c r="W511" s="221"/>
      <c r="X511" s="221"/>
      <c r="Y511" s="221"/>
      <c r="Z511" s="221"/>
      <c r="AA511" s="221"/>
      <c r="AB511" s="297"/>
    </row>
    <row r="512">
      <c r="A512" s="134"/>
      <c r="B512" s="134"/>
      <c r="C512" s="68"/>
      <c r="D512" s="68"/>
      <c r="E512" s="68"/>
      <c r="F512" s="68"/>
      <c r="G512" s="68"/>
      <c r="H512" s="68"/>
      <c r="I512" s="221"/>
      <c r="J512" s="221"/>
      <c r="K512" s="221"/>
      <c r="L512" s="221"/>
      <c r="M512" s="221"/>
      <c r="N512" s="221"/>
      <c r="O512" s="221"/>
      <c r="P512" s="221"/>
      <c r="Q512" s="221"/>
      <c r="R512" s="221"/>
      <c r="S512" s="221"/>
      <c r="T512" s="221"/>
      <c r="U512" s="221"/>
      <c r="V512" s="221"/>
      <c r="W512" s="221"/>
      <c r="X512" s="221"/>
      <c r="Y512" s="221"/>
      <c r="Z512" s="221"/>
      <c r="AA512" s="221"/>
      <c r="AB512" s="297"/>
    </row>
    <row r="513">
      <c r="A513" s="134"/>
      <c r="B513" s="134"/>
      <c r="C513" s="68"/>
      <c r="D513" s="68"/>
      <c r="E513" s="68"/>
      <c r="F513" s="68"/>
      <c r="G513" s="68"/>
      <c r="H513" s="68"/>
      <c r="I513" s="221"/>
      <c r="J513" s="221"/>
      <c r="K513" s="221"/>
      <c r="L513" s="221"/>
      <c r="M513" s="221"/>
      <c r="N513" s="221"/>
      <c r="O513" s="221"/>
      <c r="P513" s="221"/>
      <c r="Q513" s="221"/>
      <c r="R513" s="221"/>
      <c r="S513" s="221"/>
      <c r="T513" s="221"/>
      <c r="U513" s="221"/>
      <c r="V513" s="221"/>
      <c r="W513" s="221"/>
      <c r="X513" s="221"/>
      <c r="Y513" s="221"/>
      <c r="Z513" s="221"/>
      <c r="AA513" s="221"/>
      <c r="AB513" s="297"/>
    </row>
    <row r="514">
      <c r="A514" s="134"/>
      <c r="B514" s="134"/>
      <c r="C514" s="68"/>
      <c r="D514" s="68"/>
      <c r="E514" s="68"/>
      <c r="F514" s="68"/>
      <c r="G514" s="68"/>
      <c r="H514" s="68"/>
      <c r="I514" s="221"/>
      <c r="J514" s="221"/>
      <c r="K514" s="221"/>
      <c r="L514" s="221"/>
      <c r="M514" s="221"/>
      <c r="N514" s="221"/>
      <c r="O514" s="221"/>
      <c r="P514" s="221"/>
      <c r="Q514" s="221"/>
      <c r="R514" s="221"/>
      <c r="S514" s="221"/>
      <c r="T514" s="221"/>
      <c r="U514" s="221"/>
      <c r="V514" s="221"/>
      <c r="W514" s="221"/>
      <c r="X514" s="221"/>
      <c r="Y514" s="221"/>
      <c r="Z514" s="221"/>
      <c r="AA514" s="221"/>
      <c r="AB514" s="297"/>
    </row>
    <row r="515">
      <c r="A515" s="134"/>
      <c r="B515" s="134"/>
      <c r="C515" s="68"/>
      <c r="D515" s="68"/>
      <c r="E515" s="68"/>
      <c r="F515" s="68"/>
      <c r="G515" s="68"/>
      <c r="H515" s="68"/>
      <c r="I515" s="221"/>
      <c r="J515" s="221"/>
      <c r="K515" s="221"/>
      <c r="L515" s="221"/>
      <c r="M515" s="221"/>
      <c r="N515" s="221"/>
      <c r="O515" s="221"/>
      <c r="P515" s="221"/>
      <c r="Q515" s="221"/>
      <c r="R515" s="221"/>
      <c r="S515" s="221"/>
      <c r="T515" s="221"/>
      <c r="U515" s="221"/>
      <c r="V515" s="221"/>
      <c r="W515" s="221"/>
      <c r="X515" s="221"/>
      <c r="Y515" s="221"/>
      <c r="Z515" s="221"/>
      <c r="AA515" s="221"/>
      <c r="AB515" s="297"/>
    </row>
    <row r="516">
      <c r="A516" s="134"/>
      <c r="B516" s="134"/>
      <c r="C516" s="68"/>
      <c r="D516" s="68"/>
      <c r="E516" s="68"/>
      <c r="F516" s="68"/>
      <c r="G516" s="68"/>
      <c r="H516" s="68"/>
      <c r="I516" s="221"/>
      <c r="J516" s="221"/>
      <c r="K516" s="221"/>
      <c r="L516" s="221"/>
      <c r="M516" s="221"/>
      <c r="N516" s="221"/>
      <c r="O516" s="221"/>
      <c r="P516" s="221"/>
      <c r="Q516" s="221"/>
      <c r="R516" s="221"/>
      <c r="S516" s="221"/>
      <c r="T516" s="221"/>
      <c r="U516" s="221"/>
      <c r="V516" s="221"/>
      <c r="W516" s="221"/>
      <c r="X516" s="221"/>
      <c r="Y516" s="221"/>
      <c r="Z516" s="221"/>
      <c r="AA516" s="221"/>
      <c r="AB516" s="297"/>
    </row>
    <row r="517">
      <c r="A517" s="134"/>
      <c r="B517" s="134"/>
      <c r="C517" s="68"/>
      <c r="D517" s="68"/>
      <c r="E517" s="68"/>
      <c r="F517" s="68"/>
      <c r="G517" s="68"/>
      <c r="H517" s="68"/>
      <c r="I517" s="221"/>
      <c r="J517" s="221"/>
      <c r="K517" s="221"/>
      <c r="L517" s="221"/>
      <c r="M517" s="221"/>
      <c r="N517" s="221"/>
      <c r="O517" s="221"/>
      <c r="P517" s="221"/>
      <c r="Q517" s="221"/>
      <c r="R517" s="221"/>
      <c r="S517" s="221"/>
      <c r="T517" s="221"/>
      <c r="U517" s="221"/>
      <c r="V517" s="221"/>
      <c r="W517" s="221"/>
      <c r="X517" s="221"/>
      <c r="Y517" s="221"/>
      <c r="Z517" s="221"/>
      <c r="AA517" s="221"/>
      <c r="AB517" s="297"/>
    </row>
    <row r="518">
      <c r="A518" s="134"/>
      <c r="B518" s="134"/>
      <c r="C518" s="68"/>
      <c r="D518" s="68"/>
      <c r="E518" s="68"/>
      <c r="F518" s="68"/>
      <c r="G518" s="68"/>
      <c r="H518" s="68"/>
      <c r="I518" s="221"/>
      <c r="J518" s="221"/>
      <c r="K518" s="221"/>
      <c r="L518" s="221"/>
      <c r="M518" s="221"/>
      <c r="N518" s="221"/>
      <c r="O518" s="221"/>
      <c r="P518" s="221"/>
      <c r="Q518" s="221"/>
      <c r="R518" s="221"/>
      <c r="S518" s="221"/>
      <c r="T518" s="221"/>
      <c r="U518" s="221"/>
      <c r="V518" s="221"/>
      <c r="W518" s="221"/>
      <c r="X518" s="221"/>
      <c r="Y518" s="221"/>
      <c r="Z518" s="221"/>
      <c r="AA518" s="221"/>
      <c r="AB518" s="297"/>
    </row>
    <row r="519">
      <c r="A519" s="134"/>
      <c r="B519" s="134"/>
      <c r="C519" s="68"/>
      <c r="D519" s="68"/>
      <c r="E519" s="68"/>
      <c r="F519" s="68"/>
      <c r="G519" s="68"/>
      <c r="H519" s="68"/>
      <c r="I519" s="221"/>
      <c r="J519" s="221"/>
      <c r="K519" s="221"/>
      <c r="L519" s="221"/>
      <c r="M519" s="221"/>
      <c r="N519" s="221"/>
      <c r="O519" s="221"/>
      <c r="P519" s="221"/>
      <c r="Q519" s="221"/>
      <c r="R519" s="221"/>
      <c r="S519" s="221"/>
      <c r="T519" s="221"/>
      <c r="U519" s="221"/>
      <c r="V519" s="221"/>
      <c r="W519" s="221"/>
      <c r="X519" s="221"/>
      <c r="Y519" s="221"/>
      <c r="Z519" s="221"/>
      <c r="AA519" s="221"/>
      <c r="AB519" s="297"/>
    </row>
    <row r="520">
      <c r="A520" s="134"/>
      <c r="B520" s="134"/>
      <c r="C520" s="68"/>
      <c r="D520" s="68"/>
      <c r="E520" s="68"/>
      <c r="F520" s="68"/>
      <c r="G520" s="68"/>
      <c r="H520" s="68"/>
      <c r="I520" s="221"/>
      <c r="J520" s="221"/>
      <c r="K520" s="221"/>
      <c r="L520" s="221"/>
      <c r="M520" s="221"/>
      <c r="N520" s="221"/>
      <c r="O520" s="221"/>
      <c r="P520" s="221"/>
      <c r="Q520" s="221"/>
      <c r="R520" s="221"/>
      <c r="S520" s="221"/>
      <c r="T520" s="221"/>
      <c r="U520" s="221"/>
      <c r="V520" s="221"/>
      <c r="W520" s="221"/>
      <c r="X520" s="221"/>
      <c r="Y520" s="221"/>
      <c r="Z520" s="221"/>
      <c r="AA520" s="221"/>
      <c r="AB520" s="297"/>
    </row>
    <row r="521">
      <c r="A521" s="134"/>
      <c r="B521" s="134"/>
      <c r="C521" s="68"/>
      <c r="D521" s="68"/>
      <c r="E521" s="68"/>
      <c r="F521" s="68"/>
      <c r="G521" s="68"/>
      <c r="H521" s="68"/>
      <c r="I521" s="221"/>
      <c r="J521" s="221"/>
      <c r="K521" s="221"/>
      <c r="L521" s="221"/>
      <c r="M521" s="221"/>
      <c r="N521" s="221"/>
      <c r="O521" s="221"/>
      <c r="P521" s="221"/>
      <c r="Q521" s="221"/>
      <c r="R521" s="221"/>
      <c r="S521" s="221"/>
      <c r="T521" s="221"/>
      <c r="U521" s="221"/>
      <c r="V521" s="221"/>
      <c r="W521" s="221"/>
      <c r="X521" s="221"/>
      <c r="Y521" s="221"/>
      <c r="Z521" s="221"/>
      <c r="AA521" s="221"/>
      <c r="AB521" s="297"/>
    </row>
    <row r="522">
      <c r="A522" s="134"/>
      <c r="B522" s="134"/>
      <c r="C522" s="68"/>
      <c r="D522" s="68"/>
      <c r="E522" s="68"/>
      <c r="F522" s="68"/>
      <c r="G522" s="68"/>
      <c r="H522" s="68"/>
      <c r="I522" s="221"/>
      <c r="J522" s="221"/>
      <c r="K522" s="221"/>
      <c r="L522" s="221"/>
      <c r="M522" s="221"/>
      <c r="N522" s="221"/>
      <c r="O522" s="221"/>
      <c r="P522" s="221"/>
      <c r="Q522" s="221"/>
      <c r="R522" s="221"/>
      <c r="S522" s="221"/>
      <c r="T522" s="221"/>
      <c r="U522" s="221"/>
      <c r="V522" s="221"/>
      <c r="W522" s="221"/>
      <c r="X522" s="221"/>
      <c r="Y522" s="221"/>
      <c r="Z522" s="221"/>
      <c r="AA522" s="221"/>
      <c r="AB522" s="297"/>
    </row>
    <row r="523">
      <c r="A523" s="134"/>
      <c r="B523" s="134"/>
      <c r="C523" s="68"/>
      <c r="D523" s="68"/>
      <c r="E523" s="68"/>
      <c r="F523" s="68"/>
      <c r="G523" s="68"/>
      <c r="H523" s="68"/>
      <c r="I523" s="221"/>
      <c r="J523" s="221"/>
      <c r="K523" s="221"/>
      <c r="L523" s="221"/>
      <c r="M523" s="221"/>
      <c r="N523" s="221"/>
      <c r="O523" s="221"/>
      <c r="P523" s="221"/>
      <c r="Q523" s="221"/>
      <c r="R523" s="221"/>
      <c r="S523" s="221"/>
      <c r="T523" s="221"/>
      <c r="U523" s="221"/>
      <c r="V523" s="221"/>
      <c r="W523" s="221"/>
      <c r="X523" s="221"/>
      <c r="Y523" s="221"/>
      <c r="Z523" s="221"/>
      <c r="AA523" s="221"/>
      <c r="AB523" s="297"/>
    </row>
    <row r="524">
      <c r="A524" s="134"/>
      <c r="B524" s="134"/>
      <c r="C524" s="68"/>
      <c r="D524" s="68"/>
      <c r="E524" s="68"/>
      <c r="F524" s="68"/>
      <c r="G524" s="68"/>
      <c r="H524" s="68"/>
      <c r="I524" s="221"/>
      <c r="J524" s="221"/>
      <c r="K524" s="221"/>
      <c r="L524" s="221"/>
      <c r="M524" s="221"/>
      <c r="N524" s="221"/>
      <c r="O524" s="221"/>
      <c r="P524" s="221"/>
      <c r="Q524" s="221"/>
      <c r="R524" s="221"/>
      <c r="S524" s="221"/>
      <c r="T524" s="221"/>
      <c r="U524" s="221"/>
      <c r="V524" s="221"/>
      <c r="W524" s="221"/>
      <c r="X524" s="221"/>
      <c r="Y524" s="221"/>
      <c r="Z524" s="221"/>
      <c r="AA524" s="221"/>
      <c r="AB524" s="297"/>
    </row>
    <row r="525">
      <c r="A525" s="134"/>
      <c r="B525" s="134"/>
      <c r="C525" s="68"/>
      <c r="D525" s="68"/>
      <c r="E525" s="68"/>
      <c r="F525" s="68"/>
      <c r="G525" s="68"/>
      <c r="H525" s="68"/>
      <c r="I525" s="221"/>
      <c r="J525" s="221"/>
      <c r="K525" s="221"/>
      <c r="L525" s="221"/>
      <c r="M525" s="221"/>
      <c r="N525" s="221"/>
      <c r="O525" s="221"/>
      <c r="P525" s="221"/>
      <c r="Q525" s="221"/>
      <c r="R525" s="221"/>
      <c r="S525" s="221"/>
      <c r="T525" s="221"/>
      <c r="U525" s="221"/>
      <c r="V525" s="221"/>
      <c r="W525" s="221"/>
      <c r="X525" s="221"/>
      <c r="Y525" s="221"/>
      <c r="Z525" s="221"/>
      <c r="AA525" s="221"/>
      <c r="AB525" s="297"/>
    </row>
    <row r="526">
      <c r="A526" s="134"/>
      <c r="B526" s="134"/>
      <c r="C526" s="68"/>
      <c r="D526" s="68"/>
      <c r="E526" s="68"/>
      <c r="F526" s="68"/>
      <c r="G526" s="68"/>
      <c r="H526" s="68"/>
      <c r="I526" s="221"/>
      <c r="J526" s="221"/>
      <c r="K526" s="221"/>
      <c r="L526" s="221"/>
      <c r="M526" s="221"/>
      <c r="N526" s="221"/>
      <c r="O526" s="221"/>
      <c r="P526" s="221"/>
      <c r="Q526" s="221"/>
      <c r="R526" s="221"/>
      <c r="S526" s="221"/>
      <c r="T526" s="221"/>
      <c r="U526" s="221"/>
      <c r="V526" s="221"/>
      <c r="W526" s="221"/>
      <c r="X526" s="221"/>
      <c r="Y526" s="221"/>
      <c r="Z526" s="221"/>
      <c r="AA526" s="221"/>
      <c r="AB526" s="297"/>
    </row>
    <row r="527">
      <c r="A527" s="134"/>
      <c r="B527" s="134"/>
      <c r="C527" s="68"/>
      <c r="D527" s="68"/>
      <c r="E527" s="68"/>
      <c r="F527" s="68"/>
      <c r="G527" s="68"/>
      <c r="H527" s="68"/>
      <c r="I527" s="221"/>
      <c r="J527" s="221"/>
      <c r="K527" s="221"/>
      <c r="L527" s="221"/>
      <c r="M527" s="221"/>
      <c r="N527" s="221"/>
      <c r="O527" s="221"/>
      <c r="P527" s="221"/>
      <c r="Q527" s="221"/>
      <c r="R527" s="221"/>
      <c r="S527" s="221"/>
      <c r="T527" s="221"/>
      <c r="U527" s="221"/>
      <c r="V527" s="221"/>
      <c r="W527" s="221"/>
      <c r="X527" s="221"/>
      <c r="Y527" s="221"/>
      <c r="Z527" s="221"/>
      <c r="AA527" s="221"/>
      <c r="AB527" s="297"/>
    </row>
    <row r="528">
      <c r="A528" s="134"/>
      <c r="B528" s="134"/>
      <c r="C528" s="68"/>
      <c r="D528" s="68"/>
      <c r="E528" s="68"/>
      <c r="F528" s="68"/>
      <c r="G528" s="68"/>
      <c r="H528" s="68"/>
      <c r="I528" s="221"/>
      <c r="J528" s="221"/>
      <c r="K528" s="221"/>
      <c r="L528" s="221"/>
      <c r="M528" s="221"/>
      <c r="N528" s="221"/>
      <c r="O528" s="221"/>
      <c r="P528" s="221"/>
      <c r="Q528" s="221"/>
      <c r="R528" s="221"/>
      <c r="S528" s="221"/>
      <c r="T528" s="221"/>
      <c r="U528" s="221"/>
      <c r="V528" s="221"/>
      <c r="W528" s="221"/>
      <c r="X528" s="221"/>
      <c r="Y528" s="221"/>
      <c r="Z528" s="221"/>
      <c r="AA528" s="221"/>
      <c r="AB528" s="297"/>
    </row>
    <row r="529">
      <c r="A529" s="134"/>
      <c r="B529" s="134"/>
      <c r="C529" s="68"/>
      <c r="D529" s="68"/>
      <c r="E529" s="68"/>
      <c r="F529" s="68"/>
      <c r="G529" s="68"/>
      <c r="H529" s="68"/>
      <c r="I529" s="221"/>
      <c r="J529" s="221"/>
      <c r="K529" s="221"/>
      <c r="L529" s="221"/>
      <c r="M529" s="221"/>
      <c r="N529" s="221"/>
      <c r="O529" s="221"/>
      <c r="P529" s="221"/>
      <c r="Q529" s="221"/>
      <c r="R529" s="221"/>
      <c r="S529" s="221"/>
      <c r="T529" s="221"/>
      <c r="U529" s="221"/>
      <c r="V529" s="221"/>
      <c r="W529" s="221"/>
      <c r="X529" s="221"/>
      <c r="Y529" s="221"/>
      <c r="Z529" s="221"/>
      <c r="AA529" s="221"/>
      <c r="AB529" s="297"/>
    </row>
    <row r="530">
      <c r="A530" s="134"/>
      <c r="B530" s="134"/>
      <c r="C530" s="68"/>
      <c r="D530" s="68"/>
      <c r="E530" s="68"/>
      <c r="F530" s="68"/>
      <c r="G530" s="68"/>
      <c r="H530" s="68"/>
      <c r="I530" s="221"/>
      <c r="J530" s="221"/>
      <c r="K530" s="221"/>
      <c r="L530" s="221"/>
      <c r="M530" s="221"/>
      <c r="N530" s="221"/>
      <c r="O530" s="221"/>
      <c r="P530" s="221"/>
      <c r="Q530" s="221"/>
      <c r="R530" s="221"/>
      <c r="S530" s="221"/>
      <c r="T530" s="221"/>
      <c r="U530" s="221"/>
      <c r="V530" s="221"/>
      <c r="W530" s="221"/>
      <c r="X530" s="221"/>
      <c r="Y530" s="221"/>
      <c r="Z530" s="221"/>
      <c r="AA530" s="221"/>
      <c r="AB530" s="297"/>
    </row>
    <row r="531">
      <c r="A531" s="134"/>
      <c r="B531" s="134"/>
      <c r="C531" s="68"/>
      <c r="D531" s="68"/>
      <c r="E531" s="68"/>
      <c r="F531" s="68"/>
      <c r="G531" s="68"/>
      <c r="H531" s="68"/>
      <c r="I531" s="221"/>
      <c r="J531" s="221"/>
      <c r="K531" s="221"/>
      <c r="L531" s="221"/>
      <c r="M531" s="221"/>
      <c r="N531" s="221"/>
      <c r="O531" s="221"/>
      <c r="P531" s="221"/>
      <c r="Q531" s="221"/>
      <c r="R531" s="221"/>
      <c r="S531" s="221"/>
      <c r="T531" s="221"/>
      <c r="U531" s="221"/>
      <c r="V531" s="221"/>
      <c r="W531" s="221"/>
      <c r="X531" s="221"/>
      <c r="Y531" s="221"/>
      <c r="Z531" s="221"/>
      <c r="AA531" s="221"/>
      <c r="AB531" s="297"/>
    </row>
    <row r="532">
      <c r="A532" s="134"/>
      <c r="B532" s="134"/>
      <c r="C532" s="68"/>
      <c r="D532" s="68"/>
      <c r="E532" s="68"/>
      <c r="F532" s="68"/>
      <c r="G532" s="68"/>
      <c r="H532" s="68"/>
      <c r="I532" s="221"/>
      <c r="J532" s="221"/>
      <c r="K532" s="221"/>
      <c r="L532" s="221"/>
      <c r="M532" s="221"/>
      <c r="N532" s="221"/>
      <c r="O532" s="221"/>
      <c r="P532" s="221"/>
      <c r="Q532" s="221"/>
      <c r="R532" s="221"/>
      <c r="S532" s="221"/>
      <c r="T532" s="221"/>
      <c r="U532" s="221"/>
      <c r="V532" s="221"/>
      <c r="W532" s="221"/>
      <c r="X532" s="221"/>
      <c r="Y532" s="221"/>
      <c r="Z532" s="221"/>
      <c r="AA532" s="221"/>
      <c r="AB532" s="297"/>
    </row>
    <row r="533">
      <c r="A533" s="134"/>
      <c r="B533" s="134"/>
      <c r="C533" s="68"/>
      <c r="D533" s="68"/>
      <c r="E533" s="68"/>
      <c r="F533" s="68"/>
      <c r="G533" s="68"/>
      <c r="H533" s="68"/>
      <c r="I533" s="221"/>
      <c r="J533" s="221"/>
      <c r="K533" s="221"/>
      <c r="L533" s="221"/>
      <c r="M533" s="221"/>
      <c r="N533" s="221"/>
      <c r="O533" s="221"/>
      <c r="P533" s="221"/>
      <c r="Q533" s="221"/>
      <c r="R533" s="221"/>
      <c r="S533" s="221"/>
      <c r="T533" s="221"/>
      <c r="U533" s="221"/>
      <c r="V533" s="221"/>
      <c r="W533" s="221"/>
      <c r="X533" s="221"/>
      <c r="Y533" s="221"/>
      <c r="Z533" s="221"/>
      <c r="AA533" s="221"/>
      <c r="AB533" s="297"/>
    </row>
    <row r="534">
      <c r="A534" s="134"/>
      <c r="B534" s="134"/>
      <c r="C534" s="68"/>
      <c r="D534" s="68"/>
      <c r="E534" s="68"/>
      <c r="F534" s="68"/>
      <c r="G534" s="68"/>
      <c r="H534" s="68"/>
      <c r="I534" s="221"/>
      <c r="J534" s="221"/>
      <c r="K534" s="221"/>
      <c r="L534" s="221"/>
      <c r="M534" s="221"/>
      <c r="N534" s="221"/>
      <c r="O534" s="221"/>
      <c r="P534" s="221"/>
      <c r="Q534" s="221"/>
      <c r="R534" s="221"/>
      <c r="S534" s="221"/>
      <c r="T534" s="221"/>
      <c r="U534" s="221"/>
      <c r="V534" s="221"/>
      <c r="W534" s="221"/>
      <c r="X534" s="221"/>
      <c r="Y534" s="221"/>
      <c r="Z534" s="221"/>
      <c r="AA534" s="221"/>
      <c r="AB534" s="297"/>
    </row>
    <row r="535">
      <c r="A535" s="134"/>
      <c r="B535" s="134"/>
      <c r="C535" s="68"/>
      <c r="D535" s="68"/>
      <c r="E535" s="68"/>
      <c r="F535" s="68"/>
      <c r="G535" s="68"/>
      <c r="H535" s="68"/>
      <c r="I535" s="221"/>
      <c r="J535" s="221"/>
      <c r="K535" s="221"/>
      <c r="L535" s="221"/>
      <c r="M535" s="221"/>
      <c r="N535" s="221"/>
      <c r="O535" s="221"/>
      <c r="P535" s="221"/>
      <c r="Q535" s="221"/>
      <c r="R535" s="221"/>
      <c r="S535" s="221"/>
      <c r="T535" s="221"/>
      <c r="U535" s="221"/>
      <c r="V535" s="221"/>
      <c r="W535" s="221"/>
      <c r="X535" s="221"/>
      <c r="Y535" s="221"/>
      <c r="Z535" s="221"/>
      <c r="AA535" s="221"/>
      <c r="AB535" s="297"/>
    </row>
    <row r="536">
      <c r="A536" s="134"/>
      <c r="B536" s="134"/>
      <c r="C536" s="68"/>
      <c r="D536" s="68"/>
      <c r="E536" s="68"/>
      <c r="F536" s="68"/>
      <c r="G536" s="68"/>
      <c r="H536" s="68"/>
      <c r="I536" s="221"/>
      <c r="J536" s="221"/>
      <c r="K536" s="221"/>
      <c r="L536" s="221"/>
      <c r="M536" s="221"/>
      <c r="N536" s="221"/>
      <c r="O536" s="221"/>
      <c r="P536" s="221"/>
      <c r="Q536" s="221"/>
      <c r="R536" s="221"/>
      <c r="S536" s="221"/>
      <c r="T536" s="221"/>
      <c r="U536" s="221"/>
      <c r="V536" s="221"/>
      <c r="W536" s="221"/>
      <c r="X536" s="221"/>
      <c r="Y536" s="221"/>
      <c r="Z536" s="221"/>
      <c r="AA536" s="221"/>
      <c r="AB536" s="297"/>
    </row>
    <row r="537">
      <c r="A537" s="134"/>
      <c r="B537" s="134"/>
      <c r="C537" s="68"/>
      <c r="D537" s="68"/>
      <c r="E537" s="68"/>
      <c r="F537" s="68"/>
      <c r="G537" s="68"/>
      <c r="H537" s="68"/>
      <c r="I537" s="221"/>
      <c r="J537" s="221"/>
      <c r="K537" s="221"/>
      <c r="L537" s="221"/>
      <c r="M537" s="221"/>
      <c r="N537" s="221"/>
      <c r="O537" s="221"/>
      <c r="P537" s="221"/>
      <c r="Q537" s="221"/>
      <c r="R537" s="221"/>
      <c r="S537" s="221"/>
      <c r="T537" s="221"/>
      <c r="U537" s="221"/>
      <c r="V537" s="221"/>
      <c r="W537" s="221"/>
      <c r="X537" s="221"/>
      <c r="Y537" s="221"/>
      <c r="Z537" s="221"/>
      <c r="AA537" s="221"/>
      <c r="AB537" s="297"/>
    </row>
    <row r="538">
      <c r="A538" s="134"/>
      <c r="B538" s="134"/>
      <c r="C538" s="68"/>
      <c r="D538" s="68"/>
      <c r="E538" s="68"/>
      <c r="F538" s="68"/>
      <c r="G538" s="68"/>
      <c r="H538" s="68"/>
      <c r="I538" s="221"/>
      <c r="J538" s="221"/>
      <c r="K538" s="221"/>
      <c r="L538" s="221"/>
      <c r="M538" s="221"/>
      <c r="N538" s="221"/>
      <c r="O538" s="221"/>
      <c r="P538" s="221"/>
      <c r="Q538" s="221"/>
      <c r="R538" s="221"/>
      <c r="S538" s="221"/>
      <c r="T538" s="221"/>
      <c r="U538" s="221"/>
      <c r="V538" s="221"/>
      <c r="W538" s="221"/>
      <c r="X538" s="221"/>
      <c r="Y538" s="221"/>
      <c r="Z538" s="221"/>
      <c r="AA538" s="221"/>
      <c r="AB538" s="297"/>
    </row>
    <row r="539">
      <c r="A539" s="134"/>
      <c r="B539" s="134"/>
      <c r="C539" s="68"/>
      <c r="D539" s="68"/>
      <c r="E539" s="68"/>
      <c r="F539" s="68"/>
      <c r="G539" s="68"/>
      <c r="H539" s="68"/>
      <c r="I539" s="221"/>
      <c r="J539" s="221"/>
      <c r="K539" s="221"/>
      <c r="L539" s="221"/>
      <c r="M539" s="221"/>
      <c r="N539" s="221"/>
      <c r="O539" s="221"/>
      <c r="P539" s="221"/>
      <c r="Q539" s="221"/>
      <c r="R539" s="221"/>
      <c r="S539" s="221"/>
      <c r="T539" s="221"/>
      <c r="U539" s="221"/>
      <c r="V539" s="221"/>
      <c r="W539" s="221"/>
      <c r="X539" s="221"/>
      <c r="Y539" s="221"/>
      <c r="Z539" s="221"/>
      <c r="AA539" s="221"/>
      <c r="AB539" s="297"/>
    </row>
    <row r="540">
      <c r="A540" s="134"/>
      <c r="B540" s="134"/>
      <c r="C540" s="68"/>
      <c r="D540" s="68"/>
      <c r="E540" s="68"/>
      <c r="F540" s="68"/>
      <c r="G540" s="68"/>
      <c r="H540" s="68"/>
      <c r="I540" s="221"/>
      <c r="J540" s="221"/>
      <c r="K540" s="221"/>
      <c r="L540" s="221"/>
      <c r="M540" s="221"/>
      <c r="N540" s="221"/>
      <c r="O540" s="221"/>
      <c r="P540" s="221"/>
      <c r="Q540" s="221"/>
      <c r="R540" s="221"/>
      <c r="S540" s="221"/>
      <c r="T540" s="221"/>
      <c r="U540" s="221"/>
      <c r="V540" s="221"/>
      <c r="W540" s="221"/>
      <c r="X540" s="221"/>
      <c r="Y540" s="221"/>
      <c r="Z540" s="221"/>
      <c r="AA540" s="221"/>
      <c r="AB540" s="297"/>
    </row>
    <row r="541">
      <c r="A541" s="134"/>
      <c r="B541" s="134"/>
      <c r="C541" s="68"/>
      <c r="D541" s="68"/>
      <c r="E541" s="68"/>
      <c r="F541" s="68"/>
      <c r="G541" s="68"/>
      <c r="H541" s="68"/>
      <c r="I541" s="221"/>
      <c r="J541" s="221"/>
      <c r="K541" s="221"/>
      <c r="L541" s="221"/>
      <c r="M541" s="221"/>
      <c r="N541" s="221"/>
      <c r="O541" s="221"/>
      <c r="P541" s="221"/>
      <c r="Q541" s="221"/>
      <c r="R541" s="221"/>
      <c r="S541" s="221"/>
      <c r="T541" s="221"/>
      <c r="U541" s="221"/>
      <c r="V541" s="221"/>
      <c r="W541" s="221"/>
      <c r="X541" s="221"/>
      <c r="Y541" s="221"/>
      <c r="Z541" s="221"/>
      <c r="AA541" s="221"/>
      <c r="AB541" s="297"/>
    </row>
    <row r="542">
      <c r="A542" s="134"/>
      <c r="B542" s="134"/>
      <c r="C542" s="68"/>
      <c r="D542" s="68"/>
      <c r="E542" s="68"/>
      <c r="F542" s="68"/>
      <c r="G542" s="68"/>
      <c r="H542" s="68"/>
      <c r="I542" s="221"/>
      <c r="J542" s="221"/>
      <c r="K542" s="221"/>
      <c r="L542" s="221"/>
      <c r="M542" s="221"/>
      <c r="N542" s="221"/>
      <c r="O542" s="221"/>
      <c r="P542" s="221"/>
      <c r="Q542" s="221"/>
      <c r="R542" s="221"/>
      <c r="S542" s="221"/>
      <c r="T542" s="221"/>
      <c r="U542" s="221"/>
      <c r="V542" s="221"/>
      <c r="W542" s="221"/>
      <c r="X542" s="221"/>
      <c r="Y542" s="221"/>
      <c r="Z542" s="221"/>
      <c r="AA542" s="221"/>
      <c r="AB542" s="297"/>
    </row>
    <row r="543">
      <c r="A543" s="134"/>
      <c r="B543" s="134"/>
      <c r="C543" s="68"/>
      <c r="D543" s="68"/>
      <c r="E543" s="68"/>
      <c r="F543" s="68"/>
      <c r="G543" s="68"/>
      <c r="H543" s="68"/>
      <c r="I543" s="221"/>
      <c r="J543" s="221"/>
      <c r="K543" s="221"/>
      <c r="L543" s="221"/>
      <c r="M543" s="221"/>
      <c r="N543" s="221"/>
      <c r="O543" s="221"/>
      <c r="P543" s="221"/>
      <c r="Q543" s="221"/>
      <c r="R543" s="221"/>
      <c r="S543" s="221"/>
      <c r="T543" s="221"/>
      <c r="U543" s="221"/>
      <c r="V543" s="221"/>
      <c r="W543" s="221"/>
      <c r="X543" s="221"/>
      <c r="Y543" s="221"/>
      <c r="Z543" s="221"/>
      <c r="AA543" s="221"/>
      <c r="AB543" s="297"/>
    </row>
    <row r="544">
      <c r="A544" s="134"/>
      <c r="B544" s="134"/>
      <c r="C544" s="68"/>
      <c r="D544" s="68"/>
      <c r="E544" s="68"/>
      <c r="F544" s="68"/>
      <c r="G544" s="68"/>
      <c r="H544" s="68"/>
      <c r="I544" s="221"/>
      <c r="J544" s="221"/>
      <c r="K544" s="221"/>
      <c r="L544" s="221"/>
      <c r="M544" s="221"/>
      <c r="N544" s="221"/>
      <c r="O544" s="221"/>
      <c r="P544" s="221"/>
      <c r="Q544" s="221"/>
      <c r="R544" s="221"/>
      <c r="S544" s="221"/>
      <c r="T544" s="221"/>
      <c r="U544" s="221"/>
      <c r="V544" s="221"/>
      <c r="W544" s="221"/>
      <c r="X544" s="221"/>
      <c r="Y544" s="221"/>
      <c r="Z544" s="221"/>
      <c r="AA544" s="221"/>
      <c r="AB544" s="297"/>
    </row>
    <row r="545">
      <c r="A545" s="134"/>
      <c r="B545" s="134"/>
      <c r="C545" s="68"/>
      <c r="D545" s="68"/>
      <c r="E545" s="68"/>
      <c r="F545" s="68"/>
      <c r="G545" s="68"/>
      <c r="H545" s="68"/>
      <c r="I545" s="221"/>
      <c r="J545" s="221"/>
      <c r="K545" s="221"/>
      <c r="L545" s="221"/>
      <c r="M545" s="221"/>
      <c r="N545" s="221"/>
      <c r="O545" s="221"/>
      <c r="P545" s="221"/>
      <c r="Q545" s="221"/>
      <c r="R545" s="221"/>
      <c r="S545" s="221"/>
      <c r="T545" s="221"/>
      <c r="U545" s="221"/>
      <c r="V545" s="221"/>
      <c r="W545" s="221"/>
      <c r="X545" s="221"/>
      <c r="Y545" s="221"/>
      <c r="Z545" s="221"/>
      <c r="AA545" s="221"/>
      <c r="AB545" s="297"/>
    </row>
    <row r="546">
      <c r="A546" s="134"/>
      <c r="B546" s="134"/>
      <c r="C546" s="68"/>
      <c r="D546" s="68"/>
      <c r="E546" s="68"/>
      <c r="F546" s="68"/>
      <c r="G546" s="68"/>
      <c r="H546" s="68"/>
      <c r="I546" s="221"/>
      <c r="J546" s="221"/>
      <c r="K546" s="221"/>
      <c r="L546" s="221"/>
      <c r="M546" s="221"/>
      <c r="N546" s="221"/>
      <c r="O546" s="221"/>
      <c r="P546" s="221"/>
      <c r="Q546" s="221"/>
      <c r="R546" s="221"/>
      <c r="S546" s="221"/>
      <c r="T546" s="221"/>
      <c r="U546" s="221"/>
      <c r="V546" s="221"/>
      <c r="W546" s="221"/>
      <c r="X546" s="221"/>
      <c r="Y546" s="221"/>
      <c r="Z546" s="221"/>
      <c r="AA546" s="221"/>
      <c r="AB546" s="297"/>
    </row>
    <row r="547">
      <c r="A547" s="134"/>
      <c r="B547" s="134"/>
      <c r="C547" s="68"/>
      <c r="D547" s="68"/>
      <c r="E547" s="68"/>
      <c r="F547" s="68"/>
      <c r="G547" s="68"/>
      <c r="H547" s="68"/>
      <c r="I547" s="221"/>
      <c r="J547" s="221"/>
      <c r="K547" s="221"/>
      <c r="L547" s="221"/>
      <c r="M547" s="221"/>
      <c r="N547" s="221"/>
      <c r="O547" s="221"/>
      <c r="P547" s="221"/>
      <c r="Q547" s="221"/>
      <c r="R547" s="221"/>
      <c r="S547" s="221"/>
      <c r="T547" s="221"/>
      <c r="U547" s="221"/>
      <c r="V547" s="221"/>
      <c r="W547" s="221"/>
      <c r="X547" s="221"/>
      <c r="Y547" s="221"/>
      <c r="Z547" s="221"/>
      <c r="AA547" s="221"/>
      <c r="AB547" s="297"/>
    </row>
    <row r="548">
      <c r="A548" s="134"/>
      <c r="B548" s="134"/>
      <c r="C548" s="68"/>
      <c r="D548" s="68"/>
      <c r="E548" s="68"/>
      <c r="F548" s="68"/>
      <c r="G548" s="68"/>
      <c r="H548" s="68"/>
      <c r="I548" s="221"/>
      <c r="J548" s="221"/>
      <c r="K548" s="221"/>
      <c r="L548" s="221"/>
      <c r="M548" s="221"/>
      <c r="N548" s="221"/>
      <c r="O548" s="221"/>
      <c r="P548" s="221"/>
      <c r="Q548" s="221"/>
      <c r="R548" s="221"/>
      <c r="S548" s="221"/>
      <c r="T548" s="221"/>
      <c r="U548" s="221"/>
      <c r="V548" s="221"/>
      <c r="W548" s="221"/>
      <c r="X548" s="221"/>
      <c r="Y548" s="221"/>
      <c r="Z548" s="221"/>
      <c r="AA548" s="221"/>
      <c r="AB548" s="297"/>
    </row>
    <row r="549">
      <c r="A549" s="134"/>
      <c r="B549" s="134"/>
      <c r="C549" s="68"/>
      <c r="D549" s="68"/>
      <c r="E549" s="68"/>
      <c r="F549" s="68"/>
      <c r="G549" s="68"/>
      <c r="H549" s="68"/>
      <c r="I549" s="221"/>
      <c r="J549" s="221"/>
      <c r="K549" s="221"/>
      <c r="L549" s="221"/>
      <c r="M549" s="221"/>
      <c r="N549" s="221"/>
      <c r="O549" s="221"/>
      <c r="P549" s="221"/>
      <c r="Q549" s="221"/>
      <c r="R549" s="221"/>
      <c r="S549" s="221"/>
      <c r="T549" s="221"/>
      <c r="U549" s="221"/>
      <c r="V549" s="221"/>
      <c r="W549" s="221"/>
      <c r="X549" s="221"/>
      <c r="Y549" s="221"/>
      <c r="Z549" s="221"/>
      <c r="AA549" s="221"/>
      <c r="AB549" s="297"/>
    </row>
    <row r="550">
      <c r="A550" s="134"/>
      <c r="B550" s="134"/>
      <c r="C550" s="68"/>
      <c r="D550" s="68"/>
      <c r="E550" s="68"/>
      <c r="F550" s="68"/>
      <c r="G550" s="68"/>
      <c r="H550" s="68"/>
      <c r="I550" s="221"/>
      <c r="J550" s="221"/>
      <c r="K550" s="221"/>
      <c r="L550" s="221"/>
      <c r="M550" s="221"/>
      <c r="N550" s="221"/>
      <c r="O550" s="221"/>
      <c r="P550" s="221"/>
      <c r="Q550" s="221"/>
      <c r="R550" s="221"/>
      <c r="S550" s="221"/>
      <c r="T550" s="221"/>
      <c r="U550" s="221"/>
      <c r="V550" s="221"/>
      <c r="W550" s="221"/>
      <c r="X550" s="221"/>
      <c r="Y550" s="221"/>
      <c r="Z550" s="221"/>
      <c r="AA550" s="221"/>
      <c r="AB550" s="297"/>
    </row>
    <row r="551">
      <c r="A551" s="134"/>
      <c r="B551" s="134"/>
      <c r="C551" s="68"/>
      <c r="D551" s="68"/>
      <c r="E551" s="68"/>
      <c r="F551" s="68"/>
      <c r="G551" s="68"/>
      <c r="H551" s="68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97"/>
    </row>
    <row r="552">
      <c r="A552" s="134"/>
      <c r="B552" s="134"/>
      <c r="C552" s="68"/>
      <c r="D552" s="68"/>
      <c r="E552" s="68"/>
      <c r="F552" s="68"/>
      <c r="G552" s="68"/>
      <c r="H552" s="68"/>
      <c r="I552" s="221"/>
      <c r="J552" s="221"/>
      <c r="K552" s="221"/>
      <c r="L552" s="221"/>
      <c r="M552" s="221"/>
      <c r="N552" s="221"/>
      <c r="O552" s="221"/>
      <c r="P552" s="221"/>
      <c r="Q552" s="221"/>
      <c r="R552" s="221"/>
      <c r="S552" s="221"/>
      <c r="T552" s="221"/>
      <c r="U552" s="221"/>
      <c r="V552" s="221"/>
      <c r="W552" s="221"/>
      <c r="X552" s="221"/>
      <c r="Y552" s="221"/>
      <c r="Z552" s="221"/>
      <c r="AA552" s="221"/>
      <c r="AB552" s="297"/>
    </row>
    <row r="553">
      <c r="A553" s="134"/>
      <c r="B553" s="134"/>
      <c r="C553" s="68"/>
      <c r="D553" s="68"/>
      <c r="E553" s="68"/>
      <c r="F553" s="68"/>
      <c r="G553" s="68"/>
      <c r="H553" s="68"/>
      <c r="I553" s="221"/>
      <c r="J553" s="221"/>
      <c r="K553" s="221"/>
      <c r="L553" s="221"/>
      <c r="M553" s="221"/>
      <c r="N553" s="221"/>
      <c r="O553" s="221"/>
      <c r="P553" s="221"/>
      <c r="Q553" s="221"/>
      <c r="R553" s="221"/>
      <c r="S553" s="221"/>
      <c r="T553" s="221"/>
      <c r="U553" s="221"/>
      <c r="V553" s="221"/>
      <c r="W553" s="221"/>
      <c r="X553" s="221"/>
      <c r="Y553" s="221"/>
      <c r="Z553" s="221"/>
      <c r="AA553" s="221"/>
      <c r="AB553" s="297"/>
    </row>
    <row r="554">
      <c r="A554" s="134"/>
      <c r="B554" s="134"/>
      <c r="C554" s="68"/>
      <c r="D554" s="68"/>
      <c r="E554" s="68"/>
      <c r="F554" s="68"/>
      <c r="G554" s="68"/>
      <c r="H554" s="68"/>
      <c r="I554" s="221"/>
      <c r="J554" s="221"/>
      <c r="K554" s="221"/>
      <c r="L554" s="221"/>
      <c r="M554" s="221"/>
      <c r="N554" s="221"/>
      <c r="O554" s="221"/>
      <c r="P554" s="221"/>
      <c r="Q554" s="221"/>
      <c r="R554" s="221"/>
      <c r="S554" s="221"/>
      <c r="T554" s="221"/>
      <c r="U554" s="221"/>
      <c r="V554" s="221"/>
      <c r="W554" s="221"/>
      <c r="X554" s="221"/>
      <c r="Y554" s="221"/>
      <c r="Z554" s="221"/>
      <c r="AA554" s="221"/>
      <c r="AB554" s="297"/>
    </row>
    <row r="555">
      <c r="A555" s="134"/>
      <c r="B555" s="134"/>
      <c r="C555" s="68"/>
      <c r="D555" s="68"/>
      <c r="E555" s="68"/>
      <c r="F555" s="68"/>
      <c r="G555" s="68"/>
      <c r="H555" s="68"/>
      <c r="I555" s="221"/>
      <c r="J555" s="221"/>
      <c r="K555" s="221"/>
      <c r="L555" s="221"/>
      <c r="M555" s="221"/>
      <c r="N555" s="221"/>
      <c r="O555" s="221"/>
      <c r="P555" s="221"/>
      <c r="Q555" s="221"/>
      <c r="R555" s="221"/>
      <c r="S555" s="221"/>
      <c r="T555" s="221"/>
      <c r="U555" s="221"/>
      <c r="V555" s="221"/>
      <c r="W555" s="221"/>
      <c r="X555" s="221"/>
      <c r="Y555" s="221"/>
      <c r="Z555" s="221"/>
      <c r="AA555" s="221"/>
      <c r="AB555" s="297"/>
    </row>
    <row r="556">
      <c r="A556" s="134"/>
      <c r="B556" s="134"/>
      <c r="C556" s="68"/>
      <c r="D556" s="68"/>
      <c r="E556" s="68"/>
      <c r="F556" s="68"/>
      <c r="G556" s="68"/>
      <c r="H556" s="68"/>
      <c r="I556" s="221"/>
      <c r="J556" s="221"/>
      <c r="K556" s="221"/>
      <c r="L556" s="221"/>
      <c r="M556" s="221"/>
      <c r="N556" s="221"/>
      <c r="O556" s="221"/>
      <c r="P556" s="221"/>
      <c r="Q556" s="221"/>
      <c r="R556" s="221"/>
      <c r="S556" s="221"/>
      <c r="T556" s="221"/>
      <c r="U556" s="221"/>
      <c r="V556" s="221"/>
      <c r="W556" s="221"/>
      <c r="X556" s="221"/>
      <c r="Y556" s="221"/>
      <c r="Z556" s="221"/>
      <c r="AA556" s="221"/>
      <c r="AB556" s="297"/>
    </row>
    <row r="557">
      <c r="A557" s="134"/>
      <c r="B557" s="134"/>
      <c r="C557" s="68"/>
      <c r="D557" s="68"/>
      <c r="E557" s="68"/>
      <c r="F557" s="68"/>
      <c r="G557" s="68"/>
      <c r="H557" s="68"/>
      <c r="I557" s="221"/>
      <c r="J557" s="221"/>
      <c r="K557" s="221"/>
      <c r="L557" s="221"/>
      <c r="M557" s="221"/>
      <c r="N557" s="221"/>
      <c r="O557" s="221"/>
      <c r="P557" s="221"/>
      <c r="Q557" s="221"/>
      <c r="R557" s="221"/>
      <c r="S557" s="221"/>
      <c r="T557" s="221"/>
      <c r="U557" s="221"/>
      <c r="V557" s="221"/>
      <c r="W557" s="221"/>
      <c r="X557" s="221"/>
      <c r="Y557" s="221"/>
      <c r="Z557" s="221"/>
      <c r="AA557" s="221"/>
      <c r="AB557" s="297"/>
    </row>
    <row r="558">
      <c r="A558" s="134"/>
      <c r="B558" s="134"/>
      <c r="C558" s="68"/>
      <c r="D558" s="68"/>
      <c r="E558" s="68"/>
      <c r="F558" s="68"/>
      <c r="G558" s="68"/>
      <c r="H558" s="68"/>
      <c r="I558" s="221"/>
      <c r="J558" s="221"/>
      <c r="K558" s="221"/>
      <c r="L558" s="221"/>
      <c r="M558" s="221"/>
      <c r="N558" s="221"/>
      <c r="O558" s="221"/>
      <c r="P558" s="221"/>
      <c r="Q558" s="221"/>
      <c r="R558" s="221"/>
      <c r="S558" s="221"/>
      <c r="T558" s="221"/>
      <c r="U558" s="221"/>
      <c r="V558" s="221"/>
      <c r="W558" s="221"/>
      <c r="X558" s="221"/>
      <c r="Y558" s="221"/>
      <c r="Z558" s="221"/>
      <c r="AA558" s="221"/>
      <c r="AB558" s="297"/>
    </row>
    <row r="559">
      <c r="A559" s="134"/>
      <c r="B559" s="134"/>
      <c r="C559" s="68"/>
      <c r="D559" s="68"/>
      <c r="E559" s="68"/>
      <c r="F559" s="68"/>
      <c r="G559" s="68"/>
      <c r="H559" s="68"/>
      <c r="I559" s="221"/>
      <c r="J559" s="221"/>
      <c r="K559" s="221"/>
      <c r="L559" s="221"/>
      <c r="M559" s="221"/>
      <c r="N559" s="221"/>
      <c r="O559" s="221"/>
      <c r="P559" s="221"/>
      <c r="Q559" s="221"/>
      <c r="R559" s="221"/>
      <c r="S559" s="221"/>
      <c r="T559" s="221"/>
      <c r="U559" s="221"/>
      <c r="V559" s="221"/>
      <c r="W559" s="221"/>
      <c r="X559" s="221"/>
      <c r="Y559" s="221"/>
      <c r="Z559" s="221"/>
      <c r="AA559" s="221"/>
      <c r="AB559" s="297"/>
    </row>
    <row r="560">
      <c r="A560" s="134"/>
      <c r="B560" s="134"/>
      <c r="C560" s="68"/>
      <c r="D560" s="68"/>
      <c r="E560" s="68"/>
      <c r="F560" s="68"/>
      <c r="G560" s="68"/>
      <c r="H560" s="68"/>
      <c r="I560" s="221"/>
      <c r="J560" s="221"/>
      <c r="K560" s="221"/>
      <c r="L560" s="221"/>
      <c r="M560" s="221"/>
      <c r="N560" s="221"/>
      <c r="O560" s="221"/>
      <c r="P560" s="221"/>
      <c r="Q560" s="221"/>
      <c r="R560" s="221"/>
      <c r="S560" s="221"/>
      <c r="T560" s="221"/>
      <c r="U560" s="221"/>
      <c r="V560" s="221"/>
      <c r="W560" s="221"/>
      <c r="X560" s="221"/>
      <c r="Y560" s="221"/>
      <c r="Z560" s="221"/>
      <c r="AA560" s="221"/>
      <c r="AB560" s="297"/>
    </row>
    <row r="561">
      <c r="A561" s="134"/>
      <c r="B561" s="134"/>
      <c r="C561" s="68"/>
      <c r="D561" s="68"/>
      <c r="E561" s="68"/>
      <c r="F561" s="68"/>
      <c r="G561" s="68"/>
      <c r="H561" s="68"/>
      <c r="I561" s="221"/>
      <c r="J561" s="221"/>
      <c r="K561" s="221"/>
      <c r="L561" s="221"/>
      <c r="M561" s="221"/>
      <c r="N561" s="221"/>
      <c r="O561" s="221"/>
      <c r="P561" s="221"/>
      <c r="Q561" s="221"/>
      <c r="R561" s="221"/>
      <c r="S561" s="221"/>
      <c r="T561" s="221"/>
      <c r="U561" s="221"/>
      <c r="V561" s="221"/>
      <c r="W561" s="221"/>
      <c r="X561" s="221"/>
      <c r="Y561" s="221"/>
      <c r="Z561" s="221"/>
      <c r="AA561" s="221"/>
      <c r="AB561" s="297"/>
    </row>
    <row r="562">
      <c r="A562" s="134"/>
      <c r="B562" s="134"/>
      <c r="C562" s="68"/>
      <c r="D562" s="68"/>
      <c r="E562" s="68"/>
      <c r="F562" s="68"/>
      <c r="G562" s="68"/>
      <c r="H562" s="68"/>
      <c r="I562" s="221"/>
      <c r="J562" s="221"/>
      <c r="K562" s="221"/>
      <c r="L562" s="221"/>
      <c r="M562" s="221"/>
      <c r="N562" s="221"/>
      <c r="O562" s="221"/>
      <c r="P562" s="221"/>
      <c r="Q562" s="221"/>
      <c r="R562" s="221"/>
      <c r="S562" s="221"/>
      <c r="T562" s="221"/>
      <c r="U562" s="221"/>
      <c r="V562" s="221"/>
      <c r="W562" s="221"/>
      <c r="X562" s="221"/>
      <c r="Y562" s="221"/>
      <c r="Z562" s="221"/>
      <c r="AA562" s="221"/>
      <c r="AB562" s="297"/>
    </row>
    <row r="563">
      <c r="A563" s="134"/>
      <c r="B563" s="134"/>
      <c r="C563" s="68"/>
      <c r="D563" s="68"/>
      <c r="E563" s="68"/>
      <c r="F563" s="68"/>
      <c r="G563" s="68"/>
      <c r="H563" s="68"/>
      <c r="I563" s="221"/>
      <c r="J563" s="221"/>
      <c r="K563" s="221"/>
      <c r="L563" s="221"/>
      <c r="M563" s="221"/>
      <c r="N563" s="221"/>
      <c r="O563" s="221"/>
      <c r="P563" s="221"/>
      <c r="Q563" s="221"/>
      <c r="R563" s="221"/>
      <c r="S563" s="221"/>
      <c r="T563" s="221"/>
      <c r="U563" s="221"/>
      <c r="V563" s="221"/>
      <c r="W563" s="221"/>
      <c r="X563" s="221"/>
      <c r="Y563" s="221"/>
      <c r="Z563" s="221"/>
      <c r="AA563" s="221"/>
      <c r="AB563" s="297"/>
    </row>
    <row r="564">
      <c r="A564" s="134"/>
      <c r="B564" s="134"/>
      <c r="C564" s="68"/>
      <c r="D564" s="68"/>
      <c r="E564" s="68"/>
      <c r="F564" s="68"/>
      <c r="G564" s="68"/>
      <c r="H564" s="68"/>
      <c r="I564" s="221"/>
      <c r="J564" s="221"/>
      <c r="K564" s="221"/>
      <c r="L564" s="221"/>
      <c r="M564" s="221"/>
      <c r="N564" s="221"/>
      <c r="O564" s="221"/>
      <c r="P564" s="221"/>
      <c r="Q564" s="221"/>
      <c r="R564" s="221"/>
      <c r="S564" s="221"/>
      <c r="T564" s="221"/>
      <c r="U564" s="221"/>
      <c r="V564" s="221"/>
      <c r="W564" s="221"/>
      <c r="X564" s="221"/>
      <c r="Y564" s="221"/>
      <c r="Z564" s="221"/>
      <c r="AA564" s="221"/>
      <c r="AB564" s="297"/>
    </row>
    <row r="565">
      <c r="A565" s="134"/>
      <c r="B565" s="134"/>
      <c r="C565" s="68"/>
      <c r="D565" s="68"/>
      <c r="E565" s="68"/>
      <c r="F565" s="68"/>
      <c r="G565" s="68"/>
      <c r="H565" s="68"/>
      <c r="I565" s="221"/>
      <c r="J565" s="221"/>
      <c r="K565" s="221"/>
      <c r="L565" s="221"/>
      <c r="M565" s="221"/>
      <c r="N565" s="221"/>
      <c r="O565" s="221"/>
      <c r="P565" s="221"/>
      <c r="Q565" s="221"/>
      <c r="R565" s="221"/>
      <c r="S565" s="221"/>
      <c r="T565" s="221"/>
      <c r="U565" s="221"/>
      <c r="V565" s="221"/>
      <c r="W565" s="221"/>
      <c r="X565" s="221"/>
      <c r="Y565" s="221"/>
      <c r="Z565" s="221"/>
      <c r="AA565" s="221"/>
      <c r="AB565" s="297"/>
    </row>
    <row r="566">
      <c r="A566" s="134"/>
      <c r="B566" s="134"/>
      <c r="C566" s="68"/>
      <c r="D566" s="68"/>
      <c r="E566" s="68"/>
      <c r="F566" s="68"/>
      <c r="G566" s="68"/>
      <c r="H566" s="68"/>
      <c r="I566" s="221"/>
      <c r="J566" s="221"/>
      <c r="K566" s="221"/>
      <c r="L566" s="221"/>
      <c r="M566" s="221"/>
      <c r="N566" s="221"/>
      <c r="O566" s="221"/>
      <c r="P566" s="221"/>
      <c r="Q566" s="221"/>
      <c r="R566" s="221"/>
      <c r="S566" s="221"/>
      <c r="T566" s="221"/>
      <c r="U566" s="221"/>
      <c r="V566" s="221"/>
      <c r="W566" s="221"/>
      <c r="X566" s="221"/>
      <c r="Y566" s="221"/>
      <c r="Z566" s="221"/>
      <c r="AA566" s="221"/>
      <c r="AB566" s="297"/>
    </row>
    <row r="567">
      <c r="A567" s="134"/>
      <c r="B567" s="134"/>
      <c r="C567" s="68"/>
      <c r="D567" s="68"/>
      <c r="E567" s="68"/>
      <c r="F567" s="68"/>
      <c r="G567" s="68"/>
      <c r="H567" s="68"/>
      <c r="I567" s="221"/>
      <c r="J567" s="221"/>
      <c r="K567" s="221"/>
      <c r="L567" s="221"/>
      <c r="M567" s="221"/>
      <c r="N567" s="221"/>
      <c r="O567" s="221"/>
      <c r="P567" s="221"/>
      <c r="Q567" s="221"/>
      <c r="R567" s="221"/>
      <c r="S567" s="221"/>
      <c r="T567" s="221"/>
      <c r="U567" s="221"/>
      <c r="V567" s="221"/>
      <c r="W567" s="221"/>
      <c r="X567" s="221"/>
      <c r="Y567" s="221"/>
      <c r="Z567" s="221"/>
      <c r="AA567" s="221"/>
      <c r="AB567" s="297"/>
    </row>
    <row r="568">
      <c r="A568" s="134"/>
      <c r="B568" s="134"/>
      <c r="C568" s="68"/>
      <c r="D568" s="68"/>
      <c r="E568" s="68"/>
      <c r="F568" s="68"/>
      <c r="G568" s="68"/>
      <c r="H568" s="68"/>
      <c r="I568" s="221"/>
      <c r="J568" s="221"/>
      <c r="K568" s="221"/>
      <c r="L568" s="221"/>
      <c r="M568" s="221"/>
      <c r="N568" s="221"/>
      <c r="O568" s="221"/>
      <c r="P568" s="221"/>
      <c r="Q568" s="221"/>
      <c r="R568" s="221"/>
      <c r="S568" s="221"/>
      <c r="T568" s="221"/>
      <c r="U568" s="221"/>
      <c r="V568" s="221"/>
      <c r="W568" s="221"/>
      <c r="X568" s="221"/>
      <c r="Y568" s="221"/>
      <c r="Z568" s="221"/>
      <c r="AA568" s="221"/>
      <c r="AB568" s="297"/>
    </row>
    <row r="569">
      <c r="A569" s="134"/>
      <c r="B569" s="134"/>
      <c r="C569" s="68"/>
      <c r="D569" s="68"/>
      <c r="E569" s="68"/>
      <c r="F569" s="68"/>
      <c r="G569" s="68"/>
      <c r="H569" s="68"/>
      <c r="I569" s="221"/>
      <c r="J569" s="221"/>
      <c r="K569" s="221"/>
      <c r="L569" s="221"/>
      <c r="M569" s="221"/>
      <c r="N569" s="221"/>
      <c r="O569" s="221"/>
      <c r="P569" s="221"/>
      <c r="Q569" s="221"/>
      <c r="R569" s="221"/>
      <c r="S569" s="221"/>
      <c r="T569" s="221"/>
      <c r="U569" s="221"/>
      <c r="V569" s="221"/>
      <c r="W569" s="221"/>
      <c r="X569" s="221"/>
      <c r="Y569" s="221"/>
      <c r="Z569" s="221"/>
      <c r="AA569" s="221"/>
      <c r="AB569" s="297"/>
    </row>
    <row r="570">
      <c r="A570" s="134"/>
      <c r="B570" s="134"/>
      <c r="C570" s="68"/>
      <c r="D570" s="68"/>
      <c r="E570" s="68"/>
      <c r="F570" s="68"/>
      <c r="G570" s="68"/>
      <c r="H570" s="68"/>
      <c r="I570" s="221"/>
      <c r="J570" s="221"/>
      <c r="K570" s="221"/>
      <c r="L570" s="221"/>
      <c r="M570" s="221"/>
      <c r="N570" s="221"/>
      <c r="O570" s="221"/>
      <c r="P570" s="221"/>
      <c r="Q570" s="221"/>
      <c r="R570" s="221"/>
      <c r="S570" s="221"/>
      <c r="T570" s="221"/>
      <c r="U570" s="221"/>
      <c r="V570" s="221"/>
      <c r="W570" s="221"/>
      <c r="X570" s="221"/>
      <c r="Y570" s="221"/>
      <c r="Z570" s="221"/>
      <c r="AA570" s="221"/>
      <c r="AB570" s="297"/>
    </row>
    <row r="571">
      <c r="A571" s="134"/>
      <c r="B571" s="134"/>
      <c r="C571" s="68"/>
      <c r="D571" s="68"/>
      <c r="E571" s="68"/>
      <c r="F571" s="68"/>
      <c r="G571" s="68"/>
      <c r="H571" s="68"/>
      <c r="I571" s="221"/>
      <c r="J571" s="221"/>
      <c r="K571" s="221"/>
      <c r="L571" s="221"/>
      <c r="M571" s="221"/>
      <c r="N571" s="221"/>
      <c r="O571" s="221"/>
      <c r="P571" s="221"/>
      <c r="Q571" s="221"/>
      <c r="R571" s="221"/>
      <c r="S571" s="221"/>
      <c r="T571" s="221"/>
      <c r="U571" s="221"/>
      <c r="V571" s="221"/>
      <c r="W571" s="221"/>
      <c r="X571" s="221"/>
      <c r="Y571" s="221"/>
      <c r="Z571" s="221"/>
      <c r="AA571" s="221"/>
      <c r="AB571" s="297"/>
    </row>
    <row r="572">
      <c r="A572" s="134"/>
      <c r="B572" s="134"/>
      <c r="C572" s="68"/>
      <c r="D572" s="68"/>
      <c r="E572" s="68"/>
      <c r="F572" s="68"/>
      <c r="G572" s="68"/>
      <c r="H572" s="68"/>
      <c r="I572" s="221"/>
      <c r="J572" s="221"/>
      <c r="K572" s="221"/>
      <c r="L572" s="221"/>
      <c r="M572" s="221"/>
      <c r="N572" s="221"/>
      <c r="O572" s="221"/>
      <c r="P572" s="221"/>
      <c r="Q572" s="221"/>
      <c r="R572" s="221"/>
      <c r="S572" s="221"/>
      <c r="T572" s="221"/>
      <c r="U572" s="221"/>
      <c r="V572" s="221"/>
      <c r="W572" s="221"/>
      <c r="X572" s="221"/>
      <c r="Y572" s="221"/>
      <c r="Z572" s="221"/>
      <c r="AA572" s="221"/>
      <c r="AB572" s="297"/>
    </row>
    <row r="573">
      <c r="A573" s="134"/>
      <c r="B573" s="134"/>
      <c r="C573" s="68"/>
      <c r="D573" s="68"/>
      <c r="E573" s="68"/>
      <c r="F573" s="68"/>
      <c r="G573" s="68"/>
      <c r="H573" s="68"/>
      <c r="I573" s="221"/>
      <c r="J573" s="221"/>
      <c r="K573" s="221"/>
      <c r="L573" s="221"/>
      <c r="M573" s="221"/>
      <c r="N573" s="221"/>
      <c r="O573" s="221"/>
      <c r="P573" s="221"/>
      <c r="Q573" s="221"/>
      <c r="R573" s="221"/>
      <c r="S573" s="221"/>
      <c r="T573" s="221"/>
      <c r="U573" s="221"/>
      <c r="V573" s="221"/>
      <c r="W573" s="221"/>
      <c r="X573" s="221"/>
      <c r="Y573" s="221"/>
      <c r="Z573" s="221"/>
      <c r="AA573" s="221"/>
      <c r="AB573" s="297"/>
    </row>
    <row r="574">
      <c r="A574" s="134"/>
      <c r="B574" s="134"/>
      <c r="C574" s="68"/>
      <c r="D574" s="68"/>
      <c r="E574" s="68"/>
      <c r="F574" s="68"/>
      <c r="G574" s="68"/>
      <c r="H574" s="68"/>
      <c r="I574" s="221"/>
      <c r="J574" s="221"/>
      <c r="K574" s="221"/>
      <c r="L574" s="221"/>
      <c r="M574" s="221"/>
      <c r="N574" s="221"/>
      <c r="O574" s="221"/>
      <c r="P574" s="221"/>
      <c r="Q574" s="221"/>
      <c r="R574" s="221"/>
      <c r="S574" s="221"/>
      <c r="T574" s="221"/>
      <c r="U574" s="221"/>
      <c r="V574" s="221"/>
      <c r="W574" s="221"/>
      <c r="X574" s="221"/>
      <c r="Y574" s="221"/>
      <c r="Z574" s="221"/>
      <c r="AA574" s="221"/>
      <c r="AB574" s="297"/>
    </row>
    <row r="575">
      <c r="A575" s="134"/>
      <c r="B575" s="134"/>
      <c r="C575" s="68"/>
      <c r="D575" s="68"/>
      <c r="E575" s="68"/>
      <c r="F575" s="68"/>
      <c r="G575" s="68"/>
      <c r="H575" s="68"/>
      <c r="I575" s="221"/>
      <c r="J575" s="221"/>
      <c r="K575" s="221"/>
      <c r="L575" s="221"/>
      <c r="M575" s="221"/>
      <c r="N575" s="221"/>
      <c r="O575" s="221"/>
      <c r="P575" s="221"/>
      <c r="Q575" s="221"/>
      <c r="R575" s="221"/>
      <c r="S575" s="221"/>
      <c r="T575" s="221"/>
      <c r="U575" s="221"/>
      <c r="V575" s="221"/>
      <c r="W575" s="221"/>
      <c r="X575" s="221"/>
      <c r="Y575" s="221"/>
      <c r="Z575" s="221"/>
      <c r="AA575" s="221"/>
      <c r="AB575" s="297"/>
    </row>
    <row r="576">
      <c r="A576" s="134"/>
      <c r="B576" s="134"/>
      <c r="C576" s="68"/>
      <c r="D576" s="68"/>
      <c r="E576" s="68"/>
      <c r="F576" s="68"/>
      <c r="G576" s="68"/>
      <c r="H576" s="68"/>
      <c r="I576" s="221"/>
      <c r="J576" s="221"/>
      <c r="K576" s="221"/>
      <c r="L576" s="221"/>
      <c r="M576" s="221"/>
      <c r="N576" s="221"/>
      <c r="O576" s="221"/>
      <c r="P576" s="221"/>
      <c r="Q576" s="221"/>
      <c r="R576" s="221"/>
      <c r="S576" s="221"/>
      <c r="T576" s="221"/>
      <c r="U576" s="221"/>
      <c r="V576" s="221"/>
      <c r="W576" s="221"/>
      <c r="X576" s="221"/>
      <c r="Y576" s="221"/>
      <c r="Z576" s="221"/>
      <c r="AA576" s="221"/>
      <c r="AB576" s="297"/>
    </row>
    <row r="577">
      <c r="A577" s="134"/>
      <c r="B577" s="134"/>
      <c r="C577" s="68"/>
      <c r="D577" s="68"/>
      <c r="E577" s="68"/>
      <c r="F577" s="68"/>
      <c r="G577" s="68"/>
      <c r="H577" s="68"/>
      <c r="I577" s="221"/>
      <c r="J577" s="221"/>
      <c r="K577" s="221"/>
      <c r="L577" s="221"/>
      <c r="M577" s="221"/>
      <c r="N577" s="221"/>
      <c r="O577" s="221"/>
      <c r="P577" s="221"/>
      <c r="Q577" s="221"/>
      <c r="R577" s="221"/>
      <c r="S577" s="221"/>
      <c r="T577" s="221"/>
      <c r="U577" s="221"/>
      <c r="V577" s="221"/>
      <c r="W577" s="221"/>
      <c r="X577" s="221"/>
      <c r="Y577" s="221"/>
      <c r="Z577" s="221"/>
      <c r="AA577" s="221"/>
      <c r="AB577" s="297"/>
    </row>
    <row r="578">
      <c r="A578" s="134"/>
      <c r="B578" s="134"/>
      <c r="C578" s="68"/>
      <c r="D578" s="68"/>
      <c r="E578" s="68"/>
      <c r="F578" s="68"/>
      <c r="G578" s="68"/>
      <c r="H578" s="68"/>
      <c r="I578" s="221"/>
      <c r="J578" s="221"/>
      <c r="K578" s="221"/>
      <c r="L578" s="221"/>
      <c r="M578" s="221"/>
      <c r="N578" s="221"/>
      <c r="O578" s="221"/>
      <c r="P578" s="221"/>
      <c r="Q578" s="221"/>
      <c r="R578" s="221"/>
      <c r="S578" s="221"/>
      <c r="T578" s="221"/>
      <c r="U578" s="221"/>
      <c r="V578" s="221"/>
      <c r="W578" s="221"/>
      <c r="X578" s="221"/>
      <c r="Y578" s="221"/>
      <c r="Z578" s="221"/>
      <c r="AA578" s="221"/>
      <c r="AB578" s="297"/>
    </row>
    <row r="579">
      <c r="A579" s="134"/>
      <c r="B579" s="134"/>
      <c r="C579" s="68"/>
      <c r="D579" s="68"/>
      <c r="E579" s="68"/>
      <c r="F579" s="68"/>
      <c r="G579" s="68"/>
      <c r="H579" s="68"/>
      <c r="I579" s="221"/>
      <c r="J579" s="221"/>
      <c r="K579" s="221"/>
      <c r="L579" s="221"/>
      <c r="M579" s="221"/>
      <c r="N579" s="221"/>
      <c r="O579" s="221"/>
      <c r="P579" s="221"/>
      <c r="Q579" s="221"/>
      <c r="R579" s="221"/>
      <c r="S579" s="221"/>
      <c r="T579" s="221"/>
      <c r="U579" s="221"/>
      <c r="V579" s="221"/>
      <c r="W579" s="221"/>
      <c r="X579" s="221"/>
      <c r="Y579" s="221"/>
      <c r="Z579" s="221"/>
      <c r="AA579" s="221"/>
      <c r="AB579" s="297"/>
    </row>
    <row r="580">
      <c r="A580" s="134"/>
      <c r="B580" s="134"/>
      <c r="C580" s="68"/>
      <c r="D580" s="68"/>
      <c r="E580" s="68"/>
      <c r="F580" s="68"/>
      <c r="G580" s="68"/>
      <c r="H580" s="68"/>
      <c r="I580" s="221"/>
      <c r="J580" s="221"/>
      <c r="K580" s="221"/>
      <c r="L580" s="221"/>
      <c r="M580" s="221"/>
      <c r="N580" s="221"/>
      <c r="O580" s="221"/>
      <c r="P580" s="221"/>
      <c r="Q580" s="221"/>
      <c r="R580" s="221"/>
      <c r="S580" s="221"/>
      <c r="T580" s="221"/>
      <c r="U580" s="221"/>
      <c r="V580" s="221"/>
      <c r="W580" s="221"/>
      <c r="X580" s="221"/>
      <c r="Y580" s="221"/>
      <c r="Z580" s="221"/>
      <c r="AA580" s="221"/>
      <c r="AB580" s="297"/>
    </row>
    <row r="581">
      <c r="A581" s="134"/>
      <c r="B581" s="134"/>
      <c r="C581" s="68"/>
      <c r="D581" s="68"/>
      <c r="E581" s="68"/>
      <c r="F581" s="68"/>
      <c r="G581" s="68"/>
      <c r="H581" s="68"/>
      <c r="I581" s="221"/>
      <c r="J581" s="221"/>
      <c r="K581" s="221"/>
      <c r="L581" s="221"/>
      <c r="M581" s="221"/>
      <c r="N581" s="221"/>
      <c r="O581" s="221"/>
      <c r="P581" s="221"/>
      <c r="Q581" s="221"/>
      <c r="R581" s="221"/>
      <c r="S581" s="221"/>
      <c r="T581" s="221"/>
      <c r="U581" s="221"/>
      <c r="V581" s="221"/>
      <c r="W581" s="221"/>
      <c r="X581" s="221"/>
      <c r="Y581" s="221"/>
      <c r="Z581" s="221"/>
      <c r="AA581" s="221"/>
      <c r="AB581" s="297"/>
    </row>
    <row r="582">
      <c r="A582" s="134"/>
      <c r="B582" s="134"/>
      <c r="C582" s="68"/>
      <c r="D582" s="68"/>
      <c r="E582" s="68"/>
      <c r="F582" s="68"/>
      <c r="G582" s="68"/>
      <c r="H582" s="68"/>
      <c r="I582" s="221"/>
      <c r="J582" s="221"/>
      <c r="K582" s="221"/>
      <c r="L582" s="221"/>
      <c r="M582" s="221"/>
      <c r="N582" s="221"/>
      <c r="O582" s="221"/>
      <c r="P582" s="221"/>
      <c r="Q582" s="221"/>
      <c r="R582" s="221"/>
      <c r="S582" s="221"/>
      <c r="T582" s="221"/>
      <c r="U582" s="221"/>
      <c r="V582" s="221"/>
      <c r="W582" s="221"/>
      <c r="X582" s="221"/>
      <c r="Y582" s="221"/>
      <c r="Z582" s="221"/>
      <c r="AA582" s="221"/>
      <c r="AB582" s="297"/>
    </row>
    <row r="583">
      <c r="A583" s="134"/>
      <c r="B583" s="134"/>
      <c r="C583" s="68"/>
      <c r="D583" s="68"/>
      <c r="E583" s="68"/>
      <c r="F583" s="68"/>
      <c r="G583" s="68"/>
      <c r="H583" s="68"/>
      <c r="I583" s="221"/>
      <c r="J583" s="221"/>
      <c r="K583" s="221"/>
      <c r="L583" s="221"/>
      <c r="M583" s="221"/>
      <c r="N583" s="221"/>
      <c r="O583" s="221"/>
      <c r="P583" s="221"/>
      <c r="Q583" s="221"/>
      <c r="R583" s="221"/>
      <c r="S583" s="221"/>
      <c r="T583" s="221"/>
      <c r="U583" s="221"/>
      <c r="V583" s="221"/>
      <c r="W583" s="221"/>
      <c r="X583" s="221"/>
      <c r="Y583" s="221"/>
      <c r="Z583" s="221"/>
      <c r="AA583" s="221"/>
      <c r="AB583" s="297"/>
    </row>
    <row r="584">
      <c r="A584" s="134"/>
      <c r="B584" s="134"/>
      <c r="C584" s="68"/>
      <c r="D584" s="68"/>
      <c r="E584" s="68"/>
      <c r="F584" s="68"/>
      <c r="G584" s="68"/>
      <c r="H584" s="68"/>
      <c r="I584" s="221"/>
      <c r="J584" s="221"/>
      <c r="K584" s="221"/>
      <c r="L584" s="221"/>
      <c r="M584" s="221"/>
      <c r="N584" s="221"/>
      <c r="O584" s="221"/>
      <c r="P584" s="221"/>
      <c r="Q584" s="221"/>
      <c r="R584" s="221"/>
      <c r="S584" s="221"/>
      <c r="T584" s="221"/>
      <c r="U584" s="221"/>
      <c r="V584" s="221"/>
      <c r="W584" s="221"/>
      <c r="X584" s="221"/>
      <c r="Y584" s="221"/>
      <c r="Z584" s="221"/>
      <c r="AA584" s="221"/>
      <c r="AB584" s="297"/>
    </row>
    <row r="585">
      <c r="A585" s="134"/>
      <c r="B585" s="134"/>
      <c r="C585" s="68"/>
      <c r="D585" s="68"/>
      <c r="E585" s="68"/>
      <c r="F585" s="68"/>
      <c r="G585" s="68"/>
      <c r="H585" s="68"/>
      <c r="I585" s="221"/>
      <c r="J585" s="221"/>
      <c r="K585" s="221"/>
      <c r="L585" s="221"/>
      <c r="M585" s="221"/>
      <c r="N585" s="221"/>
      <c r="O585" s="221"/>
      <c r="P585" s="221"/>
      <c r="Q585" s="221"/>
      <c r="R585" s="221"/>
      <c r="S585" s="221"/>
      <c r="T585" s="221"/>
      <c r="U585" s="221"/>
      <c r="V585" s="221"/>
      <c r="W585" s="221"/>
      <c r="X585" s="221"/>
      <c r="Y585" s="221"/>
      <c r="Z585" s="221"/>
      <c r="AA585" s="221"/>
      <c r="AB585" s="297"/>
    </row>
    <row r="586">
      <c r="A586" s="134"/>
      <c r="B586" s="134"/>
      <c r="C586" s="68"/>
      <c r="D586" s="68"/>
      <c r="E586" s="68"/>
      <c r="F586" s="68"/>
      <c r="G586" s="68"/>
      <c r="H586" s="68"/>
      <c r="I586" s="221"/>
      <c r="J586" s="221"/>
      <c r="K586" s="221"/>
      <c r="L586" s="221"/>
      <c r="M586" s="221"/>
      <c r="N586" s="221"/>
      <c r="O586" s="221"/>
      <c r="P586" s="221"/>
      <c r="Q586" s="221"/>
      <c r="R586" s="221"/>
      <c r="S586" s="221"/>
      <c r="T586" s="221"/>
      <c r="U586" s="221"/>
      <c r="V586" s="221"/>
      <c r="W586" s="221"/>
      <c r="X586" s="221"/>
      <c r="Y586" s="221"/>
      <c r="Z586" s="221"/>
      <c r="AA586" s="221"/>
      <c r="AB586" s="297"/>
    </row>
    <row r="587">
      <c r="A587" s="134"/>
      <c r="B587" s="134"/>
      <c r="C587" s="68"/>
      <c r="D587" s="68"/>
      <c r="E587" s="68"/>
      <c r="F587" s="68"/>
      <c r="G587" s="68"/>
      <c r="H587" s="68"/>
      <c r="I587" s="221"/>
      <c r="J587" s="221"/>
      <c r="K587" s="221"/>
      <c r="L587" s="221"/>
      <c r="M587" s="221"/>
      <c r="N587" s="221"/>
      <c r="O587" s="221"/>
      <c r="P587" s="221"/>
      <c r="Q587" s="221"/>
      <c r="R587" s="221"/>
      <c r="S587" s="221"/>
      <c r="T587" s="221"/>
      <c r="U587" s="221"/>
      <c r="V587" s="221"/>
      <c r="W587" s="221"/>
      <c r="X587" s="221"/>
      <c r="Y587" s="221"/>
      <c r="Z587" s="221"/>
      <c r="AA587" s="221"/>
      <c r="AB587" s="297"/>
    </row>
    <row r="588">
      <c r="A588" s="134"/>
      <c r="B588" s="134"/>
      <c r="C588" s="68"/>
      <c r="D588" s="68"/>
      <c r="E588" s="68"/>
      <c r="F588" s="68"/>
      <c r="G588" s="68"/>
      <c r="H588" s="68"/>
      <c r="I588" s="221"/>
      <c r="J588" s="221"/>
      <c r="K588" s="221"/>
      <c r="L588" s="221"/>
      <c r="M588" s="221"/>
      <c r="N588" s="221"/>
      <c r="O588" s="221"/>
      <c r="P588" s="221"/>
      <c r="Q588" s="221"/>
      <c r="R588" s="221"/>
      <c r="S588" s="221"/>
      <c r="T588" s="221"/>
      <c r="U588" s="221"/>
      <c r="V588" s="221"/>
      <c r="W588" s="221"/>
      <c r="X588" s="221"/>
      <c r="Y588" s="221"/>
      <c r="Z588" s="221"/>
      <c r="AA588" s="221"/>
      <c r="AB588" s="297"/>
    </row>
    <row r="589">
      <c r="A589" s="134"/>
      <c r="B589" s="134"/>
      <c r="C589" s="68"/>
      <c r="D589" s="68"/>
      <c r="E589" s="68"/>
      <c r="F589" s="68"/>
      <c r="G589" s="68"/>
      <c r="H589" s="68"/>
      <c r="I589" s="221"/>
      <c r="J589" s="221"/>
      <c r="K589" s="221"/>
      <c r="L589" s="221"/>
      <c r="M589" s="221"/>
      <c r="N589" s="221"/>
      <c r="O589" s="221"/>
      <c r="P589" s="221"/>
      <c r="Q589" s="221"/>
      <c r="R589" s="221"/>
      <c r="S589" s="221"/>
      <c r="T589" s="221"/>
      <c r="U589" s="221"/>
      <c r="V589" s="221"/>
      <c r="W589" s="221"/>
      <c r="X589" s="221"/>
      <c r="Y589" s="221"/>
      <c r="Z589" s="221"/>
      <c r="AA589" s="221"/>
      <c r="AB589" s="297"/>
    </row>
    <row r="590">
      <c r="A590" s="134"/>
      <c r="B590" s="134"/>
      <c r="C590" s="68"/>
      <c r="D590" s="68"/>
      <c r="E590" s="68"/>
      <c r="F590" s="68"/>
      <c r="G590" s="68"/>
      <c r="H590" s="68"/>
      <c r="I590" s="221"/>
      <c r="J590" s="221"/>
      <c r="K590" s="221"/>
      <c r="L590" s="221"/>
      <c r="M590" s="221"/>
      <c r="N590" s="221"/>
      <c r="O590" s="221"/>
      <c r="P590" s="221"/>
      <c r="Q590" s="221"/>
      <c r="R590" s="221"/>
      <c r="S590" s="221"/>
      <c r="T590" s="221"/>
      <c r="U590" s="221"/>
      <c r="V590" s="221"/>
      <c r="W590" s="221"/>
      <c r="X590" s="221"/>
      <c r="Y590" s="221"/>
      <c r="Z590" s="221"/>
      <c r="AA590" s="221"/>
      <c r="AB590" s="297"/>
    </row>
    <row r="591">
      <c r="A591" s="134"/>
      <c r="B591" s="134"/>
      <c r="C591" s="68"/>
      <c r="D591" s="68"/>
      <c r="E591" s="68"/>
      <c r="F591" s="68"/>
      <c r="G591" s="68"/>
      <c r="H591" s="68"/>
      <c r="I591" s="221"/>
      <c r="J591" s="221"/>
      <c r="K591" s="221"/>
      <c r="L591" s="221"/>
      <c r="M591" s="221"/>
      <c r="N591" s="221"/>
      <c r="O591" s="221"/>
      <c r="P591" s="221"/>
      <c r="Q591" s="221"/>
      <c r="R591" s="221"/>
      <c r="S591" s="221"/>
      <c r="T591" s="221"/>
      <c r="U591" s="221"/>
      <c r="V591" s="221"/>
      <c r="W591" s="221"/>
      <c r="X591" s="221"/>
      <c r="Y591" s="221"/>
      <c r="Z591" s="221"/>
      <c r="AA591" s="221"/>
      <c r="AB591" s="297"/>
    </row>
    <row r="592">
      <c r="A592" s="134"/>
      <c r="B592" s="134"/>
      <c r="C592" s="68"/>
      <c r="D592" s="68"/>
      <c r="E592" s="68"/>
      <c r="F592" s="68"/>
      <c r="G592" s="68"/>
      <c r="H592" s="68"/>
      <c r="I592" s="221"/>
      <c r="J592" s="221"/>
      <c r="K592" s="221"/>
      <c r="L592" s="221"/>
      <c r="M592" s="221"/>
      <c r="N592" s="221"/>
      <c r="O592" s="221"/>
      <c r="P592" s="221"/>
      <c r="Q592" s="221"/>
      <c r="R592" s="221"/>
      <c r="S592" s="221"/>
      <c r="T592" s="221"/>
      <c r="U592" s="221"/>
      <c r="V592" s="221"/>
      <c r="W592" s="221"/>
      <c r="X592" s="221"/>
      <c r="Y592" s="221"/>
      <c r="Z592" s="221"/>
      <c r="AA592" s="221"/>
      <c r="AB592" s="297"/>
    </row>
    <row r="593">
      <c r="A593" s="134"/>
      <c r="B593" s="134"/>
      <c r="C593" s="68"/>
      <c r="D593" s="68"/>
      <c r="E593" s="68"/>
      <c r="F593" s="68"/>
      <c r="G593" s="68"/>
      <c r="H593" s="68"/>
      <c r="I593" s="221"/>
      <c r="J593" s="221"/>
      <c r="K593" s="221"/>
      <c r="L593" s="221"/>
      <c r="M593" s="221"/>
      <c r="N593" s="221"/>
      <c r="O593" s="221"/>
      <c r="P593" s="221"/>
      <c r="Q593" s="221"/>
      <c r="R593" s="221"/>
      <c r="S593" s="221"/>
      <c r="T593" s="221"/>
      <c r="U593" s="221"/>
      <c r="V593" s="221"/>
      <c r="W593" s="221"/>
      <c r="X593" s="221"/>
      <c r="Y593" s="221"/>
      <c r="Z593" s="221"/>
      <c r="AA593" s="221"/>
      <c r="AB593" s="297"/>
    </row>
    <row r="594">
      <c r="A594" s="134"/>
      <c r="B594" s="134"/>
      <c r="C594" s="68"/>
      <c r="D594" s="68"/>
      <c r="E594" s="68"/>
      <c r="F594" s="68"/>
      <c r="G594" s="68"/>
      <c r="H594" s="68"/>
      <c r="I594" s="221"/>
      <c r="J594" s="221"/>
      <c r="K594" s="221"/>
      <c r="L594" s="221"/>
      <c r="M594" s="221"/>
      <c r="N594" s="221"/>
      <c r="O594" s="221"/>
      <c r="P594" s="221"/>
      <c r="Q594" s="221"/>
      <c r="R594" s="221"/>
      <c r="S594" s="221"/>
      <c r="T594" s="221"/>
      <c r="U594" s="221"/>
      <c r="V594" s="221"/>
      <c r="W594" s="221"/>
      <c r="X594" s="221"/>
      <c r="Y594" s="221"/>
      <c r="Z594" s="221"/>
      <c r="AA594" s="221"/>
      <c r="AB594" s="297"/>
    </row>
    <row r="595">
      <c r="A595" s="134"/>
      <c r="B595" s="134"/>
      <c r="C595" s="68"/>
      <c r="D595" s="68"/>
      <c r="E595" s="68"/>
      <c r="F595" s="68"/>
      <c r="G595" s="68"/>
      <c r="H595" s="68"/>
      <c r="I595" s="221"/>
      <c r="J595" s="221"/>
      <c r="K595" s="221"/>
      <c r="L595" s="221"/>
      <c r="M595" s="221"/>
      <c r="N595" s="221"/>
      <c r="O595" s="221"/>
      <c r="P595" s="221"/>
      <c r="Q595" s="221"/>
      <c r="R595" s="221"/>
      <c r="S595" s="221"/>
      <c r="T595" s="221"/>
      <c r="U595" s="221"/>
      <c r="V595" s="221"/>
      <c r="W595" s="221"/>
      <c r="X595" s="221"/>
      <c r="Y595" s="221"/>
      <c r="Z595" s="221"/>
      <c r="AA595" s="221"/>
      <c r="AB595" s="297"/>
    </row>
    <row r="596">
      <c r="A596" s="134"/>
      <c r="B596" s="134"/>
      <c r="C596" s="68"/>
      <c r="D596" s="68"/>
      <c r="E596" s="68"/>
      <c r="F596" s="68"/>
      <c r="G596" s="68"/>
      <c r="H596" s="68"/>
      <c r="I596" s="221"/>
      <c r="J596" s="221"/>
      <c r="K596" s="221"/>
      <c r="L596" s="221"/>
      <c r="M596" s="221"/>
      <c r="N596" s="221"/>
      <c r="O596" s="221"/>
      <c r="P596" s="221"/>
      <c r="Q596" s="221"/>
      <c r="R596" s="221"/>
      <c r="S596" s="221"/>
      <c r="T596" s="221"/>
      <c r="U596" s="221"/>
      <c r="V596" s="221"/>
      <c r="W596" s="221"/>
      <c r="X596" s="221"/>
      <c r="Y596" s="221"/>
      <c r="Z596" s="221"/>
      <c r="AA596" s="221"/>
      <c r="AB596" s="297"/>
    </row>
    <row r="597">
      <c r="A597" s="134"/>
      <c r="B597" s="134"/>
      <c r="C597" s="68"/>
      <c r="D597" s="68"/>
      <c r="E597" s="68"/>
      <c r="F597" s="68"/>
      <c r="G597" s="68"/>
      <c r="H597" s="68"/>
      <c r="I597" s="221"/>
      <c r="J597" s="221"/>
      <c r="K597" s="221"/>
      <c r="L597" s="221"/>
      <c r="M597" s="221"/>
      <c r="N597" s="221"/>
      <c r="O597" s="221"/>
      <c r="P597" s="221"/>
      <c r="Q597" s="221"/>
      <c r="R597" s="221"/>
      <c r="S597" s="221"/>
      <c r="T597" s="221"/>
      <c r="U597" s="221"/>
      <c r="V597" s="221"/>
      <c r="W597" s="221"/>
      <c r="X597" s="221"/>
      <c r="Y597" s="221"/>
      <c r="Z597" s="221"/>
      <c r="AA597" s="221"/>
      <c r="AB597" s="297"/>
    </row>
    <row r="598">
      <c r="A598" s="134"/>
      <c r="B598" s="134"/>
      <c r="C598" s="68"/>
      <c r="D598" s="68"/>
      <c r="E598" s="68"/>
      <c r="F598" s="68"/>
      <c r="G598" s="68"/>
      <c r="H598" s="68"/>
      <c r="I598" s="221"/>
      <c r="J598" s="221"/>
      <c r="K598" s="221"/>
      <c r="L598" s="221"/>
      <c r="M598" s="221"/>
      <c r="N598" s="221"/>
      <c r="O598" s="221"/>
      <c r="P598" s="221"/>
      <c r="Q598" s="221"/>
      <c r="R598" s="221"/>
      <c r="S598" s="221"/>
      <c r="T598" s="221"/>
      <c r="U598" s="221"/>
      <c r="V598" s="221"/>
      <c r="W598" s="221"/>
      <c r="X598" s="221"/>
      <c r="Y598" s="221"/>
      <c r="Z598" s="221"/>
      <c r="AA598" s="221"/>
      <c r="AB598" s="297"/>
    </row>
    <row r="599">
      <c r="A599" s="134"/>
      <c r="B599" s="134"/>
      <c r="C599" s="68"/>
      <c r="D599" s="68"/>
      <c r="E599" s="68"/>
      <c r="F599" s="68"/>
      <c r="G599" s="68"/>
      <c r="H599" s="68"/>
      <c r="I599" s="221"/>
      <c r="J599" s="221"/>
      <c r="K599" s="221"/>
      <c r="L599" s="221"/>
      <c r="M599" s="221"/>
      <c r="N599" s="221"/>
      <c r="O599" s="221"/>
      <c r="P599" s="221"/>
      <c r="Q599" s="221"/>
      <c r="R599" s="221"/>
      <c r="S599" s="221"/>
      <c r="T599" s="221"/>
      <c r="U599" s="221"/>
      <c r="V599" s="221"/>
      <c r="W599" s="221"/>
      <c r="X599" s="221"/>
      <c r="Y599" s="221"/>
      <c r="Z599" s="221"/>
      <c r="AA599" s="221"/>
      <c r="AB599" s="297"/>
    </row>
    <row r="600">
      <c r="A600" s="134"/>
      <c r="B600" s="134"/>
      <c r="C600" s="68"/>
      <c r="D600" s="68"/>
      <c r="E600" s="68"/>
      <c r="F600" s="68"/>
      <c r="G600" s="68"/>
      <c r="H600" s="68"/>
      <c r="I600" s="221"/>
      <c r="J600" s="221"/>
      <c r="K600" s="221"/>
      <c r="L600" s="221"/>
      <c r="M600" s="221"/>
      <c r="N600" s="221"/>
      <c r="O600" s="221"/>
      <c r="P600" s="221"/>
      <c r="Q600" s="221"/>
      <c r="R600" s="221"/>
      <c r="S600" s="221"/>
      <c r="T600" s="221"/>
      <c r="U600" s="221"/>
      <c r="V600" s="221"/>
      <c r="W600" s="221"/>
      <c r="X600" s="221"/>
      <c r="Y600" s="221"/>
      <c r="Z600" s="221"/>
      <c r="AA600" s="221"/>
      <c r="AB600" s="297"/>
    </row>
    <row r="601">
      <c r="A601" s="134"/>
      <c r="B601" s="134"/>
      <c r="C601" s="68"/>
      <c r="D601" s="68"/>
      <c r="E601" s="68"/>
      <c r="F601" s="68"/>
      <c r="G601" s="68"/>
      <c r="H601" s="68"/>
      <c r="I601" s="221"/>
      <c r="J601" s="221"/>
      <c r="K601" s="221"/>
      <c r="L601" s="221"/>
      <c r="M601" s="221"/>
      <c r="N601" s="221"/>
      <c r="O601" s="221"/>
      <c r="P601" s="221"/>
      <c r="Q601" s="221"/>
      <c r="R601" s="221"/>
      <c r="S601" s="221"/>
      <c r="T601" s="221"/>
      <c r="U601" s="221"/>
      <c r="V601" s="221"/>
      <c r="W601" s="221"/>
      <c r="X601" s="221"/>
      <c r="Y601" s="221"/>
      <c r="Z601" s="221"/>
      <c r="AA601" s="221"/>
      <c r="AB601" s="297"/>
    </row>
    <row r="602">
      <c r="A602" s="134"/>
      <c r="B602" s="134"/>
      <c r="C602" s="68"/>
      <c r="D602" s="68"/>
      <c r="E602" s="68"/>
      <c r="F602" s="68"/>
      <c r="G602" s="68"/>
      <c r="H602" s="68"/>
      <c r="I602" s="221"/>
      <c r="J602" s="221"/>
      <c r="K602" s="221"/>
      <c r="L602" s="221"/>
      <c r="M602" s="221"/>
      <c r="N602" s="221"/>
      <c r="O602" s="221"/>
      <c r="P602" s="221"/>
      <c r="Q602" s="221"/>
      <c r="R602" s="221"/>
      <c r="S602" s="221"/>
      <c r="T602" s="221"/>
      <c r="U602" s="221"/>
      <c r="V602" s="221"/>
      <c r="W602" s="221"/>
      <c r="X602" s="221"/>
      <c r="Y602" s="221"/>
      <c r="Z602" s="221"/>
      <c r="AA602" s="221"/>
      <c r="AB602" s="297"/>
    </row>
    <row r="603">
      <c r="A603" s="134"/>
      <c r="B603" s="134"/>
      <c r="C603" s="68"/>
      <c r="D603" s="68"/>
      <c r="E603" s="68"/>
      <c r="F603" s="68"/>
      <c r="G603" s="68"/>
      <c r="H603" s="68"/>
      <c r="I603" s="221"/>
      <c r="J603" s="221"/>
      <c r="K603" s="221"/>
      <c r="L603" s="221"/>
      <c r="M603" s="221"/>
      <c r="N603" s="221"/>
      <c r="O603" s="221"/>
      <c r="P603" s="221"/>
      <c r="Q603" s="221"/>
      <c r="R603" s="221"/>
      <c r="S603" s="221"/>
      <c r="T603" s="221"/>
      <c r="U603" s="221"/>
      <c r="V603" s="221"/>
      <c r="W603" s="221"/>
      <c r="X603" s="221"/>
      <c r="Y603" s="221"/>
      <c r="Z603" s="221"/>
      <c r="AA603" s="221"/>
      <c r="AB603" s="297"/>
    </row>
    <row r="604">
      <c r="A604" s="134"/>
      <c r="B604" s="134"/>
      <c r="C604" s="68"/>
      <c r="D604" s="68"/>
      <c r="E604" s="68"/>
      <c r="F604" s="68"/>
      <c r="G604" s="68"/>
      <c r="H604" s="68"/>
      <c r="I604" s="221"/>
      <c r="J604" s="221"/>
      <c r="K604" s="221"/>
      <c r="L604" s="221"/>
      <c r="M604" s="221"/>
      <c r="N604" s="221"/>
      <c r="O604" s="221"/>
      <c r="P604" s="221"/>
      <c r="Q604" s="221"/>
      <c r="R604" s="221"/>
      <c r="S604" s="221"/>
      <c r="T604" s="221"/>
      <c r="U604" s="221"/>
      <c r="V604" s="221"/>
      <c r="W604" s="221"/>
      <c r="X604" s="221"/>
      <c r="Y604" s="221"/>
      <c r="Z604" s="221"/>
      <c r="AA604" s="221"/>
      <c r="AB604" s="297"/>
    </row>
    <row r="605">
      <c r="A605" s="134"/>
      <c r="B605" s="134"/>
      <c r="C605" s="68"/>
      <c r="D605" s="68"/>
      <c r="E605" s="68"/>
      <c r="F605" s="68"/>
      <c r="G605" s="68"/>
      <c r="H605" s="68"/>
      <c r="I605" s="221"/>
      <c r="J605" s="221"/>
      <c r="K605" s="221"/>
      <c r="L605" s="221"/>
      <c r="M605" s="221"/>
      <c r="N605" s="221"/>
      <c r="O605" s="221"/>
      <c r="P605" s="221"/>
      <c r="Q605" s="221"/>
      <c r="R605" s="221"/>
      <c r="S605" s="221"/>
      <c r="T605" s="221"/>
      <c r="U605" s="221"/>
      <c r="V605" s="221"/>
      <c r="W605" s="221"/>
      <c r="X605" s="221"/>
      <c r="Y605" s="221"/>
      <c r="Z605" s="221"/>
      <c r="AA605" s="221"/>
      <c r="AB605" s="297"/>
    </row>
    <row r="606">
      <c r="A606" s="134"/>
      <c r="B606" s="134"/>
      <c r="C606" s="68"/>
      <c r="D606" s="68"/>
      <c r="E606" s="68"/>
      <c r="F606" s="68"/>
      <c r="G606" s="68"/>
      <c r="H606" s="68"/>
      <c r="I606" s="221"/>
      <c r="J606" s="221"/>
      <c r="K606" s="221"/>
      <c r="L606" s="221"/>
      <c r="M606" s="221"/>
      <c r="N606" s="221"/>
      <c r="O606" s="221"/>
      <c r="P606" s="221"/>
      <c r="Q606" s="221"/>
      <c r="R606" s="221"/>
      <c r="S606" s="221"/>
      <c r="T606" s="221"/>
      <c r="U606" s="221"/>
      <c r="V606" s="221"/>
      <c r="W606" s="221"/>
      <c r="X606" s="221"/>
      <c r="Y606" s="221"/>
      <c r="Z606" s="221"/>
      <c r="AA606" s="221"/>
      <c r="AB606" s="297"/>
    </row>
    <row r="607">
      <c r="A607" s="134"/>
      <c r="B607" s="134"/>
      <c r="C607" s="68"/>
      <c r="D607" s="68"/>
      <c r="E607" s="68"/>
      <c r="F607" s="68"/>
      <c r="G607" s="68"/>
      <c r="H607" s="68"/>
      <c r="I607" s="221"/>
      <c r="J607" s="221"/>
      <c r="K607" s="221"/>
      <c r="L607" s="221"/>
      <c r="M607" s="221"/>
      <c r="N607" s="221"/>
      <c r="O607" s="221"/>
      <c r="P607" s="221"/>
      <c r="Q607" s="221"/>
      <c r="R607" s="221"/>
      <c r="S607" s="221"/>
      <c r="T607" s="221"/>
      <c r="U607" s="221"/>
      <c r="V607" s="221"/>
      <c r="W607" s="221"/>
      <c r="X607" s="221"/>
      <c r="Y607" s="221"/>
      <c r="Z607" s="221"/>
      <c r="AA607" s="221"/>
      <c r="AB607" s="297"/>
    </row>
    <row r="608">
      <c r="A608" s="134"/>
      <c r="B608" s="134"/>
      <c r="C608" s="68"/>
      <c r="D608" s="68"/>
      <c r="E608" s="68"/>
      <c r="F608" s="68"/>
      <c r="G608" s="68"/>
      <c r="H608" s="68"/>
      <c r="I608" s="221"/>
      <c r="J608" s="221"/>
      <c r="K608" s="221"/>
      <c r="L608" s="221"/>
      <c r="M608" s="221"/>
      <c r="N608" s="221"/>
      <c r="O608" s="221"/>
      <c r="P608" s="221"/>
      <c r="Q608" s="221"/>
      <c r="R608" s="221"/>
      <c r="S608" s="221"/>
      <c r="T608" s="221"/>
      <c r="U608" s="221"/>
      <c r="V608" s="221"/>
      <c r="W608" s="221"/>
      <c r="X608" s="221"/>
      <c r="Y608" s="221"/>
      <c r="Z608" s="221"/>
      <c r="AA608" s="221"/>
      <c r="AB608" s="297"/>
    </row>
    <row r="609">
      <c r="A609" s="134"/>
      <c r="B609" s="134"/>
      <c r="C609" s="68"/>
      <c r="D609" s="68"/>
      <c r="E609" s="68"/>
      <c r="F609" s="68"/>
      <c r="G609" s="68"/>
      <c r="H609" s="68"/>
      <c r="I609" s="221"/>
      <c r="J609" s="221"/>
      <c r="K609" s="221"/>
      <c r="L609" s="221"/>
      <c r="M609" s="221"/>
      <c r="N609" s="221"/>
      <c r="O609" s="221"/>
      <c r="P609" s="221"/>
      <c r="Q609" s="221"/>
      <c r="R609" s="221"/>
      <c r="S609" s="221"/>
      <c r="T609" s="221"/>
      <c r="U609" s="221"/>
      <c r="V609" s="221"/>
      <c r="W609" s="221"/>
      <c r="X609" s="221"/>
      <c r="Y609" s="221"/>
      <c r="Z609" s="221"/>
      <c r="AA609" s="221"/>
      <c r="AB609" s="297"/>
    </row>
    <row r="610">
      <c r="A610" s="134"/>
      <c r="B610" s="134"/>
      <c r="C610" s="68"/>
      <c r="D610" s="68"/>
      <c r="E610" s="68"/>
      <c r="F610" s="68"/>
      <c r="G610" s="68"/>
      <c r="H610" s="68"/>
      <c r="I610" s="221"/>
      <c r="J610" s="221"/>
      <c r="K610" s="221"/>
      <c r="L610" s="221"/>
      <c r="M610" s="221"/>
      <c r="N610" s="221"/>
      <c r="O610" s="221"/>
      <c r="P610" s="221"/>
      <c r="Q610" s="221"/>
      <c r="R610" s="221"/>
      <c r="S610" s="221"/>
      <c r="T610" s="221"/>
      <c r="U610" s="221"/>
      <c r="V610" s="221"/>
      <c r="W610" s="221"/>
      <c r="X610" s="221"/>
      <c r="Y610" s="221"/>
      <c r="Z610" s="221"/>
      <c r="AA610" s="221"/>
      <c r="AB610" s="297"/>
    </row>
    <row r="611">
      <c r="A611" s="134"/>
      <c r="B611" s="134"/>
      <c r="C611" s="68"/>
      <c r="D611" s="68"/>
      <c r="E611" s="68"/>
      <c r="F611" s="68"/>
      <c r="G611" s="68"/>
      <c r="H611" s="68"/>
      <c r="I611" s="221"/>
      <c r="J611" s="221"/>
      <c r="K611" s="221"/>
      <c r="L611" s="221"/>
      <c r="M611" s="221"/>
      <c r="N611" s="221"/>
      <c r="O611" s="221"/>
      <c r="P611" s="221"/>
      <c r="Q611" s="221"/>
      <c r="R611" s="221"/>
      <c r="S611" s="221"/>
      <c r="T611" s="221"/>
      <c r="U611" s="221"/>
      <c r="V611" s="221"/>
      <c r="W611" s="221"/>
      <c r="X611" s="221"/>
      <c r="Y611" s="221"/>
      <c r="Z611" s="221"/>
      <c r="AA611" s="221"/>
      <c r="AB611" s="297"/>
    </row>
    <row r="612">
      <c r="A612" s="134"/>
      <c r="B612" s="134"/>
      <c r="C612" s="68"/>
      <c r="D612" s="68"/>
      <c r="E612" s="68"/>
      <c r="F612" s="68"/>
      <c r="G612" s="68"/>
      <c r="H612" s="68"/>
      <c r="I612" s="221"/>
      <c r="J612" s="221"/>
      <c r="K612" s="221"/>
      <c r="L612" s="221"/>
      <c r="M612" s="221"/>
      <c r="N612" s="221"/>
      <c r="O612" s="221"/>
      <c r="P612" s="221"/>
      <c r="Q612" s="221"/>
      <c r="R612" s="221"/>
      <c r="S612" s="221"/>
      <c r="T612" s="221"/>
      <c r="U612" s="221"/>
      <c r="V612" s="221"/>
      <c r="W612" s="221"/>
      <c r="X612" s="221"/>
      <c r="Y612" s="221"/>
      <c r="Z612" s="221"/>
      <c r="AA612" s="221"/>
      <c r="AB612" s="297"/>
    </row>
    <row r="613">
      <c r="A613" s="134"/>
      <c r="B613" s="134"/>
      <c r="C613" s="68"/>
      <c r="D613" s="68"/>
      <c r="E613" s="68"/>
      <c r="F613" s="68"/>
      <c r="G613" s="68"/>
      <c r="H613" s="68"/>
      <c r="I613" s="221"/>
      <c r="J613" s="221"/>
      <c r="K613" s="221"/>
      <c r="L613" s="221"/>
      <c r="M613" s="221"/>
      <c r="N613" s="221"/>
      <c r="O613" s="221"/>
      <c r="P613" s="221"/>
      <c r="Q613" s="221"/>
      <c r="R613" s="221"/>
      <c r="S613" s="221"/>
      <c r="T613" s="221"/>
      <c r="U613" s="221"/>
      <c r="V613" s="221"/>
      <c r="W613" s="221"/>
      <c r="X613" s="221"/>
      <c r="Y613" s="221"/>
      <c r="Z613" s="221"/>
      <c r="AA613" s="221"/>
      <c r="AB613" s="297"/>
    </row>
    <row r="614">
      <c r="A614" s="134"/>
      <c r="B614" s="134"/>
      <c r="C614" s="68"/>
      <c r="D614" s="68"/>
      <c r="E614" s="68"/>
      <c r="F614" s="68"/>
      <c r="G614" s="68"/>
      <c r="H614" s="68"/>
      <c r="I614" s="221"/>
      <c r="J614" s="221"/>
      <c r="K614" s="221"/>
      <c r="L614" s="221"/>
      <c r="M614" s="221"/>
      <c r="N614" s="221"/>
      <c r="O614" s="221"/>
      <c r="P614" s="221"/>
      <c r="Q614" s="221"/>
      <c r="R614" s="221"/>
      <c r="S614" s="221"/>
      <c r="T614" s="221"/>
      <c r="U614" s="221"/>
      <c r="V614" s="221"/>
      <c r="W614" s="221"/>
      <c r="X614" s="221"/>
      <c r="Y614" s="221"/>
      <c r="Z614" s="221"/>
      <c r="AA614" s="221"/>
      <c r="AB614" s="297"/>
    </row>
    <row r="615">
      <c r="A615" s="134"/>
      <c r="B615" s="134"/>
      <c r="C615" s="68"/>
      <c r="D615" s="68"/>
      <c r="E615" s="68"/>
      <c r="F615" s="68"/>
      <c r="G615" s="68"/>
      <c r="H615" s="68"/>
      <c r="I615" s="221"/>
      <c r="J615" s="221"/>
      <c r="K615" s="221"/>
      <c r="L615" s="221"/>
      <c r="M615" s="221"/>
      <c r="N615" s="221"/>
      <c r="O615" s="221"/>
      <c r="P615" s="221"/>
      <c r="Q615" s="221"/>
      <c r="R615" s="221"/>
      <c r="S615" s="221"/>
      <c r="T615" s="221"/>
      <c r="U615" s="221"/>
      <c r="V615" s="221"/>
      <c r="W615" s="221"/>
      <c r="X615" s="221"/>
      <c r="Y615" s="221"/>
      <c r="Z615" s="221"/>
      <c r="AA615" s="221"/>
      <c r="AB615" s="297"/>
    </row>
    <row r="616">
      <c r="A616" s="134"/>
      <c r="B616" s="134"/>
      <c r="C616" s="68"/>
      <c r="D616" s="68"/>
      <c r="E616" s="68"/>
      <c r="F616" s="68"/>
      <c r="G616" s="68"/>
      <c r="H616" s="68"/>
      <c r="I616" s="221"/>
      <c r="J616" s="221"/>
      <c r="K616" s="221"/>
      <c r="L616" s="221"/>
      <c r="M616" s="221"/>
      <c r="N616" s="221"/>
      <c r="O616" s="221"/>
      <c r="P616" s="221"/>
      <c r="Q616" s="221"/>
      <c r="R616" s="221"/>
      <c r="S616" s="221"/>
      <c r="T616" s="221"/>
      <c r="U616" s="221"/>
      <c r="V616" s="221"/>
      <c r="W616" s="221"/>
      <c r="X616" s="221"/>
      <c r="Y616" s="221"/>
      <c r="Z616" s="221"/>
      <c r="AA616" s="221"/>
      <c r="AB616" s="297"/>
    </row>
    <row r="617">
      <c r="A617" s="134"/>
      <c r="B617" s="134"/>
      <c r="C617" s="68"/>
      <c r="D617" s="68"/>
      <c r="E617" s="68"/>
      <c r="F617" s="68"/>
      <c r="G617" s="68"/>
      <c r="H617" s="68"/>
      <c r="I617" s="221"/>
      <c r="J617" s="221"/>
      <c r="K617" s="221"/>
      <c r="L617" s="221"/>
      <c r="M617" s="221"/>
      <c r="N617" s="221"/>
      <c r="O617" s="221"/>
      <c r="P617" s="221"/>
      <c r="Q617" s="221"/>
      <c r="R617" s="221"/>
      <c r="S617" s="221"/>
      <c r="T617" s="221"/>
      <c r="U617" s="221"/>
      <c r="V617" s="221"/>
      <c r="W617" s="221"/>
      <c r="X617" s="221"/>
      <c r="Y617" s="221"/>
      <c r="Z617" s="221"/>
      <c r="AA617" s="221"/>
      <c r="AB617" s="297"/>
    </row>
    <row r="618">
      <c r="A618" s="134"/>
      <c r="B618" s="134"/>
      <c r="C618" s="68"/>
      <c r="D618" s="68"/>
      <c r="E618" s="68"/>
      <c r="F618" s="68"/>
      <c r="G618" s="68"/>
      <c r="H618" s="68"/>
      <c r="I618" s="221"/>
      <c r="J618" s="221"/>
      <c r="K618" s="221"/>
      <c r="L618" s="221"/>
      <c r="M618" s="221"/>
      <c r="N618" s="221"/>
      <c r="O618" s="221"/>
      <c r="P618" s="221"/>
      <c r="Q618" s="221"/>
      <c r="R618" s="221"/>
      <c r="S618" s="221"/>
      <c r="T618" s="221"/>
      <c r="U618" s="221"/>
      <c r="V618" s="221"/>
      <c r="W618" s="221"/>
      <c r="X618" s="221"/>
      <c r="Y618" s="221"/>
      <c r="Z618" s="221"/>
      <c r="AA618" s="221"/>
      <c r="AB618" s="297"/>
    </row>
    <row r="619">
      <c r="A619" s="134"/>
      <c r="B619" s="134"/>
      <c r="C619" s="68"/>
      <c r="D619" s="68"/>
      <c r="E619" s="68"/>
      <c r="F619" s="68"/>
      <c r="G619" s="68"/>
      <c r="H619" s="68"/>
      <c r="I619" s="221"/>
      <c r="J619" s="221"/>
      <c r="K619" s="221"/>
      <c r="L619" s="221"/>
      <c r="M619" s="221"/>
      <c r="N619" s="221"/>
      <c r="O619" s="221"/>
      <c r="P619" s="221"/>
      <c r="Q619" s="221"/>
      <c r="R619" s="221"/>
      <c r="S619" s="221"/>
      <c r="T619" s="221"/>
      <c r="U619" s="221"/>
      <c r="V619" s="221"/>
      <c r="W619" s="221"/>
      <c r="X619" s="221"/>
      <c r="Y619" s="221"/>
      <c r="Z619" s="221"/>
      <c r="AA619" s="221"/>
      <c r="AB619" s="297"/>
    </row>
    <row r="620">
      <c r="A620" s="134"/>
      <c r="B620" s="134"/>
      <c r="C620" s="68"/>
      <c r="D620" s="68"/>
      <c r="E620" s="68"/>
      <c r="F620" s="68"/>
      <c r="G620" s="68"/>
      <c r="H620" s="68"/>
      <c r="I620" s="221"/>
      <c r="J620" s="221"/>
      <c r="K620" s="221"/>
      <c r="L620" s="221"/>
      <c r="M620" s="221"/>
      <c r="N620" s="221"/>
      <c r="O620" s="221"/>
      <c r="P620" s="221"/>
      <c r="Q620" s="221"/>
      <c r="R620" s="221"/>
      <c r="S620" s="221"/>
      <c r="T620" s="221"/>
      <c r="U620" s="221"/>
      <c r="V620" s="221"/>
      <c r="W620" s="221"/>
      <c r="X620" s="221"/>
      <c r="Y620" s="221"/>
      <c r="Z620" s="221"/>
      <c r="AA620" s="221"/>
      <c r="AB620" s="297"/>
    </row>
    <row r="621">
      <c r="A621" s="134"/>
      <c r="B621" s="134"/>
      <c r="C621" s="68"/>
      <c r="D621" s="68"/>
      <c r="E621" s="68"/>
      <c r="F621" s="68"/>
      <c r="G621" s="68"/>
      <c r="H621" s="68"/>
      <c r="I621" s="221"/>
      <c r="J621" s="221"/>
      <c r="K621" s="221"/>
      <c r="L621" s="221"/>
      <c r="M621" s="221"/>
      <c r="N621" s="221"/>
      <c r="O621" s="221"/>
      <c r="P621" s="221"/>
      <c r="Q621" s="221"/>
      <c r="R621" s="221"/>
      <c r="S621" s="221"/>
      <c r="T621" s="221"/>
      <c r="U621" s="221"/>
      <c r="V621" s="221"/>
      <c r="W621" s="221"/>
      <c r="X621" s="221"/>
      <c r="Y621" s="221"/>
      <c r="Z621" s="221"/>
      <c r="AA621" s="221"/>
      <c r="AB621" s="297"/>
    </row>
    <row r="622">
      <c r="A622" s="134"/>
      <c r="B622" s="134"/>
      <c r="C622" s="68"/>
      <c r="D622" s="68"/>
      <c r="E622" s="68"/>
      <c r="F622" s="68"/>
      <c r="G622" s="68"/>
      <c r="H622" s="68"/>
      <c r="I622" s="221"/>
      <c r="J622" s="221"/>
      <c r="K622" s="221"/>
      <c r="L622" s="221"/>
      <c r="M622" s="221"/>
      <c r="N622" s="221"/>
      <c r="O622" s="221"/>
      <c r="P622" s="221"/>
      <c r="Q622" s="221"/>
      <c r="R622" s="221"/>
      <c r="S622" s="221"/>
      <c r="T622" s="221"/>
      <c r="U622" s="221"/>
      <c r="V622" s="221"/>
      <c r="W622" s="221"/>
      <c r="X622" s="221"/>
      <c r="Y622" s="221"/>
      <c r="Z622" s="221"/>
      <c r="AA622" s="221"/>
      <c r="AB622" s="297"/>
    </row>
    <row r="623">
      <c r="A623" s="134"/>
      <c r="B623" s="134"/>
      <c r="C623" s="68"/>
      <c r="D623" s="68"/>
      <c r="E623" s="68"/>
      <c r="F623" s="68"/>
      <c r="G623" s="68"/>
      <c r="H623" s="68"/>
      <c r="I623" s="221"/>
      <c r="J623" s="221"/>
      <c r="K623" s="221"/>
      <c r="L623" s="221"/>
      <c r="M623" s="221"/>
      <c r="N623" s="221"/>
      <c r="O623" s="221"/>
      <c r="P623" s="221"/>
      <c r="Q623" s="221"/>
      <c r="R623" s="221"/>
      <c r="S623" s="221"/>
      <c r="T623" s="221"/>
      <c r="U623" s="221"/>
      <c r="V623" s="221"/>
      <c r="W623" s="221"/>
      <c r="X623" s="221"/>
      <c r="Y623" s="221"/>
      <c r="Z623" s="221"/>
      <c r="AA623" s="221"/>
      <c r="AB623" s="297"/>
    </row>
    <row r="624">
      <c r="A624" s="134"/>
      <c r="B624" s="134"/>
      <c r="C624" s="68"/>
      <c r="D624" s="68"/>
      <c r="E624" s="68"/>
      <c r="F624" s="68"/>
      <c r="G624" s="68"/>
      <c r="H624" s="68"/>
      <c r="I624" s="221"/>
      <c r="J624" s="221"/>
      <c r="K624" s="221"/>
      <c r="L624" s="221"/>
      <c r="M624" s="221"/>
      <c r="N624" s="221"/>
      <c r="O624" s="221"/>
      <c r="P624" s="221"/>
      <c r="Q624" s="221"/>
      <c r="R624" s="221"/>
      <c r="S624" s="221"/>
      <c r="T624" s="221"/>
      <c r="U624" s="221"/>
      <c r="V624" s="221"/>
      <c r="W624" s="221"/>
      <c r="X624" s="221"/>
      <c r="Y624" s="221"/>
      <c r="Z624" s="221"/>
      <c r="AA624" s="221"/>
      <c r="AB624" s="297"/>
    </row>
    <row r="625">
      <c r="A625" s="134"/>
      <c r="B625" s="134"/>
      <c r="C625" s="68"/>
      <c r="D625" s="68"/>
      <c r="E625" s="68"/>
      <c r="F625" s="68"/>
      <c r="G625" s="68"/>
      <c r="H625" s="68"/>
      <c r="I625" s="221"/>
      <c r="J625" s="221"/>
      <c r="K625" s="221"/>
      <c r="L625" s="221"/>
      <c r="M625" s="221"/>
      <c r="N625" s="221"/>
      <c r="O625" s="221"/>
      <c r="P625" s="221"/>
      <c r="Q625" s="221"/>
      <c r="R625" s="221"/>
      <c r="S625" s="221"/>
      <c r="T625" s="221"/>
      <c r="U625" s="221"/>
      <c r="V625" s="221"/>
      <c r="W625" s="221"/>
      <c r="X625" s="221"/>
      <c r="Y625" s="221"/>
      <c r="Z625" s="221"/>
      <c r="AA625" s="221"/>
      <c r="AB625" s="297"/>
    </row>
    <row r="626">
      <c r="A626" s="134"/>
      <c r="B626" s="134"/>
      <c r="C626" s="68"/>
      <c r="D626" s="68"/>
      <c r="E626" s="68"/>
      <c r="F626" s="68"/>
      <c r="G626" s="68"/>
      <c r="H626" s="68"/>
      <c r="I626" s="221"/>
      <c r="J626" s="221"/>
      <c r="K626" s="221"/>
      <c r="L626" s="221"/>
      <c r="M626" s="221"/>
      <c r="N626" s="221"/>
      <c r="O626" s="221"/>
      <c r="P626" s="221"/>
      <c r="Q626" s="221"/>
      <c r="R626" s="221"/>
      <c r="S626" s="221"/>
      <c r="T626" s="221"/>
      <c r="U626" s="221"/>
      <c r="V626" s="221"/>
      <c r="W626" s="221"/>
      <c r="X626" s="221"/>
      <c r="Y626" s="221"/>
      <c r="Z626" s="221"/>
      <c r="AA626" s="221"/>
      <c r="AB626" s="297"/>
    </row>
    <row r="627">
      <c r="A627" s="134"/>
      <c r="B627" s="134"/>
      <c r="C627" s="68"/>
      <c r="D627" s="68"/>
      <c r="E627" s="68"/>
      <c r="F627" s="68"/>
      <c r="G627" s="68"/>
      <c r="H627" s="68"/>
      <c r="I627" s="221"/>
      <c r="J627" s="221"/>
      <c r="K627" s="221"/>
      <c r="L627" s="221"/>
      <c r="M627" s="221"/>
      <c r="N627" s="221"/>
      <c r="O627" s="221"/>
      <c r="P627" s="221"/>
      <c r="Q627" s="221"/>
      <c r="R627" s="221"/>
      <c r="S627" s="221"/>
      <c r="T627" s="221"/>
      <c r="U627" s="221"/>
      <c r="V627" s="221"/>
      <c r="W627" s="221"/>
      <c r="X627" s="221"/>
      <c r="Y627" s="221"/>
      <c r="Z627" s="221"/>
      <c r="AA627" s="221"/>
      <c r="AB627" s="297"/>
    </row>
    <row r="628">
      <c r="A628" s="134"/>
      <c r="B628" s="134"/>
      <c r="C628" s="68"/>
      <c r="D628" s="68"/>
      <c r="E628" s="68"/>
      <c r="F628" s="68"/>
      <c r="G628" s="68"/>
      <c r="H628" s="68"/>
      <c r="I628" s="221"/>
      <c r="J628" s="221"/>
      <c r="K628" s="221"/>
      <c r="L628" s="221"/>
      <c r="M628" s="221"/>
      <c r="N628" s="221"/>
      <c r="O628" s="221"/>
      <c r="P628" s="221"/>
      <c r="Q628" s="221"/>
      <c r="R628" s="221"/>
      <c r="S628" s="221"/>
      <c r="T628" s="221"/>
      <c r="U628" s="221"/>
      <c r="V628" s="221"/>
      <c r="W628" s="221"/>
      <c r="X628" s="221"/>
      <c r="Y628" s="221"/>
      <c r="Z628" s="221"/>
      <c r="AA628" s="221"/>
      <c r="AB628" s="297"/>
    </row>
    <row r="629">
      <c r="A629" s="134"/>
      <c r="B629" s="134"/>
      <c r="C629" s="68"/>
      <c r="D629" s="68"/>
      <c r="E629" s="68"/>
      <c r="F629" s="68"/>
      <c r="G629" s="68"/>
      <c r="H629" s="68"/>
      <c r="I629" s="221"/>
      <c r="J629" s="221"/>
      <c r="K629" s="221"/>
      <c r="L629" s="221"/>
      <c r="M629" s="221"/>
      <c r="N629" s="221"/>
      <c r="O629" s="221"/>
      <c r="P629" s="221"/>
      <c r="Q629" s="221"/>
      <c r="R629" s="221"/>
      <c r="S629" s="221"/>
      <c r="T629" s="221"/>
      <c r="U629" s="221"/>
      <c r="V629" s="221"/>
      <c r="W629" s="221"/>
      <c r="X629" s="221"/>
      <c r="Y629" s="221"/>
      <c r="Z629" s="221"/>
      <c r="AA629" s="221"/>
      <c r="AB629" s="297"/>
    </row>
    <row r="630">
      <c r="A630" s="134"/>
      <c r="B630" s="134"/>
      <c r="C630" s="68"/>
      <c r="D630" s="68"/>
      <c r="E630" s="68"/>
      <c r="F630" s="68"/>
      <c r="G630" s="68"/>
      <c r="H630" s="68"/>
      <c r="I630" s="221"/>
      <c r="J630" s="221"/>
      <c r="K630" s="221"/>
      <c r="L630" s="221"/>
      <c r="M630" s="221"/>
      <c r="N630" s="221"/>
      <c r="O630" s="221"/>
      <c r="P630" s="221"/>
      <c r="Q630" s="221"/>
      <c r="R630" s="221"/>
      <c r="S630" s="221"/>
      <c r="T630" s="221"/>
      <c r="U630" s="221"/>
      <c r="V630" s="221"/>
      <c r="W630" s="221"/>
      <c r="X630" s="221"/>
      <c r="Y630" s="221"/>
      <c r="Z630" s="221"/>
      <c r="AA630" s="221"/>
      <c r="AB630" s="297"/>
    </row>
    <row r="631">
      <c r="A631" s="134"/>
      <c r="B631" s="134"/>
      <c r="C631" s="68"/>
      <c r="D631" s="68"/>
      <c r="E631" s="68"/>
      <c r="F631" s="68"/>
      <c r="G631" s="68"/>
      <c r="H631" s="68"/>
      <c r="I631" s="221"/>
      <c r="J631" s="221"/>
      <c r="K631" s="221"/>
      <c r="L631" s="221"/>
      <c r="M631" s="221"/>
      <c r="N631" s="221"/>
      <c r="O631" s="221"/>
      <c r="P631" s="221"/>
      <c r="Q631" s="221"/>
      <c r="R631" s="221"/>
      <c r="S631" s="221"/>
      <c r="T631" s="221"/>
      <c r="U631" s="221"/>
      <c r="V631" s="221"/>
      <c r="W631" s="221"/>
      <c r="X631" s="221"/>
      <c r="Y631" s="221"/>
      <c r="Z631" s="221"/>
      <c r="AA631" s="221"/>
      <c r="AB631" s="297"/>
    </row>
    <row r="632">
      <c r="A632" s="134"/>
      <c r="B632" s="134"/>
      <c r="C632" s="68"/>
      <c r="D632" s="68"/>
      <c r="E632" s="68"/>
      <c r="F632" s="68"/>
      <c r="G632" s="68"/>
      <c r="H632" s="68"/>
      <c r="I632" s="221"/>
      <c r="J632" s="221"/>
      <c r="K632" s="221"/>
      <c r="L632" s="221"/>
      <c r="M632" s="221"/>
      <c r="N632" s="221"/>
      <c r="O632" s="221"/>
      <c r="P632" s="221"/>
      <c r="Q632" s="221"/>
      <c r="R632" s="221"/>
      <c r="S632" s="221"/>
      <c r="T632" s="221"/>
      <c r="U632" s="221"/>
      <c r="V632" s="221"/>
      <c r="W632" s="221"/>
      <c r="X632" s="221"/>
      <c r="Y632" s="221"/>
      <c r="Z632" s="221"/>
      <c r="AA632" s="221"/>
      <c r="AB632" s="297"/>
    </row>
    <row r="633">
      <c r="A633" s="134"/>
      <c r="B633" s="134"/>
      <c r="C633" s="68"/>
      <c r="D633" s="68"/>
      <c r="E633" s="68"/>
      <c r="F633" s="68"/>
      <c r="G633" s="68"/>
      <c r="H633" s="68"/>
      <c r="I633" s="221"/>
      <c r="J633" s="221"/>
      <c r="K633" s="221"/>
      <c r="L633" s="221"/>
      <c r="M633" s="221"/>
      <c r="N633" s="221"/>
      <c r="O633" s="221"/>
      <c r="P633" s="221"/>
      <c r="Q633" s="221"/>
      <c r="R633" s="221"/>
      <c r="S633" s="221"/>
      <c r="T633" s="221"/>
      <c r="U633" s="221"/>
      <c r="V633" s="221"/>
      <c r="W633" s="221"/>
      <c r="X633" s="221"/>
      <c r="Y633" s="221"/>
      <c r="Z633" s="221"/>
      <c r="AA633" s="221"/>
      <c r="AB633" s="297"/>
    </row>
    <row r="634">
      <c r="A634" s="134"/>
      <c r="B634" s="134"/>
      <c r="C634" s="68"/>
      <c r="D634" s="68"/>
      <c r="E634" s="68"/>
      <c r="F634" s="68"/>
      <c r="G634" s="68"/>
      <c r="H634" s="68"/>
      <c r="I634" s="221"/>
      <c r="J634" s="221"/>
      <c r="K634" s="221"/>
      <c r="L634" s="221"/>
      <c r="M634" s="221"/>
      <c r="N634" s="221"/>
      <c r="O634" s="221"/>
      <c r="P634" s="221"/>
      <c r="Q634" s="221"/>
      <c r="R634" s="221"/>
      <c r="S634" s="221"/>
      <c r="T634" s="221"/>
      <c r="U634" s="221"/>
      <c r="V634" s="221"/>
      <c r="W634" s="221"/>
      <c r="X634" s="221"/>
      <c r="Y634" s="221"/>
      <c r="Z634" s="221"/>
      <c r="AA634" s="221"/>
      <c r="AB634" s="297"/>
    </row>
    <row r="635">
      <c r="A635" s="134"/>
      <c r="B635" s="134"/>
      <c r="C635" s="68"/>
      <c r="D635" s="68"/>
      <c r="E635" s="68"/>
      <c r="F635" s="68"/>
      <c r="G635" s="68"/>
      <c r="H635" s="68"/>
      <c r="I635" s="221"/>
      <c r="J635" s="221"/>
      <c r="K635" s="221"/>
      <c r="L635" s="221"/>
      <c r="M635" s="221"/>
      <c r="N635" s="221"/>
      <c r="O635" s="221"/>
      <c r="P635" s="221"/>
      <c r="Q635" s="221"/>
      <c r="R635" s="221"/>
      <c r="S635" s="221"/>
      <c r="T635" s="221"/>
      <c r="U635" s="221"/>
      <c r="V635" s="221"/>
      <c r="W635" s="221"/>
      <c r="X635" s="221"/>
      <c r="Y635" s="221"/>
      <c r="Z635" s="221"/>
      <c r="AA635" s="221"/>
      <c r="AB635" s="297"/>
    </row>
    <row r="636">
      <c r="A636" s="134"/>
      <c r="B636" s="134"/>
      <c r="C636" s="68"/>
      <c r="D636" s="68"/>
      <c r="E636" s="68"/>
      <c r="F636" s="68"/>
      <c r="G636" s="68"/>
      <c r="H636" s="68"/>
      <c r="I636" s="221"/>
      <c r="J636" s="221"/>
      <c r="K636" s="221"/>
      <c r="L636" s="221"/>
      <c r="M636" s="221"/>
      <c r="N636" s="221"/>
      <c r="O636" s="221"/>
      <c r="P636" s="221"/>
      <c r="Q636" s="221"/>
      <c r="R636" s="221"/>
      <c r="S636" s="221"/>
      <c r="T636" s="221"/>
      <c r="U636" s="221"/>
      <c r="V636" s="221"/>
      <c r="W636" s="221"/>
      <c r="X636" s="221"/>
      <c r="Y636" s="221"/>
      <c r="Z636" s="221"/>
      <c r="AA636" s="221"/>
      <c r="AB636" s="297"/>
    </row>
    <row r="637">
      <c r="A637" s="134"/>
      <c r="B637" s="134"/>
      <c r="C637" s="68"/>
      <c r="D637" s="68"/>
      <c r="E637" s="68"/>
      <c r="F637" s="68"/>
      <c r="G637" s="68"/>
      <c r="H637" s="68"/>
      <c r="I637" s="221"/>
      <c r="J637" s="221"/>
      <c r="K637" s="221"/>
      <c r="L637" s="221"/>
      <c r="M637" s="221"/>
      <c r="N637" s="221"/>
      <c r="O637" s="221"/>
      <c r="P637" s="221"/>
      <c r="Q637" s="221"/>
      <c r="R637" s="221"/>
      <c r="S637" s="221"/>
      <c r="T637" s="221"/>
      <c r="U637" s="221"/>
      <c r="V637" s="221"/>
      <c r="W637" s="221"/>
      <c r="X637" s="221"/>
      <c r="Y637" s="221"/>
      <c r="Z637" s="221"/>
      <c r="AA637" s="221"/>
      <c r="AB637" s="297"/>
    </row>
    <row r="638">
      <c r="A638" s="134"/>
      <c r="B638" s="134"/>
      <c r="C638" s="68"/>
      <c r="D638" s="68"/>
      <c r="E638" s="68"/>
      <c r="F638" s="68"/>
      <c r="G638" s="68"/>
      <c r="H638" s="68"/>
      <c r="I638" s="221"/>
      <c r="J638" s="221"/>
      <c r="K638" s="221"/>
      <c r="L638" s="221"/>
      <c r="M638" s="221"/>
      <c r="N638" s="221"/>
      <c r="O638" s="221"/>
      <c r="P638" s="221"/>
      <c r="Q638" s="221"/>
      <c r="R638" s="221"/>
      <c r="S638" s="221"/>
      <c r="T638" s="221"/>
      <c r="U638" s="221"/>
      <c r="V638" s="221"/>
      <c r="W638" s="221"/>
      <c r="X638" s="221"/>
      <c r="Y638" s="221"/>
      <c r="Z638" s="221"/>
      <c r="AA638" s="221"/>
      <c r="AB638" s="297"/>
    </row>
    <row r="639">
      <c r="A639" s="134"/>
      <c r="B639" s="134"/>
      <c r="C639" s="68"/>
      <c r="D639" s="68"/>
      <c r="E639" s="68"/>
      <c r="F639" s="68"/>
      <c r="G639" s="68"/>
      <c r="H639" s="68"/>
      <c r="I639" s="221"/>
      <c r="J639" s="221"/>
      <c r="K639" s="221"/>
      <c r="L639" s="221"/>
      <c r="M639" s="221"/>
      <c r="N639" s="221"/>
      <c r="O639" s="221"/>
      <c r="P639" s="221"/>
      <c r="Q639" s="221"/>
      <c r="R639" s="221"/>
      <c r="S639" s="221"/>
      <c r="T639" s="221"/>
      <c r="U639" s="221"/>
      <c r="V639" s="221"/>
      <c r="W639" s="221"/>
      <c r="X639" s="221"/>
      <c r="Y639" s="221"/>
      <c r="Z639" s="221"/>
      <c r="AA639" s="221"/>
      <c r="AB639" s="297"/>
    </row>
    <row r="640">
      <c r="A640" s="134"/>
      <c r="B640" s="134"/>
      <c r="C640" s="68"/>
      <c r="D640" s="68"/>
      <c r="E640" s="68"/>
      <c r="F640" s="68"/>
      <c r="G640" s="68"/>
      <c r="H640" s="68"/>
      <c r="I640" s="221"/>
      <c r="J640" s="221"/>
      <c r="K640" s="221"/>
      <c r="L640" s="221"/>
      <c r="M640" s="221"/>
      <c r="N640" s="221"/>
      <c r="O640" s="221"/>
      <c r="P640" s="221"/>
      <c r="Q640" s="221"/>
      <c r="R640" s="221"/>
      <c r="S640" s="221"/>
      <c r="T640" s="221"/>
      <c r="U640" s="221"/>
      <c r="V640" s="221"/>
      <c r="W640" s="221"/>
      <c r="X640" s="221"/>
      <c r="Y640" s="221"/>
      <c r="Z640" s="221"/>
      <c r="AA640" s="221"/>
      <c r="AB640" s="297"/>
    </row>
    <row r="641">
      <c r="A641" s="134"/>
      <c r="B641" s="134"/>
      <c r="C641" s="68"/>
      <c r="D641" s="68"/>
      <c r="E641" s="68"/>
      <c r="F641" s="68"/>
      <c r="G641" s="68"/>
      <c r="H641" s="68"/>
      <c r="I641" s="221"/>
      <c r="J641" s="221"/>
      <c r="K641" s="221"/>
      <c r="L641" s="221"/>
      <c r="M641" s="221"/>
      <c r="N641" s="221"/>
      <c r="O641" s="221"/>
      <c r="P641" s="221"/>
      <c r="Q641" s="221"/>
      <c r="R641" s="221"/>
      <c r="S641" s="221"/>
      <c r="T641" s="221"/>
      <c r="U641" s="221"/>
      <c r="V641" s="221"/>
      <c r="W641" s="221"/>
      <c r="X641" s="221"/>
      <c r="Y641" s="221"/>
      <c r="Z641" s="221"/>
      <c r="AA641" s="221"/>
      <c r="AB641" s="297"/>
    </row>
    <row r="642">
      <c r="A642" s="134"/>
      <c r="B642" s="134"/>
      <c r="C642" s="68"/>
      <c r="D642" s="68"/>
      <c r="E642" s="68"/>
      <c r="F642" s="68"/>
      <c r="G642" s="68"/>
      <c r="H642" s="68"/>
      <c r="I642" s="221"/>
      <c r="J642" s="221"/>
      <c r="K642" s="221"/>
      <c r="L642" s="221"/>
      <c r="M642" s="221"/>
      <c r="N642" s="221"/>
      <c r="O642" s="221"/>
      <c r="P642" s="221"/>
      <c r="Q642" s="221"/>
      <c r="R642" s="221"/>
      <c r="S642" s="221"/>
      <c r="T642" s="221"/>
      <c r="U642" s="221"/>
      <c r="V642" s="221"/>
      <c r="W642" s="221"/>
      <c r="X642" s="221"/>
      <c r="Y642" s="221"/>
      <c r="Z642" s="221"/>
      <c r="AA642" s="221"/>
      <c r="AB642" s="297"/>
    </row>
    <row r="643">
      <c r="A643" s="134"/>
      <c r="B643" s="134"/>
      <c r="C643" s="68"/>
      <c r="D643" s="68"/>
      <c r="E643" s="68"/>
      <c r="F643" s="68"/>
      <c r="G643" s="68"/>
      <c r="H643" s="68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97"/>
    </row>
    <row r="644">
      <c r="A644" s="134"/>
      <c r="B644" s="134"/>
      <c r="C644" s="68"/>
      <c r="D644" s="68"/>
      <c r="E644" s="68"/>
      <c r="F644" s="68"/>
      <c r="G644" s="68"/>
      <c r="H644" s="68"/>
      <c r="I644" s="221"/>
      <c r="J644" s="221"/>
      <c r="K644" s="221"/>
      <c r="L644" s="221"/>
      <c r="M644" s="221"/>
      <c r="N644" s="221"/>
      <c r="O644" s="221"/>
      <c r="P644" s="221"/>
      <c r="Q644" s="221"/>
      <c r="R644" s="221"/>
      <c r="S644" s="221"/>
      <c r="T644" s="221"/>
      <c r="U644" s="221"/>
      <c r="V644" s="221"/>
      <c r="W644" s="221"/>
      <c r="X644" s="221"/>
      <c r="Y644" s="221"/>
      <c r="Z644" s="221"/>
      <c r="AA644" s="221"/>
      <c r="AB644" s="297"/>
    </row>
    <row r="645">
      <c r="A645" s="134"/>
      <c r="B645" s="134"/>
      <c r="C645" s="68"/>
      <c r="D645" s="68"/>
      <c r="E645" s="68"/>
      <c r="F645" s="68"/>
      <c r="G645" s="68"/>
      <c r="H645" s="68"/>
      <c r="I645" s="221"/>
      <c r="J645" s="221"/>
      <c r="K645" s="221"/>
      <c r="L645" s="221"/>
      <c r="M645" s="221"/>
      <c r="N645" s="221"/>
      <c r="O645" s="221"/>
      <c r="P645" s="221"/>
      <c r="Q645" s="221"/>
      <c r="R645" s="221"/>
      <c r="S645" s="221"/>
      <c r="T645" s="221"/>
      <c r="U645" s="221"/>
      <c r="V645" s="221"/>
      <c r="W645" s="221"/>
      <c r="X645" s="221"/>
      <c r="Y645" s="221"/>
      <c r="Z645" s="221"/>
      <c r="AA645" s="221"/>
      <c r="AB645" s="297"/>
    </row>
    <row r="646">
      <c r="A646" s="134"/>
      <c r="B646" s="134"/>
      <c r="C646" s="68"/>
      <c r="D646" s="68"/>
      <c r="E646" s="68"/>
      <c r="F646" s="68"/>
      <c r="G646" s="68"/>
      <c r="H646" s="68"/>
      <c r="I646" s="221"/>
      <c r="J646" s="221"/>
      <c r="K646" s="221"/>
      <c r="L646" s="221"/>
      <c r="M646" s="221"/>
      <c r="N646" s="221"/>
      <c r="O646" s="221"/>
      <c r="P646" s="221"/>
      <c r="Q646" s="221"/>
      <c r="R646" s="221"/>
      <c r="S646" s="221"/>
      <c r="T646" s="221"/>
      <c r="U646" s="221"/>
      <c r="V646" s="221"/>
      <c r="W646" s="221"/>
      <c r="X646" s="221"/>
      <c r="Y646" s="221"/>
      <c r="Z646" s="221"/>
      <c r="AA646" s="221"/>
      <c r="AB646" s="297"/>
    </row>
    <row r="647">
      <c r="A647" s="134"/>
      <c r="B647" s="134"/>
      <c r="C647" s="68"/>
      <c r="D647" s="68"/>
      <c r="E647" s="68"/>
      <c r="F647" s="68"/>
      <c r="G647" s="68"/>
      <c r="H647" s="68"/>
      <c r="I647" s="221"/>
      <c r="J647" s="221"/>
      <c r="K647" s="221"/>
      <c r="L647" s="221"/>
      <c r="M647" s="221"/>
      <c r="N647" s="221"/>
      <c r="O647" s="221"/>
      <c r="P647" s="221"/>
      <c r="Q647" s="221"/>
      <c r="R647" s="221"/>
      <c r="S647" s="221"/>
      <c r="T647" s="221"/>
      <c r="U647" s="221"/>
      <c r="V647" s="221"/>
      <c r="W647" s="221"/>
      <c r="X647" s="221"/>
      <c r="Y647" s="221"/>
      <c r="Z647" s="221"/>
      <c r="AA647" s="221"/>
      <c r="AB647" s="297"/>
    </row>
    <row r="648">
      <c r="A648" s="134"/>
      <c r="B648" s="134"/>
      <c r="C648" s="68"/>
      <c r="D648" s="68"/>
      <c r="E648" s="68"/>
      <c r="F648" s="68"/>
      <c r="G648" s="68"/>
      <c r="H648" s="68"/>
      <c r="I648" s="221"/>
      <c r="J648" s="221"/>
      <c r="K648" s="221"/>
      <c r="L648" s="221"/>
      <c r="M648" s="221"/>
      <c r="N648" s="221"/>
      <c r="O648" s="221"/>
      <c r="P648" s="221"/>
      <c r="Q648" s="221"/>
      <c r="R648" s="221"/>
      <c r="S648" s="221"/>
      <c r="T648" s="221"/>
      <c r="U648" s="221"/>
      <c r="V648" s="221"/>
      <c r="W648" s="221"/>
      <c r="X648" s="221"/>
      <c r="Y648" s="221"/>
      <c r="Z648" s="221"/>
      <c r="AA648" s="221"/>
      <c r="AB648" s="297"/>
    </row>
    <row r="649">
      <c r="A649" s="134"/>
      <c r="B649" s="134"/>
      <c r="C649" s="68"/>
      <c r="D649" s="68"/>
      <c r="E649" s="68"/>
      <c r="F649" s="68"/>
      <c r="G649" s="68"/>
      <c r="H649" s="68"/>
      <c r="I649" s="221"/>
      <c r="J649" s="221"/>
      <c r="K649" s="221"/>
      <c r="L649" s="221"/>
      <c r="M649" s="221"/>
      <c r="N649" s="221"/>
      <c r="O649" s="221"/>
      <c r="P649" s="221"/>
      <c r="Q649" s="221"/>
      <c r="R649" s="221"/>
      <c r="S649" s="221"/>
      <c r="T649" s="221"/>
      <c r="U649" s="221"/>
      <c r="V649" s="221"/>
      <c r="W649" s="221"/>
      <c r="X649" s="221"/>
      <c r="Y649" s="221"/>
      <c r="Z649" s="221"/>
      <c r="AA649" s="221"/>
      <c r="AB649" s="297"/>
    </row>
    <row r="650">
      <c r="A650" s="134"/>
      <c r="B650" s="134"/>
      <c r="C650" s="68"/>
      <c r="D650" s="68"/>
      <c r="E650" s="68"/>
      <c r="F650" s="68"/>
      <c r="G650" s="68"/>
      <c r="H650" s="68"/>
      <c r="I650" s="221"/>
      <c r="J650" s="221"/>
      <c r="K650" s="221"/>
      <c r="L650" s="221"/>
      <c r="M650" s="221"/>
      <c r="N650" s="221"/>
      <c r="O650" s="221"/>
      <c r="P650" s="221"/>
      <c r="Q650" s="221"/>
      <c r="R650" s="221"/>
      <c r="S650" s="221"/>
      <c r="T650" s="221"/>
      <c r="U650" s="221"/>
      <c r="V650" s="221"/>
      <c r="W650" s="221"/>
      <c r="X650" s="221"/>
      <c r="Y650" s="221"/>
      <c r="Z650" s="221"/>
      <c r="AA650" s="221"/>
      <c r="AB650" s="297"/>
    </row>
    <row r="651">
      <c r="A651" s="134"/>
      <c r="B651" s="134"/>
      <c r="C651" s="68"/>
      <c r="D651" s="68"/>
      <c r="E651" s="68"/>
      <c r="F651" s="68"/>
      <c r="G651" s="68"/>
      <c r="H651" s="68"/>
      <c r="I651" s="221"/>
      <c r="J651" s="221"/>
      <c r="K651" s="221"/>
      <c r="L651" s="221"/>
      <c r="M651" s="221"/>
      <c r="N651" s="221"/>
      <c r="O651" s="221"/>
      <c r="P651" s="221"/>
      <c r="Q651" s="221"/>
      <c r="R651" s="221"/>
      <c r="S651" s="221"/>
      <c r="T651" s="221"/>
      <c r="U651" s="221"/>
      <c r="V651" s="221"/>
      <c r="W651" s="221"/>
      <c r="X651" s="221"/>
      <c r="Y651" s="221"/>
      <c r="Z651" s="221"/>
      <c r="AA651" s="221"/>
      <c r="AB651" s="297"/>
    </row>
    <row r="652">
      <c r="A652" s="134"/>
      <c r="B652" s="134"/>
      <c r="C652" s="68"/>
      <c r="D652" s="68"/>
      <c r="E652" s="68"/>
      <c r="F652" s="68"/>
      <c r="G652" s="68"/>
      <c r="H652" s="68"/>
      <c r="I652" s="221"/>
      <c r="J652" s="221"/>
      <c r="K652" s="221"/>
      <c r="L652" s="221"/>
      <c r="M652" s="221"/>
      <c r="N652" s="221"/>
      <c r="O652" s="221"/>
      <c r="P652" s="221"/>
      <c r="Q652" s="221"/>
      <c r="R652" s="221"/>
      <c r="S652" s="221"/>
      <c r="T652" s="221"/>
      <c r="U652" s="221"/>
      <c r="V652" s="221"/>
      <c r="W652" s="221"/>
      <c r="X652" s="221"/>
      <c r="Y652" s="221"/>
      <c r="Z652" s="221"/>
      <c r="AA652" s="221"/>
      <c r="AB652" s="297"/>
    </row>
    <row r="653">
      <c r="A653" s="134"/>
      <c r="B653" s="134"/>
      <c r="C653" s="68"/>
      <c r="D653" s="68"/>
      <c r="E653" s="68"/>
      <c r="F653" s="68"/>
      <c r="G653" s="68"/>
      <c r="H653" s="68"/>
      <c r="I653" s="221"/>
      <c r="J653" s="221"/>
      <c r="K653" s="221"/>
      <c r="L653" s="221"/>
      <c r="M653" s="221"/>
      <c r="N653" s="221"/>
      <c r="O653" s="221"/>
      <c r="P653" s="221"/>
      <c r="Q653" s="221"/>
      <c r="R653" s="221"/>
      <c r="S653" s="221"/>
      <c r="T653" s="221"/>
      <c r="U653" s="221"/>
      <c r="V653" s="221"/>
      <c r="W653" s="221"/>
      <c r="X653" s="221"/>
      <c r="Y653" s="221"/>
      <c r="Z653" s="221"/>
      <c r="AA653" s="221"/>
      <c r="AB653" s="297"/>
    </row>
    <row r="654">
      <c r="A654" s="134"/>
      <c r="B654" s="134"/>
      <c r="C654" s="68"/>
      <c r="D654" s="68"/>
      <c r="E654" s="68"/>
      <c r="F654" s="68"/>
      <c r="G654" s="68"/>
      <c r="H654" s="68"/>
      <c r="I654" s="221"/>
      <c r="J654" s="221"/>
      <c r="K654" s="221"/>
      <c r="L654" s="221"/>
      <c r="M654" s="221"/>
      <c r="N654" s="221"/>
      <c r="O654" s="221"/>
      <c r="P654" s="221"/>
      <c r="Q654" s="221"/>
      <c r="R654" s="221"/>
      <c r="S654" s="221"/>
      <c r="T654" s="221"/>
      <c r="U654" s="221"/>
      <c r="V654" s="221"/>
      <c r="W654" s="221"/>
      <c r="X654" s="221"/>
      <c r="Y654" s="221"/>
      <c r="Z654" s="221"/>
      <c r="AA654" s="221"/>
      <c r="AB654" s="297"/>
    </row>
    <row r="655">
      <c r="A655" s="134"/>
      <c r="B655" s="134"/>
      <c r="C655" s="68"/>
      <c r="D655" s="68"/>
      <c r="E655" s="68"/>
      <c r="F655" s="68"/>
      <c r="G655" s="68"/>
      <c r="H655" s="68"/>
      <c r="I655" s="221"/>
      <c r="J655" s="221"/>
      <c r="K655" s="221"/>
      <c r="L655" s="221"/>
      <c r="M655" s="221"/>
      <c r="N655" s="221"/>
      <c r="O655" s="221"/>
      <c r="P655" s="221"/>
      <c r="Q655" s="221"/>
      <c r="R655" s="221"/>
      <c r="S655" s="221"/>
      <c r="T655" s="221"/>
      <c r="U655" s="221"/>
      <c r="V655" s="221"/>
      <c r="W655" s="221"/>
      <c r="X655" s="221"/>
      <c r="Y655" s="221"/>
      <c r="Z655" s="221"/>
      <c r="AA655" s="221"/>
      <c r="AB655" s="297"/>
    </row>
    <row r="656">
      <c r="A656" s="134"/>
      <c r="B656" s="134"/>
      <c r="C656" s="68"/>
      <c r="D656" s="68"/>
      <c r="E656" s="68"/>
      <c r="F656" s="68"/>
      <c r="G656" s="68"/>
      <c r="H656" s="68"/>
      <c r="I656" s="221"/>
      <c r="J656" s="221"/>
      <c r="K656" s="221"/>
      <c r="L656" s="221"/>
      <c r="M656" s="221"/>
      <c r="N656" s="221"/>
      <c r="O656" s="221"/>
      <c r="P656" s="221"/>
      <c r="Q656" s="221"/>
      <c r="R656" s="221"/>
      <c r="S656" s="221"/>
      <c r="T656" s="221"/>
      <c r="U656" s="221"/>
      <c r="V656" s="221"/>
      <c r="W656" s="221"/>
      <c r="X656" s="221"/>
      <c r="Y656" s="221"/>
      <c r="Z656" s="221"/>
      <c r="AA656" s="221"/>
      <c r="AB656" s="297"/>
    </row>
    <row r="657">
      <c r="A657" s="134"/>
      <c r="B657" s="134"/>
      <c r="C657" s="68"/>
      <c r="D657" s="68"/>
      <c r="E657" s="68"/>
      <c r="F657" s="68"/>
      <c r="G657" s="68"/>
      <c r="H657" s="68"/>
      <c r="I657" s="221"/>
      <c r="J657" s="221"/>
      <c r="K657" s="221"/>
      <c r="L657" s="221"/>
      <c r="M657" s="221"/>
      <c r="N657" s="221"/>
      <c r="O657" s="221"/>
      <c r="P657" s="221"/>
      <c r="Q657" s="221"/>
      <c r="R657" s="221"/>
      <c r="S657" s="221"/>
      <c r="T657" s="221"/>
      <c r="U657" s="221"/>
      <c r="V657" s="221"/>
      <c r="W657" s="221"/>
      <c r="X657" s="221"/>
      <c r="Y657" s="221"/>
      <c r="Z657" s="221"/>
      <c r="AA657" s="221"/>
      <c r="AB657" s="297"/>
    </row>
    <row r="658">
      <c r="A658" s="134"/>
      <c r="B658" s="134"/>
      <c r="C658" s="68"/>
      <c r="D658" s="68"/>
      <c r="E658" s="68"/>
      <c r="F658" s="68"/>
      <c r="G658" s="68"/>
      <c r="H658" s="68"/>
      <c r="I658" s="221"/>
      <c r="J658" s="221"/>
      <c r="K658" s="221"/>
      <c r="L658" s="221"/>
      <c r="M658" s="221"/>
      <c r="N658" s="221"/>
      <c r="O658" s="221"/>
      <c r="P658" s="221"/>
      <c r="Q658" s="221"/>
      <c r="R658" s="221"/>
      <c r="S658" s="221"/>
      <c r="T658" s="221"/>
      <c r="U658" s="221"/>
      <c r="V658" s="221"/>
      <c r="W658" s="221"/>
      <c r="X658" s="221"/>
      <c r="Y658" s="221"/>
      <c r="Z658" s="221"/>
      <c r="AA658" s="221"/>
      <c r="AB658" s="297"/>
    </row>
    <row r="659">
      <c r="A659" s="134"/>
      <c r="B659" s="134"/>
      <c r="C659" s="68"/>
      <c r="D659" s="68"/>
      <c r="E659" s="68"/>
      <c r="F659" s="68"/>
      <c r="G659" s="68"/>
      <c r="H659" s="68"/>
      <c r="I659" s="221"/>
      <c r="J659" s="221"/>
      <c r="K659" s="221"/>
      <c r="L659" s="221"/>
      <c r="M659" s="221"/>
      <c r="N659" s="221"/>
      <c r="O659" s="221"/>
      <c r="P659" s="221"/>
      <c r="Q659" s="221"/>
      <c r="R659" s="221"/>
      <c r="S659" s="221"/>
      <c r="T659" s="221"/>
      <c r="U659" s="221"/>
      <c r="V659" s="221"/>
      <c r="W659" s="221"/>
      <c r="X659" s="221"/>
      <c r="Y659" s="221"/>
      <c r="Z659" s="221"/>
      <c r="AA659" s="221"/>
      <c r="AB659" s="297"/>
    </row>
    <row r="660">
      <c r="A660" s="134"/>
      <c r="B660" s="134"/>
      <c r="C660" s="68"/>
      <c r="D660" s="68"/>
      <c r="E660" s="68"/>
      <c r="F660" s="68"/>
      <c r="G660" s="68"/>
      <c r="H660" s="68"/>
      <c r="I660" s="221"/>
      <c r="J660" s="221"/>
      <c r="K660" s="221"/>
      <c r="L660" s="221"/>
      <c r="M660" s="221"/>
      <c r="N660" s="221"/>
      <c r="O660" s="221"/>
      <c r="P660" s="221"/>
      <c r="Q660" s="221"/>
      <c r="R660" s="221"/>
      <c r="S660" s="221"/>
      <c r="T660" s="221"/>
      <c r="U660" s="221"/>
      <c r="V660" s="221"/>
      <c r="W660" s="221"/>
      <c r="X660" s="221"/>
      <c r="Y660" s="221"/>
      <c r="Z660" s="221"/>
      <c r="AA660" s="221"/>
      <c r="AB660" s="297"/>
    </row>
    <row r="661">
      <c r="A661" s="134"/>
      <c r="B661" s="134"/>
      <c r="C661" s="68"/>
      <c r="D661" s="68"/>
      <c r="E661" s="68"/>
      <c r="F661" s="68"/>
      <c r="G661" s="68"/>
      <c r="H661" s="68"/>
      <c r="I661" s="221"/>
      <c r="J661" s="221"/>
      <c r="K661" s="221"/>
      <c r="L661" s="221"/>
      <c r="M661" s="221"/>
      <c r="N661" s="221"/>
      <c r="O661" s="221"/>
      <c r="P661" s="221"/>
      <c r="Q661" s="221"/>
      <c r="R661" s="221"/>
      <c r="S661" s="221"/>
      <c r="T661" s="221"/>
      <c r="U661" s="221"/>
      <c r="V661" s="221"/>
      <c r="W661" s="221"/>
      <c r="X661" s="221"/>
      <c r="Y661" s="221"/>
      <c r="Z661" s="221"/>
      <c r="AA661" s="221"/>
      <c r="AB661" s="297"/>
    </row>
    <row r="662">
      <c r="A662" s="134"/>
      <c r="B662" s="134"/>
      <c r="C662" s="68"/>
      <c r="D662" s="68"/>
      <c r="E662" s="68"/>
      <c r="F662" s="68"/>
      <c r="G662" s="68"/>
      <c r="H662" s="68"/>
      <c r="I662" s="221"/>
      <c r="J662" s="221"/>
      <c r="K662" s="221"/>
      <c r="L662" s="221"/>
      <c r="M662" s="221"/>
      <c r="N662" s="221"/>
      <c r="O662" s="221"/>
      <c r="P662" s="221"/>
      <c r="Q662" s="221"/>
      <c r="R662" s="221"/>
      <c r="S662" s="221"/>
      <c r="T662" s="221"/>
      <c r="U662" s="221"/>
      <c r="V662" s="221"/>
      <c r="W662" s="221"/>
      <c r="X662" s="221"/>
      <c r="Y662" s="221"/>
      <c r="Z662" s="221"/>
      <c r="AA662" s="221"/>
      <c r="AB662" s="297"/>
    </row>
    <row r="663">
      <c r="A663" s="134"/>
      <c r="B663" s="134"/>
      <c r="C663" s="68"/>
      <c r="D663" s="68"/>
      <c r="E663" s="68"/>
      <c r="F663" s="68"/>
      <c r="G663" s="68"/>
      <c r="H663" s="68"/>
      <c r="I663" s="221"/>
      <c r="J663" s="221"/>
      <c r="K663" s="221"/>
      <c r="L663" s="221"/>
      <c r="M663" s="221"/>
      <c r="N663" s="221"/>
      <c r="O663" s="221"/>
      <c r="P663" s="221"/>
      <c r="Q663" s="221"/>
      <c r="R663" s="221"/>
      <c r="S663" s="221"/>
      <c r="T663" s="221"/>
      <c r="U663" s="221"/>
      <c r="V663" s="221"/>
      <c r="W663" s="221"/>
      <c r="X663" s="221"/>
      <c r="Y663" s="221"/>
      <c r="Z663" s="221"/>
      <c r="AA663" s="221"/>
      <c r="AB663" s="297"/>
    </row>
    <row r="664">
      <c r="A664" s="134"/>
      <c r="B664" s="134"/>
      <c r="C664" s="68"/>
      <c r="D664" s="68"/>
      <c r="E664" s="68"/>
      <c r="F664" s="68"/>
      <c r="G664" s="68"/>
      <c r="H664" s="68"/>
      <c r="I664" s="221"/>
      <c r="J664" s="221"/>
      <c r="K664" s="221"/>
      <c r="L664" s="221"/>
      <c r="M664" s="221"/>
      <c r="N664" s="221"/>
      <c r="O664" s="221"/>
      <c r="P664" s="221"/>
      <c r="Q664" s="221"/>
      <c r="R664" s="221"/>
      <c r="S664" s="221"/>
      <c r="T664" s="221"/>
      <c r="U664" s="221"/>
      <c r="V664" s="221"/>
      <c r="W664" s="221"/>
      <c r="X664" s="221"/>
      <c r="Y664" s="221"/>
      <c r="Z664" s="221"/>
      <c r="AA664" s="221"/>
      <c r="AB664" s="297"/>
    </row>
    <row r="665">
      <c r="A665" s="134"/>
      <c r="B665" s="134"/>
      <c r="C665" s="68"/>
      <c r="D665" s="68"/>
      <c r="E665" s="68"/>
      <c r="F665" s="68"/>
      <c r="G665" s="68"/>
      <c r="H665" s="68"/>
      <c r="I665" s="221"/>
      <c r="J665" s="221"/>
      <c r="K665" s="221"/>
      <c r="L665" s="221"/>
      <c r="M665" s="221"/>
      <c r="N665" s="221"/>
      <c r="O665" s="221"/>
      <c r="P665" s="221"/>
      <c r="Q665" s="221"/>
      <c r="R665" s="221"/>
      <c r="S665" s="221"/>
      <c r="T665" s="221"/>
      <c r="U665" s="221"/>
      <c r="V665" s="221"/>
      <c r="W665" s="221"/>
      <c r="X665" s="221"/>
      <c r="Y665" s="221"/>
      <c r="Z665" s="221"/>
      <c r="AA665" s="221"/>
      <c r="AB665" s="297"/>
    </row>
    <row r="666">
      <c r="A666" s="134"/>
      <c r="B666" s="134"/>
      <c r="C666" s="68"/>
      <c r="D666" s="68"/>
      <c r="E666" s="68"/>
      <c r="F666" s="68"/>
      <c r="G666" s="68"/>
      <c r="H666" s="68"/>
      <c r="I666" s="221"/>
      <c r="J666" s="221"/>
      <c r="K666" s="221"/>
      <c r="L666" s="221"/>
      <c r="M666" s="221"/>
      <c r="N666" s="221"/>
      <c r="O666" s="221"/>
      <c r="P666" s="221"/>
      <c r="Q666" s="221"/>
      <c r="R666" s="221"/>
      <c r="S666" s="221"/>
      <c r="T666" s="221"/>
      <c r="U666" s="221"/>
      <c r="V666" s="221"/>
      <c r="W666" s="221"/>
      <c r="X666" s="221"/>
      <c r="Y666" s="221"/>
      <c r="Z666" s="221"/>
      <c r="AA666" s="221"/>
      <c r="AB666" s="297"/>
    </row>
    <row r="667">
      <c r="A667" s="134"/>
      <c r="B667" s="134"/>
      <c r="C667" s="68"/>
      <c r="D667" s="68"/>
      <c r="E667" s="68"/>
      <c r="F667" s="68"/>
      <c r="G667" s="68"/>
      <c r="H667" s="68"/>
      <c r="I667" s="221"/>
      <c r="J667" s="221"/>
      <c r="K667" s="221"/>
      <c r="L667" s="221"/>
      <c r="M667" s="221"/>
      <c r="N667" s="221"/>
      <c r="O667" s="221"/>
      <c r="P667" s="221"/>
      <c r="Q667" s="221"/>
      <c r="R667" s="221"/>
      <c r="S667" s="221"/>
      <c r="T667" s="221"/>
      <c r="U667" s="221"/>
      <c r="V667" s="221"/>
      <c r="W667" s="221"/>
      <c r="X667" s="221"/>
      <c r="Y667" s="221"/>
      <c r="Z667" s="221"/>
      <c r="AA667" s="221"/>
      <c r="AB667" s="297"/>
    </row>
    <row r="668">
      <c r="A668" s="134"/>
      <c r="B668" s="134"/>
      <c r="C668" s="68"/>
      <c r="D668" s="68"/>
      <c r="E668" s="68"/>
      <c r="F668" s="68"/>
      <c r="G668" s="68"/>
      <c r="H668" s="68"/>
      <c r="I668" s="221"/>
      <c r="J668" s="221"/>
      <c r="K668" s="221"/>
      <c r="L668" s="221"/>
      <c r="M668" s="221"/>
      <c r="N668" s="221"/>
      <c r="O668" s="221"/>
      <c r="P668" s="221"/>
      <c r="Q668" s="221"/>
      <c r="R668" s="221"/>
      <c r="S668" s="221"/>
      <c r="T668" s="221"/>
      <c r="U668" s="221"/>
      <c r="V668" s="221"/>
      <c r="W668" s="221"/>
      <c r="X668" s="221"/>
      <c r="Y668" s="221"/>
      <c r="Z668" s="221"/>
      <c r="AA668" s="221"/>
      <c r="AB668" s="297"/>
    </row>
    <row r="669">
      <c r="A669" s="134"/>
      <c r="B669" s="134"/>
      <c r="C669" s="68"/>
      <c r="D669" s="68"/>
      <c r="E669" s="68"/>
      <c r="F669" s="68"/>
      <c r="G669" s="68"/>
      <c r="H669" s="68"/>
      <c r="I669" s="221"/>
      <c r="J669" s="221"/>
      <c r="K669" s="221"/>
      <c r="L669" s="221"/>
      <c r="M669" s="221"/>
      <c r="N669" s="221"/>
      <c r="O669" s="221"/>
      <c r="P669" s="221"/>
      <c r="Q669" s="221"/>
      <c r="R669" s="221"/>
      <c r="S669" s="221"/>
      <c r="T669" s="221"/>
      <c r="U669" s="221"/>
      <c r="V669" s="221"/>
      <c r="W669" s="221"/>
      <c r="X669" s="221"/>
      <c r="Y669" s="221"/>
      <c r="Z669" s="221"/>
      <c r="AA669" s="221"/>
      <c r="AB669" s="297"/>
    </row>
    <row r="670">
      <c r="A670" s="134"/>
      <c r="B670" s="134"/>
      <c r="C670" s="68"/>
      <c r="D670" s="68"/>
      <c r="E670" s="68"/>
      <c r="F670" s="68"/>
      <c r="G670" s="68"/>
      <c r="H670" s="68"/>
      <c r="I670" s="221"/>
      <c r="J670" s="221"/>
      <c r="K670" s="221"/>
      <c r="L670" s="221"/>
      <c r="M670" s="221"/>
      <c r="N670" s="221"/>
      <c r="O670" s="221"/>
      <c r="P670" s="221"/>
      <c r="Q670" s="221"/>
      <c r="R670" s="221"/>
      <c r="S670" s="221"/>
      <c r="T670" s="221"/>
      <c r="U670" s="221"/>
      <c r="V670" s="221"/>
      <c r="W670" s="221"/>
      <c r="X670" s="221"/>
      <c r="Y670" s="221"/>
      <c r="Z670" s="221"/>
      <c r="AA670" s="221"/>
      <c r="AB670" s="297"/>
    </row>
    <row r="671">
      <c r="A671" s="134"/>
      <c r="B671" s="134"/>
      <c r="C671" s="68"/>
      <c r="D671" s="68"/>
      <c r="E671" s="68"/>
      <c r="F671" s="68"/>
      <c r="G671" s="68"/>
      <c r="H671" s="68"/>
      <c r="I671" s="221"/>
      <c r="J671" s="221"/>
      <c r="K671" s="221"/>
      <c r="L671" s="221"/>
      <c r="M671" s="221"/>
      <c r="N671" s="221"/>
      <c r="O671" s="221"/>
      <c r="P671" s="221"/>
      <c r="Q671" s="221"/>
      <c r="R671" s="221"/>
      <c r="S671" s="221"/>
      <c r="T671" s="221"/>
      <c r="U671" s="221"/>
      <c r="V671" s="221"/>
      <c r="W671" s="221"/>
      <c r="X671" s="221"/>
      <c r="Y671" s="221"/>
      <c r="Z671" s="221"/>
      <c r="AA671" s="221"/>
      <c r="AB671" s="297"/>
    </row>
    <row r="672">
      <c r="A672" s="134"/>
      <c r="B672" s="134"/>
      <c r="C672" s="68"/>
      <c r="D672" s="68"/>
      <c r="E672" s="68"/>
      <c r="F672" s="68"/>
      <c r="G672" s="68"/>
      <c r="H672" s="68"/>
      <c r="I672" s="221"/>
      <c r="J672" s="221"/>
      <c r="K672" s="221"/>
      <c r="L672" s="221"/>
      <c r="M672" s="221"/>
      <c r="N672" s="221"/>
      <c r="O672" s="221"/>
      <c r="P672" s="221"/>
      <c r="Q672" s="221"/>
      <c r="R672" s="221"/>
      <c r="S672" s="221"/>
      <c r="T672" s="221"/>
      <c r="U672" s="221"/>
      <c r="V672" s="221"/>
      <c r="W672" s="221"/>
      <c r="X672" s="221"/>
      <c r="Y672" s="221"/>
      <c r="Z672" s="221"/>
      <c r="AA672" s="221"/>
      <c r="AB672" s="297"/>
    </row>
    <row r="673">
      <c r="A673" s="134"/>
      <c r="B673" s="134"/>
      <c r="C673" s="68"/>
      <c r="D673" s="68"/>
      <c r="E673" s="68"/>
      <c r="F673" s="68"/>
      <c r="G673" s="68"/>
      <c r="H673" s="68"/>
      <c r="I673" s="221"/>
      <c r="J673" s="221"/>
      <c r="K673" s="221"/>
      <c r="L673" s="221"/>
      <c r="M673" s="221"/>
      <c r="N673" s="221"/>
      <c r="O673" s="221"/>
      <c r="P673" s="221"/>
      <c r="Q673" s="221"/>
      <c r="R673" s="221"/>
      <c r="S673" s="221"/>
      <c r="T673" s="221"/>
      <c r="U673" s="221"/>
      <c r="V673" s="221"/>
      <c r="W673" s="221"/>
      <c r="X673" s="221"/>
      <c r="Y673" s="221"/>
      <c r="Z673" s="221"/>
      <c r="AA673" s="221"/>
      <c r="AB673" s="297"/>
    </row>
    <row r="674">
      <c r="A674" s="134"/>
      <c r="B674" s="134"/>
      <c r="C674" s="68"/>
      <c r="D674" s="68"/>
      <c r="E674" s="68"/>
      <c r="F674" s="68"/>
      <c r="G674" s="68"/>
      <c r="H674" s="68"/>
      <c r="I674" s="221"/>
      <c r="J674" s="221"/>
      <c r="K674" s="221"/>
      <c r="L674" s="221"/>
      <c r="M674" s="221"/>
      <c r="N674" s="221"/>
      <c r="O674" s="221"/>
      <c r="P674" s="221"/>
      <c r="Q674" s="221"/>
      <c r="R674" s="221"/>
      <c r="S674" s="221"/>
      <c r="T674" s="221"/>
      <c r="U674" s="221"/>
      <c r="V674" s="221"/>
      <c r="W674" s="221"/>
      <c r="X674" s="221"/>
      <c r="Y674" s="221"/>
      <c r="Z674" s="221"/>
      <c r="AA674" s="221"/>
      <c r="AB674" s="297"/>
    </row>
    <row r="675">
      <c r="A675" s="134"/>
      <c r="B675" s="134"/>
      <c r="C675" s="68"/>
      <c r="D675" s="68"/>
      <c r="E675" s="68"/>
      <c r="F675" s="68"/>
      <c r="G675" s="68"/>
      <c r="H675" s="68"/>
      <c r="I675" s="221"/>
      <c r="J675" s="221"/>
      <c r="K675" s="221"/>
      <c r="L675" s="221"/>
      <c r="M675" s="221"/>
      <c r="N675" s="221"/>
      <c r="O675" s="221"/>
      <c r="P675" s="221"/>
      <c r="Q675" s="221"/>
      <c r="R675" s="221"/>
      <c r="S675" s="221"/>
      <c r="T675" s="221"/>
      <c r="U675" s="221"/>
      <c r="V675" s="221"/>
      <c r="W675" s="221"/>
      <c r="X675" s="221"/>
      <c r="Y675" s="221"/>
      <c r="Z675" s="221"/>
      <c r="AA675" s="221"/>
      <c r="AB675" s="297"/>
    </row>
    <row r="676">
      <c r="A676" s="134"/>
      <c r="B676" s="134"/>
      <c r="C676" s="68"/>
      <c r="D676" s="68"/>
      <c r="E676" s="68"/>
      <c r="F676" s="68"/>
      <c r="G676" s="68"/>
      <c r="H676" s="68"/>
      <c r="I676" s="221"/>
      <c r="J676" s="221"/>
      <c r="K676" s="221"/>
      <c r="L676" s="221"/>
      <c r="M676" s="221"/>
      <c r="N676" s="221"/>
      <c r="O676" s="221"/>
      <c r="P676" s="221"/>
      <c r="Q676" s="221"/>
      <c r="R676" s="221"/>
      <c r="S676" s="221"/>
      <c r="T676" s="221"/>
      <c r="U676" s="221"/>
      <c r="V676" s="221"/>
      <c r="W676" s="221"/>
      <c r="X676" s="221"/>
      <c r="Y676" s="221"/>
      <c r="Z676" s="221"/>
      <c r="AA676" s="221"/>
      <c r="AB676" s="297"/>
    </row>
    <row r="677">
      <c r="A677" s="134"/>
      <c r="B677" s="134"/>
      <c r="C677" s="68"/>
      <c r="D677" s="68"/>
      <c r="E677" s="68"/>
      <c r="F677" s="68"/>
      <c r="G677" s="68"/>
      <c r="H677" s="68"/>
      <c r="I677" s="221"/>
      <c r="J677" s="221"/>
      <c r="K677" s="221"/>
      <c r="L677" s="221"/>
      <c r="M677" s="221"/>
      <c r="N677" s="221"/>
      <c r="O677" s="221"/>
      <c r="P677" s="221"/>
      <c r="Q677" s="221"/>
      <c r="R677" s="221"/>
      <c r="S677" s="221"/>
      <c r="T677" s="221"/>
      <c r="U677" s="221"/>
      <c r="V677" s="221"/>
      <c r="W677" s="221"/>
      <c r="X677" s="221"/>
      <c r="Y677" s="221"/>
      <c r="Z677" s="221"/>
      <c r="AA677" s="221"/>
      <c r="AB677" s="297"/>
    </row>
    <row r="678">
      <c r="A678" s="134"/>
      <c r="B678" s="134"/>
      <c r="C678" s="68"/>
      <c r="D678" s="68"/>
      <c r="E678" s="68"/>
      <c r="F678" s="68"/>
      <c r="G678" s="68"/>
      <c r="H678" s="68"/>
      <c r="I678" s="221"/>
      <c r="J678" s="221"/>
      <c r="K678" s="221"/>
      <c r="L678" s="221"/>
      <c r="M678" s="221"/>
      <c r="N678" s="221"/>
      <c r="O678" s="221"/>
      <c r="P678" s="221"/>
      <c r="Q678" s="221"/>
      <c r="R678" s="221"/>
      <c r="S678" s="221"/>
      <c r="T678" s="221"/>
      <c r="U678" s="221"/>
      <c r="V678" s="221"/>
      <c r="W678" s="221"/>
      <c r="X678" s="221"/>
      <c r="Y678" s="221"/>
      <c r="Z678" s="221"/>
      <c r="AA678" s="221"/>
      <c r="AB678" s="297"/>
    </row>
    <row r="679">
      <c r="A679" s="134"/>
      <c r="B679" s="134"/>
      <c r="C679" s="68"/>
      <c r="D679" s="68"/>
      <c r="E679" s="68"/>
      <c r="F679" s="68"/>
      <c r="G679" s="68"/>
      <c r="H679" s="68"/>
      <c r="I679" s="221"/>
      <c r="J679" s="221"/>
      <c r="K679" s="221"/>
      <c r="L679" s="221"/>
      <c r="M679" s="221"/>
      <c r="N679" s="221"/>
      <c r="O679" s="221"/>
      <c r="P679" s="221"/>
      <c r="Q679" s="221"/>
      <c r="R679" s="221"/>
      <c r="S679" s="221"/>
      <c r="T679" s="221"/>
      <c r="U679" s="221"/>
      <c r="V679" s="221"/>
      <c r="W679" s="221"/>
      <c r="X679" s="221"/>
      <c r="Y679" s="221"/>
      <c r="Z679" s="221"/>
      <c r="AA679" s="221"/>
      <c r="AB679" s="297"/>
    </row>
    <row r="680">
      <c r="A680" s="134"/>
      <c r="B680" s="134"/>
      <c r="C680" s="68"/>
      <c r="D680" s="68"/>
      <c r="E680" s="68"/>
      <c r="F680" s="68"/>
      <c r="G680" s="68"/>
      <c r="H680" s="68"/>
      <c r="I680" s="221"/>
      <c r="J680" s="221"/>
      <c r="K680" s="221"/>
      <c r="L680" s="221"/>
      <c r="M680" s="221"/>
      <c r="N680" s="221"/>
      <c r="O680" s="221"/>
      <c r="P680" s="221"/>
      <c r="Q680" s="221"/>
      <c r="R680" s="221"/>
      <c r="S680" s="221"/>
      <c r="T680" s="221"/>
      <c r="U680" s="221"/>
      <c r="V680" s="221"/>
      <c r="W680" s="221"/>
      <c r="X680" s="221"/>
      <c r="Y680" s="221"/>
      <c r="Z680" s="221"/>
      <c r="AA680" s="221"/>
      <c r="AB680" s="297"/>
    </row>
    <row r="681">
      <c r="A681" s="134"/>
      <c r="B681" s="134"/>
      <c r="C681" s="68"/>
      <c r="D681" s="68"/>
      <c r="E681" s="68"/>
      <c r="F681" s="68"/>
      <c r="G681" s="68"/>
      <c r="H681" s="68"/>
      <c r="I681" s="221"/>
      <c r="J681" s="221"/>
      <c r="K681" s="221"/>
      <c r="L681" s="221"/>
      <c r="M681" s="221"/>
      <c r="N681" s="221"/>
      <c r="O681" s="221"/>
      <c r="P681" s="221"/>
      <c r="Q681" s="221"/>
      <c r="R681" s="221"/>
      <c r="S681" s="221"/>
      <c r="T681" s="221"/>
      <c r="U681" s="221"/>
      <c r="V681" s="221"/>
      <c r="W681" s="221"/>
      <c r="X681" s="221"/>
      <c r="Y681" s="221"/>
      <c r="Z681" s="221"/>
      <c r="AA681" s="221"/>
      <c r="AB681" s="297"/>
    </row>
    <row r="682">
      <c r="A682" s="134"/>
      <c r="B682" s="134"/>
      <c r="C682" s="68"/>
      <c r="D682" s="68"/>
      <c r="E682" s="68"/>
      <c r="F682" s="68"/>
      <c r="G682" s="68"/>
      <c r="H682" s="68"/>
      <c r="I682" s="221"/>
      <c r="J682" s="221"/>
      <c r="K682" s="221"/>
      <c r="L682" s="221"/>
      <c r="M682" s="221"/>
      <c r="N682" s="221"/>
      <c r="O682" s="221"/>
      <c r="P682" s="221"/>
      <c r="Q682" s="221"/>
      <c r="R682" s="221"/>
      <c r="S682" s="221"/>
      <c r="T682" s="221"/>
      <c r="U682" s="221"/>
      <c r="V682" s="221"/>
      <c r="W682" s="221"/>
      <c r="X682" s="221"/>
      <c r="Y682" s="221"/>
      <c r="Z682" s="221"/>
      <c r="AA682" s="221"/>
      <c r="AB682" s="297"/>
    </row>
    <row r="683">
      <c r="A683" s="134"/>
      <c r="B683" s="134"/>
      <c r="C683" s="68"/>
      <c r="D683" s="68"/>
      <c r="E683" s="68"/>
      <c r="F683" s="68"/>
      <c r="G683" s="68"/>
      <c r="H683" s="68"/>
      <c r="I683" s="221"/>
      <c r="J683" s="221"/>
      <c r="K683" s="221"/>
      <c r="L683" s="221"/>
      <c r="M683" s="221"/>
      <c r="N683" s="221"/>
      <c r="O683" s="221"/>
      <c r="P683" s="221"/>
      <c r="Q683" s="221"/>
      <c r="R683" s="221"/>
      <c r="S683" s="221"/>
      <c r="T683" s="221"/>
      <c r="U683" s="221"/>
      <c r="V683" s="221"/>
      <c r="W683" s="221"/>
      <c r="X683" s="221"/>
      <c r="Y683" s="221"/>
      <c r="Z683" s="221"/>
      <c r="AA683" s="221"/>
      <c r="AB683" s="297"/>
    </row>
    <row r="684">
      <c r="A684" s="134"/>
      <c r="B684" s="134"/>
      <c r="C684" s="68"/>
      <c r="D684" s="68"/>
      <c r="E684" s="68"/>
      <c r="F684" s="68"/>
      <c r="G684" s="68"/>
      <c r="H684" s="68"/>
      <c r="I684" s="221"/>
      <c r="J684" s="221"/>
      <c r="K684" s="221"/>
      <c r="L684" s="221"/>
      <c r="M684" s="221"/>
      <c r="N684" s="221"/>
      <c r="O684" s="221"/>
      <c r="P684" s="221"/>
      <c r="Q684" s="221"/>
      <c r="R684" s="221"/>
      <c r="S684" s="221"/>
      <c r="T684" s="221"/>
      <c r="U684" s="221"/>
      <c r="V684" s="221"/>
      <c r="W684" s="221"/>
      <c r="X684" s="221"/>
      <c r="Y684" s="221"/>
      <c r="Z684" s="221"/>
      <c r="AA684" s="221"/>
      <c r="AB684" s="297"/>
    </row>
    <row r="685">
      <c r="A685" s="134"/>
      <c r="B685" s="134"/>
      <c r="C685" s="68"/>
      <c r="D685" s="68"/>
      <c r="E685" s="68"/>
      <c r="F685" s="68"/>
      <c r="G685" s="68"/>
      <c r="H685" s="68"/>
      <c r="I685" s="221"/>
      <c r="J685" s="221"/>
      <c r="K685" s="221"/>
      <c r="L685" s="221"/>
      <c r="M685" s="221"/>
      <c r="N685" s="221"/>
      <c r="O685" s="221"/>
      <c r="P685" s="221"/>
      <c r="Q685" s="221"/>
      <c r="R685" s="221"/>
      <c r="S685" s="221"/>
      <c r="T685" s="221"/>
      <c r="U685" s="221"/>
      <c r="V685" s="221"/>
      <c r="W685" s="221"/>
      <c r="X685" s="221"/>
      <c r="Y685" s="221"/>
      <c r="Z685" s="221"/>
      <c r="AA685" s="221"/>
      <c r="AB685" s="297"/>
    </row>
    <row r="686">
      <c r="A686" s="134"/>
      <c r="B686" s="134"/>
      <c r="C686" s="68"/>
      <c r="D686" s="68"/>
      <c r="E686" s="68"/>
      <c r="F686" s="68"/>
      <c r="G686" s="68"/>
      <c r="H686" s="68"/>
      <c r="I686" s="221"/>
      <c r="J686" s="221"/>
      <c r="K686" s="221"/>
      <c r="L686" s="221"/>
      <c r="M686" s="221"/>
      <c r="N686" s="221"/>
      <c r="O686" s="221"/>
      <c r="P686" s="221"/>
      <c r="Q686" s="221"/>
      <c r="R686" s="221"/>
      <c r="S686" s="221"/>
      <c r="T686" s="221"/>
      <c r="U686" s="221"/>
      <c r="V686" s="221"/>
      <c r="W686" s="221"/>
      <c r="X686" s="221"/>
      <c r="Y686" s="221"/>
      <c r="Z686" s="221"/>
      <c r="AA686" s="221"/>
      <c r="AB686" s="297"/>
    </row>
    <row r="687">
      <c r="A687" s="134"/>
      <c r="B687" s="134"/>
      <c r="C687" s="68"/>
      <c r="D687" s="68"/>
      <c r="E687" s="68"/>
      <c r="F687" s="68"/>
      <c r="G687" s="68"/>
      <c r="H687" s="68"/>
      <c r="I687" s="221"/>
      <c r="J687" s="221"/>
      <c r="K687" s="221"/>
      <c r="L687" s="221"/>
      <c r="M687" s="221"/>
      <c r="N687" s="221"/>
      <c r="O687" s="221"/>
      <c r="P687" s="221"/>
      <c r="Q687" s="221"/>
      <c r="R687" s="221"/>
      <c r="S687" s="221"/>
      <c r="T687" s="221"/>
      <c r="U687" s="221"/>
      <c r="V687" s="221"/>
      <c r="W687" s="221"/>
      <c r="X687" s="221"/>
      <c r="Y687" s="221"/>
      <c r="Z687" s="221"/>
      <c r="AA687" s="221"/>
      <c r="AB687" s="297"/>
    </row>
    <row r="688">
      <c r="A688" s="134"/>
      <c r="B688" s="134"/>
      <c r="C688" s="68"/>
      <c r="D688" s="68"/>
      <c r="E688" s="68"/>
      <c r="F688" s="68"/>
      <c r="G688" s="68"/>
      <c r="H688" s="68"/>
      <c r="I688" s="221"/>
      <c r="J688" s="221"/>
      <c r="K688" s="221"/>
      <c r="L688" s="221"/>
      <c r="M688" s="221"/>
      <c r="N688" s="221"/>
      <c r="O688" s="221"/>
      <c r="P688" s="221"/>
      <c r="Q688" s="221"/>
      <c r="R688" s="221"/>
      <c r="S688" s="221"/>
      <c r="T688" s="221"/>
      <c r="U688" s="221"/>
      <c r="V688" s="221"/>
      <c r="W688" s="221"/>
      <c r="X688" s="221"/>
      <c r="Y688" s="221"/>
      <c r="Z688" s="221"/>
      <c r="AA688" s="221"/>
      <c r="AB688" s="297"/>
    </row>
    <row r="689">
      <c r="A689" s="134"/>
      <c r="B689" s="134"/>
      <c r="C689" s="68"/>
      <c r="D689" s="68"/>
      <c r="E689" s="68"/>
      <c r="F689" s="68"/>
      <c r="G689" s="68"/>
      <c r="H689" s="68"/>
      <c r="I689" s="221"/>
      <c r="J689" s="221"/>
      <c r="K689" s="221"/>
      <c r="L689" s="221"/>
      <c r="M689" s="221"/>
      <c r="N689" s="221"/>
      <c r="O689" s="221"/>
      <c r="P689" s="221"/>
      <c r="Q689" s="221"/>
      <c r="R689" s="221"/>
      <c r="S689" s="221"/>
      <c r="T689" s="221"/>
      <c r="U689" s="221"/>
      <c r="V689" s="221"/>
      <c r="W689" s="221"/>
      <c r="X689" s="221"/>
      <c r="Y689" s="221"/>
      <c r="Z689" s="221"/>
      <c r="AA689" s="221"/>
      <c r="AB689" s="297"/>
    </row>
    <row r="690">
      <c r="A690" s="134"/>
      <c r="B690" s="134"/>
      <c r="C690" s="68"/>
      <c r="D690" s="68"/>
      <c r="E690" s="68"/>
      <c r="F690" s="68"/>
      <c r="G690" s="68"/>
      <c r="H690" s="68"/>
      <c r="I690" s="221"/>
      <c r="J690" s="221"/>
      <c r="K690" s="221"/>
      <c r="L690" s="221"/>
      <c r="M690" s="221"/>
      <c r="N690" s="221"/>
      <c r="O690" s="221"/>
      <c r="P690" s="221"/>
      <c r="Q690" s="221"/>
      <c r="R690" s="221"/>
      <c r="S690" s="221"/>
      <c r="T690" s="221"/>
      <c r="U690" s="221"/>
      <c r="V690" s="221"/>
      <c r="W690" s="221"/>
      <c r="X690" s="221"/>
      <c r="Y690" s="221"/>
      <c r="Z690" s="221"/>
      <c r="AA690" s="221"/>
      <c r="AB690" s="297"/>
    </row>
    <row r="691">
      <c r="A691" s="134"/>
      <c r="B691" s="134"/>
      <c r="C691" s="68"/>
      <c r="D691" s="68"/>
      <c r="E691" s="68"/>
      <c r="F691" s="68"/>
      <c r="G691" s="68"/>
      <c r="H691" s="68"/>
      <c r="I691" s="221"/>
      <c r="J691" s="221"/>
      <c r="K691" s="221"/>
      <c r="L691" s="221"/>
      <c r="M691" s="221"/>
      <c r="N691" s="221"/>
      <c r="O691" s="221"/>
      <c r="P691" s="221"/>
      <c r="Q691" s="221"/>
      <c r="R691" s="221"/>
      <c r="S691" s="221"/>
      <c r="T691" s="221"/>
      <c r="U691" s="221"/>
      <c r="V691" s="221"/>
      <c r="W691" s="221"/>
      <c r="X691" s="221"/>
      <c r="Y691" s="221"/>
      <c r="Z691" s="221"/>
      <c r="AA691" s="221"/>
      <c r="AB691" s="297"/>
    </row>
    <row r="692">
      <c r="A692" s="134"/>
      <c r="B692" s="134"/>
      <c r="C692" s="68"/>
      <c r="D692" s="68"/>
      <c r="E692" s="68"/>
      <c r="F692" s="68"/>
      <c r="G692" s="68"/>
      <c r="H692" s="68"/>
      <c r="I692" s="221"/>
      <c r="J692" s="221"/>
      <c r="K692" s="221"/>
      <c r="L692" s="221"/>
      <c r="M692" s="221"/>
      <c r="N692" s="221"/>
      <c r="O692" s="221"/>
      <c r="P692" s="221"/>
      <c r="Q692" s="221"/>
      <c r="R692" s="221"/>
      <c r="S692" s="221"/>
      <c r="T692" s="221"/>
      <c r="U692" s="221"/>
      <c r="V692" s="221"/>
      <c r="W692" s="221"/>
      <c r="X692" s="221"/>
      <c r="Y692" s="221"/>
      <c r="Z692" s="221"/>
      <c r="AA692" s="221"/>
      <c r="AB692" s="297"/>
    </row>
    <row r="693">
      <c r="A693" s="134"/>
      <c r="B693" s="134"/>
      <c r="C693" s="68"/>
      <c r="D693" s="68"/>
      <c r="E693" s="68"/>
      <c r="F693" s="68"/>
      <c r="G693" s="68"/>
      <c r="H693" s="68"/>
      <c r="I693" s="221"/>
      <c r="J693" s="221"/>
      <c r="K693" s="221"/>
      <c r="L693" s="221"/>
      <c r="M693" s="221"/>
      <c r="N693" s="221"/>
      <c r="O693" s="221"/>
      <c r="P693" s="221"/>
      <c r="Q693" s="221"/>
      <c r="R693" s="221"/>
      <c r="S693" s="221"/>
      <c r="T693" s="221"/>
      <c r="U693" s="221"/>
      <c r="V693" s="221"/>
      <c r="W693" s="221"/>
      <c r="X693" s="221"/>
      <c r="Y693" s="221"/>
      <c r="Z693" s="221"/>
      <c r="AA693" s="221"/>
      <c r="AB693" s="297"/>
    </row>
    <row r="694">
      <c r="A694" s="134"/>
      <c r="B694" s="134"/>
      <c r="C694" s="68"/>
      <c r="D694" s="68"/>
      <c r="E694" s="68"/>
      <c r="F694" s="68"/>
      <c r="G694" s="68"/>
      <c r="H694" s="68"/>
      <c r="I694" s="221"/>
      <c r="J694" s="221"/>
      <c r="K694" s="221"/>
      <c r="L694" s="221"/>
      <c r="M694" s="221"/>
      <c r="N694" s="221"/>
      <c r="O694" s="221"/>
      <c r="P694" s="221"/>
      <c r="Q694" s="221"/>
      <c r="R694" s="221"/>
      <c r="S694" s="221"/>
      <c r="T694" s="221"/>
      <c r="U694" s="221"/>
      <c r="V694" s="221"/>
      <c r="W694" s="221"/>
      <c r="X694" s="221"/>
      <c r="Y694" s="221"/>
      <c r="Z694" s="221"/>
      <c r="AA694" s="221"/>
      <c r="AB694" s="297"/>
    </row>
    <row r="695">
      <c r="A695" s="134"/>
      <c r="B695" s="134"/>
      <c r="C695" s="68"/>
      <c r="D695" s="68"/>
      <c r="E695" s="68"/>
      <c r="F695" s="68"/>
      <c r="G695" s="68"/>
      <c r="H695" s="68"/>
      <c r="I695" s="221"/>
      <c r="J695" s="221"/>
      <c r="K695" s="221"/>
      <c r="L695" s="221"/>
      <c r="M695" s="221"/>
      <c r="N695" s="221"/>
      <c r="O695" s="221"/>
      <c r="P695" s="221"/>
      <c r="Q695" s="221"/>
      <c r="R695" s="221"/>
      <c r="S695" s="221"/>
      <c r="T695" s="221"/>
      <c r="U695" s="221"/>
      <c r="V695" s="221"/>
      <c r="W695" s="221"/>
      <c r="X695" s="221"/>
      <c r="Y695" s="221"/>
      <c r="Z695" s="221"/>
      <c r="AA695" s="221"/>
      <c r="AB695" s="297"/>
    </row>
    <row r="696">
      <c r="A696" s="134"/>
      <c r="B696" s="134"/>
      <c r="C696" s="68"/>
      <c r="D696" s="68"/>
      <c r="E696" s="68"/>
      <c r="F696" s="68"/>
      <c r="G696" s="68"/>
      <c r="H696" s="68"/>
      <c r="I696" s="221"/>
      <c r="J696" s="221"/>
      <c r="K696" s="221"/>
      <c r="L696" s="221"/>
      <c r="M696" s="221"/>
      <c r="N696" s="221"/>
      <c r="O696" s="221"/>
      <c r="P696" s="221"/>
      <c r="Q696" s="221"/>
      <c r="R696" s="221"/>
      <c r="S696" s="221"/>
      <c r="T696" s="221"/>
      <c r="U696" s="221"/>
      <c r="V696" s="221"/>
      <c r="W696" s="221"/>
      <c r="X696" s="221"/>
      <c r="Y696" s="221"/>
      <c r="Z696" s="221"/>
      <c r="AA696" s="221"/>
      <c r="AB696" s="297"/>
    </row>
    <row r="697">
      <c r="A697" s="134"/>
      <c r="B697" s="134"/>
      <c r="C697" s="68"/>
      <c r="D697" s="68"/>
      <c r="E697" s="68"/>
      <c r="F697" s="68"/>
      <c r="G697" s="68"/>
      <c r="H697" s="68"/>
      <c r="I697" s="221"/>
      <c r="J697" s="221"/>
      <c r="K697" s="221"/>
      <c r="L697" s="221"/>
      <c r="M697" s="221"/>
      <c r="N697" s="221"/>
      <c r="O697" s="221"/>
      <c r="P697" s="221"/>
      <c r="Q697" s="221"/>
      <c r="R697" s="221"/>
      <c r="S697" s="221"/>
      <c r="T697" s="221"/>
      <c r="U697" s="221"/>
      <c r="V697" s="221"/>
      <c r="W697" s="221"/>
      <c r="X697" s="221"/>
      <c r="Y697" s="221"/>
      <c r="Z697" s="221"/>
      <c r="AA697" s="221"/>
      <c r="AB697" s="297"/>
    </row>
    <row r="698">
      <c r="A698" s="134"/>
      <c r="B698" s="134"/>
      <c r="C698" s="68"/>
      <c r="D698" s="68"/>
      <c r="E698" s="68"/>
      <c r="F698" s="68"/>
      <c r="G698" s="68"/>
      <c r="H698" s="68"/>
      <c r="I698" s="221"/>
      <c r="J698" s="221"/>
      <c r="K698" s="221"/>
      <c r="L698" s="221"/>
      <c r="M698" s="221"/>
      <c r="N698" s="221"/>
      <c r="O698" s="221"/>
      <c r="P698" s="221"/>
      <c r="Q698" s="221"/>
      <c r="R698" s="221"/>
      <c r="S698" s="221"/>
      <c r="T698" s="221"/>
      <c r="U698" s="221"/>
      <c r="V698" s="221"/>
      <c r="W698" s="221"/>
      <c r="X698" s="221"/>
      <c r="Y698" s="221"/>
      <c r="Z698" s="221"/>
      <c r="AA698" s="221"/>
      <c r="AB698" s="297"/>
    </row>
    <row r="699">
      <c r="A699" s="134"/>
      <c r="B699" s="134"/>
      <c r="C699" s="68"/>
      <c r="D699" s="68"/>
      <c r="E699" s="68"/>
      <c r="F699" s="68"/>
      <c r="G699" s="68"/>
      <c r="H699" s="68"/>
      <c r="I699" s="221"/>
      <c r="J699" s="221"/>
      <c r="K699" s="221"/>
      <c r="L699" s="221"/>
      <c r="M699" s="221"/>
      <c r="N699" s="221"/>
      <c r="O699" s="221"/>
      <c r="P699" s="221"/>
      <c r="Q699" s="221"/>
      <c r="R699" s="221"/>
      <c r="S699" s="221"/>
      <c r="T699" s="221"/>
      <c r="U699" s="221"/>
      <c r="V699" s="221"/>
      <c r="W699" s="221"/>
      <c r="X699" s="221"/>
      <c r="Y699" s="221"/>
      <c r="Z699" s="221"/>
      <c r="AA699" s="221"/>
      <c r="AB699" s="297"/>
    </row>
    <row r="700">
      <c r="A700" s="134"/>
      <c r="B700" s="134"/>
      <c r="C700" s="68"/>
      <c r="D700" s="68"/>
      <c r="E700" s="68"/>
      <c r="F700" s="68"/>
      <c r="G700" s="68"/>
      <c r="H700" s="68"/>
      <c r="I700" s="221"/>
      <c r="J700" s="221"/>
      <c r="K700" s="221"/>
      <c r="L700" s="221"/>
      <c r="M700" s="221"/>
      <c r="N700" s="221"/>
      <c r="O700" s="221"/>
      <c r="P700" s="221"/>
      <c r="Q700" s="221"/>
      <c r="R700" s="221"/>
      <c r="S700" s="221"/>
      <c r="T700" s="221"/>
      <c r="U700" s="221"/>
      <c r="V700" s="221"/>
      <c r="W700" s="221"/>
      <c r="X700" s="221"/>
      <c r="Y700" s="221"/>
      <c r="Z700" s="221"/>
      <c r="AA700" s="221"/>
      <c r="AB700" s="297"/>
    </row>
    <row r="701">
      <c r="A701" s="134"/>
      <c r="B701" s="134"/>
      <c r="C701" s="68"/>
      <c r="D701" s="68"/>
      <c r="E701" s="68"/>
      <c r="F701" s="68"/>
      <c r="G701" s="68"/>
      <c r="H701" s="68"/>
      <c r="I701" s="221"/>
      <c r="J701" s="221"/>
      <c r="K701" s="221"/>
      <c r="L701" s="221"/>
      <c r="M701" s="221"/>
      <c r="N701" s="221"/>
      <c r="O701" s="221"/>
      <c r="P701" s="221"/>
      <c r="Q701" s="221"/>
      <c r="R701" s="221"/>
      <c r="S701" s="221"/>
      <c r="T701" s="221"/>
      <c r="U701" s="221"/>
      <c r="V701" s="221"/>
      <c r="W701" s="221"/>
      <c r="X701" s="221"/>
      <c r="Y701" s="221"/>
      <c r="Z701" s="221"/>
      <c r="AA701" s="221"/>
      <c r="AB701" s="297"/>
    </row>
    <row r="702">
      <c r="A702" s="134"/>
      <c r="B702" s="134"/>
      <c r="C702" s="68"/>
      <c r="D702" s="68"/>
      <c r="E702" s="68"/>
      <c r="F702" s="68"/>
      <c r="G702" s="68"/>
      <c r="H702" s="68"/>
      <c r="I702" s="221"/>
      <c r="J702" s="221"/>
      <c r="K702" s="221"/>
      <c r="L702" s="221"/>
      <c r="M702" s="221"/>
      <c r="N702" s="221"/>
      <c r="O702" s="221"/>
      <c r="P702" s="221"/>
      <c r="Q702" s="221"/>
      <c r="R702" s="221"/>
      <c r="S702" s="221"/>
      <c r="T702" s="221"/>
      <c r="U702" s="221"/>
      <c r="V702" s="221"/>
      <c r="W702" s="221"/>
      <c r="X702" s="221"/>
      <c r="Y702" s="221"/>
      <c r="Z702" s="221"/>
      <c r="AA702" s="221"/>
      <c r="AB702" s="297"/>
    </row>
    <row r="703">
      <c r="A703" s="134"/>
      <c r="B703" s="134"/>
      <c r="C703" s="68"/>
      <c r="D703" s="68"/>
      <c r="E703" s="68"/>
      <c r="F703" s="68"/>
      <c r="G703" s="68"/>
      <c r="H703" s="68"/>
      <c r="I703" s="221"/>
      <c r="J703" s="221"/>
      <c r="K703" s="221"/>
      <c r="L703" s="221"/>
      <c r="M703" s="221"/>
      <c r="N703" s="221"/>
      <c r="O703" s="221"/>
      <c r="P703" s="221"/>
      <c r="Q703" s="221"/>
      <c r="R703" s="221"/>
      <c r="S703" s="221"/>
      <c r="T703" s="221"/>
      <c r="U703" s="221"/>
      <c r="V703" s="221"/>
      <c r="W703" s="221"/>
      <c r="X703" s="221"/>
      <c r="Y703" s="221"/>
      <c r="Z703" s="221"/>
      <c r="AA703" s="221"/>
      <c r="AB703" s="297"/>
    </row>
    <row r="704">
      <c r="A704" s="134"/>
      <c r="B704" s="134"/>
      <c r="C704" s="68"/>
      <c r="D704" s="68"/>
      <c r="E704" s="68"/>
      <c r="F704" s="68"/>
      <c r="G704" s="68"/>
      <c r="H704" s="68"/>
      <c r="I704" s="221"/>
      <c r="J704" s="221"/>
      <c r="K704" s="221"/>
      <c r="L704" s="221"/>
      <c r="M704" s="221"/>
      <c r="N704" s="221"/>
      <c r="O704" s="221"/>
      <c r="P704" s="221"/>
      <c r="Q704" s="221"/>
      <c r="R704" s="221"/>
      <c r="S704" s="221"/>
      <c r="T704" s="221"/>
      <c r="U704" s="221"/>
      <c r="V704" s="221"/>
      <c r="W704" s="221"/>
      <c r="X704" s="221"/>
      <c r="Y704" s="221"/>
      <c r="Z704" s="221"/>
      <c r="AA704" s="221"/>
      <c r="AB704" s="297"/>
    </row>
    <row r="705">
      <c r="A705" s="134"/>
      <c r="B705" s="134"/>
      <c r="C705" s="68"/>
      <c r="D705" s="68"/>
      <c r="E705" s="68"/>
      <c r="F705" s="68"/>
      <c r="G705" s="68"/>
      <c r="H705" s="68"/>
      <c r="I705" s="221"/>
      <c r="J705" s="221"/>
      <c r="K705" s="221"/>
      <c r="L705" s="221"/>
      <c r="M705" s="221"/>
      <c r="N705" s="221"/>
      <c r="O705" s="221"/>
      <c r="P705" s="221"/>
      <c r="Q705" s="221"/>
      <c r="R705" s="221"/>
      <c r="S705" s="221"/>
      <c r="T705" s="221"/>
      <c r="U705" s="221"/>
      <c r="V705" s="221"/>
      <c r="W705" s="221"/>
      <c r="X705" s="221"/>
      <c r="Y705" s="221"/>
      <c r="Z705" s="221"/>
      <c r="AA705" s="221"/>
      <c r="AB705" s="297"/>
    </row>
    <row r="706">
      <c r="A706" s="134"/>
      <c r="B706" s="134"/>
      <c r="C706" s="68"/>
      <c r="D706" s="68"/>
      <c r="E706" s="68"/>
      <c r="F706" s="68"/>
      <c r="G706" s="68"/>
      <c r="H706" s="68"/>
      <c r="I706" s="221"/>
      <c r="J706" s="221"/>
      <c r="K706" s="221"/>
      <c r="L706" s="221"/>
      <c r="M706" s="221"/>
      <c r="N706" s="221"/>
      <c r="O706" s="221"/>
      <c r="P706" s="221"/>
      <c r="Q706" s="221"/>
      <c r="R706" s="221"/>
      <c r="S706" s="221"/>
      <c r="T706" s="221"/>
      <c r="U706" s="221"/>
      <c r="V706" s="221"/>
      <c r="W706" s="221"/>
      <c r="X706" s="221"/>
      <c r="Y706" s="221"/>
      <c r="Z706" s="221"/>
      <c r="AA706" s="221"/>
      <c r="AB706" s="297"/>
    </row>
    <row r="707">
      <c r="A707" s="134"/>
      <c r="B707" s="134"/>
      <c r="C707" s="68"/>
      <c r="D707" s="68"/>
      <c r="E707" s="68"/>
      <c r="F707" s="68"/>
      <c r="G707" s="68"/>
      <c r="H707" s="68"/>
      <c r="I707" s="221"/>
      <c r="J707" s="221"/>
      <c r="K707" s="221"/>
      <c r="L707" s="221"/>
      <c r="M707" s="221"/>
      <c r="N707" s="221"/>
      <c r="O707" s="221"/>
      <c r="P707" s="221"/>
      <c r="Q707" s="221"/>
      <c r="R707" s="221"/>
      <c r="S707" s="221"/>
      <c r="T707" s="221"/>
      <c r="U707" s="221"/>
      <c r="V707" s="221"/>
      <c r="W707" s="221"/>
      <c r="X707" s="221"/>
      <c r="Y707" s="221"/>
      <c r="Z707" s="221"/>
      <c r="AA707" s="221"/>
      <c r="AB707" s="297"/>
    </row>
    <row r="708">
      <c r="A708" s="134"/>
      <c r="B708" s="134"/>
      <c r="C708" s="68"/>
      <c r="D708" s="68"/>
      <c r="E708" s="68"/>
      <c r="F708" s="68"/>
      <c r="G708" s="68"/>
      <c r="H708" s="68"/>
      <c r="I708" s="221"/>
      <c r="J708" s="221"/>
      <c r="K708" s="221"/>
      <c r="L708" s="221"/>
      <c r="M708" s="221"/>
      <c r="N708" s="221"/>
      <c r="O708" s="221"/>
      <c r="P708" s="221"/>
      <c r="Q708" s="221"/>
      <c r="R708" s="221"/>
      <c r="S708" s="221"/>
      <c r="T708" s="221"/>
      <c r="U708" s="221"/>
      <c r="V708" s="221"/>
      <c r="W708" s="221"/>
      <c r="X708" s="221"/>
      <c r="Y708" s="221"/>
      <c r="Z708" s="221"/>
      <c r="AA708" s="221"/>
      <c r="AB708" s="297"/>
    </row>
    <row r="709">
      <c r="A709" s="134"/>
      <c r="B709" s="134"/>
      <c r="C709" s="68"/>
      <c r="D709" s="68"/>
      <c r="E709" s="68"/>
      <c r="F709" s="68"/>
      <c r="G709" s="68"/>
      <c r="H709" s="68"/>
      <c r="I709" s="221"/>
      <c r="J709" s="221"/>
      <c r="K709" s="221"/>
      <c r="L709" s="221"/>
      <c r="M709" s="221"/>
      <c r="N709" s="221"/>
      <c r="O709" s="221"/>
      <c r="P709" s="221"/>
      <c r="Q709" s="221"/>
      <c r="R709" s="221"/>
      <c r="S709" s="221"/>
      <c r="T709" s="221"/>
      <c r="U709" s="221"/>
      <c r="V709" s="221"/>
      <c r="W709" s="221"/>
      <c r="X709" s="221"/>
      <c r="Y709" s="221"/>
      <c r="Z709" s="221"/>
      <c r="AA709" s="221"/>
      <c r="AB709" s="297"/>
    </row>
    <row r="710">
      <c r="A710" s="134"/>
      <c r="B710" s="134"/>
      <c r="C710" s="68"/>
      <c r="D710" s="68"/>
      <c r="E710" s="68"/>
      <c r="F710" s="68"/>
      <c r="G710" s="68"/>
      <c r="H710" s="68"/>
      <c r="I710" s="221"/>
      <c r="J710" s="221"/>
      <c r="K710" s="221"/>
      <c r="L710" s="221"/>
      <c r="M710" s="221"/>
      <c r="N710" s="221"/>
      <c r="O710" s="221"/>
      <c r="P710" s="221"/>
      <c r="Q710" s="221"/>
      <c r="R710" s="221"/>
      <c r="S710" s="221"/>
      <c r="T710" s="221"/>
      <c r="U710" s="221"/>
      <c r="V710" s="221"/>
      <c r="W710" s="221"/>
      <c r="X710" s="221"/>
      <c r="Y710" s="221"/>
      <c r="Z710" s="221"/>
      <c r="AA710" s="221"/>
      <c r="AB710" s="297"/>
    </row>
    <row r="711">
      <c r="A711" s="134"/>
      <c r="B711" s="134"/>
      <c r="C711" s="68"/>
      <c r="D711" s="68"/>
      <c r="E711" s="68"/>
      <c r="F711" s="68"/>
      <c r="G711" s="68"/>
      <c r="H711" s="68"/>
      <c r="I711" s="221"/>
      <c r="J711" s="221"/>
      <c r="K711" s="221"/>
      <c r="L711" s="221"/>
      <c r="M711" s="221"/>
      <c r="N711" s="221"/>
      <c r="O711" s="221"/>
      <c r="P711" s="221"/>
      <c r="Q711" s="221"/>
      <c r="R711" s="221"/>
      <c r="S711" s="221"/>
      <c r="T711" s="221"/>
      <c r="U711" s="221"/>
      <c r="V711" s="221"/>
      <c r="W711" s="221"/>
      <c r="X711" s="221"/>
      <c r="Y711" s="221"/>
      <c r="Z711" s="221"/>
      <c r="AA711" s="221"/>
      <c r="AB711" s="297"/>
    </row>
    <row r="712">
      <c r="A712" s="134"/>
      <c r="B712" s="134"/>
      <c r="C712" s="68"/>
      <c r="D712" s="68"/>
      <c r="E712" s="68"/>
      <c r="F712" s="68"/>
      <c r="G712" s="68"/>
      <c r="H712" s="68"/>
      <c r="I712" s="221"/>
      <c r="J712" s="221"/>
      <c r="K712" s="221"/>
      <c r="L712" s="221"/>
      <c r="M712" s="221"/>
      <c r="N712" s="221"/>
      <c r="O712" s="221"/>
      <c r="P712" s="221"/>
      <c r="Q712" s="221"/>
      <c r="R712" s="221"/>
      <c r="S712" s="221"/>
      <c r="T712" s="221"/>
      <c r="U712" s="221"/>
      <c r="V712" s="221"/>
      <c r="W712" s="221"/>
      <c r="X712" s="221"/>
      <c r="Y712" s="221"/>
      <c r="Z712" s="221"/>
      <c r="AA712" s="221"/>
      <c r="AB712" s="297"/>
    </row>
    <row r="713">
      <c r="A713" s="134"/>
      <c r="B713" s="134"/>
      <c r="C713" s="68"/>
      <c r="D713" s="68"/>
      <c r="E713" s="68"/>
      <c r="F713" s="68"/>
      <c r="G713" s="68"/>
      <c r="H713" s="68"/>
      <c r="I713" s="221"/>
      <c r="J713" s="221"/>
      <c r="K713" s="221"/>
      <c r="L713" s="221"/>
      <c r="M713" s="221"/>
      <c r="N713" s="221"/>
      <c r="O713" s="221"/>
      <c r="P713" s="221"/>
      <c r="Q713" s="221"/>
      <c r="R713" s="221"/>
      <c r="S713" s="221"/>
      <c r="T713" s="221"/>
      <c r="U713" s="221"/>
      <c r="V713" s="221"/>
      <c r="W713" s="221"/>
      <c r="X713" s="221"/>
      <c r="Y713" s="221"/>
      <c r="Z713" s="221"/>
      <c r="AA713" s="221"/>
      <c r="AB713" s="297"/>
    </row>
    <row r="714">
      <c r="A714" s="134"/>
      <c r="B714" s="134"/>
      <c r="C714" s="68"/>
      <c r="D714" s="68"/>
      <c r="E714" s="68"/>
      <c r="F714" s="68"/>
      <c r="G714" s="68"/>
      <c r="H714" s="68"/>
      <c r="I714" s="221"/>
      <c r="J714" s="221"/>
      <c r="K714" s="221"/>
      <c r="L714" s="221"/>
      <c r="M714" s="221"/>
      <c r="N714" s="221"/>
      <c r="O714" s="221"/>
      <c r="P714" s="221"/>
      <c r="Q714" s="221"/>
      <c r="R714" s="221"/>
      <c r="S714" s="221"/>
      <c r="T714" s="221"/>
      <c r="U714" s="221"/>
      <c r="V714" s="221"/>
      <c r="W714" s="221"/>
      <c r="X714" s="221"/>
      <c r="Y714" s="221"/>
      <c r="Z714" s="221"/>
      <c r="AA714" s="221"/>
      <c r="AB714" s="297"/>
    </row>
    <row r="715">
      <c r="A715" s="134"/>
      <c r="B715" s="134"/>
      <c r="C715" s="68"/>
      <c r="D715" s="68"/>
      <c r="E715" s="68"/>
      <c r="F715" s="68"/>
      <c r="G715" s="68"/>
      <c r="H715" s="68"/>
      <c r="I715" s="221"/>
      <c r="J715" s="221"/>
      <c r="K715" s="221"/>
      <c r="L715" s="221"/>
      <c r="M715" s="221"/>
      <c r="N715" s="221"/>
      <c r="O715" s="221"/>
      <c r="P715" s="221"/>
      <c r="Q715" s="221"/>
      <c r="R715" s="221"/>
      <c r="S715" s="221"/>
      <c r="T715" s="221"/>
      <c r="U715" s="221"/>
      <c r="V715" s="221"/>
      <c r="W715" s="221"/>
      <c r="X715" s="221"/>
      <c r="Y715" s="221"/>
      <c r="Z715" s="221"/>
      <c r="AA715" s="221"/>
      <c r="AB715" s="297"/>
    </row>
    <row r="716">
      <c r="A716" s="134"/>
      <c r="B716" s="134"/>
      <c r="C716" s="68"/>
      <c r="D716" s="68"/>
      <c r="E716" s="68"/>
      <c r="F716" s="68"/>
      <c r="G716" s="68"/>
      <c r="H716" s="68"/>
      <c r="I716" s="221"/>
      <c r="J716" s="221"/>
      <c r="K716" s="221"/>
      <c r="L716" s="221"/>
      <c r="M716" s="221"/>
      <c r="N716" s="221"/>
      <c r="O716" s="221"/>
      <c r="P716" s="221"/>
      <c r="Q716" s="221"/>
      <c r="R716" s="221"/>
      <c r="S716" s="221"/>
      <c r="T716" s="221"/>
      <c r="U716" s="221"/>
      <c r="V716" s="221"/>
      <c r="W716" s="221"/>
      <c r="X716" s="221"/>
      <c r="Y716" s="221"/>
      <c r="Z716" s="221"/>
      <c r="AA716" s="221"/>
      <c r="AB716" s="297"/>
    </row>
    <row r="717">
      <c r="A717" s="134"/>
      <c r="B717" s="134"/>
      <c r="C717" s="68"/>
      <c r="D717" s="68"/>
      <c r="E717" s="68"/>
      <c r="F717" s="68"/>
      <c r="G717" s="68"/>
      <c r="H717" s="68"/>
      <c r="I717" s="221"/>
      <c r="J717" s="221"/>
      <c r="K717" s="221"/>
      <c r="L717" s="221"/>
      <c r="M717" s="221"/>
      <c r="N717" s="221"/>
      <c r="O717" s="221"/>
      <c r="P717" s="221"/>
      <c r="Q717" s="221"/>
      <c r="R717" s="221"/>
      <c r="S717" s="221"/>
      <c r="T717" s="221"/>
      <c r="U717" s="221"/>
      <c r="V717" s="221"/>
      <c r="W717" s="221"/>
      <c r="X717" s="221"/>
      <c r="Y717" s="221"/>
      <c r="Z717" s="221"/>
      <c r="AA717" s="221"/>
      <c r="AB717" s="297"/>
    </row>
    <row r="718">
      <c r="A718" s="134"/>
      <c r="B718" s="134"/>
      <c r="C718" s="68"/>
      <c r="D718" s="68"/>
      <c r="E718" s="68"/>
      <c r="F718" s="68"/>
      <c r="G718" s="68"/>
      <c r="H718" s="68"/>
      <c r="I718" s="221"/>
      <c r="J718" s="221"/>
      <c r="K718" s="221"/>
      <c r="L718" s="221"/>
      <c r="M718" s="221"/>
      <c r="N718" s="221"/>
      <c r="O718" s="221"/>
      <c r="P718" s="221"/>
      <c r="Q718" s="221"/>
      <c r="R718" s="221"/>
      <c r="S718" s="221"/>
      <c r="T718" s="221"/>
      <c r="U718" s="221"/>
      <c r="V718" s="221"/>
      <c r="W718" s="221"/>
      <c r="X718" s="221"/>
      <c r="Y718" s="221"/>
      <c r="Z718" s="221"/>
      <c r="AA718" s="221"/>
      <c r="AB718" s="297"/>
    </row>
    <row r="719">
      <c r="A719" s="134"/>
      <c r="B719" s="134"/>
      <c r="C719" s="68"/>
      <c r="D719" s="68"/>
      <c r="E719" s="68"/>
      <c r="F719" s="68"/>
      <c r="G719" s="68"/>
      <c r="H719" s="68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97"/>
    </row>
    <row r="720">
      <c r="A720" s="134"/>
      <c r="B720" s="134"/>
      <c r="C720" s="68"/>
      <c r="D720" s="68"/>
      <c r="E720" s="68"/>
      <c r="F720" s="68"/>
      <c r="G720" s="68"/>
      <c r="H720" s="68"/>
      <c r="I720" s="221"/>
      <c r="J720" s="221"/>
      <c r="K720" s="221"/>
      <c r="L720" s="221"/>
      <c r="M720" s="221"/>
      <c r="N720" s="221"/>
      <c r="O720" s="221"/>
      <c r="P720" s="221"/>
      <c r="Q720" s="221"/>
      <c r="R720" s="221"/>
      <c r="S720" s="221"/>
      <c r="T720" s="221"/>
      <c r="U720" s="221"/>
      <c r="V720" s="221"/>
      <c r="W720" s="221"/>
      <c r="X720" s="221"/>
      <c r="Y720" s="221"/>
      <c r="Z720" s="221"/>
      <c r="AA720" s="221"/>
      <c r="AB720" s="297"/>
    </row>
    <row r="721">
      <c r="A721" s="134"/>
      <c r="B721" s="134"/>
      <c r="C721" s="68"/>
      <c r="D721" s="68"/>
      <c r="E721" s="68"/>
      <c r="F721" s="68"/>
      <c r="G721" s="68"/>
      <c r="H721" s="68"/>
      <c r="I721" s="221"/>
      <c r="J721" s="221"/>
      <c r="K721" s="221"/>
      <c r="L721" s="221"/>
      <c r="M721" s="221"/>
      <c r="N721" s="221"/>
      <c r="O721" s="221"/>
      <c r="P721" s="221"/>
      <c r="Q721" s="221"/>
      <c r="R721" s="221"/>
      <c r="S721" s="221"/>
      <c r="T721" s="221"/>
      <c r="U721" s="221"/>
      <c r="V721" s="221"/>
      <c r="W721" s="221"/>
      <c r="X721" s="221"/>
      <c r="Y721" s="221"/>
      <c r="Z721" s="221"/>
      <c r="AA721" s="221"/>
      <c r="AB721" s="297"/>
    </row>
    <row r="722">
      <c r="A722" s="134"/>
      <c r="B722" s="134"/>
      <c r="C722" s="68"/>
      <c r="D722" s="68"/>
      <c r="E722" s="68"/>
      <c r="F722" s="68"/>
      <c r="G722" s="68"/>
      <c r="H722" s="68"/>
      <c r="I722" s="221"/>
      <c r="J722" s="221"/>
      <c r="K722" s="221"/>
      <c r="L722" s="221"/>
      <c r="M722" s="221"/>
      <c r="N722" s="221"/>
      <c r="O722" s="221"/>
      <c r="P722" s="221"/>
      <c r="Q722" s="221"/>
      <c r="R722" s="221"/>
      <c r="S722" s="221"/>
      <c r="T722" s="221"/>
      <c r="U722" s="221"/>
      <c r="V722" s="221"/>
      <c r="W722" s="221"/>
      <c r="X722" s="221"/>
      <c r="Y722" s="221"/>
      <c r="Z722" s="221"/>
      <c r="AA722" s="221"/>
      <c r="AB722" s="297"/>
    </row>
    <row r="723">
      <c r="A723" s="134"/>
      <c r="B723" s="134"/>
      <c r="C723" s="68"/>
      <c r="D723" s="68"/>
      <c r="E723" s="68"/>
      <c r="F723" s="68"/>
      <c r="G723" s="68"/>
      <c r="H723" s="68"/>
      <c r="I723" s="221"/>
      <c r="J723" s="221"/>
      <c r="K723" s="221"/>
      <c r="L723" s="221"/>
      <c r="M723" s="221"/>
      <c r="N723" s="221"/>
      <c r="O723" s="221"/>
      <c r="P723" s="221"/>
      <c r="Q723" s="221"/>
      <c r="R723" s="221"/>
      <c r="S723" s="221"/>
      <c r="T723" s="221"/>
      <c r="U723" s="221"/>
      <c r="V723" s="221"/>
      <c r="W723" s="221"/>
      <c r="X723" s="221"/>
      <c r="Y723" s="221"/>
      <c r="Z723" s="221"/>
      <c r="AA723" s="221"/>
      <c r="AB723" s="297"/>
    </row>
    <row r="724">
      <c r="A724" s="134"/>
      <c r="B724" s="134"/>
      <c r="C724" s="68"/>
      <c r="D724" s="68"/>
      <c r="E724" s="68"/>
      <c r="F724" s="68"/>
      <c r="G724" s="68"/>
      <c r="H724" s="68"/>
      <c r="I724" s="221"/>
      <c r="J724" s="221"/>
      <c r="K724" s="221"/>
      <c r="L724" s="221"/>
      <c r="M724" s="221"/>
      <c r="N724" s="221"/>
      <c r="O724" s="221"/>
      <c r="P724" s="221"/>
      <c r="Q724" s="221"/>
      <c r="R724" s="221"/>
      <c r="S724" s="221"/>
      <c r="T724" s="221"/>
      <c r="U724" s="221"/>
      <c r="V724" s="221"/>
      <c r="W724" s="221"/>
      <c r="X724" s="221"/>
      <c r="Y724" s="221"/>
      <c r="Z724" s="221"/>
      <c r="AA724" s="221"/>
      <c r="AB724" s="297"/>
    </row>
    <row r="725">
      <c r="A725" s="134"/>
      <c r="B725" s="134"/>
      <c r="C725" s="68"/>
      <c r="D725" s="68"/>
      <c r="E725" s="68"/>
      <c r="F725" s="68"/>
      <c r="G725" s="68"/>
      <c r="H725" s="68"/>
      <c r="I725" s="221"/>
      <c r="J725" s="221"/>
      <c r="K725" s="221"/>
      <c r="L725" s="221"/>
      <c r="M725" s="221"/>
      <c r="N725" s="221"/>
      <c r="O725" s="221"/>
      <c r="P725" s="221"/>
      <c r="Q725" s="221"/>
      <c r="R725" s="221"/>
      <c r="S725" s="221"/>
      <c r="T725" s="221"/>
      <c r="U725" s="221"/>
      <c r="V725" s="221"/>
      <c r="W725" s="221"/>
      <c r="X725" s="221"/>
      <c r="Y725" s="221"/>
      <c r="Z725" s="221"/>
      <c r="AA725" s="221"/>
      <c r="AB725" s="297"/>
    </row>
    <row r="726">
      <c r="A726" s="134"/>
      <c r="B726" s="134"/>
      <c r="C726" s="68"/>
      <c r="D726" s="68"/>
      <c r="E726" s="68"/>
      <c r="F726" s="68"/>
      <c r="G726" s="68"/>
      <c r="H726" s="68"/>
      <c r="I726" s="221"/>
      <c r="J726" s="221"/>
      <c r="K726" s="221"/>
      <c r="L726" s="221"/>
      <c r="M726" s="221"/>
      <c r="N726" s="221"/>
      <c r="O726" s="221"/>
      <c r="P726" s="221"/>
      <c r="Q726" s="221"/>
      <c r="R726" s="221"/>
      <c r="S726" s="221"/>
      <c r="T726" s="221"/>
      <c r="U726" s="221"/>
      <c r="V726" s="221"/>
      <c r="W726" s="221"/>
      <c r="X726" s="221"/>
      <c r="Y726" s="221"/>
      <c r="Z726" s="221"/>
      <c r="AA726" s="221"/>
      <c r="AB726" s="297"/>
    </row>
    <row r="727">
      <c r="A727" s="134"/>
      <c r="B727" s="134"/>
      <c r="C727" s="68"/>
      <c r="D727" s="68"/>
      <c r="E727" s="68"/>
      <c r="F727" s="68"/>
      <c r="G727" s="68"/>
      <c r="H727" s="68"/>
      <c r="I727" s="221"/>
      <c r="J727" s="221"/>
      <c r="K727" s="221"/>
      <c r="L727" s="221"/>
      <c r="M727" s="221"/>
      <c r="N727" s="221"/>
      <c r="O727" s="221"/>
      <c r="P727" s="221"/>
      <c r="Q727" s="221"/>
      <c r="R727" s="221"/>
      <c r="S727" s="221"/>
      <c r="T727" s="221"/>
      <c r="U727" s="221"/>
      <c r="V727" s="221"/>
      <c r="W727" s="221"/>
      <c r="X727" s="221"/>
      <c r="Y727" s="221"/>
      <c r="Z727" s="221"/>
      <c r="AA727" s="221"/>
      <c r="AB727" s="297"/>
    </row>
    <row r="728">
      <c r="A728" s="134"/>
      <c r="B728" s="134"/>
      <c r="C728" s="68"/>
      <c r="D728" s="68"/>
      <c r="E728" s="68"/>
      <c r="F728" s="68"/>
      <c r="G728" s="68"/>
      <c r="H728" s="68"/>
      <c r="I728" s="221"/>
      <c r="J728" s="221"/>
      <c r="K728" s="221"/>
      <c r="L728" s="221"/>
      <c r="M728" s="221"/>
      <c r="N728" s="221"/>
      <c r="O728" s="221"/>
      <c r="P728" s="221"/>
      <c r="Q728" s="221"/>
      <c r="R728" s="221"/>
      <c r="S728" s="221"/>
      <c r="T728" s="221"/>
      <c r="U728" s="221"/>
      <c r="V728" s="221"/>
      <c r="W728" s="221"/>
      <c r="X728" s="221"/>
      <c r="Y728" s="221"/>
      <c r="Z728" s="221"/>
      <c r="AA728" s="221"/>
      <c r="AB728" s="297"/>
    </row>
    <row r="729">
      <c r="A729" s="134"/>
      <c r="B729" s="134"/>
      <c r="C729" s="68"/>
      <c r="D729" s="68"/>
      <c r="E729" s="68"/>
      <c r="F729" s="68"/>
      <c r="G729" s="68"/>
      <c r="H729" s="68"/>
      <c r="I729" s="221"/>
      <c r="J729" s="221"/>
      <c r="K729" s="221"/>
      <c r="L729" s="221"/>
      <c r="M729" s="221"/>
      <c r="N729" s="221"/>
      <c r="O729" s="221"/>
      <c r="P729" s="221"/>
      <c r="Q729" s="221"/>
      <c r="R729" s="221"/>
      <c r="S729" s="221"/>
      <c r="T729" s="221"/>
      <c r="U729" s="221"/>
      <c r="V729" s="221"/>
      <c r="W729" s="221"/>
      <c r="X729" s="221"/>
      <c r="Y729" s="221"/>
      <c r="Z729" s="221"/>
      <c r="AA729" s="221"/>
      <c r="AB729" s="297"/>
    </row>
    <row r="730">
      <c r="A730" s="134"/>
      <c r="B730" s="134"/>
      <c r="C730" s="68"/>
      <c r="D730" s="68"/>
      <c r="E730" s="68"/>
      <c r="F730" s="68"/>
      <c r="G730" s="68"/>
      <c r="H730" s="68"/>
      <c r="I730" s="221"/>
      <c r="J730" s="221"/>
      <c r="K730" s="221"/>
      <c r="L730" s="221"/>
      <c r="M730" s="221"/>
      <c r="N730" s="221"/>
      <c r="O730" s="221"/>
      <c r="P730" s="221"/>
      <c r="Q730" s="221"/>
      <c r="R730" s="221"/>
      <c r="S730" s="221"/>
      <c r="T730" s="221"/>
      <c r="U730" s="221"/>
      <c r="V730" s="221"/>
      <c r="W730" s="221"/>
      <c r="X730" s="221"/>
      <c r="Y730" s="221"/>
      <c r="Z730" s="221"/>
      <c r="AA730" s="221"/>
      <c r="AB730" s="297"/>
    </row>
    <row r="731">
      <c r="A731" s="134"/>
      <c r="B731" s="134"/>
      <c r="C731" s="68"/>
      <c r="D731" s="68"/>
      <c r="E731" s="68"/>
      <c r="F731" s="68"/>
      <c r="G731" s="68"/>
      <c r="H731" s="68"/>
      <c r="I731" s="221"/>
      <c r="J731" s="221"/>
      <c r="K731" s="221"/>
      <c r="L731" s="221"/>
      <c r="M731" s="221"/>
      <c r="N731" s="221"/>
      <c r="O731" s="221"/>
      <c r="P731" s="221"/>
      <c r="Q731" s="221"/>
      <c r="R731" s="221"/>
      <c r="S731" s="221"/>
      <c r="T731" s="221"/>
      <c r="U731" s="221"/>
      <c r="V731" s="221"/>
      <c r="W731" s="221"/>
      <c r="X731" s="221"/>
      <c r="Y731" s="221"/>
      <c r="Z731" s="221"/>
      <c r="AA731" s="221"/>
      <c r="AB731" s="297"/>
    </row>
    <row r="732">
      <c r="A732" s="134"/>
      <c r="B732" s="134"/>
      <c r="C732" s="68"/>
      <c r="D732" s="68"/>
      <c r="E732" s="68"/>
      <c r="F732" s="68"/>
      <c r="G732" s="68"/>
      <c r="H732" s="68"/>
      <c r="I732" s="221"/>
      <c r="J732" s="221"/>
      <c r="K732" s="221"/>
      <c r="L732" s="221"/>
      <c r="M732" s="221"/>
      <c r="N732" s="221"/>
      <c r="O732" s="221"/>
      <c r="P732" s="221"/>
      <c r="Q732" s="221"/>
      <c r="R732" s="221"/>
      <c r="S732" s="221"/>
      <c r="T732" s="221"/>
      <c r="U732" s="221"/>
      <c r="V732" s="221"/>
      <c r="W732" s="221"/>
      <c r="X732" s="221"/>
      <c r="Y732" s="221"/>
      <c r="Z732" s="221"/>
      <c r="AA732" s="221"/>
      <c r="AB732" s="297"/>
    </row>
    <row r="733">
      <c r="A733" s="134"/>
      <c r="B733" s="134"/>
      <c r="C733" s="68"/>
      <c r="D733" s="68"/>
      <c r="E733" s="68"/>
      <c r="F733" s="68"/>
      <c r="G733" s="68"/>
      <c r="H733" s="68"/>
      <c r="I733" s="221"/>
      <c r="J733" s="221"/>
      <c r="K733" s="221"/>
      <c r="L733" s="221"/>
      <c r="M733" s="221"/>
      <c r="N733" s="221"/>
      <c r="O733" s="221"/>
      <c r="P733" s="221"/>
      <c r="Q733" s="221"/>
      <c r="R733" s="221"/>
      <c r="S733" s="221"/>
      <c r="T733" s="221"/>
      <c r="U733" s="221"/>
      <c r="V733" s="221"/>
      <c r="W733" s="221"/>
      <c r="X733" s="221"/>
      <c r="Y733" s="221"/>
      <c r="Z733" s="221"/>
      <c r="AA733" s="221"/>
      <c r="AB733" s="297"/>
    </row>
    <row r="734">
      <c r="A734" s="134"/>
      <c r="B734" s="134"/>
      <c r="C734" s="68"/>
      <c r="D734" s="68"/>
      <c r="E734" s="68"/>
      <c r="F734" s="68"/>
      <c r="G734" s="68"/>
      <c r="H734" s="68"/>
      <c r="I734" s="221"/>
      <c r="J734" s="221"/>
      <c r="K734" s="221"/>
      <c r="L734" s="221"/>
      <c r="M734" s="221"/>
      <c r="N734" s="221"/>
      <c r="O734" s="221"/>
      <c r="P734" s="221"/>
      <c r="Q734" s="221"/>
      <c r="R734" s="221"/>
      <c r="S734" s="221"/>
      <c r="T734" s="221"/>
      <c r="U734" s="221"/>
      <c r="V734" s="221"/>
      <c r="W734" s="221"/>
      <c r="X734" s="221"/>
      <c r="Y734" s="221"/>
      <c r="Z734" s="221"/>
      <c r="AA734" s="221"/>
      <c r="AB734" s="297"/>
    </row>
    <row r="735">
      <c r="A735" s="134"/>
      <c r="B735" s="134"/>
      <c r="C735" s="68"/>
      <c r="D735" s="68"/>
      <c r="E735" s="68"/>
      <c r="F735" s="68"/>
      <c r="G735" s="68"/>
      <c r="H735" s="68"/>
      <c r="I735" s="221"/>
      <c r="J735" s="221"/>
      <c r="K735" s="221"/>
      <c r="L735" s="221"/>
      <c r="M735" s="221"/>
      <c r="N735" s="221"/>
      <c r="O735" s="221"/>
      <c r="P735" s="221"/>
      <c r="Q735" s="221"/>
      <c r="R735" s="221"/>
      <c r="S735" s="221"/>
      <c r="T735" s="221"/>
      <c r="U735" s="221"/>
      <c r="V735" s="221"/>
      <c r="W735" s="221"/>
      <c r="X735" s="221"/>
      <c r="Y735" s="221"/>
      <c r="Z735" s="221"/>
      <c r="AA735" s="221"/>
      <c r="AB735" s="297"/>
    </row>
    <row r="736">
      <c r="A736" s="134"/>
      <c r="B736" s="134"/>
      <c r="C736" s="68"/>
      <c r="D736" s="68"/>
      <c r="E736" s="68"/>
      <c r="F736" s="68"/>
      <c r="G736" s="68"/>
      <c r="H736" s="68"/>
      <c r="I736" s="221"/>
      <c r="J736" s="221"/>
      <c r="K736" s="221"/>
      <c r="L736" s="221"/>
      <c r="M736" s="221"/>
      <c r="N736" s="221"/>
      <c r="O736" s="221"/>
      <c r="P736" s="221"/>
      <c r="Q736" s="221"/>
      <c r="R736" s="221"/>
      <c r="S736" s="221"/>
      <c r="T736" s="221"/>
      <c r="U736" s="221"/>
      <c r="V736" s="221"/>
      <c r="W736" s="221"/>
      <c r="X736" s="221"/>
      <c r="Y736" s="221"/>
      <c r="Z736" s="221"/>
      <c r="AA736" s="221"/>
      <c r="AB736" s="297"/>
    </row>
    <row r="737">
      <c r="A737" s="134"/>
      <c r="B737" s="134"/>
      <c r="C737" s="68"/>
      <c r="D737" s="68"/>
      <c r="E737" s="68"/>
      <c r="F737" s="68"/>
      <c r="G737" s="68"/>
      <c r="H737" s="68"/>
      <c r="I737" s="221"/>
      <c r="J737" s="221"/>
      <c r="K737" s="221"/>
      <c r="L737" s="221"/>
      <c r="M737" s="221"/>
      <c r="N737" s="221"/>
      <c r="O737" s="221"/>
      <c r="P737" s="221"/>
      <c r="Q737" s="221"/>
      <c r="R737" s="221"/>
      <c r="S737" s="221"/>
      <c r="T737" s="221"/>
      <c r="U737" s="221"/>
      <c r="V737" s="221"/>
      <c r="W737" s="221"/>
      <c r="X737" s="221"/>
      <c r="Y737" s="221"/>
      <c r="Z737" s="221"/>
      <c r="AA737" s="221"/>
      <c r="AB737" s="297"/>
    </row>
    <row r="738">
      <c r="A738" s="134"/>
      <c r="B738" s="134"/>
      <c r="C738" s="68"/>
      <c r="D738" s="68"/>
      <c r="E738" s="68"/>
      <c r="F738" s="68"/>
      <c r="G738" s="68"/>
      <c r="H738" s="68"/>
      <c r="I738" s="221"/>
      <c r="J738" s="221"/>
      <c r="K738" s="221"/>
      <c r="L738" s="221"/>
      <c r="M738" s="221"/>
      <c r="N738" s="221"/>
      <c r="O738" s="221"/>
      <c r="P738" s="221"/>
      <c r="Q738" s="221"/>
      <c r="R738" s="221"/>
      <c r="S738" s="221"/>
      <c r="T738" s="221"/>
      <c r="U738" s="221"/>
      <c r="V738" s="221"/>
      <c r="W738" s="221"/>
      <c r="X738" s="221"/>
      <c r="Y738" s="221"/>
      <c r="Z738" s="221"/>
      <c r="AA738" s="221"/>
      <c r="AB738" s="297"/>
    </row>
    <row r="739">
      <c r="A739" s="134"/>
      <c r="B739" s="134"/>
      <c r="C739" s="68"/>
      <c r="D739" s="68"/>
      <c r="E739" s="68"/>
      <c r="F739" s="68"/>
      <c r="G739" s="68"/>
      <c r="H739" s="68"/>
      <c r="I739" s="221"/>
      <c r="J739" s="221"/>
      <c r="K739" s="221"/>
      <c r="L739" s="221"/>
      <c r="M739" s="221"/>
      <c r="N739" s="221"/>
      <c r="O739" s="221"/>
      <c r="P739" s="221"/>
      <c r="Q739" s="221"/>
      <c r="R739" s="221"/>
      <c r="S739" s="221"/>
      <c r="T739" s="221"/>
      <c r="U739" s="221"/>
      <c r="V739" s="221"/>
      <c r="W739" s="221"/>
      <c r="X739" s="221"/>
      <c r="Y739" s="221"/>
      <c r="Z739" s="221"/>
      <c r="AA739" s="221"/>
      <c r="AB739" s="297"/>
    </row>
    <row r="740">
      <c r="A740" s="134"/>
      <c r="B740" s="134"/>
      <c r="C740" s="68"/>
      <c r="D740" s="68"/>
      <c r="E740" s="68"/>
      <c r="F740" s="68"/>
      <c r="G740" s="68"/>
      <c r="H740" s="68"/>
      <c r="I740" s="221"/>
      <c r="J740" s="221"/>
      <c r="K740" s="221"/>
      <c r="L740" s="221"/>
      <c r="M740" s="221"/>
      <c r="N740" s="221"/>
      <c r="O740" s="221"/>
      <c r="P740" s="221"/>
      <c r="Q740" s="221"/>
      <c r="R740" s="221"/>
      <c r="S740" s="221"/>
      <c r="T740" s="221"/>
      <c r="U740" s="221"/>
      <c r="V740" s="221"/>
      <c r="W740" s="221"/>
      <c r="X740" s="221"/>
      <c r="Y740" s="221"/>
      <c r="Z740" s="221"/>
      <c r="AA740" s="221"/>
      <c r="AB740" s="297"/>
    </row>
    <row r="741">
      <c r="A741" s="134"/>
      <c r="B741" s="134"/>
      <c r="C741" s="68"/>
      <c r="D741" s="68"/>
      <c r="E741" s="68"/>
      <c r="F741" s="68"/>
      <c r="G741" s="68"/>
      <c r="H741" s="68"/>
      <c r="I741" s="221"/>
      <c r="J741" s="221"/>
      <c r="K741" s="221"/>
      <c r="L741" s="221"/>
      <c r="M741" s="221"/>
      <c r="N741" s="221"/>
      <c r="O741" s="221"/>
      <c r="P741" s="221"/>
      <c r="Q741" s="221"/>
      <c r="R741" s="221"/>
      <c r="S741" s="221"/>
      <c r="T741" s="221"/>
      <c r="U741" s="221"/>
      <c r="V741" s="221"/>
      <c r="W741" s="221"/>
      <c r="X741" s="221"/>
      <c r="Y741" s="221"/>
      <c r="Z741" s="221"/>
      <c r="AA741" s="221"/>
      <c r="AB741" s="297"/>
    </row>
    <row r="742">
      <c r="A742" s="134"/>
      <c r="B742" s="134"/>
      <c r="C742" s="68"/>
      <c r="D742" s="68"/>
      <c r="E742" s="68"/>
      <c r="F742" s="68"/>
      <c r="G742" s="68"/>
      <c r="H742" s="68"/>
      <c r="I742" s="221"/>
      <c r="J742" s="221"/>
      <c r="K742" s="221"/>
      <c r="L742" s="221"/>
      <c r="M742" s="221"/>
      <c r="N742" s="221"/>
      <c r="O742" s="221"/>
      <c r="P742" s="221"/>
      <c r="Q742" s="221"/>
      <c r="R742" s="221"/>
      <c r="S742" s="221"/>
      <c r="T742" s="221"/>
      <c r="U742" s="221"/>
      <c r="V742" s="221"/>
      <c r="W742" s="221"/>
      <c r="X742" s="221"/>
      <c r="Y742" s="221"/>
      <c r="Z742" s="221"/>
      <c r="AA742" s="221"/>
      <c r="AB742" s="297"/>
    </row>
    <row r="743">
      <c r="A743" s="134"/>
      <c r="B743" s="134"/>
      <c r="C743" s="68"/>
      <c r="D743" s="68"/>
      <c r="E743" s="68"/>
      <c r="F743" s="68"/>
      <c r="G743" s="68"/>
      <c r="H743" s="68"/>
      <c r="I743" s="221"/>
      <c r="J743" s="221"/>
      <c r="K743" s="221"/>
      <c r="L743" s="221"/>
      <c r="M743" s="221"/>
      <c r="N743" s="221"/>
      <c r="O743" s="221"/>
      <c r="P743" s="221"/>
      <c r="Q743" s="221"/>
      <c r="R743" s="221"/>
      <c r="S743" s="221"/>
      <c r="T743" s="221"/>
      <c r="U743" s="221"/>
      <c r="V743" s="221"/>
      <c r="W743" s="221"/>
      <c r="X743" s="221"/>
      <c r="Y743" s="221"/>
      <c r="Z743" s="221"/>
      <c r="AA743" s="221"/>
      <c r="AB743" s="297"/>
    </row>
    <row r="744">
      <c r="A744" s="134"/>
      <c r="B744" s="134"/>
      <c r="C744" s="68"/>
      <c r="D744" s="68"/>
      <c r="E744" s="68"/>
      <c r="F744" s="68"/>
      <c r="G744" s="68"/>
      <c r="H744" s="68"/>
      <c r="I744" s="221"/>
      <c r="J744" s="221"/>
      <c r="K744" s="221"/>
      <c r="L744" s="221"/>
      <c r="M744" s="221"/>
      <c r="N744" s="221"/>
      <c r="O744" s="221"/>
      <c r="P744" s="221"/>
      <c r="Q744" s="221"/>
      <c r="R744" s="221"/>
      <c r="S744" s="221"/>
      <c r="T744" s="221"/>
      <c r="U744" s="221"/>
      <c r="V744" s="221"/>
      <c r="W744" s="221"/>
      <c r="X744" s="221"/>
      <c r="Y744" s="221"/>
      <c r="Z744" s="221"/>
      <c r="AA744" s="221"/>
      <c r="AB744" s="297"/>
    </row>
    <row r="745">
      <c r="A745" s="134"/>
      <c r="B745" s="134"/>
      <c r="C745" s="68"/>
      <c r="D745" s="68"/>
      <c r="E745" s="68"/>
      <c r="F745" s="68"/>
      <c r="G745" s="68"/>
      <c r="H745" s="68"/>
      <c r="I745" s="221"/>
      <c r="J745" s="221"/>
      <c r="K745" s="221"/>
      <c r="L745" s="221"/>
      <c r="M745" s="221"/>
      <c r="N745" s="221"/>
      <c r="O745" s="221"/>
      <c r="P745" s="221"/>
      <c r="Q745" s="221"/>
      <c r="R745" s="221"/>
      <c r="S745" s="221"/>
      <c r="T745" s="221"/>
      <c r="U745" s="221"/>
      <c r="V745" s="221"/>
      <c r="W745" s="221"/>
      <c r="X745" s="221"/>
      <c r="Y745" s="221"/>
      <c r="Z745" s="221"/>
      <c r="AA745" s="221"/>
      <c r="AB745" s="297"/>
    </row>
    <row r="746">
      <c r="A746" s="134"/>
      <c r="B746" s="134"/>
      <c r="C746" s="68"/>
      <c r="D746" s="68"/>
      <c r="E746" s="68"/>
      <c r="F746" s="68"/>
      <c r="G746" s="68"/>
      <c r="H746" s="68"/>
      <c r="I746" s="221"/>
      <c r="J746" s="221"/>
      <c r="K746" s="221"/>
      <c r="L746" s="221"/>
      <c r="M746" s="221"/>
      <c r="N746" s="221"/>
      <c r="O746" s="221"/>
      <c r="P746" s="221"/>
      <c r="Q746" s="221"/>
      <c r="R746" s="221"/>
      <c r="S746" s="221"/>
      <c r="T746" s="221"/>
      <c r="U746" s="221"/>
      <c r="V746" s="221"/>
      <c r="W746" s="221"/>
      <c r="X746" s="221"/>
      <c r="Y746" s="221"/>
      <c r="Z746" s="221"/>
      <c r="AA746" s="221"/>
      <c r="AB746" s="297"/>
    </row>
    <row r="747">
      <c r="A747" s="134"/>
      <c r="B747" s="134"/>
      <c r="C747" s="68"/>
      <c r="D747" s="68"/>
      <c r="E747" s="68"/>
      <c r="F747" s="68"/>
      <c r="G747" s="68"/>
      <c r="H747" s="68"/>
      <c r="I747" s="221"/>
      <c r="J747" s="221"/>
      <c r="K747" s="221"/>
      <c r="L747" s="221"/>
      <c r="M747" s="221"/>
      <c r="N747" s="221"/>
      <c r="O747" s="221"/>
      <c r="P747" s="221"/>
      <c r="Q747" s="221"/>
      <c r="R747" s="221"/>
      <c r="S747" s="221"/>
      <c r="T747" s="221"/>
      <c r="U747" s="221"/>
      <c r="V747" s="221"/>
      <c r="W747" s="221"/>
      <c r="X747" s="221"/>
      <c r="Y747" s="221"/>
      <c r="Z747" s="221"/>
      <c r="AA747" s="221"/>
      <c r="AB747" s="297"/>
    </row>
    <row r="748">
      <c r="A748" s="134"/>
      <c r="B748" s="134"/>
      <c r="C748" s="68"/>
      <c r="D748" s="68"/>
      <c r="E748" s="68"/>
      <c r="F748" s="68"/>
      <c r="G748" s="68"/>
      <c r="H748" s="68"/>
      <c r="I748" s="221"/>
      <c r="J748" s="221"/>
      <c r="K748" s="221"/>
      <c r="L748" s="221"/>
      <c r="M748" s="221"/>
      <c r="N748" s="221"/>
      <c r="O748" s="221"/>
      <c r="P748" s="221"/>
      <c r="Q748" s="221"/>
      <c r="R748" s="221"/>
      <c r="S748" s="221"/>
      <c r="T748" s="221"/>
      <c r="U748" s="221"/>
      <c r="V748" s="221"/>
      <c r="W748" s="221"/>
      <c r="X748" s="221"/>
      <c r="Y748" s="221"/>
      <c r="Z748" s="221"/>
      <c r="AA748" s="221"/>
      <c r="AB748" s="297"/>
    </row>
    <row r="749">
      <c r="A749" s="134"/>
      <c r="B749" s="134"/>
      <c r="C749" s="68"/>
      <c r="D749" s="68"/>
      <c r="E749" s="68"/>
      <c r="F749" s="68"/>
      <c r="G749" s="68"/>
      <c r="H749" s="68"/>
      <c r="I749" s="221"/>
      <c r="J749" s="221"/>
      <c r="K749" s="221"/>
      <c r="L749" s="221"/>
      <c r="M749" s="221"/>
      <c r="N749" s="221"/>
      <c r="O749" s="221"/>
      <c r="P749" s="221"/>
      <c r="Q749" s="221"/>
      <c r="R749" s="221"/>
      <c r="S749" s="221"/>
      <c r="T749" s="221"/>
      <c r="U749" s="221"/>
      <c r="V749" s="221"/>
      <c r="W749" s="221"/>
      <c r="X749" s="221"/>
      <c r="Y749" s="221"/>
      <c r="Z749" s="221"/>
      <c r="AA749" s="221"/>
      <c r="AB749" s="297"/>
    </row>
    <row r="750">
      <c r="A750" s="134"/>
      <c r="B750" s="134"/>
      <c r="C750" s="68"/>
      <c r="D750" s="68"/>
      <c r="E750" s="68"/>
      <c r="F750" s="68"/>
      <c r="G750" s="68"/>
      <c r="H750" s="68"/>
      <c r="I750" s="221"/>
      <c r="J750" s="221"/>
      <c r="K750" s="221"/>
      <c r="L750" s="221"/>
      <c r="M750" s="221"/>
      <c r="N750" s="221"/>
      <c r="O750" s="221"/>
      <c r="P750" s="221"/>
      <c r="Q750" s="221"/>
      <c r="R750" s="221"/>
      <c r="S750" s="221"/>
      <c r="T750" s="221"/>
      <c r="U750" s="221"/>
      <c r="V750" s="221"/>
      <c r="W750" s="221"/>
      <c r="X750" s="221"/>
      <c r="Y750" s="221"/>
      <c r="Z750" s="221"/>
      <c r="AA750" s="221"/>
      <c r="AB750" s="297"/>
    </row>
    <row r="751">
      <c r="A751" s="134"/>
      <c r="B751" s="134"/>
      <c r="C751" s="68"/>
      <c r="D751" s="68"/>
      <c r="E751" s="68"/>
      <c r="F751" s="68"/>
      <c r="G751" s="68"/>
      <c r="H751" s="68"/>
      <c r="I751" s="221"/>
      <c r="J751" s="221"/>
      <c r="K751" s="221"/>
      <c r="L751" s="221"/>
      <c r="M751" s="221"/>
      <c r="N751" s="221"/>
      <c r="O751" s="221"/>
      <c r="P751" s="221"/>
      <c r="Q751" s="221"/>
      <c r="R751" s="221"/>
      <c r="S751" s="221"/>
      <c r="T751" s="221"/>
      <c r="U751" s="221"/>
      <c r="V751" s="221"/>
      <c r="W751" s="221"/>
      <c r="X751" s="221"/>
      <c r="Y751" s="221"/>
      <c r="Z751" s="221"/>
      <c r="AA751" s="221"/>
      <c r="AB751" s="297"/>
    </row>
    <row r="752">
      <c r="A752" s="134"/>
      <c r="B752" s="134"/>
      <c r="C752" s="68"/>
      <c r="D752" s="68"/>
      <c r="E752" s="68"/>
      <c r="F752" s="68"/>
      <c r="G752" s="68"/>
      <c r="H752" s="68"/>
      <c r="I752" s="221"/>
      <c r="J752" s="221"/>
      <c r="K752" s="221"/>
      <c r="L752" s="221"/>
      <c r="M752" s="221"/>
      <c r="N752" s="221"/>
      <c r="O752" s="221"/>
      <c r="P752" s="221"/>
      <c r="Q752" s="221"/>
      <c r="R752" s="221"/>
      <c r="S752" s="221"/>
      <c r="T752" s="221"/>
      <c r="U752" s="221"/>
      <c r="V752" s="221"/>
      <c r="W752" s="221"/>
      <c r="X752" s="221"/>
      <c r="Y752" s="221"/>
      <c r="Z752" s="221"/>
      <c r="AA752" s="221"/>
      <c r="AB752" s="297"/>
    </row>
    <row r="753">
      <c r="A753" s="134"/>
      <c r="B753" s="134"/>
      <c r="C753" s="68"/>
      <c r="D753" s="68"/>
      <c r="E753" s="68"/>
      <c r="F753" s="68"/>
      <c r="G753" s="68"/>
      <c r="H753" s="68"/>
      <c r="I753" s="221"/>
      <c r="J753" s="221"/>
      <c r="K753" s="221"/>
      <c r="L753" s="221"/>
      <c r="M753" s="221"/>
      <c r="N753" s="221"/>
      <c r="O753" s="221"/>
      <c r="P753" s="221"/>
      <c r="Q753" s="221"/>
      <c r="R753" s="221"/>
      <c r="S753" s="221"/>
      <c r="T753" s="221"/>
      <c r="U753" s="221"/>
      <c r="V753" s="221"/>
      <c r="W753" s="221"/>
      <c r="X753" s="221"/>
      <c r="Y753" s="221"/>
      <c r="Z753" s="221"/>
      <c r="AA753" s="221"/>
      <c r="AB753" s="297"/>
    </row>
    <row r="754">
      <c r="A754" s="134"/>
      <c r="B754" s="134"/>
      <c r="C754" s="68"/>
      <c r="D754" s="68"/>
      <c r="E754" s="68"/>
      <c r="F754" s="68"/>
      <c r="G754" s="68"/>
      <c r="H754" s="68"/>
      <c r="I754" s="221"/>
      <c r="J754" s="221"/>
      <c r="K754" s="221"/>
      <c r="L754" s="221"/>
      <c r="M754" s="221"/>
      <c r="N754" s="221"/>
      <c r="O754" s="221"/>
      <c r="P754" s="221"/>
      <c r="Q754" s="221"/>
      <c r="R754" s="221"/>
      <c r="S754" s="221"/>
      <c r="T754" s="221"/>
      <c r="U754" s="221"/>
      <c r="V754" s="221"/>
      <c r="W754" s="221"/>
      <c r="X754" s="221"/>
      <c r="Y754" s="221"/>
      <c r="Z754" s="221"/>
      <c r="AA754" s="221"/>
      <c r="AB754" s="297"/>
    </row>
    <row r="755">
      <c r="A755" s="134"/>
      <c r="B755" s="134"/>
      <c r="C755" s="68"/>
      <c r="D755" s="68"/>
      <c r="E755" s="68"/>
      <c r="F755" s="68"/>
      <c r="G755" s="68"/>
      <c r="H755" s="68"/>
      <c r="I755" s="221"/>
      <c r="J755" s="221"/>
      <c r="K755" s="221"/>
      <c r="L755" s="221"/>
      <c r="M755" s="221"/>
      <c r="N755" s="221"/>
      <c r="O755" s="221"/>
      <c r="P755" s="221"/>
      <c r="Q755" s="221"/>
      <c r="R755" s="221"/>
      <c r="S755" s="221"/>
      <c r="T755" s="221"/>
      <c r="U755" s="221"/>
      <c r="V755" s="221"/>
      <c r="W755" s="221"/>
      <c r="X755" s="221"/>
      <c r="Y755" s="221"/>
      <c r="Z755" s="221"/>
      <c r="AA755" s="221"/>
      <c r="AB755" s="297"/>
    </row>
    <row r="756">
      <c r="A756" s="134"/>
      <c r="B756" s="134"/>
      <c r="C756" s="68"/>
      <c r="D756" s="68"/>
      <c r="E756" s="68"/>
      <c r="F756" s="68"/>
      <c r="G756" s="68"/>
      <c r="H756" s="68"/>
      <c r="I756" s="221"/>
      <c r="J756" s="221"/>
      <c r="K756" s="221"/>
      <c r="L756" s="221"/>
      <c r="M756" s="221"/>
      <c r="N756" s="221"/>
      <c r="O756" s="221"/>
      <c r="P756" s="221"/>
      <c r="Q756" s="221"/>
      <c r="R756" s="221"/>
      <c r="S756" s="221"/>
      <c r="T756" s="221"/>
      <c r="U756" s="221"/>
      <c r="V756" s="221"/>
      <c r="W756" s="221"/>
      <c r="X756" s="221"/>
      <c r="Y756" s="221"/>
      <c r="Z756" s="221"/>
      <c r="AA756" s="221"/>
      <c r="AB756" s="297"/>
    </row>
    <row r="757">
      <c r="A757" s="134"/>
      <c r="B757" s="134"/>
      <c r="C757" s="68"/>
      <c r="D757" s="68"/>
      <c r="E757" s="68"/>
      <c r="F757" s="68"/>
      <c r="G757" s="68"/>
      <c r="H757" s="68"/>
      <c r="I757" s="221"/>
      <c r="J757" s="221"/>
      <c r="K757" s="221"/>
      <c r="L757" s="221"/>
      <c r="M757" s="221"/>
      <c r="N757" s="221"/>
      <c r="O757" s="221"/>
      <c r="P757" s="221"/>
      <c r="Q757" s="221"/>
      <c r="R757" s="221"/>
      <c r="S757" s="221"/>
      <c r="T757" s="221"/>
      <c r="U757" s="221"/>
      <c r="V757" s="221"/>
      <c r="W757" s="221"/>
      <c r="X757" s="221"/>
      <c r="Y757" s="221"/>
      <c r="Z757" s="221"/>
      <c r="AA757" s="221"/>
      <c r="AB757" s="297"/>
    </row>
    <row r="758">
      <c r="A758" s="134"/>
      <c r="B758" s="134"/>
      <c r="C758" s="68"/>
      <c r="D758" s="68"/>
      <c r="E758" s="68"/>
      <c r="F758" s="68"/>
      <c r="G758" s="68"/>
      <c r="H758" s="68"/>
      <c r="I758" s="221"/>
      <c r="J758" s="221"/>
      <c r="K758" s="221"/>
      <c r="L758" s="221"/>
      <c r="M758" s="221"/>
      <c r="N758" s="221"/>
      <c r="O758" s="221"/>
      <c r="P758" s="221"/>
      <c r="Q758" s="221"/>
      <c r="R758" s="221"/>
      <c r="S758" s="221"/>
      <c r="T758" s="221"/>
      <c r="U758" s="221"/>
      <c r="V758" s="221"/>
      <c r="W758" s="221"/>
      <c r="X758" s="221"/>
      <c r="Y758" s="221"/>
      <c r="Z758" s="221"/>
      <c r="AA758" s="221"/>
      <c r="AB758" s="297"/>
    </row>
    <row r="759">
      <c r="A759" s="134"/>
      <c r="B759" s="134"/>
      <c r="C759" s="68"/>
      <c r="D759" s="68"/>
      <c r="E759" s="68"/>
      <c r="F759" s="68"/>
      <c r="G759" s="68"/>
      <c r="H759" s="68"/>
      <c r="I759" s="221"/>
      <c r="J759" s="221"/>
      <c r="K759" s="221"/>
      <c r="L759" s="221"/>
      <c r="M759" s="221"/>
      <c r="N759" s="221"/>
      <c r="O759" s="221"/>
      <c r="P759" s="221"/>
      <c r="Q759" s="221"/>
      <c r="R759" s="221"/>
      <c r="S759" s="221"/>
      <c r="T759" s="221"/>
      <c r="U759" s="221"/>
      <c r="V759" s="221"/>
      <c r="W759" s="221"/>
      <c r="X759" s="221"/>
      <c r="Y759" s="221"/>
      <c r="Z759" s="221"/>
      <c r="AA759" s="221"/>
      <c r="AB759" s="297"/>
    </row>
    <row r="760">
      <c r="A760" s="134"/>
      <c r="B760" s="134"/>
      <c r="C760" s="68"/>
      <c r="D760" s="68"/>
      <c r="E760" s="68"/>
      <c r="F760" s="68"/>
      <c r="G760" s="68"/>
      <c r="H760" s="68"/>
      <c r="I760" s="221"/>
      <c r="J760" s="221"/>
      <c r="K760" s="221"/>
      <c r="L760" s="221"/>
      <c r="M760" s="221"/>
      <c r="N760" s="221"/>
      <c r="O760" s="221"/>
      <c r="P760" s="221"/>
      <c r="Q760" s="221"/>
      <c r="R760" s="221"/>
      <c r="S760" s="221"/>
      <c r="T760" s="221"/>
      <c r="U760" s="221"/>
      <c r="V760" s="221"/>
      <c r="W760" s="221"/>
      <c r="X760" s="221"/>
      <c r="Y760" s="221"/>
      <c r="Z760" s="221"/>
      <c r="AA760" s="221"/>
      <c r="AB760" s="297"/>
    </row>
    <row r="761">
      <c r="A761" s="134"/>
      <c r="B761" s="134"/>
      <c r="C761" s="68"/>
      <c r="D761" s="68"/>
      <c r="E761" s="68"/>
      <c r="F761" s="68"/>
      <c r="G761" s="68"/>
      <c r="H761" s="68"/>
      <c r="I761" s="221"/>
      <c r="J761" s="221"/>
      <c r="K761" s="221"/>
      <c r="L761" s="221"/>
      <c r="M761" s="221"/>
      <c r="N761" s="221"/>
      <c r="O761" s="221"/>
      <c r="P761" s="221"/>
      <c r="Q761" s="221"/>
      <c r="R761" s="221"/>
      <c r="S761" s="221"/>
      <c r="T761" s="221"/>
      <c r="U761" s="221"/>
      <c r="V761" s="221"/>
      <c r="W761" s="221"/>
      <c r="X761" s="221"/>
      <c r="Y761" s="221"/>
      <c r="Z761" s="221"/>
      <c r="AA761" s="221"/>
      <c r="AB761" s="297"/>
    </row>
    <row r="762">
      <c r="A762" s="134"/>
      <c r="B762" s="134"/>
      <c r="C762" s="68"/>
      <c r="D762" s="68"/>
      <c r="E762" s="68"/>
      <c r="F762" s="68"/>
      <c r="G762" s="68"/>
      <c r="H762" s="68"/>
      <c r="I762" s="221"/>
      <c r="J762" s="221"/>
      <c r="K762" s="221"/>
      <c r="L762" s="221"/>
      <c r="M762" s="221"/>
      <c r="N762" s="221"/>
      <c r="O762" s="221"/>
      <c r="P762" s="221"/>
      <c r="Q762" s="221"/>
      <c r="R762" s="221"/>
      <c r="S762" s="221"/>
      <c r="T762" s="221"/>
      <c r="U762" s="221"/>
      <c r="V762" s="221"/>
      <c r="W762" s="221"/>
      <c r="X762" s="221"/>
      <c r="Y762" s="221"/>
      <c r="Z762" s="221"/>
      <c r="AA762" s="221"/>
      <c r="AB762" s="297"/>
    </row>
    <row r="763">
      <c r="A763" s="134"/>
      <c r="B763" s="134"/>
      <c r="C763" s="68"/>
      <c r="D763" s="68"/>
      <c r="E763" s="68"/>
      <c r="F763" s="68"/>
      <c r="G763" s="68"/>
      <c r="H763" s="68"/>
      <c r="I763" s="221"/>
      <c r="J763" s="221"/>
      <c r="K763" s="221"/>
      <c r="L763" s="221"/>
      <c r="M763" s="221"/>
      <c r="N763" s="221"/>
      <c r="O763" s="221"/>
      <c r="P763" s="221"/>
      <c r="Q763" s="221"/>
      <c r="R763" s="221"/>
      <c r="S763" s="221"/>
      <c r="T763" s="221"/>
      <c r="U763" s="221"/>
      <c r="V763" s="221"/>
      <c r="W763" s="221"/>
      <c r="X763" s="221"/>
      <c r="Y763" s="221"/>
      <c r="Z763" s="221"/>
      <c r="AA763" s="221"/>
      <c r="AB763" s="297"/>
    </row>
    <row r="764">
      <c r="A764" s="134"/>
      <c r="B764" s="134"/>
      <c r="C764" s="68"/>
      <c r="D764" s="68"/>
      <c r="E764" s="68"/>
      <c r="F764" s="68"/>
      <c r="G764" s="68"/>
      <c r="H764" s="68"/>
      <c r="I764" s="221"/>
      <c r="J764" s="221"/>
      <c r="K764" s="221"/>
      <c r="L764" s="221"/>
      <c r="M764" s="221"/>
      <c r="N764" s="221"/>
      <c r="O764" s="221"/>
      <c r="P764" s="221"/>
      <c r="Q764" s="221"/>
      <c r="R764" s="221"/>
      <c r="S764" s="221"/>
      <c r="T764" s="221"/>
      <c r="U764" s="221"/>
      <c r="V764" s="221"/>
      <c r="W764" s="221"/>
      <c r="X764" s="221"/>
      <c r="Y764" s="221"/>
      <c r="Z764" s="221"/>
      <c r="AA764" s="221"/>
      <c r="AB764" s="297"/>
    </row>
    <row r="765">
      <c r="A765" s="134"/>
      <c r="B765" s="134"/>
      <c r="C765" s="68"/>
      <c r="D765" s="68"/>
      <c r="E765" s="68"/>
      <c r="F765" s="68"/>
      <c r="G765" s="68"/>
      <c r="H765" s="68"/>
      <c r="I765" s="221"/>
      <c r="J765" s="221"/>
      <c r="K765" s="221"/>
      <c r="L765" s="221"/>
      <c r="M765" s="221"/>
      <c r="N765" s="221"/>
      <c r="O765" s="221"/>
      <c r="P765" s="221"/>
      <c r="Q765" s="221"/>
      <c r="R765" s="221"/>
      <c r="S765" s="221"/>
      <c r="T765" s="221"/>
      <c r="U765" s="221"/>
      <c r="V765" s="221"/>
      <c r="W765" s="221"/>
      <c r="X765" s="221"/>
      <c r="Y765" s="221"/>
      <c r="Z765" s="221"/>
      <c r="AA765" s="221"/>
      <c r="AB765" s="297"/>
    </row>
    <row r="766">
      <c r="A766" s="134"/>
      <c r="B766" s="134"/>
      <c r="C766" s="68"/>
      <c r="D766" s="68"/>
      <c r="E766" s="68"/>
      <c r="F766" s="68"/>
      <c r="G766" s="68"/>
      <c r="H766" s="68"/>
      <c r="I766" s="221"/>
      <c r="J766" s="221"/>
      <c r="K766" s="221"/>
      <c r="L766" s="221"/>
      <c r="M766" s="221"/>
      <c r="N766" s="221"/>
      <c r="O766" s="221"/>
      <c r="P766" s="221"/>
      <c r="Q766" s="221"/>
      <c r="R766" s="221"/>
      <c r="S766" s="221"/>
      <c r="T766" s="221"/>
      <c r="U766" s="221"/>
      <c r="V766" s="221"/>
      <c r="W766" s="221"/>
      <c r="X766" s="221"/>
      <c r="Y766" s="221"/>
      <c r="Z766" s="221"/>
      <c r="AA766" s="221"/>
      <c r="AB766" s="297"/>
    </row>
    <row r="767">
      <c r="A767" s="134"/>
      <c r="B767" s="134"/>
      <c r="C767" s="68"/>
      <c r="D767" s="68"/>
      <c r="E767" s="68"/>
      <c r="F767" s="68"/>
      <c r="G767" s="68"/>
      <c r="H767" s="68"/>
      <c r="I767" s="221"/>
      <c r="J767" s="221"/>
      <c r="K767" s="221"/>
      <c r="L767" s="221"/>
      <c r="M767" s="221"/>
      <c r="N767" s="221"/>
      <c r="O767" s="221"/>
      <c r="P767" s="221"/>
      <c r="Q767" s="221"/>
      <c r="R767" s="221"/>
      <c r="S767" s="221"/>
      <c r="T767" s="221"/>
      <c r="U767" s="221"/>
      <c r="V767" s="221"/>
      <c r="W767" s="221"/>
      <c r="X767" s="221"/>
      <c r="Y767" s="221"/>
      <c r="Z767" s="221"/>
      <c r="AA767" s="221"/>
      <c r="AB767" s="297"/>
    </row>
    <row r="768">
      <c r="A768" s="134"/>
      <c r="B768" s="134"/>
      <c r="C768" s="68"/>
      <c r="D768" s="68"/>
      <c r="E768" s="68"/>
      <c r="F768" s="68"/>
      <c r="G768" s="68"/>
      <c r="H768" s="68"/>
      <c r="I768" s="221"/>
      <c r="J768" s="221"/>
      <c r="K768" s="221"/>
      <c r="L768" s="221"/>
      <c r="M768" s="221"/>
      <c r="N768" s="221"/>
      <c r="O768" s="221"/>
      <c r="P768" s="221"/>
      <c r="Q768" s="221"/>
      <c r="R768" s="221"/>
      <c r="S768" s="221"/>
      <c r="T768" s="221"/>
      <c r="U768" s="221"/>
      <c r="V768" s="221"/>
      <c r="W768" s="221"/>
      <c r="X768" s="221"/>
      <c r="Y768" s="221"/>
      <c r="Z768" s="221"/>
      <c r="AA768" s="221"/>
      <c r="AB768" s="297"/>
    </row>
    <row r="769">
      <c r="A769" s="134"/>
      <c r="B769" s="134"/>
      <c r="C769" s="68"/>
      <c r="D769" s="68"/>
      <c r="E769" s="68"/>
      <c r="F769" s="68"/>
      <c r="G769" s="68"/>
      <c r="H769" s="68"/>
      <c r="I769" s="221"/>
      <c r="J769" s="221"/>
      <c r="K769" s="221"/>
      <c r="L769" s="221"/>
      <c r="M769" s="221"/>
      <c r="N769" s="221"/>
      <c r="O769" s="221"/>
      <c r="P769" s="221"/>
      <c r="Q769" s="221"/>
      <c r="R769" s="221"/>
      <c r="S769" s="221"/>
      <c r="T769" s="221"/>
      <c r="U769" s="221"/>
      <c r="V769" s="221"/>
      <c r="W769" s="221"/>
      <c r="X769" s="221"/>
      <c r="Y769" s="221"/>
      <c r="Z769" s="221"/>
      <c r="AA769" s="221"/>
      <c r="AB769" s="297"/>
    </row>
    <row r="770">
      <c r="A770" s="134"/>
      <c r="B770" s="134"/>
      <c r="C770" s="68"/>
      <c r="D770" s="68"/>
      <c r="E770" s="68"/>
      <c r="F770" s="68"/>
      <c r="G770" s="68"/>
      <c r="H770" s="68"/>
      <c r="I770" s="221"/>
      <c r="J770" s="221"/>
      <c r="K770" s="221"/>
      <c r="L770" s="221"/>
      <c r="M770" s="221"/>
      <c r="N770" s="221"/>
      <c r="O770" s="221"/>
      <c r="P770" s="221"/>
      <c r="Q770" s="221"/>
      <c r="R770" s="221"/>
      <c r="S770" s="221"/>
      <c r="T770" s="221"/>
      <c r="U770" s="221"/>
      <c r="V770" s="221"/>
      <c r="W770" s="221"/>
      <c r="X770" s="221"/>
      <c r="Y770" s="221"/>
      <c r="Z770" s="221"/>
      <c r="AA770" s="221"/>
      <c r="AB770" s="297"/>
    </row>
    <row r="771">
      <c r="A771" s="134"/>
      <c r="B771" s="134"/>
      <c r="C771" s="68"/>
      <c r="D771" s="68"/>
      <c r="E771" s="68"/>
      <c r="F771" s="68"/>
      <c r="G771" s="68"/>
      <c r="H771" s="68"/>
      <c r="I771" s="221"/>
      <c r="J771" s="221"/>
      <c r="K771" s="221"/>
      <c r="L771" s="221"/>
      <c r="M771" s="221"/>
      <c r="N771" s="221"/>
      <c r="O771" s="221"/>
      <c r="P771" s="221"/>
      <c r="Q771" s="221"/>
      <c r="R771" s="221"/>
      <c r="S771" s="221"/>
      <c r="T771" s="221"/>
      <c r="U771" s="221"/>
      <c r="V771" s="221"/>
      <c r="W771" s="221"/>
      <c r="X771" s="221"/>
      <c r="Y771" s="221"/>
      <c r="Z771" s="221"/>
      <c r="AA771" s="221"/>
      <c r="AB771" s="297"/>
    </row>
    <row r="772">
      <c r="A772" s="134"/>
      <c r="B772" s="134"/>
      <c r="C772" s="68"/>
      <c r="D772" s="68"/>
      <c r="E772" s="68"/>
      <c r="F772" s="68"/>
      <c r="G772" s="68"/>
      <c r="H772" s="68"/>
      <c r="I772" s="221"/>
      <c r="J772" s="221"/>
      <c r="K772" s="221"/>
      <c r="L772" s="221"/>
      <c r="M772" s="221"/>
      <c r="N772" s="221"/>
      <c r="O772" s="221"/>
      <c r="P772" s="221"/>
      <c r="Q772" s="221"/>
      <c r="R772" s="221"/>
      <c r="S772" s="221"/>
      <c r="T772" s="221"/>
      <c r="U772" s="221"/>
      <c r="V772" s="221"/>
      <c r="W772" s="221"/>
      <c r="X772" s="221"/>
      <c r="Y772" s="221"/>
      <c r="Z772" s="221"/>
      <c r="AA772" s="221"/>
      <c r="AB772" s="297"/>
    </row>
    <row r="773">
      <c r="A773" s="134"/>
      <c r="B773" s="134"/>
      <c r="C773" s="68"/>
      <c r="D773" s="68"/>
      <c r="E773" s="68"/>
      <c r="F773" s="68"/>
      <c r="G773" s="68"/>
      <c r="H773" s="68"/>
      <c r="I773" s="221"/>
      <c r="J773" s="221"/>
      <c r="K773" s="221"/>
      <c r="L773" s="221"/>
      <c r="M773" s="221"/>
      <c r="N773" s="221"/>
      <c r="O773" s="221"/>
      <c r="P773" s="221"/>
      <c r="Q773" s="221"/>
      <c r="R773" s="221"/>
      <c r="S773" s="221"/>
      <c r="T773" s="221"/>
      <c r="U773" s="221"/>
      <c r="V773" s="221"/>
      <c r="W773" s="221"/>
      <c r="X773" s="221"/>
      <c r="Y773" s="221"/>
      <c r="Z773" s="221"/>
      <c r="AA773" s="221"/>
      <c r="AB773" s="297"/>
    </row>
    <row r="774">
      <c r="A774" s="134"/>
      <c r="B774" s="134"/>
      <c r="C774" s="68"/>
      <c r="D774" s="68"/>
      <c r="E774" s="68"/>
      <c r="F774" s="68"/>
      <c r="G774" s="68"/>
      <c r="H774" s="68"/>
      <c r="I774" s="221"/>
      <c r="J774" s="221"/>
      <c r="K774" s="221"/>
      <c r="L774" s="221"/>
      <c r="M774" s="221"/>
      <c r="N774" s="221"/>
      <c r="O774" s="221"/>
      <c r="P774" s="221"/>
      <c r="Q774" s="221"/>
      <c r="R774" s="221"/>
      <c r="S774" s="221"/>
      <c r="T774" s="221"/>
      <c r="U774" s="221"/>
      <c r="V774" s="221"/>
      <c r="W774" s="221"/>
      <c r="X774" s="221"/>
      <c r="Y774" s="221"/>
      <c r="Z774" s="221"/>
      <c r="AA774" s="221"/>
      <c r="AB774" s="297"/>
    </row>
    <row r="775">
      <c r="A775" s="134"/>
      <c r="B775" s="134"/>
      <c r="C775" s="68"/>
      <c r="D775" s="68"/>
      <c r="E775" s="68"/>
      <c r="F775" s="68"/>
      <c r="G775" s="68"/>
      <c r="H775" s="68"/>
      <c r="I775" s="221"/>
      <c r="J775" s="221"/>
      <c r="K775" s="221"/>
      <c r="L775" s="221"/>
      <c r="M775" s="221"/>
      <c r="N775" s="221"/>
      <c r="O775" s="221"/>
      <c r="P775" s="221"/>
      <c r="Q775" s="221"/>
      <c r="R775" s="221"/>
      <c r="S775" s="221"/>
      <c r="T775" s="221"/>
      <c r="U775" s="221"/>
      <c r="V775" s="221"/>
      <c r="W775" s="221"/>
      <c r="X775" s="221"/>
      <c r="Y775" s="221"/>
      <c r="Z775" s="221"/>
      <c r="AA775" s="221"/>
      <c r="AB775" s="297"/>
    </row>
    <row r="776">
      <c r="A776" s="134"/>
      <c r="B776" s="134"/>
      <c r="C776" s="68"/>
      <c r="D776" s="68"/>
      <c r="E776" s="68"/>
      <c r="F776" s="68"/>
      <c r="G776" s="68"/>
      <c r="H776" s="68"/>
      <c r="I776" s="221"/>
      <c r="J776" s="221"/>
      <c r="K776" s="221"/>
      <c r="L776" s="221"/>
      <c r="M776" s="221"/>
      <c r="N776" s="221"/>
      <c r="O776" s="221"/>
      <c r="P776" s="221"/>
      <c r="Q776" s="221"/>
      <c r="R776" s="221"/>
      <c r="S776" s="221"/>
      <c r="T776" s="221"/>
      <c r="U776" s="221"/>
      <c r="V776" s="221"/>
      <c r="W776" s="221"/>
      <c r="X776" s="221"/>
      <c r="Y776" s="221"/>
      <c r="Z776" s="221"/>
      <c r="AA776" s="221"/>
      <c r="AB776" s="297"/>
    </row>
    <row r="777">
      <c r="A777" s="134"/>
      <c r="B777" s="134"/>
      <c r="C777" s="68"/>
      <c r="D777" s="68"/>
      <c r="E777" s="68"/>
      <c r="F777" s="68"/>
      <c r="G777" s="68"/>
      <c r="H777" s="68"/>
      <c r="I777" s="221"/>
      <c r="J777" s="221"/>
      <c r="K777" s="221"/>
      <c r="L777" s="221"/>
      <c r="M777" s="221"/>
      <c r="N777" s="221"/>
      <c r="O777" s="221"/>
      <c r="P777" s="221"/>
      <c r="Q777" s="221"/>
      <c r="R777" s="221"/>
      <c r="S777" s="221"/>
      <c r="T777" s="221"/>
      <c r="U777" s="221"/>
      <c r="V777" s="221"/>
      <c r="W777" s="221"/>
      <c r="X777" s="221"/>
      <c r="Y777" s="221"/>
      <c r="Z777" s="221"/>
      <c r="AA777" s="221"/>
      <c r="AB777" s="297"/>
    </row>
    <row r="778">
      <c r="A778" s="134"/>
      <c r="B778" s="134"/>
      <c r="C778" s="68"/>
      <c r="D778" s="68"/>
      <c r="E778" s="68"/>
      <c r="F778" s="68"/>
      <c r="G778" s="68"/>
      <c r="H778" s="68"/>
      <c r="I778" s="221"/>
      <c r="J778" s="221"/>
      <c r="K778" s="221"/>
      <c r="L778" s="221"/>
      <c r="M778" s="221"/>
      <c r="N778" s="221"/>
      <c r="O778" s="221"/>
      <c r="P778" s="221"/>
      <c r="Q778" s="221"/>
      <c r="R778" s="221"/>
      <c r="S778" s="221"/>
      <c r="T778" s="221"/>
      <c r="U778" s="221"/>
      <c r="V778" s="221"/>
      <c r="W778" s="221"/>
      <c r="X778" s="221"/>
      <c r="Y778" s="221"/>
      <c r="Z778" s="221"/>
      <c r="AA778" s="221"/>
      <c r="AB778" s="297"/>
    </row>
    <row r="779">
      <c r="A779" s="134"/>
      <c r="B779" s="134"/>
      <c r="C779" s="68"/>
      <c r="D779" s="68"/>
      <c r="E779" s="68"/>
      <c r="F779" s="68"/>
      <c r="G779" s="68"/>
      <c r="H779" s="68"/>
      <c r="I779" s="221"/>
      <c r="J779" s="221"/>
      <c r="K779" s="221"/>
      <c r="L779" s="221"/>
      <c r="M779" s="221"/>
      <c r="N779" s="221"/>
      <c r="O779" s="221"/>
      <c r="P779" s="221"/>
      <c r="Q779" s="221"/>
      <c r="R779" s="221"/>
      <c r="S779" s="221"/>
      <c r="T779" s="221"/>
      <c r="U779" s="221"/>
      <c r="V779" s="221"/>
      <c r="W779" s="221"/>
      <c r="X779" s="221"/>
      <c r="Y779" s="221"/>
      <c r="Z779" s="221"/>
      <c r="AA779" s="221"/>
      <c r="AB779" s="297"/>
    </row>
    <row r="780">
      <c r="A780" s="134"/>
      <c r="B780" s="134"/>
      <c r="C780" s="68"/>
      <c r="D780" s="68"/>
      <c r="E780" s="68"/>
      <c r="F780" s="68"/>
      <c r="G780" s="68"/>
      <c r="H780" s="68"/>
      <c r="I780" s="221"/>
      <c r="J780" s="221"/>
      <c r="K780" s="221"/>
      <c r="L780" s="221"/>
      <c r="M780" s="221"/>
      <c r="N780" s="221"/>
      <c r="O780" s="221"/>
      <c r="P780" s="221"/>
      <c r="Q780" s="221"/>
      <c r="R780" s="221"/>
      <c r="S780" s="221"/>
      <c r="T780" s="221"/>
      <c r="U780" s="221"/>
      <c r="V780" s="221"/>
      <c r="W780" s="221"/>
      <c r="X780" s="221"/>
      <c r="Y780" s="221"/>
      <c r="Z780" s="221"/>
      <c r="AA780" s="221"/>
      <c r="AB780" s="297"/>
    </row>
    <row r="781">
      <c r="A781" s="134"/>
      <c r="B781" s="134"/>
      <c r="C781" s="68"/>
      <c r="D781" s="68"/>
      <c r="E781" s="68"/>
      <c r="F781" s="68"/>
      <c r="G781" s="68"/>
      <c r="H781" s="68"/>
      <c r="I781" s="221"/>
      <c r="J781" s="221"/>
      <c r="K781" s="221"/>
      <c r="L781" s="221"/>
      <c r="M781" s="221"/>
      <c r="N781" s="221"/>
      <c r="O781" s="221"/>
      <c r="P781" s="221"/>
      <c r="Q781" s="221"/>
      <c r="R781" s="221"/>
      <c r="S781" s="221"/>
      <c r="T781" s="221"/>
      <c r="U781" s="221"/>
      <c r="V781" s="221"/>
      <c r="W781" s="221"/>
      <c r="X781" s="221"/>
      <c r="Y781" s="221"/>
      <c r="Z781" s="221"/>
      <c r="AA781" s="221"/>
      <c r="AB781" s="297"/>
    </row>
    <row r="782">
      <c r="A782" s="134"/>
      <c r="B782" s="134"/>
      <c r="C782" s="68"/>
      <c r="D782" s="68"/>
      <c r="E782" s="68"/>
      <c r="F782" s="68"/>
      <c r="G782" s="68"/>
      <c r="H782" s="68"/>
      <c r="I782" s="221"/>
      <c r="J782" s="221"/>
      <c r="K782" s="221"/>
      <c r="L782" s="221"/>
      <c r="M782" s="221"/>
      <c r="N782" s="221"/>
      <c r="O782" s="221"/>
      <c r="P782" s="221"/>
      <c r="Q782" s="221"/>
      <c r="R782" s="221"/>
      <c r="S782" s="221"/>
      <c r="T782" s="221"/>
      <c r="U782" s="221"/>
      <c r="V782" s="221"/>
      <c r="W782" s="221"/>
      <c r="X782" s="221"/>
      <c r="Y782" s="221"/>
      <c r="Z782" s="221"/>
      <c r="AA782" s="221"/>
      <c r="AB782" s="297"/>
    </row>
    <row r="783">
      <c r="A783" s="134"/>
      <c r="B783" s="134"/>
      <c r="C783" s="68"/>
      <c r="D783" s="68"/>
      <c r="E783" s="68"/>
      <c r="F783" s="68"/>
      <c r="G783" s="68"/>
      <c r="H783" s="68"/>
      <c r="I783" s="221"/>
      <c r="J783" s="221"/>
      <c r="K783" s="221"/>
      <c r="L783" s="221"/>
      <c r="M783" s="221"/>
      <c r="N783" s="221"/>
      <c r="O783" s="221"/>
      <c r="P783" s="221"/>
      <c r="Q783" s="221"/>
      <c r="R783" s="221"/>
      <c r="S783" s="221"/>
      <c r="T783" s="221"/>
      <c r="U783" s="221"/>
      <c r="V783" s="221"/>
      <c r="W783" s="221"/>
      <c r="X783" s="221"/>
      <c r="Y783" s="221"/>
      <c r="Z783" s="221"/>
      <c r="AA783" s="221"/>
      <c r="AB783" s="297"/>
    </row>
    <row r="784">
      <c r="A784" s="134"/>
      <c r="B784" s="134"/>
      <c r="C784" s="68"/>
      <c r="D784" s="68"/>
      <c r="E784" s="68"/>
      <c r="F784" s="68"/>
      <c r="G784" s="68"/>
      <c r="H784" s="68"/>
      <c r="I784" s="221"/>
      <c r="J784" s="221"/>
      <c r="K784" s="221"/>
      <c r="L784" s="221"/>
      <c r="M784" s="221"/>
      <c r="N784" s="221"/>
      <c r="O784" s="221"/>
      <c r="P784" s="221"/>
      <c r="Q784" s="221"/>
      <c r="R784" s="221"/>
      <c r="S784" s="221"/>
      <c r="T784" s="221"/>
      <c r="U784" s="221"/>
      <c r="V784" s="221"/>
      <c r="W784" s="221"/>
      <c r="X784" s="221"/>
      <c r="Y784" s="221"/>
      <c r="Z784" s="221"/>
      <c r="AA784" s="221"/>
      <c r="AB784" s="297"/>
    </row>
    <row r="785">
      <c r="A785" s="134"/>
      <c r="B785" s="134"/>
      <c r="C785" s="68"/>
      <c r="D785" s="68"/>
      <c r="E785" s="68"/>
      <c r="F785" s="68"/>
      <c r="G785" s="68"/>
      <c r="H785" s="68"/>
      <c r="I785" s="221"/>
      <c r="J785" s="221"/>
      <c r="K785" s="221"/>
      <c r="L785" s="221"/>
      <c r="M785" s="221"/>
      <c r="N785" s="221"/>
      <c r="O785" s="221"/>
      <c r="P785" s="221"/>
      <c r="Q785" s="221"/>
      <c r="R785" s="221"/>
      <c r="S785" s="221"/>
      <c r="T785" s="221"/>
      <c r="U785" s="221"/>
      <c r="V785" s="221"/>
      <c r="W785" s="221"/>
      <c r="X785" s="221"/>
      <c r="Y785" s="221"/>
      <c r="Z785" s="221"/>
      <c r="AA785" s="221"/>
      <c r="AB785" s="297"/>
    </row>
    <row r="786">
      <c r="A786" s="134"/>
      <c r="B786" s="134"/>
      <c r="C786" s="68"/>
      <c r="D786" s="68"/>
      <c r="E786" s="68"/>
      <c r="F786" s="68"/>
      <c r="G786" s="68"/>
      <c r="H786" s="68"/>
      <c r="I786" s="221"/>
      <c r="J786" s="221"/>
      <c r="K786" s="221"/>
      <c r="L786" s="221"/>
      <c r="M786" s="221"/>
      <c r="N786" s="221"/>
      <c r="O786" s="221"/>
      <c r="P786" s="221"/>
      <c r="Q786" s="221"/>
      <c r="R786" s="221"/>
      <c r="S786" s="221"/>
      <c r="T786" s="221"/>
      <c r="U786" s="221"/>
      <c r="V786" s="221"/>
      <c r="W786" s="221"/>
      <c r="X786" s="221"/>
      <c r="Y786" s="221"/>
      <c r="Z786" s="221"/>
      <c r="AA786" s="221"/>
      <c r="AB786" s="297"/>
    </row>
    <row r="787">
      <c r="A787" s="134"/>
      <c r="B787" s="134"/>
      <c r="C787" s="68"/>
      <c r="D787" s="68"/>
      <c r="E787" s="68"/>
      <c r="F787" s="68"/>
      <c r="G787" s="68"/>
      <c r="H787" s="68"/>
      <c r="I787" s="221"/>
      <c r="J787" s="221"/>
      <c r="K787" s="221"/>
      <c r="L787" s="221"/>
      <c r="M787" s="221"/>
      <c r="N787" s="221"/>
      <c r="O787" s="221"/>
      <c r="P787" s="221"/>
      <c r="Q787" s="221"/>
      <c r="R787" s="221"/>
      <c r="S787" s="221"/>
      <c r="T787" s="221"/>
      <c r="U787" s="221"/>
      <c r="V787" s="221"/>
      <c r="W787" s="221"/>
      <c r="X787" s="221"/>
      <c r="Y787" s="221"/>
      <c r="Z787" s="221"/>
      <c r="AA787" s="221"/>
      <c r="AB787" s="297"/>
    </row>
    <row r="788">
      <c r="A788" s="134"/>
      <c r="B788" s="134"/>
      <c r="C788" s="68"/>
      <c r="D788" s="68"/>
      <c r="E788" s="68"/>
      <c r="F788" s="68"/>
      <c r="G788" s="68"/>
      <c r="H788" s="68"/>
      <c r="I788" s="221"/>
      <c r="J788" s="221"/>
      <c r="K788" s="221"/>
      <c r="L788" s="221"/>
      <c r="M788" s="221"/>
      <c r="N788" s="221"/>
      <c r="O788" s="221"/>
      <c r="P788" s="221"/>
      <c r="Q788" s="221"/>
      <c r="R788" s="221"/>
      <c r="S788" s="221"/>
      <c r="T788" s="221"/>
      <c r="U788" s="221"/>
      <c r="V788" s="221"/>
      <c r="W788" s="221"/>
      <c r="X788" s="221"/>
      <c r="Y788" s="221"/>
      <c r="Z788" s="221"/>
      <c r="AA788" s="221"/>
      <c r="AB788" s="297"/>
    </row>
    <row r="789">
      <c r="A789" s="134"/>
      <c r="B789" s="134"/>
      <c r="C789" s="68"/>
      <c r="D789" s="68"/>
      <c r="E789" s="68"/>
      <c r="F789" s="68"/>
      <c r="G789" s="68"/>
      <c r="H789" s="68"/>
      <c r="I789" s="221"/>
      <c r="J789" s="221"/>
      <c r="K789" s="221"/>
      <c r="L789" s="221"/>
      <c r="M789" s="221"/>
      <c r="N789" s="221"/>
      <c r="O789" s="221"/>
      <c r="P789" s="221"/>
      <c r="Q789" s="221"/>
      <c r="R789" s="221"/>
      <c r="S789" s="221"/>
      <c r="T789" s="221"/>
      <c r="U789" s="221"/>
      <c r="V789" s="221"/>
      <c r="W789" s="221"/>
      <c r="X789" s="221"/>
      <c r="Y789" s="221"/>
      <c r="Z789" s="221"/>
      <c r="AA789" s="221"/>
      <c r="AB789" s="297"/>
    </row>
    <row r="790">
      <c r="A790" s="134"/>
      <c r="B790" s="134"/>
      <c r="C790" s="68"/>
      <c r="D790" s="68"/>
      <c r="E790" s="68"/>
      <c r="F790" s="68"/>
      <c r="G790" s="68"/>
      <c r="H790" s="68"/>
      <c r="I790" s="221"/>
      <c r="J790" s="221"/>
      <c r="K790" s="221"/>
      <c r="L790" s="221"/>
      <c r="M790" s="221"/>
      <c r="N790" s="221"/>
      <c r="O790" s="221"/>
      <c r="P790" s="221"/>
      <c r="Q790" s="221"/>
      <c r="R790" s="221"/>
      <c r="S790" s="221"/>
      <c r="T790" s="221"/>
      <c r="U790" s="221"/>
      <c r="V790" s="221"/>
      <c r="W790" s="221"/>
      <c r="X790" s="221"/>
      <c r="Y790" s="221"/>
      <c r="Z790" s="221"/>
      <c r="AA790" s="221"/>
      <c r="AB790" s="297"/>
    </row>
    <row r="791">
      <c r="A791" s="134"/>
      <c r="B791" s="134"/>
      <c r="C791" s="68"/>
      <c r="D791" s="68"/>
      <c r="E791" s="68"/>
      <c r="F791" s="68"/>
      <c r="G791" s="68"/>
      <c r="H791" s="68"/>
      <c r="I791" s="221"/>
      <c r="J791" s="221"/>
      <c r="K791" s="221"/>
      <c r="L791" s="221"/>
      <c r="M791" s="221"/>
      <c r="N791" s="221"/>
      <c r="O791" s="221"/>
      <c r="P791" s="221"/>
      <c r="Q791" s="221"/>
      <c r="R791" s="221"/>
      <c r="S791" s="221"/>
      <c r="T791" s="221"/>
      <c r="U791" s="221"/>
      <c r="V791" s="221"/>
      <c r="W791" s="221"/>
      <c r="X791" s="221"/>
      <c r="Y791" s="221"/>
      <c r="Z791" s="221"/>
      <c r="AA791" s="221"/>
      <c r="AB791" s="297"/>
    </row>
    <row r="792">
      <c r="A792" s="134"/>
      <c r="B792" s="134"/>
      <c r="C792" s="68"/>
      <c r="D792" s="68"/>
      <c r="E792" s="68"/>
      <c r="F792" s="68"/>
      <c r="G792" s="68"/>
      <c r="H792" s="68"/>
      <c r="I792" s="221"/>
      <c r="J792" s="221"/>
      <c r="K792" s="221"/>
      <c r="L792" s="221"/>
      <c r="M792" s="221"/>
      <c r="N792" s="221"/>
      <c r="O792" s="221"/>
      <c r="P792" s="221"/>
      <c r="Q792" s="221"/>
      <c r="R792" s="221"/>
      <c r="S792" s="221"/>
      <c r="T792" s="221"/>
      <c r="U792" s="221"/>
      <c r="V792" s="221"/>
      <c r="W792" s="221"/>
      <c r="X792" s="221"/>
      <c r="Y792" s="221"/>
      <c r="Z792" s="221"/>
      <c r="AA792" s="221"/>
      <c r="AB792" s="297"/>
    </row>
    <row r="793">
      <c r="A793" s="134"/>
      <c r="B793" s="134"/>
      <c r="C793" s="68"/>
      <c r="D793" s="68"/>
      <c r="E793" s="68"/>
      <c r="F793" s="68"/>
      <c r="G793" s="68"/>
      <c r="H793" s="68"/>
      <c r="I793" s="221"/>
      <c r="J793" s="221"/>
      <c r="K793" s="221"/>
      <c r="L793" s="221"/>
      <c r="M793" s="221"/>
      <c r="N793" s="221"/>
      <c r="O793" s="221"/>
      <c r="P793" s="221"/>
      <c r="Q793" s="221"/>
      <c r="R793" s="221"/>
      <c r="S793" s="221"/>
      <c r="T793" s="221"/>
      <c r="U793" s="221"/>
      <c r="V793" s="221"/>
      <c r="W793" s="221"/>
      <c r="X793" s="221"/>
      <c r="Y793" s="221"/>
      <c r="Z793" s="221"/>
      <c r="AA793" s="221"/>
      <c r="AB793" s="297"/>
    </row>
    <row r="794">
      <c r="A794" s="134"/>
      <c r="B794" s="134"/>
      <c r="C794" s="68"/>
      <c r="D794" s="68"/>
      <c r="E794" s="68"/>
      <c r="F794" s="68"/>
      <c r="G794" s="68"/>
      <c r="H794" s="68"/>
      <c r="I794" s="221"/>
      <c r="J794" s="221"/>
      <c r="K794" s="221"/>
      <c r="L794" s="221"/>
      <c r="M794" s="221"/>
      <c r="N794" s="221"/>
      <c r="O794" s="221"/>
      <c r="P794" s="221"/>
      <c r="Q794" s="221"/>
      <c r="R794" s="221"/>
      <c r="S794" s="221"/>
      <c r="T794" s="221"/>
      <c r="U794" s="221"/>
      <c r="V794" s="221"/>
      <c r="W794" s="221"/>
      <c r="X794" s="221"/>
      <c r="Y794" s="221"/>
      <c r="Z794" s="221"/>
      <c r="AA794" s="221"/>
      <c r="AB794" s="297"/>
    </row>
    <row r="795">
      <c r="A795" s="134"/>
      <c r="B795" s="134"/>
      <c r="C795" s="68"/>
      <c r="D795" s="68"/>
      <c r="E795" s="68"/>
      <c r="F795" s="68"/>
      <c r="G795" s="68"/>
      <c r="H795" s="68"/>
      <c r="I795" s="221"/>
      <c r="J795" s="221"/>
      <c r="K795" s="221"/>
      <c r="L795" s="221"/>
      <c r="M795" s="221"/>
      <c r="N795" s="221"/>
      <c r="O795" s="221"/>
      <c r="P795" s="221"/>
      <c r="Q795" s="221"/>
      <c r="R795" s="221"/>
      <c r="S795" s="221"/>
      <c r="T795" s="221"/>
      <c r="U795" s="221"/>
      <c r="V795" s="221"/>
      <c r="W795" s="221"/>
      <c r="X795" s="221"/>
      <c r="Y795" s="221"/>
      <c r="Z795" s="221"/>
      <c r="AA795" s="221"/>
      <c r="AB795" s="297"/>
    </row>
    <row r="796">
      <c r="A796" s="134"/>
      <c r="B796" s="134"/>
      <c r="C796" s="68"/>
      <c r="D796" s="68"/>
      <c r="E796" s="68"/>
      <c r="F796" s="68"/>
      <c r="G796" s="68"/>
      <c r="H796" s="68"/>
      <c r="I796" s="221"/>
      <c r="J796" s="221"/>
      <c r="K796" s="221"/>
      <c r="L796" s="221"/>
      <c r="M796" s="221"/>
      <c r="N796" s="221"/>
      <c r="O796" s="221"/>
      <c r="P796" s="221"/>
      <c r="Q796" s="221"/>
      <c r="R796" s="221"/>
      <c r="S796" s="221"/>
      <c r="T796" s="221"/>
      <c r="U796" s="221"/>
      <c r="V796" s="221"/>
      <c r="W796" s="221"/>
      <c r="X796" s="221"/>
      <c r="Y796" s="221"/>
      <c r="Z796" s="221"/>
      <c r="AA796" s="221"/>
      <c r="AB796" s="297"/>
    </row>
    <row r="797">
      <c r="A797" s="134"/>
      <c r="B797" s="134"/>
      <c r="C797" s="68"/>
      <c r="D797" s="68"/>
      <c r="E797" s="68"/>
      <c r="F797" s="68"/>
      <c r="G797" s="68"/>
      <c r="H797" s="68"/>
      <c r="I797" s="221"/>
      <c r="J797" s="221"/>
      <c r="K797" s="221"/>
      <c r="L797" s="221"/>
      <c r="M797" s="221"/>
      <c r="N797" s="221"/>
      <c r="O797" s="221"/>
      <c r="P797" s="221"/>
      <c r="Q797" s="221"/>
      <c r="R797" s="221"/>
      <c r="S797" s="221"/>
      <c r="T797" s="221"/>
      <c r="U797" s="221"/>
      <c r="V797" s="221"/>
      <c r="W797" s="221"/>
      <c r="X797" s="221"/>
      <c r="Y797" s="221"/>
      <c r="Z797" s="221"/>
      <c r="AA797" s="221"/>
      <c r="AB797" s="297"/>
    </row>
    <row r="798">
      <c r="A798" s="134"/>
      <c r="B798" s="134"/>
      <c r="C798" s="68"/>
      <c r="D798" s="68"/>
      <c r="E798" s="68"/>
      <c r="F798" s="68"/>
      <c r="G798" s="68"/>
      <c r="H798" s="68"/>
      <c r="I798" s="221"/>
      <c r="J798" s="221"/>
      <c r="K798" s="221"/>
      <c r="L798" s="221"/>
      <c r="M798" s="221"/>
      <c r="N798" s="221"/>
      <c r="O798" s="221"/>
      <c r="P798" s="221"/>
      <c r="Q798" s="221"/>
      <c r="R798" s="221"/>
      <c r="S798" s="221"/>
      <c r="T798" s="221"/>
      <c r="U798" s="221"/>
      <c r="V798" s="221"/>
      <c r="W798" s="221"/>
      <c r="X798" s="221"/>
      <c r="Y798" s="221"/>
      <c r="Z798" s="221"/>
      <c r="AA798" s="221"/>
      <c r="AB798" s="297"/>
    </row>
    <row r="799">
      <c r="A799" s="134"/>
      <c r="B799" s="134"/>
      <c r="C799" s="68"/>
      <c r="D799" s="68"/>
      <c r="E799" s="68"/>
      <c r="F799" s="68"/>
      <c r="G799" s="68"/>
      <c r="H799" s="68"/>
      <c r="I799" s="221"/>
      <c r="J799" s="221"/>
      <c r="K799" s="221"/>
      <c r="L799" s="221"/>
      <c r="M799" s="221"/>
      <c r="N799" s="221"/>
      <c r="O799" s="221"/>
      <c r="P799" s="221"/>
      <c r="Q799" s="221"/>
      <c r="R799" s="221"/>
      <c r="S799" s="221"/>
      <c r="T799" s="221"/>
      <c r="U799" s="221"/>
      <c r="V799" s="221"/>
      <c r="W799" s="221"/>
      <c r="X799" s="221"/>
      <c r="Y799" s="221"/>
      <c r="Z799" s="221"/>
      <c r="AA799" s="221"/>
      <c r="AB799" s="297"/>
    </row>
    <row r="800">
      <c r="A800" s="134"/>
      <c r="B800" s="134"/>
      <c r="C800" s="68"/>
      <c r="D800" s="68"/>
      <c r="E800" s="68"/>
      <c r="F800" s="68"/>
      <c r="G800" s="68"/>
      <c r="H800" s="68"/>
      <c r="I800" s="221"/>
      <c r="J800" s="221"/>
      <c r="K800" s="221"/>
      <c r="L800" s="221"/>
      <c r="M800" s="221"/>
      <c r="N800" s="221"/>
      <c r="O800" s="221"/>
      <c r="P800" s="221"/>
      <c r="Q800" s="221"/>
      <c r="R800" s="221"/>
      <c r="S800" s="221"/>
      <c r="T800" s="221"/>
      <c r="U800" s="221"/>
      <c r="V800" s="221"/>
      <c r="W800" s="221"/>
      <c r="X800" s="221"/>
      <c r="Y800" s="221"/>
      <c r="Z800" s="221"/>
      <c r="AA800" s="221"/>
      <c r="AB800" s="297"/>
    </row>
    <row r="801">
      <c r="A801" s="134"/>
      <c r="B801" s="134"/>
      <c r="C801" s="68"/>
      <c r="D801" s="68"/>
      <c r="E801" s="68"/>
      <c r="F801" s="68"/>
      <c r="G801" s="68"/>
      <c r="H801" s="68"/>
      <c r="I801" s="221"/>
      <c r="J801" s="221"/>
      <c r="K801" s="221"/>
      <c r="L801" s="221"/>
      <c r="M801" s="221"/>
      <c r="N801" s="221"/>
      <c r="O801" s="221"/>
      <c r="P801" s="221"/>
      <c r="Q801" s="221"/>
      <c r="R801" s="221"/>
      <c r="S801" s="221"/>
      <c r="T801" s="221"/>
      <c r="U801" s="221"/>
      <c r="V801" s="221"/>
      <c r="W801" s="221"/>
      <c r="X801" s="221"/>
      <c r="Y801" s="221"/>
      <c r="Z801" s="221"/>
      <c r="AA801" s="221"/>
      <c r="AB801" s="297"/>
    </row>
    <row r="802">
      <c r="A802" s="134"/>
      <c r="B802" s="134"/>
      <c r="C802" s="68"/>
      <c r="D802" s="68"/>
      <c r="E802" s="68"/>
      <c r="F802" s="68"/>
      <c r="G802" s="68"/>
      <c r="H802" s="68"/>
      <c r="I802" s="221"/>
      <c r="J802" s="221"/>
      <c r="K802" s="221"/>
      <c r="L802" s="221"/>
      <c r="M802" s="221"/>
      <c r="N802" s="221"/>
      <c r="O802" s="221"/>
      <c r="P802" s="221"/>
      <c r="Q802" s="221"/>
      <c r="R802" s="221"/>
      <c r="S802" s="221"/>
      <c r="T802" s="221"/>
      <c r="U802" s="221"/>
      <c r="V802" s="221"/>
      <c r="W802" s="221"/>
      <c r="X802" s="221"/>
      <c r="Y802" s="221"/>
      <c r="Z802" s="221"/>
      <c r="AA802" s="221"/>
      <c r="AB802" s="297"/>
    </row>
    <row r="803">
      <c r="A803" s="134"/>
      <c r="B803" s="134"/>
      <c r="C803" s="68"/>
      <c r="D803" s="68"/>
      <c r="E803" s="68"/>
      <c r="F803" s="68"/>
      <c r="G803" s="68"/>
      <c r="H803" s="68"/>
      <c r="I803" s="221"/>
      <c r="J803" s="221"/>
      <c r="K803" s="221"/>
      <c r="L803" s="221"/>
      <c r="M803" s="221"/>
      <c r="N803" s="221"/>
      <c r="O803" s="221"/>
      <c r="P803" s="221"/>
      <c r="Q803" s="221"/>
      <c r="R803" s="221"/>
      <c r="S803" s="221"/>
      <c r="T803" s="221"/>
      <c r="U803" s="221"/>
      <c r="V803" s="221"/>
      <c r="W803" s="221"/>
      <c r="X803" s="221"/>
      <c r="Y803" s="221"/>
      <c r="Z803" s="221"/>
      <c r="AA803" s="221"/>
      <c r="AB803" s="297"/>
    </row>
    <row r="804">
      <c r="A804" s="134"/>
      <c r="B804" s="134"/>
      <c r="C804" s="68"/>
      <c r="D804" s="68"/>
      <c r="E804" s="68"/>
      <c r="F804" s="68"/>
      <c r="G804" s="68"/>
      <c r="H804" s="68"/>
      <c r="I804" s="221"/>
      <c r="J804" s="221"/>
      <c r="K804" s="221"/>
      <c r="L804" s="221"/>
      <c r="M804" s="221"/>
      <c r="N804" s="221"/>
      <c r="O804" s="221"/>
      <c r="P804" s="221"/>
      <c r="Q804" s="221"/>
      <c r="R804" s="221"/>
      <c r="S804" s="221"/>
      <c r="T804" s="221"/>
      <c r="U804" s="221"/>
      <c r="V804" s="221"/>
      <c r="W804" s="221"/>
      <c r="X804" s="221"/>
      <c r="Y804" s="221"/>
      <c r="Z804" s="221"/>
      <c r="AA804" s="221"/>
      <c r="AB804" s="297"/>
    </row>
    <row r="805">
      <c r="A805" s="134"/>
      <c r="B805" s="134"/>
      <c r="C805" s="68"/>
      <c r="D805" s="68"/>
      <c r="E805" s="68"/>
      <c r="F805" s="68"/>
      <c r="G805" s="68"/>
      <c r="H805" s="68"/>
      <c r="I805" s="221"/>
      <c r="J805" s="221"/>
      <c r="K805" s="221"/>
      <c r="L805" s="221"/>
      <c r="M805" s="221"/>
      <c r="N805" s="221"/>
      <c r="O805" s="221"/>
      <c r="P805" s="221"/>
      <c r="Q805" s="221"/>
      <c r="R805" s="221"/>
      <c r="S805" s="221"/>
      <c r="T805" s="221"/>
      <c r="U805" s="221"/>
      <c r="V805" s="221"/>
      <c r="W805" s="221"/>
      <c r="X805" s="221"/>
      <c r="Y805" s="221"/>
      <c r="Z805" s="221"/>
      <c r="AA805" s="221"/>
      <c r="AB805" s="297"/>
    </row>
    <row r="806">
      <c r="A806" s="134"/>
      <c r="B806" s="134"/>
      <c r="C806" s="68"/>
      <c r="D806" s="68"/>
      <c r="E806" s="68"/>
      <c r="F806" s="68"/>
      <c r="G806" s="68"/>
      <c r="H806" s="68"/>
      <c r="I806" s="221"/>
      <c r="J806" s="221"/>
      <c r="K806" s="221"/>
      <c r="L806" s="221"/>
      <c r="M806" s="221"/>
      <c r="N806" s="221"/>
      <c r="O806" s="221"/>
      <c r="P806" s="221"/>
      <c r="Q806" s="221"/>
      <c r="R806" s="221"/>
      <c r="S806" s="221"/>
      <c r="T806" s="221"/>
      <c r="U806" s="221"/>
      <c r="V806" s="221"/>
      <c r="W806" s="221"/>
      <c r="X806" s="221"/>
      <c r="Y806" s="221"/>
      <c r="Z806" s="221"/>
      <c r="AA806" s="221"/>
      <c r="AB806" s="297"/>
    </row>
    <row r="807">
      <c r="A807" s="134"/>
      <c r="B807" s="134"/>
      <c r="C807" s="68"/>
      <c r="D807" s="68"/>
      <c r="E807" s="68"/>
      <c r="F807" s="68"/>
      <c r="G807" s="68"/>
      <c r="H807" s="68"/>
      <c r="I807" s="221"/>
      <c r="J807" s="221"/>
      <c r="K807" s="221"/>
      <c r="L807" s="221"/>
      <c r="M807" s="221"/>
      <c r="N807" s="221"/>
      <c r="O807" s="221"/>
      <c r="P807" s="221"/>
      <c r="Q807" s="221"/>
      <c r="R807" s="221"/>
      <c r="S807" s="221"/>
      <c r="T807" s="221"/>
      <c r="U807" s="221"/>
      <c r="V807" s="221"/>
      <c r="W807" s="221"/>
      <c r="X807" s="221"/>
      <c r="Y807" s="221"/>
      <c r="Z807" s="221"/>
      <c r="AA807" s="221"/>
      <c r="AB807" s="297"/>
    </row>
    <row r="808">
      <c r="A808" s="134"/>
      <c r="B808" s="134"/>
      <c r="C808" s="68"/>
      <c r="D808" s="68"/>
      <c r="E808" s="68"/>
      <c r="F808" s="68"/>
      <c r="G808" s="68"/>
      <c r="H808" s="68"/>
      <c r="I808" s="221"/>
      <c r="J808" s="221"/>
      <c r="K808" s="221"/>
      <c r="L808" s="221"/>
      <c r="M808" s="221"/>
      <c r="N808" s="221"/>
      <c r="O808" s="221"/>
      <c r="P808" s="221"/>
      <c r="Q808" s="221"/>
      <c r="R808" s="221"/>
      <c r="S808" s="221"/>
      <c r="T808" s="221"/>
      <c r="U808" s="221"/>
      <c r="V808" s="221"/>
      <c r="W808" s="221"/>
      <c r="X808" s="221"/>
      <c r="Y808" s="221"/>
      <c r="Z808" s="221"/>
      <c r="AA808" s="221"/>
      <c r="AB808" s="297"/>
    </row>
    <row r="809">
      <c r="A809" s="134"/>
      <c r="B809" s="134"/>
      <c r="C809" s="68"/>
      <c r="D809" s="68"/>
      <c r="E809" s="68"/>
      <c r="F809" s="68"/>
      <c r="G809" s="68"/>
      <c r="H809" s="68"/>
      <c r="I809" s="221"/>
      <c r="J809" s="221"/>
      <c r="K809" s="221"/>
      <c r="L809" s="221"/>
      <c r="M809" s="221"/>
      <c r="N809" s="221"/>
      <c r="O809" s="221"/>
      <c r="P809" s="221"/>
      <c r="Q809" s="221"/>
      <c r="R809" s="221"/>
      <c r="S809" s="221"/>
      <c r="T809" s="221"/>
      <c r="U809" s="221"/>
      <c r="V809" s="221"/>
      <c r="W809" s="221"/>
      <c r="X809" s="221"/>
      <c r="Y809" s="221"/>
      <c r="Z809" s="221"/>
      <c r="AA809" s="221"/>
      <c r="AB809" s="297"/>
    </row>
    <row r="810">
      <c r="A810" s="134"/>
      <c r="B810" s="134"/>
      <c r="C810" s="68"/>
      <c r="D810" s="68"/>
      <c r="E810" s="68"/>
      <c r="F810" s="68"/>
      <c r="G810" s="68"/>
      <c r="H810" s="68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97"/>
    </row>
    <row r="811">
      <c r="A811" s="134"/>
      <c r="B811" s="134"/>
      <c r="C811" s="68"/>
      <c r="D811" s="68"/>
      <c r="E811" s="68"/>
      <c r="F811" s="68"/>
      <c r="G811" s="68"/>
      <c r="H811" s="68"/>
      <c r="I811" s="221"/>
      <c r="J811" s="221"/>
      <c r="K811" s="221"/>
      <c r="L811" s="221"/>
      <c r="M811" s="221"/>
      <c r="N811" s="221"/>
      <c r="O811" s="221"/>
      <c r="P811" s="221"/>
      <c r="Q811" s="221"/>
      <c r="R811" s="221"/>
      <c r="S811" s="221"/>
      <c r="T811" s="221"/>
      <c r="U811" s="221"/>
      <c r="V811" s="221"/>
      <c r="W811" s="221"/>
      <c r="X811" s="221"/>
      <c r="Y811" s="221"/>
      <c r="Z811" s="221"/>
      <c r="AA811" s="221"/>
      <c r="AB811" s="297"/>
    </row>
    <row r="812">
      <c r="A812" s="134"/>
      <c r="B812" s="134"/>
      <c r="C812" s="68"/>
      <c r="D812" s="68"/>
      <c r="E812" s="68"/>
      <c r="F812" s="68"/>
      <c r="G812" s="68"/>
      <c r="H812" s="68"/>
      <c r="I812" s="221"/>
      <c r="J812" s="221"/>
      <c r="K812" s="221"/>
      <c r="L812" s="221"/>
      <c r="M812" s="221"/>
      <c r="N812" s="221"/>
      <c r="O812" s="221"/>
      <c r="P812" s="221"/>
      <c r="Q812" s="221"/>
      <c r="R812" s="221"/>
      <c r="S812" s="221"/>
      <c r="T812" s="221"/>
      <c r="U812" s="221"/>
      <c r="V812" s="221"/>
      <c r="W812" s="221"/>
      <c r="X812" s="221"/>
      <c r="Y812" s="221"/>
      <c r="Z812" s="221"/>
      <c r="AA812" s="221"/>
      <c r="AB812" s="297"/>
    </row>
    <row r="813">
      <c r="A813" s="134"/>
      <c r="B813" s="134"/>
      <c r="C813" s="68"/>
      <c r="D813" s="68"/>
      <c r="E813" s="68"/>
      <c r="F813" s="68"/>
      <c r="G813" s="68"/>
      <c r="H813" s="68"/>
      <c r="I813" s="221"/>
      <c r="J813" s="221"/>
      <c r="K813" s="221"/>
      <c r="L813" s="221"/>
      <c r="M813" s="221"/>
      <c r="N813" s="221"/>
      <c r="O813" s="221"/>
      <c r="P813" s="221"/>
      <c r="Q813" s="221"/>
      <c r="R813" s="221"/>
      <c r="S813" s="221"/>
      <c r="T813" s="221"/>
      <c r="U813" s="221"/>
      <c r="V813" s="221"/>
      <c r="W813" s="221"/>
      <c r="X813" s="221"/>
      <c r="Y813" s="221"/>
      <c r="Z813" s="221"/>
      <c r="AA813" s="221"/>
      <c r="AB813" s="297"/>
    </row>
    <row r="814">
      <c r="A814" s="134"/>
      <c r="B814" s="134"/>
      <c r="C814" s="68"/>
      <c r="D814" s="68"/>
      <c r="E814" s="68"/>
      <c r="F814" s="68"/>
      <c r="G814" s="68"/>
      <c r="H814" s="68"/>
      <c r="I814" s="221"/>
      <c r="J814" s="221"/>
      <c r="K814" s="221"/>
      <c r="L814" s="221"/>
      <c r="M814" s="221"/>
      <c r="N814" s="221"/>
      <c r="O814" s="221"/>
      <c r="P814" s="221"/>
      <c r="Q814" s="221"/>
      <c r="R814" s="221"/>
      <c r="S814" s="221"/>
      <c r="T814" s="221"/>
      <c r="U814" s="221"/>
      <c r="V814" s="221"/>
      <c r="W814" s="221"/>
      <c r="X814" s="221"/>
      <c r="Y814" s="221"/>
      <c r="Z814" s="221"/>
      <c r="AA814" s="221"/>
      <c r="AB814" s="297"/>
    </row>
    <row r="815">
      <c r="A815" s="134"/>
      <c r="B815" s="134"/>
      <c r="C815" s="68"/>
      <c r="D815" s="68"/>
      <c r="E815" s="68"/>
      <c r="F815" s="68"/>
      <c r="G815" s="68"/>
      <c r="H815" s="68"/>
      <c r="I815" s="221"/>
      <c r="J815" s="221"/>
      <c r="K815" s="221"/>
      <c r="L815" s="221"/>
      <c r="M815" s="221"/>
      <c r="N815" s="221"/>
      <c r="O815" s="221"/>
      <c r="P815" s="221"/>
      <c r="Q815" s="221"/>
      <c r="R815" s="221"/>
      <c r="S815" s="221"/>
      <c r="T815" s="221"/>
      <c r="U815" s="221"/>
      <c r="V815" s="221"/>
      <c r="W815" s="221"/>
      <c r="X815" s="221"/>
      <c r="Y815" s="221"/>
      <c r="Z815" s="221"/>
      <c r="AA815" s="221"/>
      <c r="AB815" s="297"/>
    </row>
    <row r="816">
      <c r="A816" s="134"/>
      <c r="B816" s="134"/>
      <c r="C816" s="68"/>
      <c r="D816" s="68"/>
      <c r="E816" s="68"/>
      <c r="F816" s="68"/>
      <c r="G816" s="68"/>
      <c r="H816" s="68"/>
      <c r="I816" s="221"/>
      <c r="J816" s="221"/>
      <c r="K816" s="221"/>
      <c r="L816" s="221"/>
      <c r="M816" s="221"/>
      <c r="N816" s="221"/>
      <c r="O816" s="221"/>
      <c r="P816" s="221"/>
      <c r="Q816" s="221"/>
      <c r="R816" s="221"/>
      <c r="S816" s="221"/>
      <c r="T816" s="221"/>
      <c r="U816" s="221"/>
      <c r="V816" s="221"/>
      <c r="W816" s="221"/>
      <c r="X816" s="221"/>
      <c r="Y816" s="221"/>
      <c r="Z816" s="221"/>
      <c r="AA816" s="221"/>
      <c r="AB816" s="297"/>
    </row>
    <row r="817">
      <c r="A817" s="134"/>
      <c r="B817" s="134"/>
      <c r="C817" s="68"/>
      <c r="D817" s="68"/>
      <c r="E817" s="68"/>
      <c r="F817" s="68"/>
      <c r="G817" s="68"/>
      <c r="H817" s="68"/>
      <c r="I817" s="221"/>
      <c r="J817" s="221"/>
      <c r="K817" s="221"/>
      <c r="L817" s="221"/>
      <c r="M817" s="221"/>
      <c r="N817" s="221"/>
      <c r="O817" s="221"/>
      <c r="P817" s="221"/>
      <c r="Q817" s="221"/>
      <c r="R817" s="221"/>
      <c r="S817" s="221"/>
      <c r="T817" s="221"/>
      <c r="U817" s="221"/>
      <c r="V817" s="221"/>
      <c r="W817" s="221"/>
      <c r="X817" s="221"/>
      <c r="Y817" s="221"/>
      <c r="Z817" s="221"/>
      <c r="AA817" s="221"/>
      <c r="AB817" s="297"/>
    </row>
    <row r="818">
      <c r="A818" s="134"/>
      <c r="B818" s="134"/>
      <c r="C818" s="68"/>
      <c r="D818" s="68"/>
      <c r="E818" s="68"/>
      <c r="F818" s="68"/>
      <c r="G818" s="68"/>
      <c r="H818" s="68"/>
      <c r="I818" s="221"/>
      <c r="J818" s="221"/>
      <c r="K818" s="221"/>
      <c r="L818" s="221"/>
      <c r="M818" s="221"/>
      <c r="N818" s="221"/>
      <c r="O818" s="221"/>
      <c r="P818" s="221"/>
      <c r="Q818" s="221"/>
      <c r="R818" s="221"/>
      <c r="S818" s="221"/>
      <c r="T818" s="221"/>
      <c r="U818" s="221"/>
      <c r="V818" s="221"/>
      <c r="W818" s="221"/>
      <c r="X818" s="221"/>
      <c r="Y818" s="221"/>
      <c r="Z818" s="221"/>
      <c r="AA818" s="221"/>
      <c r="AB818" s="297"/>
    </row>
    <row r="819">
      <c r="A819" s="134"/>
      <c r="B819" s="134"/>
      <c r="C819" s="68"/>
      <c r="D819" s="68"/>
      <c r="E819" s="68"/>
      <c r="F819" s="68"/>
      <c r="G819" s="68"/>
      <c r="H819" s="68"/>
      <c r="I819" s="221"/>
      <c r="J819" s="221"/>
      <c r="K819" s="221"/>
      <c r="L819" s="221"/>
      <c r="M819" s="221"/>
      <c r="N819" s="221"/>
      <c r="O819" s="221"/>
      <c r="P819" s="221"/>
      <c r="Q819" s="221"/>
      <c r="R819" s="221"/>
      <c r="S819" s="221"/>
      <c r="T819" s="221"/>
      <c r="U819" s="221"/>
      <c r="V819" s="221"/>
      <c r="W819" s="221"/>
      <c r="X819" s="221"/>
      <c r="Y819" s="221"/>
      <c r="Z819" s="221"/>
      <c r="AA819" s="221"/>
      <c r="AB819" s="297"/>
    </row>
    <row r="820">
      <c r="A820" s="134"/>
      <c r="B820" s="134"/>
      <c r="C820" s="68"/>
      <c r="D820" s="68"/>
      <c r="E820" s="68"/>
      <c r="F820" s="68"/>
      <c r="G820" s="68"/>
      <c r="H820" s="68"/>
      <c r="I820" s="221"/>
      <c r="J820" s="221"/>
      <c r="K820" s="221"/>
      <c r="L820" s="221"/>
      <c r="M820" s="221"/>
      <c r="N820" s="221"/>
      <c r="O820" s="221"/>
      <c r="P820" s="221"/>
      <c r="Q820" s="221"/>
      <c r="R820" s="221"/>
      <c r="S820" s="221"/>
      <c r="T820" s="221"/>
      <c r="U820" s="221"/>
      <c r="V820" s="221"/>
      <c r="W820" s="221"/>
      <c r="X820" s="221"/>
      <c r="Y820" s="221"/>
      <c r="Z820" s="221"/>
      <c r="AA820" s="221"/>
      <c r="AB820" s="297"/>
    </row>
    <row r="821">
      <c r="A821" s="134"/>
      <c r="B821" s="134"/>
      <c r="C821" s="68"/>
      <c r="D821" s="68"/>
      <c r="E821" s="68"/>
      <c r="F821" s="68"/>
      <c r="G821" s="68"/>
      <c r="H821" s="68"/>
      <c r="I821" s="221"/>
      <c r="J821" s="221"/>
      <c r="K821" s="221"/>
      <c r="L821" s="221"/>
      <c r="M821" s="221"/>
      <c r="N821" s="221"/>
      <c r="O821" s="221"/>
      <c r="P821" s="221"/>
      <c r="Q821" s="221"/>
      <c r="R821" s="221"/>
      <c r="S821" s="221"/>
      <c r="T821" s="221"/>
      <c r="U821" s="221"/>
      <c r="V821" s="221"/>
      <c r="W821" s="221"/>
      <c r="X821" s="221"/>
      <c r="Y821" s="221"/>
      <c r="Z821" s="221"/>
      <c r="AA821" s="221"/>
      <c r="AB821" s="297"/>
    </row>
    <row r="822">
      <c r="A822" s="134"/>
      <c r="B822" s="134"/>
      <c r="C822" s="68"/>
      <c r="D822" s="68"/>
      <c r="E822" s="68"/>
      <c r="F822" s="68"/>
      <c r="G822" s="68"/>
      <c r="H822" s="68"/>
      <c r="I822" s="221"/>
      <c r="J822" s="221"/>
      <c r="K822" s="221"/>
      <c r="L822" s="221"/>
      <c r="M822" s="221"/>
      <c r="N822" s="221"/>
      <c r="O822" s="221"/>
      <c r="P822" s="221"/>
      <c r="Q822" s="221"/>
      <c r="R822" s="221"/>
      <c r="S822" s="221"/>
      <c r="T822" s="221"/>
      <c r="U822" s="221"/>
      <c r="V822" s="221"/>
      <c r="W822" s="221"/>
      <c r="X822" s="221"/>
      <c r="Y822" s="221"/>
      <c r="Z822" s="221"/>
      <c r="AA822" s="221"/>
      <c r="AB822" s="297"/>
    </row>
    <row r="823">
      <c r="A823" s="134"/>
      <c r="B823" s="134"/>
      <c r="C823" s="68"/>
      <c r="D823" s="68"/>
      <c r="E823" s="68"/>
      <c r="F823" s="68"/>
      <c r="G823" s="68"/>
      <c r="H823" s="68"/>
      <c r="I823" s="221"/>
      <c r="J823" s="221"/>
      <c r="K823" s="221"/>
      <c r="L823" s="221"/>
      <c r="M823" s="221"/>
      <c r="N823" s="221"/>
      <c r="O823" s="221"/>
      <c r="P823" s="221"/>
      <c r="Q823" s="221"/>
      <c r="R823" s="221"/>
      <c r="S823" s="221"/>
      <c r="T823" s="221"/>
      <c r="U823" s="221"/>
      <c r="V823" s="221"/>
      <c r="W823" s="221"/>
      <c r="X823" s="221"/>
      <c r="Y823" s="221"/>
      <c r="Z823" s="221"/>
      <c r="AA823" s="221"/>
      <c r="AB823" s="297"/>
    </row>
    <row r="824">
      <c r="A824" s="134"/>
      <c r="B824" s="134"/>
      <c r="C824" s="68"/>
      <c r="D824" s="68"/>
      <c r="E824" s="68"/>
      <c r="F824" s="68"/>
      <c r="G824" s="68"/>
      <c r="H824" s="68"/>
      <c r="I824" s="221"/>
      <c r="J824" s="221"/>
      <c r="K824" s="221"/>
      <c r="L824" s="221"/>
      <c r="M824" s="221"/>
      <c r="N824" s="221"/>
      <c r="O824" s="221"/>
      <c r="P824" s="221"/>
      <c r="Q824" s="221"/>
      <c r="R824" s="221"/>
      <c r="S824" s="221"/>
      <c r="T824" s="221"/>
      <c r="U824" s="221"/>
      <c r="V824" s="221"/>
      <c r="W824" s="221"/>
      <c r="X824" s="221"/>
      <c r="Y824" s="221"/>
      <c r="Z824" s="221"/>
      <c r="AA824" s="221"/>
      <c r="AB824" s="297"/>
    </row>
    <row r="825">
      <c r="A825" s="134"/>
      <c r="B825" s="134"/>
      <c r="C825" s="68"/>
      <c r="D825" s="68"/>
      <c r="E825" s="68"/>
      <c r="F825" s="68"/>
      <c r="G825" s="68"/>
      <c r="H825" s="68"/>
      <c r="I825" s="221"/>
      <c r="J825" s="221"/>
      <c r="K825" s="221"/>
      <c r="L825" s="221"/>
      <c r="M825" s="221"/>
      <c r="N825" s="221"/>
      <c r="O825" s="221"/>
      <c r="P825" s="221"/>
      <c r="Q825" s="221"/>
      <c r="R825" s="221"/>
      <c r="S825" s="221"/>
      <c r="T825" s="221"/>
      <c r="U825" s="221"/>
      <c r="V825" s="221"/>
      <c r="W825" s="221"/>
      <c r="X825" s="221"/>
      <c r="Y825" s="221"/>
      <c r="Z825" s="221"/>
      <c r="AA825" s="221"/>
      <c r="AB825" s="297"/>
    </row>
    <row r="826">
      <c r="A826" s="134"/>
      <c r="B826" s="134"/>
      <c r="C826" s="68"/>
      <c r="D826" s="68"/>
      <c r="E826" s="68"/>
      <c r="F826" s="68"/>
      <c r="G826" s="68"/>
      <c r="H826" s="68"/>
      <c r="I826" s="221"/>
      <c r="J826" s="221"/>
      <c r="K826" s="221"/>
      <c r="L826" s="221"/>
      <c r="M826" s="221"/>
      <c r="N826" s="221"/>
      <c r="O826" s="221"/>
      <c r="P826" s="221"/>
      <c r="Q826" s="221"/>
      <c r="R826" s="221"/>
      <c r="S826" s="221"/>
      <c r="T826" s="221"/>
      <c r="U826" s="221"/>
      <c r="V826" s="221"/>
      <c r="W826" s="221"/>
      <c r="X826" s="221"/>
      <c r="Y826" s="221"/>
      <c r="Z826" s="221"/>
      <c r="AA826" s="221"/>
      <c r="AB826" s="297"/>
    </row>
    <row r="827">
      <c r="A827" s="134"/>
      <c r="B827" s="134"/>
      <c r="C827" s="68"/>
      <c r="D827" s="68"/>
      <c r="E827" s="68"/>
      <c r="F827" s="68"/>
      <c r="G827" s="68"/>
      <c r="H827" s="68"/>
      <c r="I827" s="221"/>
      <c r="J827" s="221"/>
      <c r="K827" s="221"/>
      <c r="L827" s="221"/>
      <c r="M827" s="221"/>
      <c r="N827" s="221"/>
      <c r="O827" s="221"/>
      <c r="P827" s="221"/>
      <c r="Q827" s="221"/>
      <c r="R827" s="221"/>
      <c r="S827" s="221"/>
      <c r="T827" s="221"/>
      <c r="U827" s="221"/>
      <c r="V827" s="221"/>
      <c r="W827" s="221"/>
      <c r="X827" s="221"/>
      <c r="Y827" s="221"/>
      <c r="Z827" s="221"/>
      <c r="AA827" s="221"/>
      <c r="AB827" s="297"/>
    </row>
    <row r="828">
      <c r="A828" s="134"/>
      <c r="B828" s="134"/>
      <c r="C828" s="68"/>
      <c r="D828" s="68"/>
      <c r="E828" s="68"/>
      <c r="F828" s="68"/>
      <c r="G828" s="68"/>
      <c r="H828" s="68"/>
      <c r="I828" s="221"/>
      <c r="J828" s="221"/>
      <c r="K828" s="221"/>
      <c r="L828" s="221"/>
      <c r="M828" s="221"/>
      <c r="N828" s="221"/>
      <c r="O828" s="221"/>
      <c r="P828" s="221"/>
      <c r="Q828" s="221"/>
      <c r="R828" s="221"/>
      <c r="S828" s="221"/>
      <c r="T828" s="221"/>
      <c r="U828" s="221"/>
      <c r="V828" s="221"/>
      <c r="W828" s="221"/>
      <c r="X828" s="221"/>
      <c r="Y828" s="221"/>
      <c r="Z828" s="221"/>
      <c r="AA828" s="221"/>
      <c r="AB828" s="297"/>
    </row>
    <row r="829">
      <c r="A829" s="134"/>
      <c r="B829" s="134"/>
      <c r="C829" s="68"/>
      <c r="D829" s="68"/>
      <c r="E829" s="68"/>
      <c r="F829" s="68"/>
      <c r="G829" s="68"/>
      <c r="H829" s="68"/>
      <c r="I829" s="221"/>
      <c r="J829" s="221"/>
      <c r="K829" s="221"/>
      <c r="L829" s="221"/>
      <c r="M829" s="221"/>
      <c r="N829" s="221"/>
      <c r="O829" s="221"/>
      <c r="P829" s="221"/>
      <c r="Q829" s="221"/>
      <c r="R829" s="221"/>
      <c r="S829" s="221"/>
      <c r="T829" s="221"/>
      <c r="U829" s="221"/>
      <c r="V829" s="221"/>
      <c r="W829" s="221"/>
      <c r="X829" s="221"/>
      <c r="Y829" s="221"/>
      <c r="Z829" s="221"/>
      <c r="AA829" s="221"/>
      <c r="AB829" s="297"/>
    </row>
    <row r="830">
      <c r="A830" s="134"/>
      <c r="B830" s="134"/>
      <c r="C830" s="68"/>
      <c r="D830" s="68"/>
      <c r="E830" s="68"/>
      <c r="F830" s="68"/>
      <c r="G830" s="68"/>
      <c r="H830" s="68"/>
      <c r="I830" s="221"/>
      <c r="J830" s="221"/>
      <c r="K830" s="221"/>
      <c r="L830" s="221"/>
      <c r="M830" s="221"/>
      <c r="N830" s="221"/>
      <c r="O830" s="221"/>
      <c r="P830" s="221"/>
      <c r="Q830" s="221"/>
      <c r="R830" s="221"/>
      <c r="S830" s="221"/>
      <c r="T830" s="221"/>
      <c r="U830" s="221"/>
      <c r="V830" s="221"/>
      <c r="W830" s="221"/>
      <c r="X830" s="221"/>
      <c r="Y830" s="221"/>
      <c r="Z830" s="221"/>
      <c r="AA830" s="221"/>
      <c r="AB830" s="297"/>
    </row>
    <row r="831">
      <c r="A831" s="134"/>
      <c r="B831" s="134"/>
      <c r="C831" s="68"/>
      <c r="D831" s="68"/>
      <c r="E831" s="68"/>
      <c r="F831" s="68"/>
      <c r="G831" s="68"/>
      <c r="H831" s="68"/>
      <c r="I831" s="221"/>
      <c r="J831" s="221"/>
      <c r="K831" s="221"/>
      <c r="L831" s="221"/>
      <c r="M831" s="221"/>
      <c r="N831" s="221"/>
      <c r="O831" s="221"/>
      <c r="P831" s="221"/>
      <c r="Q831" s="221"/>
      <c r="R831" s="221"/>
      <c r="S831" s="221"/>
      <c r="T831" s="221"/>
      <c r="U831" s="221"/>
      <c r="V831" s="221"/>
      <c r="W831" s="221"/>
      <c r="X831" s="221"/>
      <c r="Y831" s="221"/>
      <c r="Z831" s="221"/>
      <c r="AA831" s="221"/>
      <c r="AB831" s="297"/>
    </row>
    <row r="832">
      <c r="A832" s="134"/>
      <c r="B832" s="134"/>
      <c r="C832" s="68"/>
      <c r="D832" s="68"/>
      <c r="E832" s="68"/>
      <c r="F832" s="68"/>
      <c r="G832" s="68"/>
      <c r="H832" s="68"/>
      <c r="I832" s="221"/>
      <c r="J832" s="221"/>
      <c r="K832" s="221"/>
      <c r="L832" s="221"/>
      <c r="M832" s="221"/>
      <c r="N832" s="221"/>
      <c r="O832" s="221"/>
      <c r="P832" s="221"/>
      <c r="Q832" s="221"/>
      <c r="R832" s="221"/>
      <c r="S832" s="221"/>
      <c r="T832" s="221"/>
      <c r="U832" s="221"/>
      <c r="V832" s="221"/>
      <c r="W832" s="221"/>
      <c r="X832" s="221"/>
      <c r="Y832" s="221"/>
      <c r="Z832" s="221"/>
      <c r="AA832" s="221"/>
      <c r="AB832" s="297"/>
    </row>
    <row r="833">
      <c r="A833" s="134"/>
      <c r="B833" s="134"/>
      <c r="C833" s="68"/>
      <c r="D833" s="68"/>
      <c r="E833" s="68"/>
      <c r="F833" s="68"/>
      <c r="G833" s="68"/>
      <c r="H833" s="68"/>
      <c r="I833" s="221"/>
      <c r="J833" s="221"/>
      <c r="K833" s="221"/>
      <c r="L833" s="221"/>
      <c r="M833" s="221"/>
      <c r="N833" s="221"/>
      <c r="O833" s="221"/>
      <c r="P833" s="221"/>
      <c r="Q833" s="221"/>
      <c r="R833" s="221"/>
      <c r="S833" s="221"/>
      <c r="T833" s="221"/>
      <c r="U833" s="221"/>
      <c r="V833" s="221"/>
      <c r="W833" s="221"/>
      <c r="X833" s="221"/>
      <c r="Y833" s="221"/>
      <c r="Z833" s="221"/>
      <c r="AA833" s="221"/>
      <c r="AB833" s="297"/>
    </row>
    <row r="834">
      <c r="A834" s="134"/>
      <c r="B834" s="134"/>
      <c r="C834" s="68"/>
      <c r="D834" s="68"/>
      <c r="E834" s="68"/>
      <c r="F834" s="68"/>
      <c r="G834" s="68"/>
      <c r="H834" s="68"/>
      <c r="I834" s="221"/>
      <c r="J834" s="221"/>
      <c r="K834" s="221"/>
      <c r="L834" s="221"/>
      <c r="M834" s="221"/>
      <c r="N834" s="221"/>
      <c r="O834" s="221"/>
      <c r="P834" s="221"/>
      <c r="Q834" s="221"/>
      <c r="R834" s="221"/>
      <c r="S834" s="221"/>
      <c r="T834" s="221"/>
      <c r="U834" s="221"/>
      <c r="V834" s="221"/>
      <c r="W834" s="221"/>
      <c r="X834" s="221"/>
      <c r="Y834" s="221"/>
      <c r="Z834" s="221"/>
      <c r="AA834" s="221"/>
      <c r="AB834" s="297"/>
    </row>
    <row r="835">
      <c r="A835" s="134"/>
      <c r="B835" s="134"/>
      <c r="C835" s="68"/>
      <c r="D835" s="68"/>
      <c r="E835" s="68"/>
      <c r="F835" s="68"/>
      <c r="G835" s="68"/>
      <c r="H835" s="68"/>
      <c r="I835" s="221"/>
      <c r="J835" s="221"/>
      <c r="K835" s="221"/>
      <c r="L835" s="221"/>
      <c r="M835" s="221"/>
      <c r="N835" s="221"/>
      <c r="O835" s="221"/>
      <c r="P835" s="221"/>
      <c r="Q835" s="221"/>
      <c r="R835" s="221"/>
      <c r="S835" s="221"/>
      <c r="T835" s="221"/>
      <c r="U835" s="221"/>
      <c r="V835" s="221"/>
      <c r="W835" s="221"/>
      <c r="X835" s="221"/>
      <c r="Y835" s="221"/>
      <c r="Z835" s="221"/>
      <c r="AA835" s="221"/>
      <c r="AB835" s="297"/>
    </row>
    <row r="836">
      <c r="A836" s="134"/>
      <c r="B836" s="134"/>
      <c r="C836" s="68"/>
      <c r="D836" s="68"/>
      <c r="E836" s="68"/>
      <c r="F836" s="68"/>
      <c r="G836" s="68"/>
      <c r="H836" s="68"/>
      <c r="I836" s="221"/>
      <c r="J836" s="221"/>
      <c r="K836" s="221"/>
      <c r="L836" s="221"/>
      <c r="M836" s="221"/>
      <c r="N836" s="221"/>
      <c r="O836" s="221"/>
      <c r="P836" s="221"/>
      <c r="Q836" s="221"/>
      <c r="R836" s="221"/>
      <c r="S836" s="221"/>
      <c r="T836" s="221"/>
      <c r="U836" s="221"/>
      <c r="V836" s="221"/>
      <c r="W836" s="221"/>
      <c r="X836" s="221"/>
      <c r="Y836" s="221"/>
      <c r="Z836" s="221"/>
      <c r="AA836" s="221"/>
      <c r="AB836" s="297"/>
    </row>
    <row r="837">
      <c r="A837" s="134"/>
      <c r="B837" s="134"/>
      <c r="C837" s="68"/>
      <c r="D837" s="68"/>
      <c r="E837" s="68"/>
      <c r="F837" s="68"/>
      <c r="G837" s="68"/>
      <c r="H837" s="68"/>
      <c r="I837" s="221"/>
      <c r="J837" s="221"/>
      <c r="K837" s="221"/>
      <c r="L837" s="221"/>
      <c r="M837" s="221"/>
      <c r="N837" s="221"/>
      <c r="O837" s="221"/>
      <c r="P837" s="221"/>
      <c r="Q837" s="221"/>
      <c r="R837" s="221"/>
      <c r="S837" s="221"/>
      <c r="T837" s="221"/>
      <c r="U837" s="221"/>
      <c r="V837" s="221"/>
      <c r="W837" s="221"/>
      <c r="X837" s="221"/>
      <c r="Y837" s="221"/>
      <c r="Z837" s="221"/>
      <c r="AA837" s="221"/>
      <c r="AB837" s="297"/>
    </row>
    <row r="838">
      <c r="A838" s="134"/>
      <c r="B838" s="134"/>
      <c r="C838" s="68"/>
      <c r="D838" s="68"/>
      <c r="E838" s="68"/>
      <c r="F838" s="68"/>
      <c r="G838" s="68"/>
      <c r="H838" s="68"/>
      <c r="I838" s="221"/>
      <c r="J838" s="221"/>
      <c r="K838" s="221"/>
      <c r="L838" s="221"/>
      <c r="M838" s="221"/>
      <c r="N838" s="221"/>
      <c r="O838" s="221"/>
      <c r="P838" s="221"/>
      <c r="Q838" s="221"/>
      <c r="R838" s="221"/>
      <c r="S838" s="221"/>
      <c r="T838" s="221"/>
      <c r="U838" s="221"/>
      <c r="V838" s="221"/>
      <c r="W838" s="221"/>
      <c r="X838" s="221"/>
      <c r="Y838" s="221"/>
      <c r="Z838" s="221"/>
      <c r="AA838" s="221"/>
      <c r="AB838" s="297"/>
    </row>
    <row r="839">
      <c r="A839" s="134"/>
      <c r="B839" s="134"/>
      <c r="C839" s="68"/>
      <c r="D839" s="68"/>
      <c r="E839" s="68"/>
      <c r="F839" s="68"/>
      <c r="G839" s="68"/>
      <c r="H839" s="68"/>
      <c r="I839" s="221"/>
      <c r="J839" s="221"/>
      <c r="K839" s="221"/>
      <c r="L839" s="221"/>
      <c r="M839" s="221"/>
      <c r="N839" s="221"/>
      <c r="O839" s="221"/>
      <c r="P839" s="221"/>
      <c r="Q839" s="221"/>
      <c r="R839" s="221"/>
      <c r="S839" s="221"/>
      <c r="T839" s="221"/>
      <c r="U839" s="221"/>
      <c r="V839" s="221"/>
      <c r="W839" s="221"/>
      <c r="X839" s="221"/>
      <c r="Y839" s="221"/>
      <c r="Z839" s="221"/>
      <c r="AA839" s="221"/>
      <c r="AB839" s="297"/>
    </row>
    <row r="840">
      <c r="A840" s="134"/>
      <c r="B840" s="134"/>
      <c r="C840" s="68"/>
      <c r="D840" s="68"/>
      <c r="E840" s="68"/>
      <c r="F840" s="68"/>
      <c r="G840" s="68"/>
      <c r="H840" s="68"/>
      <c r="I840" s="221"/>
      <c r="J840" s="221"/>
      <c r="K840" s="221"/>
      <c r="L840" s="221"/>
      <c r="M840" s="221"/>
      <c r="N840" s="221"/>
      <c r="O840" s="221"/>
      <c r="P840" s="221"/>
      <c r="Q840" s="221"/>
      <c r="R840" s="221"/>
      <c r="S840" s="221"/>
      <c r="T840" s="221"/>
      <c r="U840" s="221"/>
      <c r="V840" s="221"/>
      <c r="W840" s="221"/>
      <c r="X840" s="221"/>
      <c r="Y840" s="221"/>
      <c r="Z840" s="221"/>
      <c r="AA840" s="221"/>
      <c r="AB840" s="297"/>
    </row>
    <row r="841">
      <c r="A841" s="134"/>
      <c r="B841" s="134"/>
      <c r="C841" s="68"/>
      <c r="D841" s="68"/>
      <c r="E841" s="68"/>
      <c r="F841" s="68"/>
      <c r="G841" s="68"/>
      <c r="H841" s="68"/>
      <c r="I841" s="221"/>
      <c r="J841" s="221"/>
      <c r="K841" s="221"/>
      <c r="L841" s="221"/>
      <c r="M841" s="221"/>
      <c r="N841" s="221"/>
      <c r="O841" s="221"/>
      <c r="P841" s="221"/>
      <c r="Q841" s="221"/>
      <c r="R841" s="221"/>
      <c r="S841" s="221"/>
      <c r="T841" s="221"/>
      <c r="U841" s="221"/>
      <c r="V841" s="221"/>
      <c r="W841" s="221"/>
      <c r="X841" s="221"/>
      <c r="Y841" s="221"/>
      <c r="Z841" s="221"/>
      <c r="AA841" s="221"/>
      <c r="AB841" s="297"/>
    </row>
    <row r="842">
      <c r="A842" s="134"/>
      <c r="B842" s="134"/>
      <c r="C842" s="68"/>
      <c r="D842" s="68"/>
      <c r="E842" s="68"/>
      <c r="F842" s="68"/>
      <c r="G842" s="68"/>
      <c r="H842" s="68"/>
      <c r="I842" s="221"/>
      <c r="J842" s="221"/>
      <c r="K842" s="221"/>
      <c r="L842" s="221"/>
      <c r="M842" s="221"/>
      <c r="N842" s="221"/>
      <c r="O842" s="221"/>
      <c r="P842" s="221"/>
      <c r="Q842" s="221"/>
      <c r="R842" s="221"/>
      <c r="S842" s="221"/>
      <c r="T842" s="221"/>
      <c r="U842" s="221"/>
      <c r="V842" s="221"/>
      <c r="W842" s="221"/>
      <c r="X842" s="221"/>
      <c r="Y842" s="221"/>
      <c r="Z842" s="221"/>
      <c r="AA842" s="221"/>
      <c r="AB842" s="297"/>
    </row>
    <row r="843">
      <c r="A843" s="134"/>
      <c r="B843" s="134"/>
      <c r="C843" s="68"/>
      <c r="D843" s="68"/>
      <c r="E843" s="68"/>
      <c r="F843" s="68"/>
      <c r="G843" s="68"/>
      <c r="H843" s="68"/>
      <c r="I843" s="221"/>
      <c r="J843" s="221"/>
      <c r="K843" s="221"/>
      <c r="L843" s="221"/>
      <c r="M843" s="221"/>
      <c r="N843" s="221"/>
      <c r="O843" s="221"/>
      <c r="P843" s="221"/>
      <c r="Q843" s="221"/>
      <c r="R843" s="221"/>
      <c r="S843" s="221"/>
      <c r="T843" s="221"/>
      <c r="U843" s="221"/>
      <c r="V843" s="221"/>
      <c r="W843" s="221"/>
      <c r="X843" s="221"/>
      <c r="Y843" s="221"/>
      <c r="Z843" s="221"/>
      <c r="AA843" s="221"/>
      <c r="AB843" s="297"/>
    </row>
    <row r="844">
      <c r="A844" s="134"/>
      <c r="B844" s="134"/>
      <c r="C844" s="68"/>
      <c r="D844" s="68"/>
      <c r="E844" s="68"/>
      <c r="F844" s="68"/>
      <c r="G844" s="68"/>
      <c r="H844" s="68"/>
      <c r="I844" s="221"/>
      <c r="J844" s="221"/>
      <c r="K844" s="221"/>
      <c r="L844" s="221"/>
      <c r="M844" s="221"/>
      <c r="N844" s="221"/>
      <c r="O844" s="221"/>
      <c r="P844" s="221"/>
      <c r="Q844" s="221"/>
      <c r="R844" s="221"/>
      <c r="S844" s="221"/>
      <c r="T844" s="221"/>
      <c r="U844" s="221"/>
      <c r="V844" s="221"/>
      <c r="W844" s="221"/>
      <c r="X844" s="221"/>
      <c r="Y844" s="221"/>
      <c r="Z844" s="221"/>
      <c r="AA844" s="221"/>
      <c r="AB844" s="297"/>
    </row>
    <row r="845">
      <c r="A845" s="134"/>
      <c r="B845" s="134"/>
      <c r="C845" s="68"/>
      <c r="D845" s="68"/>
      <c r="E845" s="68"/>
      <c r="F845" s="68"/>
      <c r="G845" s="68"/>
      <c r="H845" s="68"/>
      <c r="I845" s="221"/>
      <c r="J845" s="221"/>
      <c r="K845" s="221"/>
      <c r="L845" s="221"/>
      <c r="M845" s="221"/>
      <c r="N845" s="221"/>
      <c r="O845" s="221"/>
      <c r="P845" s="221"/>
      <c r="Q845" s="221"/>
      <c r="R845" s="221"/>
      <c r="S845" s="221"/>
      <c r="T845" s="221"/>
      <c r="U845" s="221"/>
      <c r="V845" s="221"/>
      <c r="W845" s="221"/>
      <c r="X845" s="221"/>
      <c r="Y845" s="221"/>
      <c r="Z845" s="221"/>
      <c r="AA845" s="221"/>
      <c r="AB845" s="297"/>
    </row>
    <row r="846">
      <c r="A846" s="134"/>
      <c r="B846" s="134"/>
      <c r="C846" s="68"/>
      <c r="D846" s="68"/>
      <c r="E846" s="68"/>
      <c r="F846" s="68"/>
      <c r="G846" s="68"/>
      <c r="H846" s="68"/>
      <c r="I846" s="221"/>
      <c r="J846" s="221"/>
      <c r="K846" s="221"/>
      <c r="L846" s="221"/>
      <c r="M846" s="221"/>
      <c r="N846" s="221"/>
      <c r="O846" s="221"/>
      <c r="P846" s="221"/>
      <c r="Q846" s="221"/>
      <c r="R846" s="221"/>
      <c r="S846" s="221"/>
      <c r="T846" s="221"/>
      <c r="U846" s="221"/>
      <c r="V846" s="221"/>
      <c r="W846" s="221"/>
      <c r="X846" s="221"/>
      <c r="Y846" s="221"/>
      <c r="Z846" s="221"/>
      <c r="AA846" s="221"/>
      <c r="AB846" s="297"/>
    </row>
    <row r="847">
      <c r="A847" s="134"/>
      <c r="B847" s="134"/>
      <c r="C847" s="68"/>
      <c r="D847" s="68"/>
      <c r="E847" s="68"/>
      <c r="F847" s="68"/>
      <c r="G847" s="68"/>
      <c r="H847" s="68"/>
      <c r="I847" s="221"/>
      <c r="J847" s="221"/>
      <c r="K847" s="221"/>
      <c r="L847" s="221"/>
      <c r="M847" s="221"/>
      <c r="N847" s="221"/>
      <c r="O847" s="221"/>
      <c r="P847" s="221"/>
      <c r="Q847" s="221"/>
      <c r="R847" s="221"/>
      <c r="S847" s="221"/>
      <c r="T847" s="221"/>
      <c r="U847" s="221"/>
      <c r="V847" s="221"/>
      <c r="W847" s="221"/>
      <c r="X847" s="221"/>
      <c r="Y847" s="221"/>
      <c r="Z847" s="221"/>
      <c r="AA847" s="221"/>
      <c r="AB847" s="297"/>
    </row>
    <row r="848">
      <c r="A848" s="134"/>
      <c r="B848" s="134"/>
      <c r="C848" s="68"/>
      <c r="D848" s="68"/>
      <c r="E848" s="68"/>
      <c r="F848" s="68"/>
      <c r="G848" s="68"/>
      <c r="H848" s="68"/>
      <c r="I848" s="221"/>
      <c r="J848" s="221"/>
      <c r="K848" s="221"/>
      <c r="L848" s="221"/>
      <c r="M848" s="221"/>
      <c r="N848" s="221"/>
      <c r="O848" s="221"/>
      <c r="P848" s="221"/>
      <c r="Q848" s="221"/>
      <c r="R848" s="221"/>
      <c r="S848" s="221"/>
      <c r="T848" s="221"/>
      <c r="U848" s="221"/>
      <c r="V848" s="221"/>
      <c r="W848" s="221"/>
      <c r="X848" s="221"/>
      <c r="Y848" s="221"/>
      <c r="Z848" s="221"/>
      <c r="AA848" s="221"/>
      <c r="AB848" s="297"/>
    </row>
    <row r="849">
      <c r="A849" s="134"/>
      <c r="B849" s="134"/>
      <c r="C849" s="68"/>
      <c r="D849" s="68"/>
      <c r="E849" s="68"/>
      <c r="F849" s="68"/>
      <c r="G849" s="68"/>
      <c r="H849" s="68"/>
      <c r="I849" s="221"/>
      <c r="J849" s="221"/>
      <c r="K849" s="221"/>
      <c r="L849" s="221"/>
      <c r="M849" s="221"/>
      <c r="N849" s="221"/>
      <c r="O849" s="221"/>
      <c r="P849" s="221"/>
      <c r="Q849" s="221"/>
      <c r="R849" s="221"/>
      <c r="S849" s="221"/>
      <c r="T849" s="221"/>
      <c r="U849" s="221"/>
      <c r="V849" s="221"/>
      <c r="W849" s="221"/>
      <c r="X849" s="221"/>
      <c r="Y849" s="221"/>
      <c r="Z849" s="221"/>
      <c r="AA849" s="221"/>
      <c r="AB849" s="297"/>
    </row>
    <row r="850">
      <c r="A850" s="134"/>
      <c r="B850" s="134"/>
      <c r="C850" s="68"/>
      <c r="D850" s="68"/>
      <c r="E850" s="68"/>
      <c r="F850" s="68"/>
      <c r="G850" s="68"/>
      <c r="H850" s="68"/>
      <c r="I850" s="221"/>
      <c r="J850" s="221"/>
      <c r="K850" s="221"/>
      <c r="L850" s="221"/>
      <c r="M850" s="221"/>
      <c r="N850" s="221"/>
      <c r="O850" s="221"/>
      <c r="P850" s="221"/>
      <c r="Q850" s="221"/>
      <c r="R850" s="221"/>
      <c r="S850" s="221"/>
      <c r="T850" s="221"/>
      <c r="U850" s="221"/>
      <c r="V850" s="221"/>
      <c r="W850" s="221"/>
      <c r="X850" s="221"/>
      <c r="Y850" s="221"/>
      <c r="Z850" s="221"/>
      <c r="AA850" s="221"/>
      <c r="AB850" s="297"/>
    </row>
    <row r="851">
      <c r="A851" s="134"/>
      <c r="B851" s="134"/>
      <c r="C851" s="68"/>
      <c r="D851" s="68"/>
      <c r="E851" s="68"/>
      <c r="F851" s="68"/>
      <c r="G851" s="68"/>
      <c r="H851" s="68"/>
      <c r="I851" s="221"/>
      <c r="J851" s="221"/>
      <c r="K851" s="221"/>
      <c r="L851" s="221"/>
      <c r="M851" s="221"/>
      <c r="N851" s="221"/>
      <c r="O851" s="221"/>
      <c r="P851" s="221"/>
      <c r="Q851" s="221"/>
      <c r="R851" s="221"/>
      <c r="S851" s="221"/>
      <c r="T851" s="221"/>
      <c r="U851" s="221"/>
      <c r="V851" s="221"/>
      <c r="W851" s="221"/>
      <c r="X851" s="221"/>
      <c r="Y851" s="221"/>
      <c r="Z851" s="221"/>
      <c r="AA851" s="221"/>
      <c r="AB851" s="297"/>
    </row>
    <row r="852">
      <c r="A852" s="134"/>
      <c r="B852" s="134"/>
      <c r="C852" s="68"/>
      <c r="D852" s="68"/>
      <c r="E852" s="68"/>
      <c r="F852" s="68"/>
      <c r="G852" s="68"/>
      <c r="H852" s="68"/>
      <c r="I852" s="221"/>
      <c r="J852" s="221"/>
      <c r="K852" s="221"/>
      <c r="L852" s="221"/>
      <c r="M852" s="221"/>
      <c r="N852" s="221"/>
      <c r="O852" s="221"/>
      <c r="P852" s="221"/>
      <c r="Q852" s="221"/>
      <c r="R852" s="221"/>
      <c r="S852" s="221"/>
      <c r="T852" s="221"/>
      <c r="U852" s="221"/>
      <c r="V852" s="221"/>
      <c r="W852" s="221"/>
      <c r="X852" s="221"/>
      <c r="Y852" s="221"/>
      <c r="Z852" s="221"/>
      <c r="AA852" s="221"/>
      <c r="AB852" s="297"/>
    </row>
    <row r="853">
      <c r="A853" s="134"/>
      <c r="B853" s="134"/>
      <c r="C853" s="68"/>
      <c r="D853" s="68"/>
      <c r="E853" s="68"/>
      <c r="F853" s="68"/>
      <c r="G853" s="68"/>
      <c r="H853" s="68"/>
      <c r="I853" s="221"/>
      <c r="J853" s="221"/>
      <c r="K853" s="221"/>
      <c r="L853" s="221"/>
      <c r="M853" s="221"/>
      <c r="N853" s="221"/>
      <c r="O853" s="221"/>
      <c r="P853" s="221"/>
      <c r="Q853" s="221"/>
      <c r="R853" s="221"/>
      <c r="S853" s="221"/>
      <c r="T853" s="221"/>
      <c r="U853" s="221"/>
      <c r="V853" s="221"/>
      <c r="W853" s="221"/>
      <c r="X853" s="221"/>
      <c r="Y853" s="221"/>
      <c r="Z853" s="221"/>
      <c r="AA853" s="221"/>
      <c r="AB853" s="297"/>
    </row>
    <row r="854">
      <c r="A854" s="134"/>
      <c r="B854" s="134"/>
      <c r="C854" s="68"/>
      <c r="D854" s="68"/>
      <c r="E854" s="68"/>
      <c r="F854" s="68"/>
      <c r="G854" s="68"/>
      <c r="H854" s="68"/>
      <c r="I854" s="221"/>
      <c r="J854" s="221"/>
      <c r="K854" s="221"/>
      <c r="L854" s="221"/>
      <c r="M854" s="221"/>
      <c r="N854" s="221"/>
      <c r="O854" s="221"/>
      <c r="P854" s="221"/>
      <c r="Q854" s="221"/>
      <c r="R854" s="221"/>
      <c r="S854" s="221"/>
      <c r="T854" s="221"/>
      <c r="U854" s="221"/>
      <c r="V854" s="221"/>
      <c r="W854" s="221"/>
      <c r="X854" s="221"/>
      <c r="Y854" s="221"/>
      <c r="Z854" s="221"/>
      <c r="AA854" s="221"/>
      <c r="AB854" s="297"/>
    </row>
    <row r="855">
      <c r="A855" s="134"/>
      <c r="B855" s="134"/>
      <c r="C855" s="68"/>
      <c r="D855" s="68"/>
      <c r="E855" s="68"/>
      <c r="F855" s="68"/>
      <c r="G855" s="68"/>
      <c r="H855" s="68"/>
      <c r="I855" s="221"/>
      <c r="J855" s="221"/>
      <c r="K855" s="221"/>
      <c r="L855" s="221"/>
      <c r="M855" s="221"/>
      <c r="N855" s="221"/>
      <c r="O855" s="221"/>
      <c r="P855" s="221"/>
      <c r="Q855" s="221"/>
      <c r="R855" s="221"/>
      <c r="S855" s="221"/>
      <c r="T855" s="221"/>
      <c r="U855" s="221"/>
      <c r="V855" s="221"/>
      <c r="W855" s="221"/>
      <c r="X855" s="221"/>
      <c r="Y855" s="221"/>
      <c r="Z855" s="221"/>
      <c r="AA855" s="221"/>
      <c r="AB855" s="297"/>
    </row>
    <row r="856">
      <c r="A856" s="134"/>
      <c r="B856" s="134"/>
      <c r="C856" s="68"/>
      <c r="D856" s="68"/>
      <c r="E856" s="68"/>
      <c r="F856" s="68"/>
      <c r="G856" s="68"/>
      <c r="H856" s="68"/>
      <c r="I856" s="221"/>
      <c r="J856" s="221"/>
      <c r="K856" s="221"/>
      <c r="L856" s="221"/>
      <c r="M856" s="221"/>
      <c r="N856" s="221"/>
      <c r="O856" s="221"/>
      <c r="P856" s="221"/>
      <c r="Q856" s="221"/>
      <c r="R856" s="221"/>
      <c r="S856" s="221"/>
      <c r="T856" s="221"/>
      <c r="U856" s="221"/>
      <c r="V856" s="221"/>
      <c r="W856" s="221"/>
      <c r="X856" s="221"/>
      <c r="Y856" s="221"/>
      <c r="Z856" s="221"/>
      <c r="AA856" s="221"/>
      <c r="AB856" s="297"/>
    </row>
    <row r="857">
      <c r="A857" s="134"/>
      <c r="B857" s="134"/>
      <c r="C857" s="68"/>
      <c r="D857" s="68"/>
      <c r="E857" s="68"/>
      <c r="F857" s="68"/>
      <c r="G857" s="68"/>
      <c r="H857" s="68"/>
      <c r="I857" s="221"/>
      <c r="J857" s="221"/>
      <c r="K857" s="221"/>
      <c r="L857" s="221"/>
      <c r="M857" s="221"/>
      <c r="N857" s="221"/>
      <c r="O857" s="221"/>
      <c r="P857" s="221"/>
      <c r="Q857" s="221"/>
      <c r="R857" s="221"/>
      <c r="S857" s="221"/>
      <c r="T857" s="221"/>
      <c r="U857" s="221"/>
      <c r="V857" s="221"/>
      <c r="W857" s="221"/>
      <c r="X857" s="221"/>
      <c r="Y857" s="221"/>
      <c r="Z857" s="221"/>
      <c r="AA857" s="221"/>
      <c r="AB857" s="297"/>
    </row>
    <row r="858">
      <c r="A858" s="134"/>
      <c r="B858" s="134"/>
      <c r="C858" s="68"/>
      <c r="D858" s="68"/>
      <c r="E858" s="68"/>
      <c r="F858" s="68"/>
      <c r="G858" s="68"/>
      <c r="H858" s="68"/>
      <c r="I858" s="221"/>
      <c r="J858" s="221"/>
      <c r="K858" s="221"/>
      <c r="L858" s="221"/>
      <c r="M858" s="221"/>
      <c r="N858" s="221"/>
      <c r="O858" s="221"/>
      <c r="P858" s="221"/>
      <c r="Q858" s="221"/>
      <c r="R858" s="221"/>
      <c r="S858" s="221"/>
      <c r="T858" s="221"/>
      <c r="U858" s="221"/>
      <c r="V858" s="221"/>
      <c r="W858" s="221"/>
      <c r="X858" s="221"/>
      <c r="Y858" s="221"/>
      <c r="Z858" s="221"/>
      <c r="AA858" s="221"/>
      <c r="AB858" s="297"/>
    </row>
    <row r="859">
      <c r="A859" s="134"/>
      <c r="B859" s="134"/>
      <c r="C859" s="68"/>
      <c r="D859" s="68"/>
      <c r="E859" s="68"/>
      <c r="F859" s="68"/>
      <c r="G859" s="68"/>
      <c r="H859" s="68"/>
      <c r="I859" s="221"/>
      <c r="J859" s="221"/>
      <c r="K859" s="221"/>
      <c r="L859" s="221"/>
      <c r="M859" s="221"/>
      <c r="N859" s="221"/>
      <c r="O859" s="221"/>
      <c r="P859" s="221"/>
      <c r="Q859" s="221"/>
      <c r="R859" s="221"/>
      <c r="S859" s="221"/>
      <c r="T859" s="221"/>
      <c r="U859" s="221"/>
      <c r="V859" s="221"/>
      <c r="W859" s="221"/>
      <c r="X859" s="221"/>
      <c r="Y859" s="221"/>
      <c r="Z859" s="221"/>
      <c r="AA859" s="221"/>
      <c r="AB859" s="297"/>
    </row>
    <row r="860">
      <c r="A860" s="134"/>
      <c r="B860" s="134"/>
      <c r="C860" s="68"/>
      <c r="D860" s="68"/>
      <c r="E860" s="68"/>
      <c r="F860" s="68"/>
      <c r="G860" s="68"/>
      <c r="H860" s="68"/>
      <c r="I860" s="221"/>
      <c r="J860" s="221"/>
      <c r="K860" s="221"/>
      <c r="L860" s="221"/>
      <c r="M860" s="221"/>
      <c r="N860" s="221"/>
      <c r="O860" s="221"/>
      <c r="P860" s="221"/>
      <c r="Q860" s="221"/>
      <c r="R860" s="221"/>
      <c r="S860" s="221"/>
      <c r="T860" s="221"/>
      <c r="U860" s="221"/>
      <c r="V860" s="221"/>
      <c r="W860" s="221"/>
      <c r="X860" s="221"/>
      <c r="Y860" s="221"/>
      <c r="Z860" s="221"/>
      <c r="AA860" s="221"/>
      <c r="AB860" s="297"/>
    </row>
    <row r="861">
      <c r="A861" s="134"/>
      <c r="B861" s="134"/>
      <c r="C861" s="68"/>
      <c r="D861" s="68"/>
      <c r="E861" s="68"/>
      <c r="F861" s="68"/>
      <c r="G861" s="68"/>
      <c r="H861" s="68"/>
      <c r="I861" s="221"/>
      <c r="J861" s="221"/>
      <c r="K861" s="221"/>
      <c r="L861" s="221"/>
      <c r="M861" s="221"/>
      <c r="N861" s="221"/>
      <c r="O861" s="221"/>
      <c r="P861" s="221"/>
      <c r="Q861" s="221"/>
      <c r="R861" s="221"/>
      <c r="S861" s="221"/>
      <c r="T861" s="221"/>
      <c r="U861" s="221"/>
      <c r="V861" s="221"/>
      <c r="W861" s="221"/>
      <c r="X861" s="221"/>
      <c r="Y861" s="221"/>
      <c r="Z861" s="221"/>
      <c r="AA861" s="221"/>
      <c r="AB861" s="297"/>
    </row>
    <row r="862">
      <c r="A862" s="134"/>
      <c r="B862" s="134"/>
      <c r="C862" s="68"/>
      <c r="D862" s="68"/>
      <c r="E862" s="68"/>
      <c r="F862" s="68"/>
      <c r="G862" s="68"/>
      <c r="H862" s="68"/>
      <c r="I862" s="221"/>
      <c r="J862" s="221"/>
      <c r="K862" s="221"/>
      <c r="L862" s="221"/>
      <c r="M862" s="221"/>
      <c r="N862" s="221"/>
      <c r="O862" s="221"/>
      <c r="P862" s="221"/>
      <c r="Q862" s="221"/>
      <c r="R862" s="221"/>
      <c r="S862" s="221"/>
      <c r="T862" s="221"/>
      <c r="U862" s="221"/>
      <c r="V862" s="221"/>
      <c r="W862" s="221"/>
      <c r="X862" s="221"/>
      <c r="Y862" s="221"/>
      <c r="Z862" s="221"/>
      <c r="AA862" s="221"/>
      <c r="AB862" s="297"/>
    </row>
    <row r="863">
      <c r="A863" s="134"/>
      <c r="B863" s="134"/>
      <c r="C863" s="68"/>
      <c r="D863" s="68"/>
      <c r="E863" s="68"/>
      <c r="F863" s="68"/>
      <c r="G863" s="68"/>
      <c r="H863" s="68"/>
      <c r="I863" s="221"/>
      <c r="J863" s="221"/>
      <c r="K863" s="221"/>
      <c r="L863" s="221"/>
      <c r="M863" s="221"/>
      <c r="N863" s="221"/>
      <c r="O863" s="221"/>
      <c r="P863" s="221"/>
      <c r="Q863" s="221"/>
      <c r="R863" s="221"/>
      <c r="S863" s="221"/>
      <c r="T863" s="221"/>
      <c r="U863" s="221"/>
      <c r="V863" s="221"/>
      <c r="W863" s="221"/>
      <c r="X863" s="221"/>
      <c r="Y863" s="221"/>
      <c r="Z863" s="221"/>
      <c r="AA863" s="221"/>
      <c r="AB863" s="297"/>
    </row>
    <row r="864">
      <c r="A864" s="134"/>
      <c r="B864" s="134"/>
      <c r="C864" s="68"/>
      <c r="D864" s="68"/>
      <c r="E864" s="68"/>
      <c r="F864" s="68"/>
      <c r="G864" s="68"/>
      <c r="H864" s="68"/>
      <c r="I864" s="221"/>
      <c r="J864" s="221"/>
      <c r="K864" s="221"/>
      <c r="L864" s="221"/>
      <c r="M864" s="221"/>
      <c r="N864" s="221"/>
      <c r="O864" s="221"/>
      <c r="P864" s="221"/>
      <c r="Q864" s="221"/>
      <c r="R864" s="221"/>
      <c r="S864" s="221"/>
      <c r="T864" s="221"/>
      <c r="U864" s="221"/>
      <c r="V864" s="221"/>
      <c r="W864" s="221"/>
      <c r="X864" s="221"/>
      <c r="Y864" s="221"/>
      <c r="Z864" s="221"/>
      <c r="AA864" s="221"/>
      <c r="AB864" s="297"/>
    </row>
    <row r="865">
      <c r="A865" s="134"/>
      <c r="B865" s="134"/>
      <c r="C865" s="68"/>
      <c r="D865" s="68"/>
      <c r="E865" s="68"/>
      <c r="F865" s="68"/>
      <c r="G865" s="68"/>
      <c r="H865" s="68"/>
      <c r="I865" s="221"/>
      <c r="J865" s="221"/>
      <c r="K865" s="221"/>
      <c r="L865" s="221"/>
      <c r="M865" s="221"/>
      <c r="N865" s="221"/>
      <c r="O865" s="221"/>
      <c r="P865" s="221"/>
      <c r="Q865" s="221"/>
      <c r="R865" s="221"/>
      <c r="S865" s="221"/>
      <c r="T865" s="221"/>
      <c r="U865" s="221"/>
      <c r="V865" s="221"/>
      <c r="W865" s="221"/>
      <c r="X865" s="221"/>
      <c r="Y865" s="221"/>
      <c r="Z865" s="221"/>
      <c r="AA865" s="221"/>
      <c r="AB865" s="297"/>
    </row>
    <row r="866">
      <c r="A866" s="134"/>
      <c r="B866" s="134"/>
      <c r="C866" s="68"/>
      <c r="D866" s="68"/>
      <c r="E866" s="68"/>
      <c r="F866" s="68"/>
      <c r="G866" s="68"/>
      <c r="H866" s="68"/>
      <c r="I866" s="221"/>
      <c r="J866" s="221"/>
      <c r="K866" s="221"/>
      <c r="L866" s="221"/>
      <c r="M866" s="221"/>
      <c r="N866" s="221"/>
      <c r="O866" s="221"/>
      <c r="P866" s="221"/>
      <c r="Q866" s="221"/>
      <c r="R866" s="221"/>
      <c r="S866" s="221"/>
      <c r="T866" s="221"/>
      <c r="U866" s="221"/>
      <c r="V866" s="221"/>
      <c r="W866" s="221"/>
      <c r="X866" s="221"/>
      <c r="Y866" s="221"/>
      <c r="Z866" s="221"/>
      <c r="AA866" s="221"/>
      <c r="AB866" s="297"/>
    </row>
    <row r="867">
      <c r="A867" s="134"/>
      <c r="B867" s="134"/>
      <c r="C867" s="68"/>
      <c r="D867" s="68"/>
      <c r="E867" s="68"/>
      <c r="F867" s="68"/>
      <c r="G867" s="68"/>
      <c r="H867" s="68"/>
      <c r="I867" s="221"/>
      <c r="J867" s="221"/>
      <c r="K867" s="221"/>
      <c r="L867" s="221"/>
      <c r="M867" s="221"/>
      <c r="N867" s="221"/>
      <c r="O867" s="221"/>
      <c r="P867" s="221"/>
      <c r="Q867" s="221"/>
      <c r="R867" s="221"/>
      <c r="S867" s="221"/>
      <c r="T867" s="221"/>
      <c r="U867" s="221"/>
      <c r="V867" s="221"/>
      <c r="W867" s="221"/>
      <c r="X867" s="221"/>
      <c r="Y867" s="221"/>
      <c r="Z867" s="221"/>
      <c r="AA867" s="221"/>
      <c r="AB867" s="297"/>
    </row>
    <row r="868">
      <c r="A868" s="134"/>
      <c r="B868" s="134"/>
      <c r="C868" s="68"/>
      <c r="D868" s="68"/>
      <c r="E868" s="68"/>
      <c r="F868" s="68"/>
      <c r="G868" s="68"/>
      <c r="H868" s="68"/>
      <c r="I868" s="221"/>
      <c r="J868" s="221"/>
      <c r="K868" s="221"/>
      <c r="L868" s="221"/>
      <c r="M868" s="221"/>
      <c r="N868" s="221"/>
      <c r="O868" s="221"/>
      <c r="P868" s="221"/>
      <c r="Q868" s="221"/>
      <c r="R868" s="221"/>
      <c r="S868" s="221"/>
      <c r="T868" s="221"/>
      <c r="U868" s="221"/>
      <c r="V868" s="221"/>
      <c r="W868" s="221"/>
      <c r="X868" s="221"/>
      <c r="Y868" s="221"/>
      <c r="Z868" s="221"/>
      <c r="AA868" s="221"/>
      <c r="AB868" s="297"/>
    </row>
    <row r="869">
      <c r="A869" s="134"/>
      <c r="B869" s="134"/>
      <c r="C869" s="68"/>
      <c r="D869" s="68"/>
      <c r="E869" s="68"/>
      <c r="F869" s="68"/>
      <c r="G869" s="68"/>
      <c r="H869" s="68"/>
      <c r="I869" s="221"/>
      <c r="J869" s="221"/>
      <c r="K869" s="221"/>
      <c r="L869" s="221"/>
      <c r="M869" s="221"/>
      <c r="N869" s="221"/>
      <c r="O869" s="221"/>
      <c r="P869" s="221"/>
      <c r="Q869" s="221"/>
      <c r="R869" s="221"/>
      <c r="S869" s="221"/>
      <c r="T869" s="221"/>
      <c r="U869" s="221"/>
      <c r="V869" s="221"/>
      <c r="W869" s="221"/>
      <c r="X869" s="221"/>
      <c r="Y869" s="221"/>
      <c r="Z869" s="221"/>
      <c r="AA869" s="221"/>
      <c r="AB869" s="297"/>
    </row>
    <row r="870">
      <c r="A870" s="134"/>
      <c r="B870" s="134"/>
      <c r="C870" s="68"/>
      <c r="D870" s="68"/>
      <c r="E870" s="68"/>
      <c r="F870" s="68"/>
      <c r="G870" s="68"/>
      <c r="H870" s="68"/>
      <c r="I870" s="221"/>
      <c r="J870" s="221"/>
      <c r="K870" s="221"/>
      <c r="L870" s="221"/>
      <c r="M870" s="221"/>
      <c r="N870" s="221"/>
      <c r="O870" s="221"/>
      <c r="P870" s="221"/>
      <c r="Q870" s="221"/>
      <c r="R870" s="221"/>
      <c r="S870" s="221"/>
      <c r="T870" s="221"/>
      <c r="U870" s="221"/>
      <c r="V870" s="221"/>
      <c r="W870" s="221"/>
      <c r="X870" s="221"/>
      <c r="Y870" s="221"/>
      <c r="Z870" s="221"/>
      <c r="AA870" s="221"/>
      <c r="AB870" s="297"/>
    </row>
    <row r="871">
      <c r="A871" s="134"/>
      <c r="B871" s="134"/>
      <c r="C871" s="68"/>
      <c r="D871" s="68"/>
      <c r="E871" s="68"/>
      <c r="F871" s="68"/>
      <c r="G871" s="68"/>
      <c r="H871" s="68"/>
      <c r="I871" s="221"/>
      <c r="J871" s="221"/>
      <c r="K871" s="221"/>
      <c r="L871" s="221"/>
      <c r="M871" s="221"/>
      <c r="N871" s="221"/>
      <c r="O871" s="221"/>
      <c r="P871" s="221"/>
      <c r="Q871" s="221"/>
      <c r="R871" s="221"/>
      <c r="S871" s="221"/>
      <c r="T871" s="221"/>
      <c r="U871" s="221"/>
      <c r="V871" s="221"/>
      <c r="W871" s="221"/>
      <c r="X871" s="221"/>
      <c r="Y871" s="221"/>
      <c r="Z871" s="221"/>
      <c r="AA871" s="221"/>
      <c r="AB871" s="297"/>
    </row>
    <row r="872">
      <c r="A872" s="134"/>
      <c r="B872" s="134"/>
      <c r="C872" s="68"/>
      <c r="D872" s="68"/>
      <c r="E872" s="68"/>
      <c r="F872" s="68"/>
      <c r="G872" s="68"/>
      <c r="H872" s="68"/>
      <c r="I872" s="221"/>
      <c r="J872" s="221"/>
      <c r="K872" s="221"/>
      <c r="L872" s="221"/>
      <c r="M872" s="221"/>
      <c r="N872" s="221"/>
      <c r="O872" s="221"/>
      <c r="P872" s="221"/>
      <c r="Q872" s="221"/>
      <c r="R872" s="221"/>
      <c r="S872" s="221"/>
      <c r="T872" s="221"/>
      <c r="U872" s="221"/>
      <c r="V872" s="221"/>
      <c r="W872" s="221"/>
      <c r="X872" s="221"/>
      <c r="Y872" s="221"/>
      <c r="Z872" s="221"/>
      <c r="AA872" s="221"/>
      <c r="AB872" s="297"/>
    </row>
    <row r="873">
      <c r="A873" s="134"/>
      <c r="B873" s="134"/>
      <c r="C873" s="68"/>
      <c r="D873" s="68"/>
      <c r="E873" s="68"/>
      <c r="F873" s="68"/>
      <c r="G873" s="68"/>
      <c r="H873" s="68"/>
      <c r="I873" s="221"/>
      <c r="J873" s="221"/>
      <c r="K873" s="221"/>
      <c r="L873" s="221"/>
      <c r="M873" s="221"/>
      <c r="N873" s="221"/>
      <c r="O873" s="221"/>
      <c r="P873" s="221"/>
      <c r="Q873" s="221"/>
      <c r="R873" s="221"/>
      <c r="S873" s="221"/>
      <c r="T873" s="221"/>
      <c r="U873" s="221"/>
      <c r="V873" s="221"/>
      <c r="W873" s="221"/>
      <c r="X873" s="221"/>
      <c r="Y873" s="221"/>
      <c r="Z873" s="221"/>
      <c r="AA873" s="221"/>
      <c r="AB873" s="297"/>
    </row>
    <row r="874">
      <c r="A874" s="134"/>
      <c r="B874" s="134"/>
      <c r="C874" s="68"/>
      <c r="D874" s="68"/>
      <c r="E874" s="68"/>
      <c r="F874" s="68"/>
      <c r="G874" s="68"/>
      <c r="H874" s="68"/>
      <c r="I874" s="221"/>
      <c r="J874" s="221"/>
      <c r="K874" s="221"/>
      <c r="L874" s="221"/>
      <c r="M874" s="221"/>
      <c r="N874" s="221"/>
      <c r="O874" s="221"/>
      <c r="P874" s="221"/>
      <c r="Q874" s="221"/>
      <c r="R874" s="221"/>
      <c r="S874" s="221"/>
      <c r="T874" s="221"/>
      <c r="U874" s="221"/>
      <c r="V874" s="221"/>
      <c r="W874" s="221"/>
      <c r="X874" s="221"/>
      <c r="Y874" s="221"/>
      <c r="Z874" s="221"/>
      <c r="AA874" s="221"/>
      <c r="AB874" s="297"/>
    </row>
    <row r="875">
      <c r="A875" s="134"/>
      <c r="B875" s="134"/>
      <c r="C875" s="68"/>
      <c r="D875" s="68"/>
      <c r="E875" s="68"/>
      <c r="F875" s="68"/>
      <c r="G875" s="68"/>
      <c r="H875" s="68"/>
      <c r="I875" s="221"/>
      <c r="J875" s="221"/>
      <c r="K875" s="221"/>
      <c r="L875" s="221"/>
      <c r="M875" s="221"/>
      <c r="N875" s="221"/>
      <c r="O875" s="221"/>
      <c r="P875" s="221"/>
      <c r="Q875" s="221"/>
      <c r="R875" s="221"/>
      <c r="S875" s="221"/>
      <c r="T875" s="221"/>
      <c r="U875" s="221"/>
      <c r="V875" s="221"/>
      <c r="W875" s="221"/>
      <c r="X875" s="221"/>
      <c r="Y875" s="221"/>
      <c r="Z875" s="221"/>
      <c r="AA875" s="221"/>
      <c r="AB875" s="297"/>
    </row>
    <row r="876">
      <c r="A876" s="134"/>
      <c r="B876" s="134"/>
      <c r="C876" s="68"/>
      <c r="D876" s="68"/>
      <c r="E876" s="68"/>
      <c r="F876" s="68"/>
      <c r="G876" s="68"/>
      <c r="H876" s="68"/>
      <c r="I876" s="221"/>
      <c r="J876" s="221"/>
      <c r="K876" s="221"/>
      <c r="L876" s="221"/>
      <c r="M876" s="221"/>
      <c r="N876" s="221"/>
      <c r="O876" s="221"/>
      <c r="P876" s="221"/>
      <c r="Q876" s="221"/>
      <c r="R876" s="221"/>
      <c r="S876" s="221"/>
      <c r="T876" s="221"/>
      <c r="U876" s="221"/>
      <c r="V876" s="221"/>
      <c r="W876" s="221"/>
      <c r="X876" s="221"/>
      <c r="Y876" s="221"/>
      <c r="Z876" s="221"/>
      <c r="AA876" s="221"/>
      <c r="AB876" s="297"/>
    </row>
    <row r="877">
      <c r="A877" s="134"/>
      <c r="B877" s="134"/>
      <c r="C877" s="68"/>
      <c r="D877" s="68"/>
      <c r="E877" s="68"/>
      <c r="F877" s="68"/>
      <c r="G877" s="68"/>
      <c r="H877" s="68"/>
      <c r="I877" s="221"/>
      <c r="J877" s="221"/>
      <c r="K877" s="221"/>
      <c r="L877" s="221"/>
      <c r="M877" s="221"/>
      <c r="N877" s="221"/>
      <c r="O877" s="221"/>
      <c r="P877" s="221"/>
      <c r="Q877" s="221"/>
      <c r="R877" s="221"/>
      <c r="S877" s="221"/>
      <c r="T877" s="221"/>
      <c r="U877" s="221"/>
      <c r="V877" s="221"/>
      <c r="W877" s="221"/>
      <c r="X877" s="221"/>
      <c r="Y877" s="221"/>
      <c r="Z877" s="221"/>
      <c r="AA877" s="221"/>
      <c r="AB877" s="297"/>
    </row>
    <row r="878">
      <c r="A878" s="134"/>
      <c r="B878" s="134"/>
      <c r="C878" s="68"/>
      <c r="D878" s="68"/>
      <c r="E878" s="68"/>
      <c r="F878" s="68"/>
      <c r="G878" s="68"/>
      <c r="H878" s="68"/>
      <c r="I878" s="221"/>
      <c r="J878" s="221"/>
      <c r="K878" s="221"/>
      <c r="L878" s="221"/>
      <c r="M878" s="221"/>
      <c r="N878" s="221"/>
      <c r="O878" s="221"/>
      <c r="P878" s="221"/>
      <c r="Q878" s="221"/>
      <c r="R878" s="221"/>
      <c r="S878" s="221"/>
      <c r="T878" s="221"/>
      <c r="U878" s="221"/>
      <c r="V878" s="221"/>
      <c r="W878" s="221"/>
      <c r="X878" s="221"/>
      <c r="Y878" s="221"/>
      <c r="Z878" s="221"/>
      <c r="AA878" s="221"/>
      <c r="AB878" s="297"/>
    </row>
    <row r="879">
      <c r="A879" s="134"/>
      <c r="B879" s="134"/>
      <c r="C879" s="68"/>
      <c r="D879" s="68"/>
      <c r="E879" s="68"/>
      <c r="F879" s="68"/>
      <c r="G879" s="68"/>
      <c r="H879" s="68"/>
      <c r="I879" s="221"/>
      <c r="J879" s="221"/>
      <c r="K879" s="221"/>
      <c r="L879" s="221"/>
      <c r="M879" s="221"/>
      <c r="N879" s="221"/>
      <c r="O879" s="221"/>
      <c r="P879" s="221"/>
      <c r="Q879" s="221"/>
      <c r="R879" s="221"/>
      <c r="S879" s="221"/>
      <c r="T879" s="221"/>
      <c r="U879" s="221"/>
      <c r="V879" s="221"/>
      <c r="W879" s="221"/>
      <c r="X879" s="221"/>
      <c r="Y879" s="221"/>
      <c r="Z879" s="221"/>
      <c r="AA879" s="221"/>
      <c r="AB879" s="297"/>
    </row>
    <row r="880">
      <c r="A880" s="134"/>
      <c r="B880" s="134"/>
      <c r="C880" s="68"/>
      <c r="D880" s="68"/>
      <c r="E880" s="68"/>
      <c r="F880" s="68"/>
      <c r="G880" s="68"/>
      <c r="H880" s="68"/>
      <c r="I880" s="221"/>
      <c r="J880" s="221"/>
      <c r="K880" s="221"/>
      <c r="L880" s="221"/>
      <c r="M880" s="221"/>
      <c r="N880" s="221"/>
      <c r="O880" s="221"/>
      <c r="P880" s="221"/>
      <c r="Q880" s="221"/>
      <c r="R880" s="221"/>
      <c r="S880" s="221"/>
      <c r="T880" s="221"/>
      <c r="U880" s="221"/>
      <c r="V880" s="221"/>
      <c r="W880" s="221"/>
      <c r="X880" s="221"/>
      <c r="Y880" s="221"/>
      <c r="Z880" s="221"/>
      <c r="AA880" s="221"/>
      <c r="AB880" s="297"/>
    </row>
    <row r="881">
      <c r="A881" s="134"/>
      <c r="B881" s="134"/>
      <c r="C881" s="68"/>
      <c r="D881" s="68"/>
      <c r="E881" s="68"/>
      <c r="F881" s="68"/>
      <c r="G881" s="68"/>
      <c r="H881" s="68"/>
      <c r="I881" s="221"/>
      <c r="J881" s="221"/>
      <c r="K881" s="221"/>
      <c r="L881" s="221"/>
      <c r="M881" s="221"/>
      <c r="N881" s="221"/>
      <c r="O881" s="221"/>
      <c r="P881" s="221"/>
      <c r="Q881" s="221"/>
      <c r="R881" s="221"/>
      <c r="S881" s="221"/>
      <c r="T881" s="221"/>
      <c r="U881" s="221"/>
      <c r="V881" s="221"/>
      <c r="W881" s="221"/>
      <c r="X881" s="221"/>
      <c r="Y881" s="221"/>
      <c r="Z881" s="221"/>
      <c r="AA881" s="221"/>
      <c r="AB881" s="297"/>
    </row>
    <row r="882">
      <c r="A882" s="134"/>
      <c r="B882" s="134"/>
      <c r="C882" s="68"/>
      <c r="D882" s="68"/>
      <c r="E882" s="68"/>
      <c r="F882" s="68"/>
      <c r="G882" s="68"/>
      <c r="H882" s="68"/>
      <c r="I882" s="221"/>
      <c r="J882" s="221"/>
      <c r="K882" s="221"/>
      <c r="L882" s="221"/>
      <c r="M882" s="221"/>
      <c r="N882" s="221"/>
      <c r="O882" s="221"/>
      <c r="P882" s="221"/>
      <c r="Q882" s="221"/>
      <c r="R882" s="221"/>
      <c r="S882" s="221"/>
      <c r="T882" s="221"/>
      <c r="U882" s="221"/>
      <c r="V882" s="221"/>
      <c r="W882" s="221"/>
      <c r="X882" s="221"/>
      <c r="Y882" s="221"/>
      <c r="Z882" s="221"/>
      <c r="AA882" s="221"/>
      <c r="AB882" s="297"/>
    </row>
    <row r="883">
      <c r="A883" s="134"/>
      <c r="B883" s="134"/>
      <c r="C883" s="68"/>
      <c r="D883" s="68"/>
      <c r="E883" s="68"/>
      <c r="F883" s="68"/>
      <c r="G883" s="68"/>
      <c r="H883" s="68"/>
      <c r="I883" s="221"/>
      <c r="J883" s="221"/>
      <c r="K883" s="221"/>
      <c r="L883" s="221"/>
      <c r="M883" s="221"/>
      <c r="N883" s="221"/>
      <c r="O883" s="221"/>
      <c r="P883" s="221"/>
      <c r="Q883" s="221"/>
      <c r="R883" s="221"/>
      <c r="S883" s="221"/>
      <c r="T883" s="221"/>
      <c r="U883" s="221"/>
      <c r="V883" s="221"/>
      <c r="W883" s="221"/>
      <c r="X883" s="221"/>
      <c r="Y883" s="221"/>
      <c r="Z883" s="221"/>
      <c r="AA883" s="221"/>
      <c r="AB883" s="297"/>
    </row>
    <row r="884">
      <c r="A884" s="134"/>
      <c r="B884" s="134"/>
      <c r="C884" s="68"/>
      <c r="D884" s="68"/>
      <c r="E884" s="68"/>
      <c r="F884" s="68"/>
      <c r="G884" s="68"/>
      <c r="H884" s="68"/>
      <c r="I884" s="221"/>
      <c r="J884" s="221"/>
      <c r="K884" s="221"/>
      <c r="L884" s="221"/>
      <c r="M884" s="221"/>
      <c r="N884" s="221"/>
      <c r="O884" s="221"/>
      <c r="P884" s="221"/>
      <c r="Q884" s="221"/>
      <c r="R884" s="221"/>
      <c r="S884" s="221"/>
      <c r="T884" s="221"/>
      <c r="U884" s="221"/>
      <c r="V884" s="221"/>
      <c r="W884" s="221"/>
      <c r="X884" s="221"/>
      <c r="Y884" s="221"/>
      <c r="Z884" s="221"/>
      <c r="AA884" s="221"/>
      <c r="AB884" s="297"/>
    </row>
    <row r="885">
      <c r="A885" s="134"/>
      <c r="B885" s="134"/>
      <c r="C885" s="68"/>
      <c r="D885" s="68"/>
      <c r="E885" s="68"/>
      <c r="F885" s="68"/>
      <c r="G885" s="68"/>
      <c r="H885" s="68"/>
      <c r="I885" s="221"/>
      <c r="J885" s="221"/>
      <c r="K885" s="221"/>
      <c r="L885" s="221"/>
      <c r="M885" s="221"/>
      <c r="N885" s="221"/>
      <c r="O885" s="221"/>
      <c r="P885" s="221"/>
      <c r="Q885" s="221"/>
      <c r="R885" s="221"/>
      <c r="S885" s="221"/>
      <c r="T885" s="221"/>
      <c r="U885" s="221"/>
      <c r="V885" s="221"/>
      <c r="W885" s="221"/>
      <c r="X885" s="221"/>
      <c r="Y885" s="221"/>
      <c r="Z885" s="221"/>
      <c r="AA885" s="221"/>
      <c r="AB885" s="297"/>
    </row>
    <row r="886">
      <c r="A886" s="134"/>
      <c r="B886" s="134"/>
      <c r="C886" s="68"/>
      <c r="D886" s="68"/>
      <c r="E886" s="68"/>
      <c r="F886" s="68"/>
      <c r="G886" s="68"/>
      <c r="H886" s="68"/>
      <c r="I886" s="221"/>
      <c r="J886" s="221"/>
      <c r="K886" s="221"/>
      <c r="L886" s="221"/>
      <c r="M886" s="221"/>
      <c r="N886" s="221"/>
      <c r="O886" s="221"/>
      <c r="P886" s="221"/>
      <c r="Q886" s="221"/>
      <c r="R886" s="221"/>
      <c r="S886" s="221"/>
      <c r="T886" s="221"/>
      <c r="U886" s="221"/>
      <c r="V886" s="221"/>
      <c r="W886" s="221"/>
      <c r="X886" s="221"/>
      <c r="Y886" s="221"/>
      <c r="Z886" s="221"/>
      <c r="AA886" s="221"/>
      <c r="AB886" s="297"/>
    </row>
    <row r="887">
      <c r="A887" s="134"/>
      <c r="B887" s="134"/>
      <c r="C887" s="68"/>
      <c r="D887" s="68"/>
      <c r="E887" s="68"/>
      <c r="F887" s="68"/>
      <c r="G887" s="68"/>
      <c r="H887" s="68"/>
      <c r="I887" s="221"/>
      <c r="J887" s="221"/>
      <c r="K887" s="221"/>
      <c r="L887" s="221"/>
      <c r="M887" s="221"/>
      <c r="N887" s="221"/>
      <c r="O887" s="221"/>
      <c r="P887" s="221"/>
      <c r="Q887" s="221"/>
      <c r="R887" s="221"/>
      <c r="S887" s="221"/>
      <c r="T887" s="221"/>
      <c r="U887" s="221"/>
      <c r="V887" s="221"/>
      <c r="W887" s="221"/>
      <c r="X887" s="221"/>
      <c r="Y887" s="221"/>
      <c r="Z887" s="221"/>
      <c r="AA887" s="221"/>
      <c r="AB887" s="297"/>
    </row>
    <row r="888">
      <c r="A888" s="134"/>
      <c r="B888" s="134"/>
      <c r="C888" s="68"/>
      <c r="D888" s="68"/>
      <c r="E888" s="68"/>
      <c r="F888" s="68"/>
      <c r="G888" s="68"/>
      <c r="H888" s="68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97"/>
    </row>
    <row r="889">
      <c r="A889" s="134"/>
      <c r="B889" s="134"/>
      <c r="C889" s="68"/>
      <c r="D889" s="68"/>
      <c r="E889" s="68"/>
      <c r="F889" s="68"/>
      <c r="G889" s="68"/>
      <c r="H889" s="68"/>
      <c r="I889" s="221"/>
      <c r="J889" s="221"/>
      <c r="K889" s="221"/>
      <c r="L889" s="221"/>
      <c r="M889" s="221"/>
      <c r="N889" s="221"/>
      <c r="O889" s="221"/>
      <c r="P889" s="221"/>
      <c r="Q889" s="221"/>
      <c r="R889" s="221"/>
      <c r="S889" s="221"/>
      <c r="T889" s="221"/>
      <c r="U889" s="221"/>
      <c r="V889" s="221"/>
      <c r="W889" s="221"/>
      <c r="X889" s="221"/>
      <c r="Y889" s="221"/>
      <c r="Z889" s="221"/>
      <c r="AA889" s="221"/>
      <c r="AB889" s="297"/>
    </row>
    <row r="890">
      <c r="A890" s="134"/>
      <c r="B890" s="134"/>
      <c r="C890" s="68"/>
      <c r="D890" s="68"/>
      <c r="E890" s="68"/>
      <c r="F890" s="68"/>
      <c r="G890" s="68"/>
      <c r="H890" s="68"/>
      <c r="I890" s="221"/>
      <c r="J890" s="221"/>
      <c r="K890" s="221"/>
      <c r="L890" s="221"/>
      <c r="M890" s="221"/>
      <c r="N890" s="221"/>
      <c r="O890" s="221"/>
      <c r="P890" s="221"/>
      <c r="Q890" s="221"/>
      <c r="R890" s="221"/>
      <c r="S890" s="221"/>
      <c r="T890" s="221"/>
      <c r="U890" s="221"/>
      <c r="V890" s="221"/>
      <c r="W890" s="221"/>
      <c r="X890" s="221"/>
      <c r="Y890" s="221"/>
      <c r="Z890" s="221"/>
      <c r="AA890" s="221"/>
      <c r="AB890" s="297"/>
    </row>
    <row r="891">
      <c r="A891" s="134"/>
      <c r="B891" s="134"/>
      <c r="C891" s="68"/>
      <c r="D891" s="68"/>
      <c r="E891" s="68"/>
      <c r="F891" s="68"/>
      <c r="G891" s="68"/>
      <c r="H891" s="68"/>
      <c r="I891" s="221"/>
      <c r="J891" s="221"/>
      <c r="K891" s="221"/>
      <c r="L891" s="221"/>
      <c r="M891" s="221"/>
      <c r="N891" s="221"/>
      <c r="O891" s="221"/>
      <c r="P891" s="221"/>
      <c r="Q891" s="221"/>
      <c r="R891" s="221"/>
      <c r="S891" s="221"/>
      <c r="T891" s="221"/>
      <c r="U891" s="221"/>
      <c r="V891" s="221"/>
      <c r="W891" s="221"/>
      <c r="X891" s="221"/>
      <c r="Y891" s="221"/>
      <c r="Z891" s="221"/>
      <c r="AA891" s="221"/>
      <c r="AB891" s="297"/>
    </row>
    <row r="892">
      <c r="A892" s="134"/>
      <c r="B892" s="134"/>
      <c r="C892" s="68"/>
      <c r="D892" s="68"/>
      <c r="E892" s="68"/>
      <c r="F892" s="68"/>
      <c r="G892" s="68"/>
      <c r="H892" s="68"/>
      <c r="I892" s="221"/>
      <c r="J892" s="221"/>
      <c r="K892" s="221"/>
      <c r="L892" s="221"/>
      <c r="M892" s="221"/>
      <c r="N892" s="221"/>
      <c r="O892" s="221"/>
      <c r="P892" s="221"/>
      <c r="Q892" s="221"/>
      <c r="R892" s="221"/>
      <c r="S892" s="221"/>
      <c r="T892" s="221"/>
      <c r="U892" s="221"/>
      <c r="V892" s="221"/>
      <c r="W892" s="221"/>
      <c r="X892" s="221"/>
      <c r="Y892" s="221"/>
      <c r="Z892" s="221"/>
      <c r="AA892" s="221"/>
      <c r="AB892" s="297"/>
    </row>
    <row r="893">
      <c r="A893" s="134"/>
      <c r="B893" s="134"/>
      <c r="C893" s="68"/>
      <c r="D893" s="68"/>
      <c r="E893" s="68"/>
      <c r="F893" s="68"/>
      <c r="G893" s="68"/>
      <c r="H893" s="68"/>
      <c r="I893" s="221"/>
      <c r="J893" s="221"/>
      <c r="K893" s="221"/>
      <c r="L893" s="221"/>
      <c r="M893" s="221"/>
      <c r="N893" s="221"/>
      <c r="O893" s="221"/>
      <c r="P893" s="221"/>
      <c r="Q893" s="221"/>
      <c r="R893" s="221"/>
      <c r="S893" s="221"/>
      <c r="T893" s="221"/>
      <c r="U893" s="221"/>
      <c r="V893" s="221"/>
      <c r="W893" s="221"/>
      <c r="X893" s="221"/>
      <c r="Y893" s="221"/>
      <c r="Z893" s="221"/>
      <c r="AA893" s="221"/>
      <c r="AB893" s="297"/>
    </row>
    <row r="894">
      <c r="A894" s="134"/>
      <c r="B894" s="134"/>
      <c r="C894" s="68"/>
      <c r="D894" s="68"/>
      <c r="E894" s="68"/>
      <c r="F894" s="68"/>
      <c r="G894" s="68"/>
      <c r="H894" s="68"/>
      <c r="I894" s="221"/>
      <c r="J894" s="221"/>
      <c r="K894" s="221"/>
      <c r="L894" s="221"/>
      <c r="M894" s="221"/>
      <c r="N894" s="221"/>
      <c r="O894" s="221"/>
      <c r="P894" s="221"/>
      <c r="Q894" s="221"/>
      <c r="R894" s="221"/>
      <c r="S894" s="221"/>
      <c r="T894" s="221"/>
      <c r="U894" s="221"/>
      <c r="V894" s="221"/>
      <c r="W894" s="221"/>
      <c r="X894" s="221"/>
      <c r="Y894" s="221"/>
      <c r="Z894" s="221"/>
      <c r="AA894" s="221"/>
      <c r="AB894" s="297"/>
    </row>
    <row r="895">
      <c r="A895" s="134"/>
      <c r="B895" s="134"/>
      <c r="C895" s="68"/>
      <c r="D895" s="68"/>
      <c r="E895" s="68"/>
      <c r="F895" s="68"/>
      <c r="G895" s="68"/>
      <c r="H895" s="68"/>
      <c r="I895" s="221"/>
      <c r="J895" s="221"/>
      <c r="K895" s="221"/>
      <c r="L895" s="221"/>
      <c r="M895" s="221"/>
      <c r="N895" s="221"/>
      <c r="O895" s="221"/>
      <c r="P895" s="221"/>
      <c r="Q895" s="221"/>
      <c r="R895" s="221"/>
      <c r="S895" s="221"/>
      <c r="T895" s="221"/>
      <c r="U895" s="221"/>
      <c r="V895" s="221"/>
      <c r="W895" s="221"/>
      <c r="X895" s="221"/>
      <c r="Y895" s="221"/>
      <c r="Z895" s="221"/>
      <c r="AA895" s="221"/>
      <c r="AB895" s="297"/>
    </row>
    <row r="896">
      <c r="A896" s="134"/>
      <c r="B896" s="134"/>
      <c r="C896" s="68"/>
      <c r="D896" s="68"/>
      <c r="E896" s="68"/>
      <c r="F896" s="68"/>
      <c r="G896" s="68"/>
      <c r="H896" s="68"/>
      <c r="I896" s="221"/>
      <c r="J896" s="221"/>
      <c r="K896" s="221"/>
      <c r="L896" s="221"/>
      <c r="M896" s="221"/>
      <c r="N896" s="221"/>
      <c r="O896" s="221"/>
      <c r="P896" s="221"/>
      <c r="Q896" s="221"/>
      <c r="R896" s="221"/>
      <c r="S896" s="221"/>
      <c r="T896" s="221"/>
      <c r="U896" s="221"/>
      <c r="V896" s="221"/>
      <c r="W896" s="221"/>
      <c r="X896" s="221"/>
      <c r="Y896" s="221"/>
      <c r="Z896" s="221"/>
      <c r="AA896" s="221"/>
      <c r="AB896" s="297"/>
    </row>
    <row r="897">
      <c r="A897" s="134"/>
      <c r="B897" s="134"/>
      <c r="C897" s="68"/>
      <c r="D897" s="68"/>
      <c r="E897" s="68"/>
      <c r="F897" s="68"/>
      <c r="G897" s="68"/>
      <c r="H897" s="68"/>
      <c r="I897" s="221"/>
      <c r="J897" s="221"/>
      <c r="K897" s="221"/>
      <c r="L897" s="221"/>
      <c r="M897" s="221"/>
      <c r="N897" s="221"/>
      <c r="O897" s="221"/>
      <c r="P897" s="221"/>
      <c r="Q897" s="221"/>
      <c r="R897" s="221"/>
      <c r="S897" s="221"/>
      <c r="T897" s="221"/>
      <c r="U897" s="221"/>
      <c r="V897" s="221"/>
      <c r="W897" s="221"/>
      <c r="X897" s="221"/>
      <c r="Y897" s="221"/>
      <c r="Z897" s="221"/>
      <c r="AA897" s="221"/>
      <c r="AB897" s="297"/>
    </row>
    <row r="898">
      <c r="A898" s="134"/>
      <c r="B898" s="134"/>
      <c r="C898" s="68"/>
      <c r="D898" s="68"/>
      <c r="E898" s="68"/>
      <c r="F898" s="68"/>
      <c r="G898" s="68"/>
      <c r="H898" s="68"/>
      <c r="I898" s="221"/>
      <c r="J898" s="221"/>
      <c r="K898" s="221"/>
      <c r="L898" s="221"/>
      <c r="M898" s="221"/>
      <c r="N898" s="221"/>
      <c r="O898" s="221"/>
      <c r="P898" s="221"/>
      <c r="Q898" s="221"/>
      <c r="R898" s="221"/>
      <c r="S898" s="221"/>
      <c r="T898" s="221"/>
      <c r="U898" s="221"/>
      <c r="V898" s="221"/>
      <c r="W898" s="221"/>
      <c r="X898" s="221"/>
      <c r="Y898" s="221"/>
      <c r="Z898" s="221"/>
      <c r="AA898" s="221"/>
      <c r="AB898" s="297"/>
    </row>
    <row r="899">
      <c r="A899" s="134"/>
      <c r="B899" s="134"/>
      <c r="C899" s="68"/>
      <c r="D899" s="68"/>
      <c r="E899" s="68"/>
      <c r="F899" s="68"/>
      <c r="G899" s="68"/>
      <c r="H899" s="68"/>
      <c r="I899" s="221"/>
      <c r="J899" s="221"/>
      <c r="K899" s="221"/>
      <c r="L899" s="221"/>
      <c r="M899" s="221"/>
      <c r="N899" s="221"/>
      <c r="O899" s="221"/>
      <c r="P899" s="221"/>
      <c r="Q899" s="221"/>
      <c r="R899" s="221"/>
      <c r="S899" s="221"/>
      <c r="T899" s="221"/>
      <c r="U899" s="221"/>
      <c r="V899" s="221"/>
      <c r="W899" s="221"/>
      <c r="X899" s="221"/>
      <c r="Y899" s="221"/>
      <c r="Z899" s="221"/>
      <c r="AA899" s="221"/>
      <c r="AB899" s="297"/>
    </row>
    <row r="900">
      <c r="A900" s="134"/>
      <c r="B900" s="134"/>
      <c r="C900" s="68"/>
      <c r="D900" s="68"/>
      <c r="E900" s="68"/>
      <c r="F900" s="68"/>
      <c r="G900" s="68"/>
      <c r="H900" s="68"/>
      <c r="I900" s="221"/>
      <c r="J900" s="221"/>
      <c r="K900" s="221"/>
      <c r="L900" s="221"/>
      <c r="M900" s="221"/>
      <c r="N900" s="221"/>
      <c r="O900" s="221"/>
      <c r="P900" s="221"/>
      <c r="Q900" s="221"/>
      <c r="R900" s="221"/>
      <c r="S900" s="221"/>
      <c r="T900" s="221"/>
      <c r="U900" s="221"/>
      <c r="V900" s="221"/>
      <c r="W900" s="221"/>
      <c r="X900" s="221"/>
      <c r="Y900" s="221"/>
      <c r="Z900" s="221"/>
      <c r="AA900" s="221"/>
      <c r="AB900" s="297"/>
    </row>
    <row r="901">
      <c r="A901" s="134"/>
      <c r="B901" s="134"/>
      <c r="C901" s="68"/>
      <c r="D901" s="68"/>
      <c r="E901" s="68"/>
      <c r="F901" s="68"/>
      <c r="G901" s="68"/>
      <c r="H901" s="68"/>
      <c r="I901" s="221"/>
      <c r="J901" s="221"/>
      <c r="K901" s="221"/>
      <c r="L901" s="221"/>
      <c r="M901" s="221"/>
      <c r="N901" s="221"/>
      <c r="O901" s="221"/>
      <c r="P901" s="221"/>
      <c r="Q901" s="221"/>
      <c r="R901" s="221"/>
      <c r="S901" s="221"/>
      <c r="T901" s="221"/>
      <c r="U901" s="221"/>
      <c r="V901" s="221"/>
      <c r="W901" s="221"/>
      <c r="X901" s="221"/>
      <c r="Y901" s="221"/>
      <c r="Z901" s="221"/>
      <c r="AA901" s="221"/>
      <c r="AB901" s="297"/>
    </row>
    <row r="902">
      <c r="A902" s="134"/>
      <c r="B902" s="134"/>
      <c r="C902" s="68"/>
      <c r="D902" s="68"/>
      <c r="E902" s="68"/>
      <c r="F902" s="68"/>
      <c r="G902" s="68"/>
      <c r="H902" s="68"/>
      <c r="I902" s="221"/>
      <c r="J902" s="221"/>
      <c r="K902" s="221"/>
      <c r="L902" s="221"/>
      <c r="M902" s="221"/>
      <c r="N902" s="221"/>
      <c r="O902" s="221"/>
      <c r="P902" s="221"/>
      <c r="Q902" s="221"/>
      <c r="R902" s="221"/>
      <c r="S902" s="221"/>
      <c r="T902" s="221"/>
      <c r="U902" s="221"/>
      <c r="V902" s="221"/>
      <c r="W902" s="221"/>
      <c r="X902" s="221"/>
      <c r="Y902" s="221"/>
      <c r="Z902" s="221"/>
      <c r="AA902" s="221"/>
      <c r="AB902" s="297"/>
    </row>
    <row r="903">
      <c r="A903" s="134"/>
      <c r="B903" s="134"/>
      <c r="C903" s="68"/>
      <c r="D903" s="68"/>
      <c r="E903" s="68"/>
      <c r="F903" s="68"/>
      <c r="G903" s="68"/>
      <c r="H903" s="68"/>
      <c r="I903" s="221"/>
      <c r="J903" s="221"/>
      <c r="K903" s="221"/>
      <c r="L903" s="221"/>
      <c r="M903" s="221"/>
      <c r="N903" s="221"/>
      <c r="O903" s="221"/>
      <c r="P903" s="221"/>
      <c r="Q903" s="221"/>
      <c r="R903" s="221"/>
      <c r="S903" s="221"/>
      <c r="T903" s="221"/>
      <c r="U903" s="221"/>
      <c r="V903" s="221"/>
      <c r="W903" s="221"/>
      <c r="X903" s="221"/>
      <c r="Y903" s="221"/>
      <c r="Z903" s="221"/>
      <c r="AA903" s="221"/>
      <c r="AB903" s="297"/>
    </row>
    <row r="904">
      <c r="A904" s="134"/>
      <c r="B904" s="134"/>
      <c r="C904" s="68"/>
      <c r="D904" s="68"/>
      <c r="E904" s="68"/>
      <c r="F904" s="68"/>
      <c r="G904" s="68"/>
      <c r="H904" s="68"/>
      <c r="I904" s="221"/>
      <c r="J904" s="221"/>
      <c r="K904" s="221"/>
      <c r="L904" s="221"/>
      <c r="M904" s="221"/>
      <c r="N904" s="221"/>
      <c r="O904" s="221"/>
      <c r="P904" s="221"/>
      <c r="Q904" s="221"/>
      <c r="R904" s="221"/>
      <c r="S904" s="221"/>
      <c r="T904" s="221"/>
      <c r="U904" s="221"/>
      <c r="V904" s="221"/>
      <c r="W904" s="221"/>
      <c r="X904" s="221"/>
      <c r="Y904" s="221"/>
      <c r="Z904" s="221"/>
      <c r="AA904" s="221"/>
      <c r="AB904" s="297"/>
    </row>
    <row r="905">
      <c r="A905" s="134"/>
      <c r="B905" s="134"/>
      <c r="C905" s="68"/>
      <c r="D905" s="68"/>
      <c r="E905" s="68"/>
      <c r="F905" s="68"/>
      <c r="G905" s="68"/>
      <c r="H905" s="68"/>
      <c r="I905" s="221"/>
      <c r="J905" s="221"/>
      <c r="K905" s="221"/>
      <c r="L905" s="221"/>
      <c r="M905" s="221"/>
      <c r="N905" s="221"/>
      <c r="O905" s="221"/>
      <c r="P905" s="221"/>
      <c r="Q905" s="221"/>
      <c r="R905" s="221"/>
      <c r="S905" s="221"/>
      <c r="T905" s="221"/>
      <c r="U905" s="221"/>
      <c r="V905" s="221"/>
      <c r="W905" s="221"/>
      <c r="X905" s="221"/>
      <c r="Y905" s="221"/>
      <c r="Z905" s="221"/>
      <c r="AA905" s="221"/>
      <c r="AB905" s="297"/>
    </row>
    <row r="906">
      <c r="A906" s="134"/>
      <c r="B906" s="134"/>
      <c r="C906" s="68"/>
      <c r="D906" s="68"/>
      <c r="E906" s="68"/>
      <c r="F906" s="68"/>
      <c r="G906" s="68"/>
      <c r="H906" s="68"/>
      <c r="I906" s="221"/>
      <c r="J906" s="221"/>
      <c r="K906" s="221"/>
      <c r="L906" s="221"/>
      <c r="M906" s="221"/>
      <c r="N906" s="221"/>
      <c r="O906" s="221"/>
      <c r="P906" s="221"/>
      <c r="Q906" s="221"/>
      <c r="R906" s="221"/>
      <c r="S906" s="221"/>
      <c r="T906" s="221"/>
      <c r="U906" s="221"/>
      <c r="V906" s="221"/>
      <c r="W906" s="221"/>
      <c r="X906" s="221"/>
      <c r="Y906" s="221"/>
      <c r="Z906" s="221"/>
      <c r="AA906" s="221"/>
      <c r="AB906" s="297"/>
    </row>
    <row r="907">
      <c r="A907" s="134"/>
      <c r="B907" s="134"/>
      <c r="C907" s="68"/>
      <c r="D907" s="68"/>
      <c r="E907" s="68"/>
      <c r="F907" s="68"/>
      <c r="G907" s="68"/>
      <c r="H907" s="68"/>
      <c r="I907" s="221"/>
      <c r="J907" s="221"/>
      <c r="K907" s="221"/>
      <c r="L907" s="221"/>
      <c r="M907" s="221"/>
      <c r="N907" s="221"/>
      <c r="O907" s="221"/>
      <c r="P907" s="221"/>
      <c r="Q907" s="221"/>
      <c r="R907" s="221"/>
      <c r="S907" s="221"/>
      <c r="T907" s="221"/>
      <c r="U907" s="221"/>
      <c r="V907" s="221"/>
      <c r="W907" s="221"/>
      <c r="X907" s="221"/>
      <c r="Y907" s="221"/>
      <c r="Z907" s="221"/>
      <c r="AA907" s="221"/>
      <c r="AB907" s="297"/>
    </row>
    <row r="908">
      <c r="A908" s="134"/>
      <c r="B908" s="134"/>
      <c r="C908" s="68"/>
      <c r="D908" s="68"/>
      <c r="E908" s="68"/>
      <c r="F908" s="68"/>
      <c r="G908" s="68"/>
      <c r="H908" s="68"/>
      <c r="I908" s="221"/>
      <c r="J908" s="221"/>
      <c r="K908" s="221"/>
      <c r="L908" s="221"/>
      <c r="M908" s="221"/>
      <c r="N908" s="221"/>
      <c r="O908" s="221"/>
      <c r="P908" s="221"/>
      <c r="Q908" s="221"/>
      <c r="R908" s="221"/>
      <c r="S908" s="221"/>
      <c r="T908" s="221"/>
      <c r="U908" s="221"/>
      <c r="V908" s="221"/>
      <c r="W908" s="221"/>
      <c r="X908" s="221"/>
      <c r="Y908" s="221"/>
      <c r="Z908" s="221"/>
      <c r="AA908" s="221"/>
      <c r="AB908" s="297"/>
    </row>
    <row r="909">
      <c r="A909" s="134"/>
      <c r="B909" s="134"/>
      <c r="C909" s="68"/>
      <c r="D909" s="68"/>
      <c r="E909" s="68"/>
      <c r="F909" s="68"/>
      <c r="G909" s="68"/>
      <c r="H909" s="68"/>
      <c r="I909" s="221"/>
      <c r="J909" s="221"/>
      <c r="K909" s="221"/>
      <c r="L909" s="221"/>
      <c r="M909" s="221"/>
      <c r="N909" s="221"/>
      <c r="O909" s="221"/>
      <c r="P909" s="221"/>
      <c r="Q909" s="221"/>
      <c r="R909" s="221"/>
      <c r="S909" s="221"/>
      <c r="T909" s="221"/>
      <c r="U909" s="221"/>
      <c r="V909" s="221"/>
      <c r="W909" s="221"/>
      <c r="X909" s="221"/>
      <c r="Y909" s="221"/>
      <c r="Z909" s="221"/>
      <c r="AA909" s="221"/>
      <c r="AB909" s="297"/>
    </row>
    <row r="910">
      <c r="A910" s="134"/>
      <c r="B910" s="134"/>
      <c r="C910" s="68"/>
      <c r="D910" s="68"/>
      <c r="E910" s="68"/>
      <c r="F910" s="68"/>
      <c r="G910" s="68"/>
      <c r="H910" s="68"/>
      <c r="I910" s="221"/>
      <c r="J910" s="221"/>
      <c r="K910" s="221"/>
      <c r="L910" s="221"/>
      <c r="M910" s="221"/>
      <c r="N910" s="221"/>
      <c r="O910" s="221"/>
      <c r="P910" s="221"/>
      <c r="Q910" s="221"/>
      <c r="R910" s="221"/>
      <c r="S910" s="221"/>
      <c r="T910" s="221"/>
      <c r="U910" s="221"/>
      <c r="V910" s="221"/>
      <c r="W910" s="221"/>
      <c r="X910" s="221"/>
      <c r="Y910" s="221"/>
      <c r="Z910" s="221"/>
      <c r="AA910" s="221"/>
      <c r="AB910" s="297"/>
    </row>
    <row r="911">
      <c r="A911" s="134"/>
      <c r="B911" s="134"/>
      <c r="C911" s="68"/>
      <c r="D911" s="68"/>
      <c r="E911" s="68"/>
      <c r="F911" s="68"/>
      <c r="G911" s="68"/>
      <c r="H911" s="68"/>
      <c r="I911" s="221"/>
      <c r="J911" s="221"/>
      <c r="K911" s="221"/>
      <c r="L911" s="221"/>
      <c r="M911" s="221"/>
      <c r="N911" s="221"/>
      <c r="O911" s="221"/>
      <c r="P911" s="221"/>
      <c r="Q911" s="221"/>
      <c r="R911" s="221"/>
      <c r="S911" s="221"/>
      <c r="T911" s="221"/>
      <c r="U911" s="221"/>
      <c r="V911" s="221"/>
      <c r="W911" s="221"/>
      <c r="X911" s="221"/>
      <c r="Y911" s="221"/>
      <c r="Z911" s="221"/>
      <c r="AA911" s="221"/>
      <c r="AB911" s="297"/>
    </row>
    <row r="912">
      <c r="A912" s="134"/>
      <c r="B912" s="134"/>
      <c r="C912" s="68"/>
      <c r="D912" s="68"/>
      <c r="E912" s="68"/>
      <c r="F912" s="68"/>
      <c r="G912" s="68"/>
      <c r="H912" s="68"/>
      <c r="I912" s="221"/>
      <c r="J912" s="221"/>
      <c r="K912" s="221"/>
      <c r="L912" s="221"/>
      <c r="M912" s="221"/>
      <c r="N912" s="221"/>
      <c r="O912" s="221"/>
      <c r="P912" s="221"/>
      <c r="Q912" s="221"/>
      <c r="R912" s="221"/>
      <c r="S912" s="221"/>
      <c r="T912" s="221"/>
      <c r="U912" s="221"/>
      <c r="V912" s="221"/>
      <c r="W912" s="221"/>
      <c r="X912" s="221"/>
      <c r="Y912" s="221"/>
      <c r="Z912" s="221"/>
      <c r="AA912" s="221"/>
      <c r="AB912" s="297"/>
    </row>
    <row r="913">
      <c r="A913" s="134"/>
      <c r="B913" s="134"/>
      <c r="C913" s="68"/>
      <c r="D913" s="68"/>
      <c r="E913" s="68"/>
      <c r="F913" s="68"/>
      <c r="G913" s="68"/>
      <c r="H913" s="68"/>
      <c r="I913" s="221"/>
      <c r="J913" s="221"/>
      <c r="K913" s="221"/>
      <c r="L913" s="221"/>
      <c r="M913" s="221"/>
      <c r="N913" s="221"/>
      <c r="O913" s="221"/>
      <c r="P913" s="221"/>
      <c r="Q913" s="221"/>
      <c r="R913" s="221"/>
      <c r="S913" s="221"/>
      <c r="T913" s="221"/>
      <c r="U913" s="221"/>
      <c r="V913" s="221"/>
      <c r="W913" s="221"/>
      <c r="X913" s="221"/>
      <c r="Y913" s="221"/>
      <c r="Z913" s="221"/>
      <c r="AA913" s="221"/>
      <c r="AB913" s="297"/>
    </row>
    <row r="914">
      <c r="A914" s="134"/>
      <c r="B914" s="134"/>
      <c r="C914" s="68"/>
      <c r="D914" s="68"/>
      <c r="E914" s="68"/>
      <c r="F914" s="68"/>
      <c r="G914" s="68"/>
      <c r="H914" s="68"/>
      <c r="I914" s="221"/>
      <c r="J914" s="221"/>
      <c r="K914" s="221"/>
      <c r="L914" s="221"/>
      <c r="M914" s="221"/>
      <c r="N914" s="221"/>
      <c r="O914" s="221"/>
      <c r="P914" s="221"/>
      <c r="Q914" s="221"/>
      <c r="R914" s="221"/>
      <c r="S914" s="221"/>
      <c r="T914" s="221"/>
      <c r="U914" s="221"/>
      <c r="V914" s="221"/>
      <c r="W914" s="221"/>
      <c r="X914" s="221"/>
      <c r="Y914" s="221"/>
      <c r="Z914" s="221"/>
      <c r="AA914" s="221"/>
      <c r="AB914" s="297"/>
    </row>
    <row r="915">
      <c r="A915" s="134"/>
      <c r="B915" s="134"/>
      <c r="C915" s="68"/>
      <c r="D915" s="68"/>
      <c r="E915" s="68"/>
      <c r="F915" s="68"/>
      <c r="G915" s="68"/>
      <c r="H915" s="68"/>
      <c r="I915" s="221"/>
      <c r="J915" s="221"/>
      <c r="K915" s="221"/>
      <c r="L915" s="221"/>
      <c r="M915" s="221"/>
      <c r="N915" s="221"/>
      <c r="O915" s="221"/>
      <c r="P915" s="221"/>
      <c r="Q915" s="221"/>
      <c r="R915" s="221"/>
      <c r="S915" s="221"/>
      <c r="T915" s="221"/>
      <c r="U915" s="221"/>
      <c r="V915" s="221"/>
      <c r="W915" s="221"/>
      <c r="X915" s="221"/>
      <c r="Y915" s="221"/>
      <c r="Z915" s="221"/>
      <c r="AA915" s="221"/>
      <c r="AB915" s="297"/>
    </row>
    <row r="916">
      <c r="A916" s="134"/>
      <c r="B916" s="134"/>
      <c r="C916" s="68"/>
      <c r="D916" s="68"/>
      <c r="E916" s="68"/>
      <c r="F916" s="68"/>
      <c r="G916" s="68"/>
      <c r="H916" s="68"/>
      <c r="I916" s="221"/>
      <c r="J916" s="221"/>
      <c r="K916" s="221"/>
      <c r="L916" s="221"/>
      <c r="M916" s="221"/>
      <c r="N916" s="221"/>
      <c r="O916" s="221"/>
      <c r="P916" s="221"/>
      <c r="Q916" s="221"/>
      <c r="R916" s="221"/>
      <c r="S916" s="221"/>
      <c r="T916" s="221"/>
      <c r="U916" s="221"/>
      <c r="V916" s="221"/>
      <c r="W916" s="221"/>
      <c r="X916" s="221"/>
      <c r="Y916" s="221"/>
      <c r="Z916" s="221"/>
      <c r="AA916" s="221"/>
      <c r="AB916" s="297"/>
    </row>
    <row r="917">
      <c r="A917" s="134"/>
      <c r="B917" s="134"/>
      <c r="C917" s="68"/>
      <c r="D917" s="68"/>
      <c r="E917" s="68"/>
      <c r="F917" s="68"/>
      <c r="G917" s="68"/>
      <c r="H917" s="68"/>
      <c r="I917" s="221"/>
      <c r="J917" s="221"/>
      <c r="K917" s="221"/>
      <c r="L917" s="221"/>
      <c r="M917" s="221"/>
      <c r="N917" s="221"/>
      <c r="O917" s="221"/>
      <c r="P917" s="221"/>
      <c r="Q917" s="221"/>
      <c r="R917" s="221"/>
      <c r="S917" s="221"/>
      <c r="T917" s="221"/>
      <c r="U917" s="221"/>
      <c r="V917" s="221"/>
      <c r="W917" s="221"/>
      <c r="X917" s="221"/>
      <c r="Y917" s="221"/>
      <c r="Z917" s="221"/>
      <c r="AA917" s="221"/>
      <c r="AB917" s="297"/>
    </row>
    <row r="918">
      <c r="A918" s="134"/>
      <c r="B918" s="134"/>
      <c r="C918" s="68"/>
      <c r="D918" s="68"/>
      <c r="E918" s="68"/>
      <c r="F918" s="68"/>
      <c r="G918" s="68"/>
      <c r="H918" s="68"/>
      <c r="I918" s="221"/>
      <c r="J918" s="221"/>
      <c r="K918" s="221"/>
      <c r="L918" s="221"/>
      <c r="M918" s="221"/>
      <c r="N918" s="221"/>
      <c r="O918" s="221"/>
      <c r="P918" s="221"/>
      <c r="Q918" s="221"/>
      <c r="R918" s="221"/>
      <c r="S918" s="221"/>
      <c r="T918" s="221"/>
      <c r="U918" s="221"/>
      <c r="V918" s="221"/>
      <c r="W918" s="221"/>
      <c r="X918" s="221"/>
      <c r="Y918" s="221"/>
      <c r="Z918" s="221"/>
      <c r="AA918" s="221"/>
      <c r="AB918" s="297"/>
    </row>
    <row r="919">
      <c r="A919" s="134"/>
      <c r="B919" s="134"/>
      <c r="C919" s="68"/>
      <c r="D919" s="68"/>
      <c r="E919" s="68"/>
      <c r="F919" s="68"/>
      <c r="G919" s="68"/>
      <c r="H919" s="68"/>
      <c r="I919" s="221"/>
      <c r="J919" s="221"/>
      <c r="K919" s="221"/>
      <c r="L919" s="221"/>
      <c r="M919" s="221"/>
      <c r="N919" s="221"/>
      <c r="O919" s="221"/>
      <c r="P919" s="221"/>
      <c r="Q919" s="221"/>
      <c r="R919" s="221"/>
      <c r="S919" s="221"/>
      <c r="T919" s="221"/>
      <c r="U919" s="221"/>
      <c r="V919" s="221"/>
      <c r="W919" s="221"/>
      <c r="X919" s="221"/>
      <c r="Y919" s="221"/>
      <c r="Z919" s="221"/>
      <c r="AA919" s="221"/>
      <c r="AB919" s="297"/>
    </row>
    <row r="920">
      <c r="A920" s="134"/>
      <c r="B920" s="134"/>
      <c r="C920" s="68"/>
      <c r="D920" s="68"/>
      <c r="E920" s="68"/>
      <c r="F920" s="68"/>
      <c r="G920" s="68"/>
      <c r="H920" s="68"/>
      <c r="I920" s="221"/>
      <c r="J920" s="221"/>
      <c r="K920" s="221"/>
      <c r="L920" s="221"/>
      <c r="M920" s="221"/>
      <c r="N920" s="221"/>
      <c r="O920" s="221"/>
      <c r="P920" s="221"/>
      <c r="Q920" s="221"/>
      <c r="R920" s="221"/>
      <c r="S920" s="221"/>
      <c r="T920" s="221"/>
      <c r="U920" s="221"/>
      <c r="V920" s="221"/>
      <c r="W920" s="221"/>
      <c r="X920" s="221"/>
      <c r="Y920" s="221"/>
      <c r="Z920" s="221"/>
      <c r="AA920" s="221"/>
      <c r="AB920" s="297"/>
    </row>
    <row r="921">
      <c r="A921" s="134"/>
      <c r="B921" s="134"/>
      <c r="C921" s="68"/>
      <c r="D921" s="68"/>
      <c r="E921" s="68"/>
      <c r="F921" s="68"/>
      <c r="G921" s="68"/>
      <c r="H921" s="68"/>
      <c r="I921" s="221"/>
      <c r="J921" s="221"/>
      <c r="K921" s="221"/>
      <c r="L921" s="221"/>
      <c r="M921" s="221"/>
      <c r="N921" s="221"/>
      <c r="O921" s="221"/>
      <c r="P921" s="221"/>
      <c r="Q921" s="221"/>
      <c r="R921" s="221"/>
      <c r="S921" s="221"/>
      <c r="T921" s="221"/>
      <c r="U921" s="221"/>
      <c r="V921" s="221"/>
      <c r="W921" s="221"/>
      <c r="X921" s="221"/>
      <c r="Y921" s="221"/>
      <c r="Z921" s="221"/>
      <c r="AA921" s="221"/>
      <c r="AB921" s="297"/>
    </row>
    <row r="922">
      <c r="A922" s="134"/>
      <c r="B922" s="134"/>
      <c r="C922" s="68"/>
      <c r="D922" s="68"/>
      <c r="E922" s="68"/>
      <c r="F922" s="68"/>
      <c r="G922" s="68"/>
      <c r="H922" s="68"/>
      <c r="I922" s="221"/>
      <c r="J922" s="221"/>
      <c r="K922" s="221"/>
      <c r="L922" s="221"/>
      <c r="M922" s="221"/>
      <c r="N922" s="221"/>
      <c r="O922" s="221"/>
      <c r="P922" s="221"/>
      <c r="Q922" s="221"/>
      <c r="R922" s="221"/>
      <c r="S922" s="221"/>
      <c r="T922" s="221"/>
      <c r="U922" s="221"/>
      <c r="V922" s="221"/>
      <c r="W922" s="221"/>
      <c r="X922" s="221"/>
      <c r="Y922" s="221"/>
      <c r="Z922" s="221"/>
      <c r="AA922" s="221"/>
      <c r="AB922" s="297"/>
    </row>
    <row r="923">
      <c r="A923" s="134"/>
      <c r="B923" s="134"/>
      <c r="C923" s="68"/>
      <c r="D923" s="68"/>
      <c r="E923" s="68"/>
      <c r="F923" s="68"/>
      <c r="G923" s="68"/>
      <c r="H923" s="68"/>
      <c r="I923" s="221"/>
      <c r="J923" s="221"/>
      <c r="K923" s="221"/>
      <c r="L923" s="221"/>
      <c r="M923" s="221"/>
      <c r="N923" s="221"/>
      <c r="O923" s="221"/>
      <c r="P923" s="221"/>
      <c r="Q923" s="221"/>
      <c r="R923" s="221"/>
      <c r="S923" s="221"/>
      <c r="T923" s="221"/>
      <c r="U923" s="221"/>
      <c r="V923" s="221"/>
      <c r="W923" s="221"/>
      <c r="X923" s="221"/>
      <c r="Y923" s="221"/>
      <c r="Z923" s="221"/>
      <c r="AA923" s="221"/>
      <c r="AB923" s="297"/>
    </row>
    <row r="924">
      <c r="A924" s="134"/>
      <c r="B924" s="134"/>
      <c r="C924" s="68"/>
      <c r="D924" s="68"/>
      <c r="E924" s="68"/>
      <c r="F924" s="68"/>
      <c r="G924" s="68"/>
      <c r="H924" s="68"/>
      <c r="I924" s="221"/>
      <c r="J924" s="221"/>
      <c r="K924" s="221"/>
      <c r="L924" s="221"/>
      <c r="M924" s="221"/>
      <c r="N924" s="221"/>
      <c r="O924" s="221"/>
      <c r="P924" s="221"/>
      <c r="Q924" s="221"/>
      <c r="R924" s="221"/>
      <c r="S924" s="221"/>
      <c r="T924" s="221"/>
      <c r="U924" s="221"/>
      <c r="V924" s="221"/>
      <c r="W924" s="221"/>
      <c r="X924" s="221"/>
      <c r="Y924" s="221"/>
      <c r="Z924" s="221"/>
      <c r="AA924" s="221"/>
      <c r="AB924" s="297"/>
    </row>
    <row r="925">
      <c r="A925" s="134"/>
      <c r="B925" s="134"/>
      <c r="C925" s="68"/>
      <c r="D925" s="68"/>
      <c r="E925" s="68"/>
      <c r="F925" s="68"/>
      <c r="G925" s="68"/>
      <c r="H925" s="68"/>
      <c r="I925" s="221"/>
      <c r="J925" s="221"/>
      <c r="K925" s="221"/>
      <c r="L925" s="221"/>
      <c r="M925" s="221"/>
      <c r="N925" s="221"/>
      <c r="O925" s="221"/>
      <c r="P925" s="221"/>
      <c r="Q925" s="221"/>
      <c r="R925" s="221"/>
      <c r="S925" s="221"/>
      <c r="T925" s="221"/>
      <c r="U925" s="221"/>
      <c r="V925" s="221"/>
      <c r="W925" s="221"/>
      <c r="X925" s="221"/>
      <c r="Y925" s="221"/>
      <c r="Z925" s="221"/>
      <c r="AA925" s="221"/>
      <c r="AB925" s="297"/>
    </row>
    <row r="926">
      <c r="A926" s="134"/>
      <c r="B926" s="134"/>
      <c r="C926" s="68"/>
      <c r="D926" s="68"/>
      <c r="E926" s="68"/>
      <c r="F926" s="68"/>
      <c r="G926" s="68"/>
      <c r="H926" s="68"/>
      <c r="I926" s="221"/>
      <c r="J926" s="221"/>
      <c r="K926" s="221"/>
      <c r="L926" s="221"/>
      <c r="M926" s="221"/>
      <c r="N926" s="221"/>
      <c r="O926" s="221"/>
      <c r="P926" s="221"/>
      <c r="Q926" s="221"/>
      <c r="R926" s="221"/>
      <c r="S926" s="221"/>
      <c r="T926" s="221"/>
      <c r="U926" s="221"/>
      <c r="V926" s="221"/>
      <c r="W926" s="221"/>
      <c r="X926" s="221"/>
      <c r="Y926" s="221"/>
      <c r="Z926" s="221"/>
      <c r="AA926" s="221"/>
      <c r="AB926" s="297"/>
    </row>
    <row r="927">
      <c r="A927" s="134"/>
      <c r="B927" s="134"/>
      <c r="C927" s="68"/>
      <c r="D927" s="68"/>
      <c r="E927" s="68"/>
      <c r="F927" s="68"/>
      <c r="G927" s="68"/>
      <c r="H927" s="68"/>
      <c r="I927" s="221"/>
      <c r="J927" s="221"/>
      <c r="K927" s="221"/>
      <c r="L927" s="221"/>
      <c r="M927" s="221"/>
      <c r="N927" s="221"/>
      <c r="O927" s="221"/>
      <c r="P927" s="221"/>
      <c r="Q927" s="221"/>
      <c r="R927" s="221"/>
      <c r="S927" s="221"/>
      <c r="T927" s="221"/>
      <c r="U927" s="221"/>
      <c r="V927" s="221"/>
      <c r="W927" s="221"/>
      <c r="X927" s="221"/>
      <c r="Y927" s="221"/>
      <c r="Z927" s="221"/>
      <c r="AA927" s="221"/>
      <c r="AB927" s="297"/>
    </row>
    <row r="928">
      <c r="A928" s="134"/>
      <c r="B928" s="134"/>
      <c r="C928" s="68"/>
      <c r="D928" s="68"/>
      <c r="E928" s="68"/>
      <c r="F928" s="68"/>
      <c r="G928" s="68"/>
      <c r="H928" s="68"/>
      <c r="I928" s="221"/>
      <c r="J928" s="221"/>
      <c r="K928" s="221"/>
      <c r="L928" s="221"/>
      <c r="M928" s="221"/>
      <c r="N928" s="221"/>
      <c r="O928" s="221"/>
      <c r="P928" s="221"/>
      <c r="Q928" s="221"/>
      <c r="R928" s="221"/>
      <c r="S928" s="221"/>
      <c r="T928" s="221"/>
      <c r="U928" s="221"/>
      <c r="V928" s="221"/>
      <c r="W928" s="221"/>
      <c r="X928" s="221"/>
      <c r="Y928" s="221"/>
      <c r="Z928" s="221"/>
      <c r="AA928" s="221"/>
      <c r="AB928" s="297"/>
    </row>
    <row r="929">
      <c r="A929" s="134"/>
      <c r="B929" s="134"/>
      <c r="C929" s="68"/>
      <c r="D929" s="68"/>
      <c r="E929" s="68"/>
      <c r="F929" s="68"/>
      <c r="G929" s="68"/>
      <c r="H929" s="68"/>
      <c r="I929" s="221"/>
      <c r="J929" s="221"/>
      <c r="K929" s="221"/>
      <c r="L929" s="221"/>
      <c r="M929" s="221"/>
      <c r="N929" s="221"/>
      <c r="O929" s="221"/>
      <c r="P929" s="221"/>
      <c r="Q929" s="221"/>
      <c r="R929" s="221"/>
      <c r="S929" s="221"/>
      <c r="T929" s="221"/>
      <c r="U929" s="221"/>
      <c r="V929" s="221"/>
      <c r="W929" s="221"/>
      <c r="X929" s="221"/>
      <c r="Y929" s="221"/>
      <c r="Z929" s="221"/>
      <c r="AA929" s="221"/>
      <c r="AB929" s="297"/>
    </row>
    <row r="930">
      <c r="A930" s="134"/>
      <c r="B930" s="134"/>
      <c r="C930" s="68"/>
      <c r="D930" s="68"/>
      <c r="E930" s="68"/>
      <c r="F930" s="68"/>
      <c r="G930" s="68"/>
      <c r="H930" s="68"/>
      <c r="I930" s="221"/>
      <c r="J930" s="221"/>
      <c r="K930" s="221"/>
      <c r="L930" s="221"/>
      <c r="M930" s="221"/>
      <c r="N930" s="221"/>
      <c r="O930" s="221"/>
      <c r="P930" s="221"/>
      <c r="Q930" s="221"/>
      <c r="R930" s="221"/>
      <c r="S930" s="221"/>
      <c r="T930" s="221"/>
      <c r="U930" s="221"/>
      <c r="V930" s="221"/>
      <c r="W930" s="221"/>
      <c r="X930" s="221"/>
      <c r="Y930" s="221"/>
      <c r="Z930" s="221"/>
      <c r="AA930" s="221"/>
      <c r="AB930" s="297"/>
    </row>
    <row r="931">
      <c r="A931" s="134"/>
      <c r="B931" s="134"/>
      <c r="C931" s="68"/>
      <c r="D931" s="68"/>
      <c r="E931" s="68"/>
      <c r="F931" s="68"/>
      <c r="G931" s="68"/>
      <c r="H931" s="68"/>
      <c r="I931" s="221"/>
      <c r="J931" s="221"/>
      <c r="K931" s="221"/>
      <c r="L931" s="221"/>
      <c r="M931" s="221"/>
      <c r="N931" s="221"/>
      <c r="O931" s="221"/>
      <c r="P931" s="221"/>
      <c r="Q931" s="221"/>
      <c r="R931" s="221"/>
      <c r="S931" s="221"/>
      <c r="T931" s="221"/>
      <c r="U931" s="221"/>
      <c r="V931" s="221"/>
      <c r="W931" s="221"/>
      <c r="X931" s="221"/>
      <c r="Y931" s="221"/>
      <c r="Z931" s="221"/>
      <c r="AA931" s="221"/>
      <c r="AB931" s="297"/>
    </row>
    <row r="932">
      <c r="A932" s="134"/>
      <c r="B932" s="134"/>
      <c r="C932" s="68"/>
      <c r="D932" s="68"/>
      <c r="E932" s="68"/>
      <c r="F932" s="68"/>
      <c r="G932" s="68"/>
      <c r="H932" s="68"/>
      <c r="I932" s="221"/>
      <c r="J932" s="221"/>
      <c r="K932" s="221"/>
      <c r="L932" s="221"/>
      <c r="M932" s="221"/>
      <c r="N932" s="221"/>
      <c r="O932" s="221"/>
      <c r="P932" s="221"/>
      <c r="Q932" s="221"/>
      <c r="R932" s="221"/>
      <c r="S932" s="221"/>
      <c r="T932" s="221"/>
      <c r="U932" s="221"/>
      <c r="V932" s="221"/>
      <c r="W932" s="221"/>
      <c r="X932" s="221"/>
      <c r="Y932" s="221"/>
      <c r="Z932" s="221"/>
      <c r="AA932" s="221"/>
      <c r="AB932" s="297"/>
    </row>
    <row r="933">
      <c r="A933" s="134"/>
      <c r="B933" s="134"/>
      <c r="C933" s="68"/>
      <c r="D933" s="68"/>
      <c r="E933" s="68"/>
      <c r="F933" s="68"/>
      <c r="G933" s="68"/>
      <c r="H933" s="68"/>
      <c r="I933" s="221"/>
      <c r="J933" s="221"/>
      <c r="K933" s="221"/>
      <c r="L933" s="221"/>
      <c r="M933" s="221"/>
      <c r="N933" s="221"/>
      <c r="O933" s="221"/>
      <c r="P933" s="221"/>
      <c r="Q933" s="221"/>
      <c r="R933" s="221"/>
      <c r="S933" s="221"/>
      <c r="T933" s="221"/>
      <c r="U933" s="221"/>
      <c r="V933" s="221"/>
      <c r="W933" s="221"/>
      <c r="X933" s="221"/>
      <c r="Y933" s="221"/>
      <c r="Z933" s="221"/>
      <c r="AA933" s="221"/>
      <c r="AB933" s="297"/>
    </row>
    <row r="934">
      <c r="A934" s="134"/>
      <c r="B934" s="134"/>
      <c r="C934" s="68"/>
      <c r="D934" s="68"/>
      <c r="E934" s="68"/>
      <c r="F934" s="68"/>
      <c r="G934" s="68"/>
      <c r="H934" s="68"/>
      <c r="I934" s="221"/>
      <c r="J934" s="221"/>
      <c r="K934" s="221"/>
      <c r="L934" s="221"/>
      <c r="M934" s="221"/>
      <c r="N934" s="221"/>
      <c r="O934" s="221"/>
      <c r="P934" s="221"/>
      <c r="Q934" s="221"/>
      <c r="R934" s="221"/>
      <c r="S934" s="221"/>
      <c r="T934" s="221"/>
      <c r="U934" s="221"/>
      <c r="V934" s="221"/>
      <c r="W934" s="221"/>
      <c r="X934" s="221"/>
      <c r="Y934" s="221"/>
      <c r="Z934" s="221"/>
      <c r="AA934" s="221"/>
      <c r="AB934" s="297"/>
    </row>
    <row r="935">
      <c r="A935" s="134"/>
      <c r="B935" s="134"/>
      <c r="C935" s="68"/>
      <c r="D935" s="68"/>
      <c r="E935" s="68"/>
      <c r="F935" s="68"/>
      <c r="G935" s="68"/>
      <c r="H935" s="68"/>
      <c r="I935" s="221"/>
      <c r="J935" s="221"/>
      <c r="K935" s="221"/>
      <c r="L935" s="221"/>
      <c r="M935" s="221"/>
      <c r="N935" s="221"/>
      <c r="O935" s="221"/>
      <c r="P935" s="221"/>
      <c r="Q935" s="221"/>
      <c r="R935" s="221"/>
      <c r="S935" s="221"/>
      <c r="T935" s="221"/>
      <c r="U935" s="221"/>
      <c r="V935" s="221"/>
      <c r="W935" s="221"/>
      <c r="X935" s="221"/>
      <c r="Y935" s="221"/>
      <c r="Z935" s="221"/>
      <c r="AA935" s="221"/>
      <c r="AB935" s="297"/>
    </row>
    <row r="936">
      <c r="A936" s="134"/>
      <c r="B936" s="134"/>
      <c r="C936" s="68"/>
      <c r="D936" s="68"/>
      <c r="E936" s="68"/>
      <c r="F936" s="68"/>
      <c r="G936" s="68"/>
      <c r="H936" s="68"/>
      <c r="I936" s="221"/>
      <c r="J936" s="221"/>
      <c r="K936" s="221"/>
      <c r="L936" s="221"/>
      <c r="M936" s="221"/>
      <c r="N936" s="221"/>
      <c r="O936" s="221"/>
      <c r="P936" s="221"/>
      <c r="Q936" s="221"/>
      <c r="R936" s="221"/>
      <c r="S936" s="221"/>
      <c r="T936" s="221"/>
      <c r="U936" s="221"/>
      <c r="V936" s="221"/>
      <c r="W936" s="221"/>
      <c r="X936" s="221"/>
      <c r="Y936" s="221"/>
      <c r="Z936" s="221"/>
      <c r="AA936" s="221"/>
      <c r="AB936" s="297"/>
    </row>
    <row r="937">
      <c r="A937" s="134"/>
      <c r="B937" s="134"/>
      <c r="C937" s="68"/>
      <c r="D937" s="68"/>
      <c r="E937" s="68"/>
      <c r="F937" s="68"/>
      <c r="G937" s="68"/>
      <c r="H937" s="68"/>
      <c r="I937" s="221"/>
      <c r="J937" s="221"/>
      <c r="K937" s="221"/>
      <c r="L937" s="221"/>
      <c r="M937" s="221"/>
      <c r="N937" s="221"/>
      <c r="O937" s="221"/>
      <c r="P937" s="221"/>
      <c r="Q937" s="221"/>
      <c r="R937" s="221"/>
      <c r="S937" s="221"/>
      <c r="T937" s="221"/>
      <c r="U937" s="221"/>
      <c r="V937" s="221"/>
      <c r="W937" s="221"/>
      <c r="X937" s="221"/>
      <c r="Y937" s="221"/>
      <c r="Z937" s="221"/>
      <c r="AA937" s="221"/>
      <c r="AB937" s="297"/>
    </row>
    <row r="938">
      <c r="A938" s="134"/>
      <c r="B938" s="134"/>
      <c r="C938" s="68"/>
      <c r="D938" s="68"/>
      <c r="E938" s="68"/>
      <c r="F938" s="68"/>
      <c r="G938" s="68"/>
      <c r="H938" s="68"/>
      <c r="I938" s="221"/>
      <c r="J938" s="221"/>
      <c r="K938" s="221"/>
      <c r="L938" s="221"/>
      <c r="M938" s="221"/>
      <c r="N938" s="221"/>
      <c r="O938" s="221"/>
      <c r="P938" s="221"/>
      <c r="Q938" s="221"/>
      <c r="R938" s="221"/>
      <c r="S938" s="221"/>
      <c r="T938" s="221"/>
      <c r="U938" s="221"/>
      <c r="V938" s="221"/>
      <c r="W938" s="221"/>
      <c r="X938" s="221"/>
      <c r="Y938" s="221"/>
      <c r="Z938" s="221"/>
      <c r="AA938" s="221"/>
      <c r="AB938" s="297"/>
    </row>
    <row r="939">
      <c r="A939" s="134"/>
      <c r="B939" s="134"/>
      <c r="C939" s="68"/>
      <c r="D939" s="68"/>
      <c r="E939" s="68"/>
      <c r="F939" s="68"/>
      <c r="G939" s="68"/>
      <c r="H939" s="68"/>
      <c r="I939" s="221"/>
      <c r="J939" s="221"/>
      <c r="K939" s="221"/>
      <c r="L939" s="221"/>
      <c r="M939" s="221"/>
      <c r="N939" s="221"/>
      <c r="O939" s="221"/>
      <c r="P939" s="221"/>
      <c r="Q939" s="221"/>
      <c r="R939" s="221"/>
      <c r="S939" s="221"/>
      <c r="T939" s="221"/>
      <c r="U939" s="221"/>
      <c r="V939" s="221"/>
      <c r="W939" s="221"/>
      <c r="X939" s="221"/>
      <c r="Y939" s="221"/>
      <c r="Z939" s="221"/>
      <c r="AA939" s="221"/>
      <c r="AB939" s="297"/>
    </row>
    <row r="940">
      <c r="A940" s="134"/>
      <c r="B940" s="134"/>
      <c r="C940" s="68"/>
      <c r="D940" s="68"/>
      <c r="E940" s="68"/>
      <c r="F940" s="68"/>
      <c r="G940" s="68"/>
      <c r="H940" s="68"/>
      <c r="I940" s="221"/>
      <c r="J940" s="221"/>
      <c r="K940" s="221"/>
      <c r="L940" s="221"/>
      <c r="M940" s="221"/>
      <c r="N940" s="221"/>
      <c r="O940" s="221"/>
      <c r="P940" s="221"/>
      <c r="Q940" s="221"/>
      <c r="R940" s="221"/>
      <c r="S940" s="221"/>
      <c r="T940" s="221"/>
      <c r="U940" s="221"/>
      <c r="V940" s="221"/>
      <c r="W940" s="221"/>
      <c r="X940" s="221"/>
      <c r="Y940" s="221"/>
      <c r="Z940" s="221"/>
      <c r="AA940" s="221"/>
      <c r="AB940" s="297"/>
    </row>
    <row r="941">
      <c r="A941" s="134"/>
      <c r="B941" s="134"/>
      <c r="C941" s="68"/>
      <c r="D941" s="68"/>
      <c r="E941" s="68"/>
      <c r="F941" s="68"/>
      <c r="G941" s="68"/>
      <c r="H941" s="68"/>
      <c r="I941" s="221"/>
      <c r="J941" s="221"/>
      <c r="K941" s="221"/>
      <c r="L941" s="221"/>
      <c r="M941" s="221"/>
      <c r="N941" s="221"/>
      <c r="O941" s="221"/>
      <c r="P941" s="221"/>
      <c r="Q941" s="221"/>
      <c r="R941" s="221"/>
      <c r="S941" s="221"/>
      <c r="T941" s="221"/>
      <c r="U941" s="221"/>
      <c r="V941" s="221"/>
      <c r="W941" s="221"/>
      <c r="X941" s="221"/>
      <c r="Y941" s="221"/>
      <c r="Z941" s="221"/>
      <c r="AA941" s="221"/>
      <c r="AB941" s="297"/>
    </row>
    <row r="942">
      <c r="A942" s="134"/>
      <c r="B942" s="134"/>
      <c r="C942" s="68"/>
      <c r="D942" s="68"/>
      <c r="E942" s="68"/>
      <c r="F942" s="68"/>
      <c r="G942" s="68"/>
      <c r="H942" s="68"/>
      <c r="I942" s="221"/>
      <c r="J942" s="221"/>
      <c r="K942" s="221"/>
      <c r="L942" s="221"/>
      <c r="M942" s="221"/>
      <c r="N942" s="221"/>
      <c r="O942" s="221"/>
      <c r="P942" s="221"/>
      <c r="Q942" s="221"/>
      <c r="R942" s="221"/>
      <c r="S942" s="221"/>
      <c r="T942" s="221"/>
      <c r="U942" s="221"/>
      <c r="V942" s="221"/>
      <c r="W942" s="221"/>
      <c r="X942" s="221"/>
      <c r="Y942" s="221"/>
      <c r="Z942" s="221"/>
      <c r="AA942" s="221"/>
      <c r="AB942" s="297"/>
    </row>
    <row r="943">
      <c r="A943" s="134"/>
      <c r="B943" s="134"/>
      <c r="C943" s="68"/>
      <c r="D943" s="68"/>
      <c r="E943" s="68"/>
      <c r="F943" s="68"/>
      <c r="G943" s="68"/>
      <c r="H943" s="68"/>
      <c r="I943" s="221"/>
      <c r="J943" s="221"/>
      <c r="K943" s="221"/>
      <c r="L943" s="221"/>
      <c r="M943" s="221"/>
      <c r="N943" s="221"/>
      <c r="O943" s="221"/>
      <c r="P943" s="221"/>
      <c r="Q943" s="221"/>
      <c r="R943" s="221"/>
      <c r="S943" s="221"/>
      <c r="T943" s="221"/>
      <c r="U943" s="221"/>
      <c r="V943" s="221"/>
      <c r="W943" s="221"/>
      <c r="X943" s="221"/>
      <c r="Y943" s="221"/>
      <c r="Z943" s="221"/>
      <c r="AA943" s="221"/>
      <c r="AB943" s="297"/>
    </row>
    <row r="944">
      <c r="A944" s="134"/>
      <c r="B944" s="134"/>
      <c r="C944" s="68"/>
      <c r="D944" s="68"/>
      <c r="E944" s="68"/>
      <c r="F944" s="68"/>
      <c r="G944" s="68"/>
      <c r="H944" s="68"/>
      <c r="I944" s="221"/>
      <c r="J944" s="221"/>
      <c r="K944" s="221"/>
      <c r="L944" s="221"/>
      <c r="M944" s="221"/>
      <c r="N944" s="221"/>
      <c r="O944" s="221"/>
      <c r="P944" s="221"/>
      <c r="Q944" s="221"/>
      <c r="R944" s="221"/>
      <c r="S944" s="221"/>
      <c r="T944" s="221"/>
      <c r="U944" s="221"/>
      <c r="V944" s="221"/>
      <c r="W944" s="221"/>
      <c r="X944" s="221"/>
      <c r="Y944" s="221"/>
      <c r="Z944" s="221"/>
      <c r="AA944" s="221"/>
      <c r="AB944" s="297"/>
    </row>
    <row r="945">
      <c r="A945" s="134"/>
      <c r="B945" s="134"/>
      <c r="C945" s="68"/>
      <c r="D945" s="68"/>
      <c r="E945" s="68"/>
      <c r="F945" s="68"/>
      <c r="G945" s="68"/>
      <c r="H945" s="68"/>
      <c r="I945" s="221"/>
      <c r="J945" s="221"/>
      <c r="K945" s="221"/>
      <c r="L945" s="221"/>
      <c r="M945" s="221"/>
      <c r="N945" s="221"/>
      <c r="O945" s="221"/>
      <c r="P945" s="221"/>
      <c r="Q945" s="221"/>
      <c r="R945" s="221"/>
      <c r="S945" s="221"/>
      <c r="T945" s="221"/>
      <c r="U945" s="221"/>
      <c r="V945" s="221"/>
      <c r="W945" s="221"/>
      <c r="X945" s="221"/>
      <c r="Y945" s="221"/>
      <c r="Z945" s="221"/>
      <c r="AA945" s="221"/>
      <c r="AB945" s="297"/>
    </row>
    <row r="946">
      <c r="A946" s="134"/>
      <c r="B946" s="134"/>
      <c r="C946" s="68"/>
      <c r="D946" s="68"/>
      <c r="E946" s="68"/>
      <c r="F946" s="68"/>
      <c r="G946" s="68"/>
      <c r="H946" s="68"/>
      <c r="I946" s="221"/>
      <c r="J946" s="221"/>
      <c r="K946" s="221"/>
      <c r="L946" s="221"/>
      <c r="M946" s="221"/>
      <c r="N946" s="221"/>
      <c r="O946" s="221"/>
      <c r="P946" s="221"/>
      <c r="Q946" s="221"/>
      <c r="R946" s="221"/>
      <c r="S946" s="221"/>
      <c r="T946" s="221"/>
      <c r="U946" s="221"/>
      <c r="V946" s="221"/>
      <c r="W946" s="221"/>
      <c r="X946" s="221"/>
      <c r="Y946" s="221"/>
      <c r="Z946" s="221"/>
      <c r="AA946" s="221"/>
      <c r="AB946" s="297"/>
    </row>
    <row r="947">
      <c r="A947" s="134"/>
      <c r="B947" s="134"/>
      <c r="C947" s="68"/>
      <c r="D947" s="68"/>
      <c r="E947" s="68"/>
      <c r="F947" s="68"/>
      <c r="G947" s="68"/>
      <c r="H947" s="68"/>
      <c r="I947" s="221"/>
      <c r="J947" s="221"/>
      <c r="K947" s="221"/>
      <c r="L947" s="221"/>
      <c r="M947" s="221"/>
      <c r="N947" s="221"/>
      <c r="O947" s="221"/>
      <c r="P947" s="221"/>
      <c r="Q947" s="221"/>
      <c r="R947" s="221"/>
      <c r="S947" s="221"/>
      <c r="T947" s="221"/>
      <c r="U947" s="221"/>
      <c r="V947" s="221"/>
      <c r="W947" s="221"/>
      <c r="X947" s="221"/>
      <c r="Y947" s="221"/>
      <c r="Z947" s="221"/>
      <c r="AA947" s="221"/>
      <c r="AB947" s="297"/>
    </row>
    <row r="948">
      <c r="A948" s="134"/>
      <c r="B948" s="134"/>
      <c r="C948" s="68"/>
      <c r="D948" s="68"/>
      <c r="E948" s="68"/>
      <c r="F948" s="68"/>
      <c r="G948" s="68"/>
      <c r="H948" s="68"/>
      <c r="I948" s="221"/>
      <c r="J948" s="221"/>
      <c r="K948" s="221"/>
      <c r="L948" s="221"/>
      <c r="M948" s="221"/>
      <c r="N948" s="221"/>
      <c r="O948" s="221"/>
      <c r="P948" s="221"/>
      <c r="Q948" s="221"/>
      <c r="R948" s="221"/>
      <c r="S948" s="221"/>
      <c r="T948" s="221"/>
      <c r="U948" s="221"/>
      <c r="V948" s="221"/>
      <c r="W948" s="221"/>
      <c r="X948" s="221"/>
      <c r="Y948" s="221"/>
      <c r="Z948" s="221"/>
      <c r="AA948" s="221"/>
      <c r="AB948" s="297"/>
    </row>
    <row r="949">
      <c r="A949" s="134"/>
      <c r="B949" s="134"/>
      <c r="C949" s="68"/>
      <c r="D949" s="68"/>
      <c r="E949" s="68"/>
      <c r="F949" s="68"/>
      <c r="G949" s="68"/>
      <c r="H949" s="68"/>
      <c r="I949" s="221"/>
      <c r="J949" s="221"/>
      <c r="K949" s="221"/>
      <c r="L949" s="221"/>
      <c r="M949" s="221"/>
      <c r="N949" s="221"/>
      <c r="O949" s="221"/>
      <c r="P949" s="221"/>
      <c r="Q949" s="221"/>
      <c r="R949" s="221"/>
      <c r="S949" s="221"/>
      <c r="T949" s="221"/>
      <c r="U949" s="221"/>
      <c r="V949" s="221"/>
      <c r="W949" s="221"/>
      <c r="X949" s="221"/>
      <c r="Y949" s="221"/>
      <c r="Z949" s="221"/>
      <c r="AA949" s="221"/>
      <c r="AB949" s="297"/>
    </row>
    <row r="950">
      <c r="A950" s="134"/>
      <c r="B950" s="134"/>
      <c r="C950" s="68"/>
      <c r="D950" s="68"/>
      <c r="E950" s="68"/>
      <c r="F950" s="68"/>
      <c r="G950" s="68"/>
      <c r="H950" s="68"/>
      <c r="I950" s="221"/>
      <c r="J950" s="221"/>
      <c r="K950" s="221"/>
      <c r="L950" s="221"/>
      <c r="M950" s="221"/>
      <c r="N950" s="221"/>
      <c r="O950" s="221"/>
      <c r="P950" s="221"/>
      <c r="Q950" s="221"/>
      <c r="R950" s="221"/>
      <c r="S950" s="221"/>
      <c r="T950" s="221"/>
      <c r="U950" s="221"/>
      <c r="V950" s="221"/>
      <c r="W950" s="221"/>
      <c r="X950" s="221"/>
      <c r="Y950" s="221"/>
      <c r="Z950" s="221"/>
      <c r="AA950" s="221"/>
      <c r="AB950" s="297"/>
    </row>
    <row r="951">
      <c r="A951" s="134"/>
      <c r="B951" s="134"/>
      <c r="C951" s="68"/>
      <c r="D951" s="68"/>
      <c r="E951" s="68"/>
      <c r="F951" s="68"/>
      <c r="G951" s="68"/>
      <c r="H951" s="68"/>
      <c r="I951" s="221"/>
      <c r="J951" s="221"/>
      <c r="K951" s="221"/>
      <c r="L951" s="221"/>
      <c r="M951" s="221"/>
      <c r="N951" s="221"/>
      <c r="O951" s="221"/>
      <c r="P951" s="221"/>
      <c r="Q951" s="221"/>
      <c r="R951" s="221"/>
      <c r="S951" s="221"/>
      <c r="T951" s="221"/>
      <c r="U951" s="221"/>
      <c r="V951" s="221"/>
      <c r="W951" s="221"/>
      <c r="X951" s="221"/>
      <c r="Y951" s="221"/>
      <c r="Z951" s="221"/>
      <c r="AA951" s="221"/>
      <c r="AB951" s="297"/>
    </row>
    <row r="952">
      <c r="A952" s="134"/>
      <c r="B952" s="134"/>
      <c r="C952" s="68"/>
      <c r="D952" s="68"/>
      <c r="E952" s="68"/>
      <c r="F952" s="68"/>
      <c r="G952" s="68"/>
      <c r="H952" s="68"/>
      <c r="I952" s="221"/>
      <c r="J952" s="221"/>
      <c r="K952" s="221"/>
      <c r="L952" s="221"/>
      <c r="M952" s="221"/>
      <c r="N952" s="221"/>
      <c r="O952" s="221"/>
      <c r="P952" s="221"/>
      <c r="Q952" s="221"/>
      <c r="R952" s="221"/>
      <c r="S952" s="221"/>
      <c r="T952" s="221"/>
      <c r="U952" s="221"/>
      <c r="V952" s="221"/>
      <c r="W952" s="221"/>
      <c r="X952" s="221"/>
      <c r="Y952" s="221"/>
      <c r="Z952" s="221"/>
      <c r="AA952" s="221"/>
      <c r="AB952" s="297"/>
    </row>
    <row r="953">
      <c r="A953" s="134"/>
      <c r="B953" s="134"/>
      <c r="C953" s="68"/>
      <c r="D953" s="68"/>
      <c r="E953" s="68"/>
      <c r="F953" s="68"/>
      <c r="G953" s="68"/>
      <c r="H953" s="68"/>
      <c r="I953" s="221"/>
      <c r="J953" s="221"/>
      <c r="K953" s="221"/>
      <c r="L953" s="221"/>
      <c r="M953" s="221"/>
      <c r="N953" s="221"/>
      <c r="O953" s="221"/>
      <c r="P953" s="221"/>
      <c r="Q953" s="221"/>
      <c r="R953" s="221"/>
      <c r="S953" s="221"/>
      <c r="T953" s="221"/>
      <c r="U953" s="221"/>
      <c r="V953" s="221"/>
      <c r="W953" s="221"/>
      <c r="X953" s="221"/>
      <c r="Y953" s="221"/>
      <c r="Z953" s="221"/>
      <c r="AA953" s="221"/>
      <c r="AB953" s="297"/>
    </row>
    <row r="954">
      <c r="A954" s="134"/>
      <c r="B954" s="134"/>
      <c r="C954" s="68"/>
      <c r="D954" s="68"/>
      <c r="E954" s="68"/>
      <c r="F954" s="68"/>
      <c r="G954" s="68"/>
      <c r="H954" s="68"/>
      <c r="I954" s="221"/>
      <c r="J954" s="221"/>
      <c r="K954" s="221"/>
      <c r="L954" s="221"/>
      <c r="M954" s="221"/>
      <c r="N954" s="221"/>
      <c r="O954" s="221"/>
      <c r="P954" s="221"/>
      <c r="Q954" s="221"/>
      <c r="R954" s="221"/>
      <c r="S954" s="221"/>
      <c r="T954" s="221"/>
      <c r="U954" s="221"/>
      <c r="V954" s="221"/>
      <c r="W954" s="221"/>
      <c r="X954" s="221"/>
      <c r="Y954" s="221"/>
      <c r="Z954" s="221"/>
      <c r="AA954" s="221"/>
      <c r="AB954" s="297"/>
    </row>
    <row r="955">
      <c r="A955" s="134"/>
      <c r="B955" s="134"/>
      <c r="C955" s="68"/>
      <c r="D955" s="68"/>
      <c r="E955" s="68"/>
      <c r="F955" s="68"/>
      <c r="G955" s="68"/>
      <c r="H955" s="68"/>
      <c r="I955" s="221"/>
      <c r="J955" s="221"/>
      <c r="K955" s="221"/>
      <c r="L955" s="221"/>
      <c r="M955" s="221"/>
      <c r="N955" s="221"/>
      <c r="O955" s="221"/>
      <c r="P955" s="221"/>
      <c r="Q955" s="221"/>
      <c r="R955" s="221"/>
      <c r="S955" s="221"/>
      <c r="T955" s="221"/>
      <c r="U955" s="221"/>
      <c r="V955" s="221"/>
      <c r="W955" s="221"/>
      <c r="X955" s="221"/>
      <c r="Y955" s="221"/>
      <c r="Z955" s="221"/>
      <c r="AA955" s="221"/>
      <c r="AB955" s="297"/>
    </row>
    <row r="956">
      <c r="A956" s="134"/>
      <c r="B956" s="134"/>
      <c r="C956" s="68"/>
      <c r="D956" s="68"/>
      <c r="E956" s="68"/>
      <c r="F956" s="68"/>
      <c r="G956" s="68"/>
      <c r="H956" s="68"/>
      <c r="I956" s="221"/>
      <c r="J956" s="221"/>
      <c r="K956" s="221"/>
      <c r="L956" s="221"/>
      <c r="M956" s="221"/>
      <c r="N956" s="221"/>
      <c r="O956" s="221"/>
      <c r="P956" s="221"/>
      <c r="Q956" s="221"/>
      <c r="R956" s="221"/>
      <c r="S956" s="221"/>
      <c r="T956" s="221"/>
      <c r="U956" s="221"/>
      <c r="V956" s="221"/>
      <c r="W956" s="221"/>
      <c r="X956" s="221"/>
      <c r="Y956" s="221"/>
      <c r="Z956" s="221"/>
      <c r="AA956" s="221"/>
      <c r="AB956" s="297"/>
    </row>
    <row r="957">
      <c r="A957" s="134"/>
      <c r="B957" s="134"/>
      <c r="C957" s="68"/>
      <c r="D957" s="68"/>
      <c r="E957" s="68"/>
      <c r="F957" s="68"/>
      <c r="G957" s="68"/>
      <c r="H957" s="68"/>
      <c r="I957" s="221"/>
      <c r="J957" s="221"/>
      <c r="K957" s="221"/>
      <c r="L957" s="221"/>
      <c r="M957" s="221"/>
      <c r="N957" s="221"/>
      <c r="O957" s="221"/>
      <c r="P957" s="221"/>
      <c r="Q957" s="221"/>
      <c r="R957" s="221"/>
      <c r="S957" s="221"/>
      <c r="T957" s="221"/>
      <c r="U957" s="221"/>
      <c r="V957" s="221"/>
      <c r="W957" s="221"/>
      <c r="X957" s="221"/>
      <c r="Y957" s="221"/>
      <c r="Z957" s="221"/>
      <c r="AA957" s="221"/>
      <c r="AB957" s="297"/>
    </row>
    <row r="958">
      <c r="A958" s="134"/>
      <c r="B958" s="134"/>
      <c r="C958" s="68"/>
      <c r="D958" s="68"/>
      <c r="E958" s="68"/>
      <c r="F958" s="68"/>
      <c r="G958" s="68"/>
      <c r="H958" s="68"/>
      <c r="I958" s="221"/>
      <c r="J958" s="221"/>
      <c r="K958" s="221"/>
      <c r="L958" s="221"/>
      <c r="M958" s="221"/>
      <c r="N958" s="221"/>
      <c r="O958" s="221"/>
      <c r="P958" s="221"/>
      <c r="Q958" s="221"/>
      <c r="R958" s="221"/>
      <c r="S958" s="221"/>
      <c r="T958" s="221"/>
      <c r="U958" s="221"/>
      <c r="V958" s="221"/>
      <c r="W958" s="221"/>
      <c r="X958" s="221"/>
      <c r="Y958" s="221"/>
      <c r="Z958" s="221"/>
      <c r="AA958" s="221"/>
      <c r="AB958" s="297"/>
    </row>
    <row r="959">
      <c r="A959" s="134"/>
      <c r="B959" s="134"/>
      <c r="C959" s="68"/>
      <c r="D959" s="68"/>
      <c r="E959" s="68"/>
      <c r="F959" s="68"/>
      <c r="G959" s="68"/>
      <c r="H959" s="68"/>
      <c r="I959" s="221"/>
      <c r="J959" s="221"/>
      <c r="K959" s="221"/>
      <c r="L959" s="221"/>
      <c r="M959" s="221"/>
      <c r="N959" s="221"/>
      <c r="O959" s="221"/>
      <c r="P959" s="221"/>
      <c r="Q959" s="221"/>
      <c r="R959" s="221"/>
      <c r="S959" s="221"/>
      <c r="T959" s="221"/>
      <c r="U959" s="221"/>
      <c r="V959" s="221"/>
      <c r="W959" s="221"/>
      <c r="X959" s="221"/>
      <c r="Y959" s="221"/>
      <c r="Z959" s="221"/>
      <c r="AA959" s="221"/>
      <c r="AB959" s="297"/>
    </row>
    <row r="960">
      <c r="A960" s="134"/>
      <c r="B960" s="134"/>
      <c r="C960" s="68"/>
      <c r="D960" s="68"/>
      <c r="E960" s="68"/>
      <c r="F960" s="68"/>
      <c r="G960" s="68"/>
      <c r="H960" s="68"/>
      <c r="I960" s="221"/>
      <c r="J960" s="221"/>
      <c r="K960" s="221"/>
      <c r="L960" s="221"/>
      <c r="M960" s="221"/>
      <c r="N960" s="221"/>
      <c r="O960" s="221"/>
      <c r="P960" s="221"/>
      <c r="Q960" s="221"/>
      <c r="R960" s="221"/>
      <c r="S960" s="221"/>
      <c r="T960" s="221"/>
      <c r="U960" s="221"/>
      <c r="V960" s="221"/>
      <c r="W960" s="221"/>
      <c r="X960" s="221"/>
      <c r="Y960" s="221"/>
      <c r="Z960" s="221"/>
      <c r="AA960" s="221"/>
      <c r="AB960" s="297"/>
    </row>
    <row r="961">
      <c r="A961" s="134"/>
      <c r="B961" s="134"/>
      <c r="C961" s="68"/>
      <c r="D961" s="68"/>
      <c r="E961" s="68"/>
      <c r="F961" s="68"/>
      <c r="G961" s="68"/>
      <c r="H961" s="68"/>
      <c r="I961" s="221"/>
      <c r="J961" s="221"/>
      <c r="K961" s="221"/>
      <c r="L961" s="221"/>
      <c r="M961" s="221"/>
      <c r="N961" s="221"/>
      <c r="O961" s="221"/>
      <c r="P961" s="221"/>
      <c r="Q961" s="221"/>
      <c r="R961" s="221"/>
      <c r="S961" s="221"/>
      <c r="T961" s="221"/>
      <c r="U961" s="221"/>
      <c r="V961" s="221"/>
      <c r="W961" s="221"/>
      <c r="X961" s="221"/>
      <c r="Y961" s="221"/>
      <c r="Z961" s="221"/>
      <c r="AA961" s="221"/>
      <c r="AB961" s="297"/>
    </row>
    <row r="962">
      <c r="A962" s="134"/>
      <c r="B962" s="134"/>
      <c r="C962" s="68"/>
      <c r="D962" s="68"/>
      <c r="E962" s="68"/>
      <c r="F962" s="68"/>
      <c r="G962" s="68"/>
      <c r="H962" s="68"/>
      <c r="I962" s="221"/>
      <c r="J962" s="221"/>
      <c r="K962" s="221"/>
      <c r="L962" s="221"/>
      <c r="M962" s="221"/>
      <c r="N962" s="221"/>
      <c r="O962" s="221"/>
      <c r="P962" s="221"/>
      <c r="Q962" s="221"/>
      <c r="R962" s="221"/>
      <c r="S962" s="221"/>
      <c r="T962" s="221"/>
      <c r="U962" s="221"/>
      <c r="V962" s="221"/>
      <c r="W962" s="221"/>
      <c r="X962" s="221"/>
      <c r="Y962" s="221"/>
      <c r="Z962" s="221"/>
      <c r="AA962" s="221"/>
      <c r="AB962" s="297"/>
    </row>
    <row r="963">
      <c r="A963" s="134"/>
      <c r="B963" s="134"/>
      <c r="C963" s="68"/>
      <c r="D963" s="68"/>
      <c r="E963" s="68"/>
      <c r="F963" s="68"/>
      <c r="G963" s="68"/>
      <c r="H963" s="68"/>
      <c r="I963" s="221"/>
      <c r="J963" s="221"/>
      <c r="K963" s="221"/>
      <c r="L963" s="221"/>
      <c r="M963" s="221"/>
      <c r="N963" s="221"/>
      <c r="O963" s="221"/>
      <c r="P963" s="221"/>
      <c r="Q963" s="221"/>
      <c r="R963" s="221"/>
      <c r="S963" s="221"/>
      <c r="T963" s="221"/>
      <c r="U963" s="221"/>
      <c r="V963" s="221"/>
      <c r="W963" s="221"/>
      <c r="X963" s="221"/>
      <c r="Y963" s="221"/>
      <c r="Z963" s="221"/>
      <c r="AA963" s="221"/>
      <c r="AB963" s="297"/>
    </row>
    <row r="964">
      <c r="A964" s="134"/>
      <c r="B964" s="134"/>
      <c r="C964" s="68"/>
      <c r="D964" s="68"/>
      <c r="E964" s="68"/>
      <c r="F964" s="68"/>
      <c r="G964" s="68"/>
      <c r="H964" s="68"/>
      <c r="I964" s="221"/>
      <c r="J964" s="221"/>
      <c r="K964" s="221"/>
      <c r="L964" s="221"/>
      <c r="M964" s="221"/>
      <c r="N964" s="221"/>
      <c r="O964" s="221"/>
      <c r="P964" s="221"/>
      <c r="Q964" s="221"/>
      <c r="R964" s="221"/>
      <c r="S964" s="221"/>
      <c r="T964" s="221"/>
      <c r="U964" s="221"/>
      <c r="V964" s="221"/>
      <c r="W964" s="221"/>
      <c r="X964" s="221"/>
      <c r="Y964" s="221"/>
      <c r="Z964" s="221"/>
      <c r="AA964" s="221"/>
      <c r="AB964" s="297"/>
    </row>
    <row r="965">
      <c r="A965" s="134"/>
      <c r="B965" s="134"/>
      <c r="C965" s="68"/>
      <c r="D965" s="68"/>
      <c r="E965" s="68"/>
      <c r="F965" s="68"/>
      <c r="G965" s="68"/>
      <c r="H965" s="68"/>
      <c r="I965" s="221"/>
      <c r="J965" s="221"/>
      <c r="K965" s="221"/>
      <c r="L965" s="221"/>
      <c r="M965" s="221"/>
      <c r="N965" s="221"/>
      <c r="O965" s="221"/>
      <c r="P965" s="221"/>
      <c r="Q965" s="221"/>
      <c r="R965" s="221"/>
      <c r="S965" s="221"/>
      <c r="T965" s="221"/>
      <c r="U965" s="221"/>
      <c r="V965" s="221"/>
      <c r="W965" s="221"/>
      <c r="X965" s="221"/>
      <c r="Y965" s="221"/>
      <c r="Z965" s="221"/>
      <c r="AA965" s="221"/>
      <c r="AB965" s="297"/>
    </row>
    <row r="966">
      <c r="A966" s="134"/>
      <c r="B966" s="134"/>
      <c r="C966" s="68"/>
      <c r="D966" s="68"/>
      <c r="E966" s="68"/>
      <c r="F966" s="68"/>
      <c r="G966" s="68"/>
      <c r="H966" s="68"/>
      <c r="I966" s="221"/>
      <c r="J966" s="221"/>
      <c r="K966" s="221"/>
      <c r="L966" s="221"/>
      <c r="M966" s="221"/>
      <c r="N966" s="221"/>
      <c r="O966" s="221"/>
      <c r="P966" s="221"/>
      <c r="Q966" s="221"/>
      <c r="R966" s="221"/>
      <c r="S966" s="221"/>
      <c r="T966" s="221"/>
      <c r="U966" s="221"/>
      <c r="V966" s="221"/>
      <c r="W966" s="221"/>
      <c r="X966" s="221"/>
      <c r="Y966" s="221"/>
      <c r="Z966" s="221"/>
      <c r="AA966" s="221"/>
      <c r="AB966" s="297"/>
    </row>
    <row r="967">
      <c r="A967" s="134"/>
      <c r="B967" s="134"/>
      <c r="C967" s="68"/>
      <c r="D967" s="68"/>
      <c r="E967" s="68"/>
      <c r="F967" s="68"/>
      <c r="G967" s="68"/>
      <c r="H967" s="68"/>
      <c r="I967" s="221"/>
      <c r="J967" s="221"/>
      <c r="K967" s="221"/>
      <c r="L967" s="221"/>
      <c r="M967" s="221"/>
      <c r="N967" s="221"/>
      <c r="O967" s="221"/>
      <c r="P967" s="221"/>
      <c r="Q967" s="221"/>
      <c r="R967" s="221"/>
      <c r="S967" s="221"/>
      <c r="T967" s="221"/>
      <c r="U967" s="221"/>
      <c r="V967" s="221"/>
      <c r="W967" s="221"/>
      <c r="X967" s="221"/>
      <c r="Y967" s="221"/>
      <c r="Z967" s="221"/>
      <c r="AA967" s="221"/>
      <c r="AB967" s="297"/>
    </row>
    <row r="968">
      <c r="A968" s="134"/>
      <c r="B968" s="134"/>
      <c r="C968" s="68"/>
      <c r="D968" s="68"/>
      <c r="E968" s="68"/>
      <c r="F968" s="68"/>
      <c r="G968" s="68"/>
      <c r="H968" s="68"/>
      <c r="I968" s="221"/>
      <c r="J968" s="221"/>
      <c r="K968" s="221"/>
      <c r="L968" s="221"/>
      <c r="M968" s="221"/>
      <c r="N968" s="221"/>
      <c r="O968" s="221"/>
      <c r="P968" s="221"/>
      <c r="Q968" s="221"/>
      <c r="R968" s="221"/>
      <c r="S968" s="221"/>
      <c r="T968" s="221"/>
      <c r="U968" s="221"/>
      <c r="V968" s="221"/>
      <c r="W968" s="221"/>
      <c r="X968" s="221"/>
      <c r="Y968" s="221"/>
      <c r="Z968" s="221"/>
      <c r="AA968" s="221"/>
      <c r="AB968" s="297"/>
    </row>
    <row r="969">
      <c r="A969" s="134"/>
      <c r="B969" s="134"/>
      <c r="C969" s="68"/>
      <c r="D969" s="68"/>
      <c r="E969" s="68"/>
      <c r="F969" s="68"/>
      <c r="G969" s="68"/>
      <c r="H969" s="68"/>
      <c r="I969" s="221"/>
      <c r="J969" s="221"/>
      <c r="K969" s="221"/>
      <c r="L969" s="221"/>
      <c r="M969" s="221"/>
      <c r="N969" s="221"/>
      <c r="O969" s="221"/>
      <c r="P969" s="221"/>
      <c r="Q969" s="221"/>
      <c r="R969" s="221"/>
      <c r="S969" s="221"/>
      <c r="T969" s="221"/>
      <c r="U969" s="221"/>
      <c r="V969" s="221"/>
      <c r="W969" s="221"/>
      <c r="X969" s="221"/>
      <c r="Y969" s="221"/>
      <c r="Z969" s="221"/>
      <c r="AA969" s="221"/>
      <c r="AB969" s="297"/>
    </row>
    <row r="970">
      <c r="A970" s="134"/>
      <c r="B970" s="134"/>
      <c r="C970" s="68"/>
      <c r="D970" s="68"/>
      <c r="E970" s="68"/>
      <c r="F970" s="68"/>
      <c r="G970" s="68"/>
      <c r="H970" s="68"/>
      <c r="I970" s="221"/>
      <c r="J970" s="221"/>
      <c r="K970" s="221"/>
      <c r="L970" s="221"/>
      <c r="M970" s="221"/>
      <c r="N970" s="221"/>
      <c r="O970" s="221"/>
      <c r="P970" s="221"/>
      <c r="Q970" s="221"/>
      <c r="R970" s="221"/>
      <c r="S970" s="221"/>
      <c r="T970" s="221"/>
      <c r="U970" s="221"/>
      <c r="V970" s="221"/>
      <c r="W970" s="221"/>
      <c r="X970" s="221"/>
      <c r="Y970" s="221"/>
      <c r="Z970" s="221"/>
      <c r="AA970" s="221"/>
      <c r="AB970" s="297"/>
    </row>
    <row r="971">
      <c r="A971" s="134"/>
      <c r="B971" s="134"/>
      <c r="C971" s="68"/>
      <c r="D971" s="68"/>
      <c r="E971" s="68"/>
      <c r="F971" s="68"/>
      <c r="G971" s="68"/>
      <c r="H971" s="68"/>
      <c r="I971" s="221"/>
      <c r="J971" s="221"/>
      <c r="K971" s="221"/>
      <c r="L971" s="221"/>
      <c r="M971" s="221"/>
      <c r="N971" s="221"/>
      <c r="O971" s="221"/>
      <c r="P971" s="221"/>
      <c r="Q971" s="221"/>
      <c r="R971" s="221"/>
      <c r="S971" s="221"/>
      <c r="T971" s="221"/>
      <c r="U971" s="221"/>
      <c r="V971" s="221"/>
      <c r="W971" s="221"/>
      <c r="X971" s="221"/>
      <c r="Y971" s="221"/>
      <c r="Z971" s="221"/>
      <c r="AA971" s="221"/>
      <c r="AB971" s="297"/>
    </row>
    <row r="972">
      <c r="A972" s="134"/>
      <c r="B972" s="134"/>
      <c r="C972" s="68"/>
      <c r="D972" s="68"/>
      <c r="E972" s="68"/>
      <c r="F972" s="68"/>
      <c r="G972" s="68"/>
      <c r="H972" s="68"/>
      <c r="I972" s="221"/>
      <c r="J972" s="221"/>
      <c r="K972" s="221"/>
      <c r="L972" s="221"/>
      <c r="M972" s="221"/>
      <c r="N972" s="221"/>
      <c r="O972" s="221"/>
      <c r="P972" s="221"/>
      <c r="Q972" s="221"/>
      <c r="R972" s="221"/>
      <c r="S972" s="221"/>
      <c r="T972" s="221"/>
      <c r="U972" s="221"/>
      <c r="V972" s="221"/>
      <c r="W972" s="221"/>
      <c r="X972" s="221"/>
      <c r="Y972" s="221"/>
      <c r="Z972" s="221"/>
      <c r="AA972" s="221"/>
      <c r="AB972" s="297"/>
    </row>
    <row r="973">
      <c r="A973" s="134"/>
      <c r="B973" s="134"/>
      <c r="C973" s="68"/>
      <c r="D973" s="68"/>
      <c r="E973" s="68"/>
      <c r="F973" s="68"/>
      <c r="G973" s="68"/>
      <c r="H973" s="68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97"/>
    </row>
    <row r="974">
      <c r="A974" s="134"/>
      <c r="B974" s="134"/>
      <c r="C974" s="68"/>
      <c r="D974" s="68"/>
      <c r="E974" s="68"/>
      <c r="F974" s="68"/>
      <c r="G974" s="68"/>
      <c r="H974" s="68"/>
      <c r="I974" s="221"/>
      <c r="J974" s="221"/>
      <c r="K974" s="221"/>
      <c r="L974" s="221"/>
      <c r="M974" s="221"/>
      <c r="N974" s="221"/>
      <c r="O974" s="221"/>
      <c r="P974" s="221"/>
      <c r="Q974" s="221"/>
      <c r="R974" s="221"/>
      <c r="S974" s="221"/>
      <c r="T974" s="221"/>
      <c r="U974" s="221"/>
      <c r="V974" s="221"/>
      <c r="W974" s="221"/>
      <c r="X974" s="221"/>
      <c r="Y974" s="221"/>
      <c r="Z974" s="221"/>
      <c r="AA974" s="221"/>
      <c r="AB974" s="297"/>
    </row>
    <row r="975">
      <c r="A975" s="134"/>
      <c r="B975" s="134"/>
      <c r="C975" s="68"/>
      <c r="D975" s="68"/>
      <c r="E975" s="68"/>
      <c r="F975" s="68"/>
      <c r="G975" s="68"/>
      <c r="H975" s="68"/>
      <c r="I975" s="221"/>
      <c r="J975" s="221"/>
      <c r="K975" s="221"/>
      <c r="L975" s="221"/>
      <c r="M975" s="221"/>
      <c r="N975" s="221"/>
      <c r="O975" s="221"/>
      <c r="P975" s="221"/>
      <c r="Q975" s="221"/>
      <c r="R975" s="221"/>
      <c r="S975" s="221"/>
      <c r="T975" s="221"/>
      <c r="U975" s="221"/>
      <c r="V975" s="221"/>
      <c r="W975" s="221"/>
      <c r="X975" s="221"/>
      <c r="Y975" s="221"/>
      <c r="Z975" s="221"/>
      <c r="AA975" s="221"/>
      <c r="AB975" s="297"/>
    </row>
    <row r="976">
      <c r="A976" s="134"/>
      <c r="B976" s="134"/>
      <c r="C976" s="68"/>
      <c r="D976" s="68"/>
      <c r="E976" s="68"/>
      <c r="F976" s="68"/>
      <c r="G976" s="68"/>
      <c r="H976" s="68"/>
      <c r="I976" s="221"/>
      <c r="J976" s="221"/>
      <c r="K976" s="221"/>
      <c r="L976" s="221"/>
      <c r="M976" s="221"/>
      <c r="N976" s="221"/>
      <c r="O976" s="221"/>
      <c r="P976" s="221"/>
      <c r="Q976" s="221"/>
      <c r="R976" s="221"/>
      <c r="S976" s="221"/>
      <c r="T976" s="221"/>
      <c r="U976" s="221"/>
      <c r="V976" s="221"/>
      <c r="W976" s="221"/>
      <c r="X976" s="221"/>
      <c r="Y976" s="221"/>
      <c r="Z976" s="221"/>
      <c r="AA976" s="221"/>
      <c r="AB976" s="297"/>
    </row>
    <row r="977">
      <c r="A977" s="134"/>
      <c r="B977" s="134"/>
      <c r="C977" s="68"/>
      <c r="D977" s="68"/>
      <c r="E977" s="68"/>
      <c r="F977" s="68"/>
      <c r="G977" s="68"/>
      <c r="H977" s="68"/>
      <c r="I977" s="221"/>
      <c r="J977" s="221"/>
      <c r="K977" s="221"/>
      <c r="L977" s="221"/>
      <c r="M977" s="221"/>
      <c r="N977" s="221"/>
      <c r="O977" s="221"/>
      <c r="P977" s="221"/>
      <c r="Q977" s="221"/>
      <c r="R977" s="221"/>
      <c r="S977" s="221"/>
      <c r="T977" s="221"/>
      <c r="U977" s="221"/>
      <c r="V977" s="221"/>
      <c r="W977" s="221"/>
      <c r="X977" s="221"/>
      <c r="Y977" s="221"/>
      <c r="Z977" s="221"/>
      <c r="AA977" s="221"/>
      <c r="AB977" s="297"/>
    </row>
    <row r="978">
      <c r="A978" s="134"/>
      <c r="B978" s="134"/>
      <c r="C978" s="68"/>
      <c r="D978" s="68"/>
      <c r="E978" s="68"/>
      <c r="F978" s="68"/>
      <c r="G978" s="68"/>
      <c r="H978" s="68"/>
      <c r="I978" s="221"/>
      <c r="J978" s="221"/>
      <c r="K978" s="221"/>
      <c r="L978" s="221"/>
      <c r="M978" s="221"/>
      <c r="N978" s="221"/>
      <c r="O978" s="221"/>
      <c r="P978" s="221"/>
      <c r="Q978" s="221"/>
      <c r="R978" s="221"/>
      <c r="S978" s="221"/>
      <c r="T978" s="221"/>
      <c r="U978" s="221"/>
      <c r="V978" s="221"/>
      <c r="W978" s="221"/>
      <c r="X978" s="221"/>
      <c r="Y978" s="221"/>
      <c r="Z978" s="221"/>
      <c r="AA978" s="221"/>
      <c r="AB978" s="297"/>
    </row>
    <row r="979">
      <c r="A979" s="134"/>
      <c r="B979" s="134"/>
      <c r="C979" s="68"/>
      <c r="D979" s="68"/>
      <c r="E979" s="68"/>
      <c r="F979" s="68"/>
      <c r="G979" s="68"/>
      <c r="H979" s="68"/>
      <c r="I979" s="221"/>
      <c r="J979" s="221"/>
      <c r="K979" s="221"/>
      <c r="L979" s="221"/>
      <c r="M979" s="221"/>
      <c r="N979" s="221"/>
      <c r="O979" s="221"/>
      <c r="P979" s="221"/>
      <c r="Q979" s="221"/>
      <c r="R979" s="221"/>
      <c r="S979" s="221"/>
      <c r="T979" s="221"/>
      <c r="U979" s="221"/>
      <c r="V979" s="221"/>
      <c r="W979" s="221"/>
      <c r="X979" s="221"/>
      <c r="Y979" s="221"/>
      <c r="Z979" s="221"/>
      <c r="AA979" s="221"/>
      <c r="AB979" s="297"/>
    </row>
    <row r="980">
      <c r="A980" s="134"/>
      <c r="B980" s="134"/>
      <c r="C980" s="68"/>
      <c r="D980" s="68"/>
      <c r="E980" s="68"/>
      <c r="F980" s="68"/>
      <c r="G980" s="68"/>
      <c r="H980" s="68"/>
      <c r="I980" s="221"/>
      <c r="J980" s="221"/>
      <c r="K980" s="221"/>
      <c r="L980" s="221"/>
      <c r="M980" s="221"/>
      <c r="N980" s="221"/>
      <c r="O980" s="221"/>
      <c r="P980" s="221"/>
      <c r="Q980" s="221"/>
      <c r="R980" s="221"/>
      <c r="S980" s="221"/>
      <c r="T980" s="221"/>
      <c r="U980" s="221"/>
      <c r="V980" s="221"/>
      <c r="W980" s="221"/>
      <c r="X980" s="221"/>
      <c r="Y980" s="221"/>
      <c r="Z980" s="221"/>
      <c r="AA980" s="221"/>
      <c r="AB980" s="297"/>
    </row>
    <row r="981">
      <c r="A981" s="134"/>
      <c r="B981" s="134"/>
      <c r="C981" s="68"/>
      <c r="D981" s="68"/>
      <c r="E981" s="68"/>
      <c r="F981" s="68"/>
      <c r="G981" s="68"/>
      <c r="H981" s="68"/>
      <c r="I981" s="221"/>
      <c r="J981" s="221"/>
      <c r="K981" s="221"/>
      <c r="L981" s="221"/>
      <c r="M981" s="221"/>
      <c r="N981" s="221"/>
      <c r="O981" s="221"/>
      <c r="P981" s="221"/>
      <c r="Q981" s="221"/>
      <c r="R981" s="221"/>
      <c r="S981" s="221"/>
      <c r="T981" s="221"/>
      <c r="U981" s="221"/>
      <c r="V981" s="221"/>
      <c r="W981" s="221"/>
      <c r="X981" s="221"/>
      <c r="Y981" s="221"/>
      <c r="Z981" s="221"/>
      <c r="AA981" s="221"/>
      <c r="AB981" s="297"/>
    </row>
    <row r="982">
      <c r="A982" s="134"/>
      <c r="B982" s="134"/>
      <c r="C982" s="68"/>
      <c r="D982" s="68"/>
      <c r="E982" s="68"/>
      <c r="F982" s="68"/>
      <c r="G982" s="68"/>
      <c r="H982" s="68"/>
      <c r="I982" s="221"/>
      <c r="J982" s="221"/>
      <c r="K982" s="221"/>
      <c r="L982" s="221"/>
      <c r="M982" s="221"/>
      <c r="N982" s="221"/>
      <c r="O982" s="221"/>
      <c r="P982" s="221"/>
      <c r="Q982" s="221"/>
      <c r="R982" s="221"/>
      <c r="S982" s="221"/>
      <c r="T982" s="221"/>
      <c r="U982" s="221"/>
      <c r="V982" s="221"/>
      <c r="W982" s="221"/>
      <c r="X982" s="221"/>
      <c r="Y982" s="221"/>
      <c r="Z982" s="221"/>
      <c r="AA982" s="221"/>
      <c r="AB982" s="297"/>
    </row>
  </sheetData>
  <mergeCells count="26">
    <mergeCell ref="A1:C3"/>
    <mergeCell ref="A5:C5"/>
    <mergeCell ref="A6:A7"/>
    <mergeCell ref="B6:B7"/>
    <mergeCell ref="A16:B16"/>
    <mergeCell ref="A17:B17"/>
    <mergeCell ref="A19:C19"/>
    <mergeCell ref="A20:A21"/>
    <mergeCell ref="B20:B21"/>
    <mergeCell ref="A30:B30"/>
    <mergeCell ref="A31:B31"/>
    <mergeCell ref="A33:C33"/>
    <mergeCell ref="A34:A35"/>
    <mergeCell ref="B34:B35"/>
    <mergeCell ref="A60:C60"/>
    <mergeCell ref="A61:A62"/>
    <mergeCell ref="B61:B62"/>
    <mergeCell ref="A71:B71"/>
    <mergeCell ref="A72:B72"/>
    <mergeCell ref="A44:B44"/>
    <mergeCell ref="A45:B45"/>
    <mergeCell ref="A47:C47"/>
    <mergeCell ref="A48:A49"/>
    <mergeCell ref="B48:B49"/>
    <mergeCell ref="A58:B58"/>
    <mergeCell ref="A59:B59"/>
  </mergeCells>
  <dataValidations>
    <dataValidation type="list" allowBlank="1" showErrorMessage="1" sqref="B65">
      <formula1>"Цяло яйце,Яйчен белтък,Яйчен жълтък,Яйце от пъдпъдък (цяло)"</formula1>
    </dataValidation>
    <dataValidation type="list" allowBlank="1" showErrorMessage="1" sqref="B36 B66:B67">
      <formula1>"SKYR PILOS BLUEBERRY,Крем за мазане Pilos (Light),Скир - плодов 0% (Лидъл),High Protein Pudding (milbona/милбона),Milbona Skyr natur,Mild Skyr Exquisa,Alpro мляко с протеин,Високо протеиново кисело мляко (Mercadona),High Protein Milk Product Различни плод"&amp;"ови варианти,Извара Олимпус,Извара Жоси,Извара Маджаров,Скир - натурален,Котидж сирене-Лидъл (пълномаслено),Котидж сирене-Лидъл (обезмаслено),Бяло сирене (стандартно/пълномаслено),Сирене Рикота (стандартно/пълномаслено),Кашкавал (стандартен/пълномаслен),Г"&amp;"ауда (стандартна/пълномаслена),Кисело мляко 0%,Кисело мляко 2%,Кисело мляко 3,6%,Kисело мляко Верея 5%,Прясно мляко 2%,Прясно мляко 3,6%,Филаделфия ""Милка"",Пилос страчатела,Милбона йогурт,Сладкарска сметана,Сметанов спрей,Плодов Skyr Пилос ЛИДЛ,Извара Д"&amp;"омлян,Йогурт 10% Пилос,Рикота,Филаделфия,Филаделфия Лайт,Exquisa 0.2%,Прясно мляко 3.2%,Мляко Верея 3.7%,Прясно мляко - Олимпус 1.7%,Прясно мляко Верея 1.7%,Вердаре Кисело Мляко - 4.5%,Кисело мляко Боженци 2%,Кисело мляко Боженци 4%,Прясно мляко 0.1%,Пряс"&amp;"но мляко 1.5%,Кисело мляко ""Сребърна"" 3.6%,Кисело мляко 0.1%,Кисело мляко 3.6%,Прясно Мляко 1%,Прясно мляко 3%,Извара Олимпус,Йогурт 10%,Йогурт 2%,Кремообразна извара - LIDL,Пармезан,Извара Пилос 0.5%,Цедено мляко 2%,Заквасена Сметана 20% мазнини,Козе С"&amp;"ирене,Цедено краве мляко, Olympus,Извара 4.2%,Сметана 12%,Крема сирене - Голдеса (Light),Милбона соево мляко,Пилос крема сирене,Голдеса лайт,Извара Брей,Кашкавалена извара,Маскарпоне,Извара Кондов,Нискомаслен кашкавал Маджаров,Извара ДМ,Гауда,Нискомаслен "&amp;"кашкавал Домлян,Бри сирене,Ементал,Извара Жоси,Извара Маджаров,Извара Мероне,Извара Мероне Безмаслена,Маджаров Бяло Сирене,Сирене Маджаров,Пилос кашкавал,Моцарела лайт,Пилос синьо сирене,Скирела,Халуми,Чедър,Едам,Саламурено сирене,Ементал, Arla,Бурата,Каш"&amp;"кавал ,Леердамер сирене,Limburger 9% (сирене),Моцарела,Бяло сирене,Краве сирене Верея,Скир-плодов Лидл,Извара Пилос(обезмаслена)-Лидл,Скир Ванилия - Kaufland,Крема сирене Goldessa (LIDL),Биволско сирене (Маджаров),Кашкавал - Вършец (Обезмаслен),Краве Сире"&amp;"не - Вършец (Обезмаслено),Моцарела от Скир (Skyrella),Протеинова напитка Данон,Извара”Пилос”-4,3%,Извара - пълномаслена,Рикота Lidl,Сирене, фета (Лидл),Kисело мляко Верея 2.9%,Кашкавалена извара Вършец,Извара (обезмаслена) - домашна,Извара Добрев,Крема си"&amp;"рене-Лидъл (light),Краве саламурено сирене (low fat),Кашкавал (low fat),Ниско калоричен Йогурт (манго),Краве сирене Елена (в кутия),Крема сирене-Филаделгия (3% фат),Краве сирене - Родна стряха (домашно в саламура),Данон ЙоПро - банан и ф.масло,Филаделфия "&amp;"(3% фат),Скир - MILDER SKYR EXQUISA,Рикота Formagia,Feta Chesee,Котидж сирене - (плодово-обезмаслено),Извара (обезмаслена-Тwarog),Кисело мляко 0% (високо протеиново),Сметана Pilos 36%,Скир - плодов ”Данон”,Йогурт - High Protein,Плодов скир - Алди,Скир - н"&amp;"атурален (Алди),Котидж сирене- (Лидъл-обезмаслено),Скир плодов череша - MILDER SKYR EXSQUISA,Меко сирене 0% (Quark),Кварк - плодов “Milbona”,Прясно краве сирене Пилос,Крема сирене Пилос (високо протеиново),Милбона крем извара с Ванилия,Маскарпоне K-Classi"&amp;"c,Кварк ванилия Milbona 0,2% Fat,Мини моцарела Lovilio LIDL,Скир - плодов Kaufland,High Protein (извара с йогурт) - Плодов,Крема сирене Goldessa Classic,Cottage cheese ASDA Longley farm,High Protein Quark Праскова и Маракуя,Pilos-Cream spread,Краве сирене"&amp;" ""Vedrare"",СКИР ЗА ПИЕНЕ -МИЛБОНА праскова,YoPro Proteina Bannana Peanut Butter,Моцарела настъргана ASDA,Pilos greek yogurt strawberry,пилос-paprika u pavlici -spicy,Pilos - Yogurt - Strawberry / Николина,Danone YoPro боровинка,Polski Jogurt Mlekovita я"&amp;"года,Alpro Barista Almond,Настърган кашкавал Витоша,Milbona кварк ягода,Кварк - натурален,Извара Кондов (козе мляко),Извара Китан,Скир плодов Лидл Pilos,Извара Родна стряха,Катък,HIGH Protein Vanilla Milbona Лидл,Катък ""Маджаров"",Полумаслено сирене Мадж"&amp;"аров,Извара Сърница (суроватъчна),МОЦАРЕЛА ЛАЙТ Лидл,YoPro Proteina milkshake chocolate,Danone плодов скир,Кокосово мляко ALPRO*,Alpro Vanilla пудинг,Котидж ""Landfrisch"",Pilos мляко с ориз канела,Pilos мляко с ориз шоколад,Pilos Yogurt плодов всички вку"&amp;"сове,Кефир - Лидъл (Натурален),Котидж сирене Филаделфия,Кварк праскова Milbona 0,2% Fat,Скир Danone натурален,Low-fat quark 0.2 Milbona,Извара Био Козе Хармоника,Скир Exquisa Натурален,Млечна салата ""Денито"",Сметана за готвене без лактоза (Meggle),Milbo"&amp;"na High Protein Quark (Малина),Извара Ведраре,Извара Био Хармоника Овче,Топено сирене чийзбургер,Danone YoPRO,Кашкавал краве Ралица,Топено сирене с чедър,Топено сирене със сметана Hochland,Кашкавал Ферия краве,Пудинг “Exquisa”,Кварк Milbona (натурален),Кр"&amp;"аве Сирене Pilos,Скир - MILDER SKYR EXQUISA  VANILLE,Кашкавал краве Ралица,Топено сирене  Milbona,Скир за пиене Milbona LIDL,HIGH Protein pudding Vanilla LIDL,Котидж сирене(обезмаслено) Sainsbury's,KVARG LINDAHLS white chocolate,Кашкавал Ферия краве,Топен"&amp;"о сирене със сметана Hochland,Сметана 22 % - Milbona,Scamorza Lovilio (Lidl),Скирела ЛИДЛ,Пудинг Шоколад милбона протеин,Сирене high protein,Кисело мляко-magermilch,Natural Cottage Cheese Sainsbury'""s,Brooklea PROTEIN soft cheese,Alpro Chocolate coconut,"&amp;"High Protein fat free raspberry,Активия натурална 0.5%,Протеиново мляко шоколад ALPRO,Мляко с ориз-Лидъл,Скир - MILDER SKYR EXQUISA  VANILLE,Eridanous - крем за мазане фета и сушени домати,Eridanous - крем за мазане фета и чушки,Graham's Protein Peach Qua"&amp;"rk,Graham's Protein raspberry  Quark,Pudding High Protein LIDL,Протеинова млечна напитка ном,Alpro Соев с Ягоди,Кварк Exquisa Боровинка,Сирене краве Ферия милк,Топено сирене Milbona,Сирене Котидж Милбона,Mild Skyr Exquisa,Крема сирене Pilos Cream Spread L"&amp;"ight,Извара 1% Родна стряха,Бадемово Мляко Ванилия,Протеинов Кварк Милбона,Кашкавал Домлян обезмаслен,Alpro мляко с протеин,Нискомаслено краве сирене 15%,Прясно сирене,Фитнес - Кварк Mein Protein (сурово състояние),Arla Lactofree,Моцарела лайт Zott,Староп"&amp;"ланински гюбек (Родна стряха),Кефир Pilos,Bircher Muesli Yogurt,Bircher Muesli Yogurt,Гауда / Gouda - Pilos,Coconut &amp; Rice Drink -  Vemondo,Skyr Exquisa с Череши Billa,Пълномаслено кисело мляко Чифлик Ливади,Филаделфия lightest,Higt protein moyyarella,Hig"&amp;"t protein mozarella-ALDI,Cream Spread - with herbs - Pilos,Йогурт Олимпус 2%,Котидж Сирене Philadelphia,High Protein Skyr Raspberry  Milbona,Cottage Cheese Philadelphia,Кашкавал (Димитър Маджаров),Високо протеинов пудинг Milbona ванилия - Lidl,YoPRO Кокос"&amp;",Cottage Classic Olympus,Йогурт нискомаслен 2% Олимпус,Сирене Котидж - Олимпус класик,Exquisa Крема Сирене 0.2% мазнини,Exquisa Quark-Jorgurt Creme 10% Protein Праскова-Маракуя,Краве сирене Ситово лайт,YoPro Danone 25g Proteina,Кашкавал Родопска сълзица,П"&amp;"ротеинов йогурт с банан, манго, ленено семе и зърнени култури,Скир Exquisa Натурален без Лактоза,Бурата Gioiella,Йогурт Олимпус Праскова 0%Fat,Super Spoon Банан Манго Лен,Кашкавал Домлян БДС,Сирене Краве Нискомаслено Light Добрев,Кашкавал Витоша Нискомасл"&amp;"ен Добрев,Крема сирене PHILADELPHIA Light,Топени сиренца PRESIDENT Light,Кварк Exquisa Fitline Печени Бадеми,Кварк Exquisa Fitline Ябълка с Канела,Кварк Exquisa Fitline Праскова и Маракуя,Сирене Exquisa Котидж без Лактоза,Пудинг Exquisa Протеинов Шоколад,"&amp;"Скир-натурален MinusL - без лактоза,Филаделфия - без лактоза,Сирене GAZI - без лактоза,Сметана за кафе MinusL - без лактоза,Протеинова напитка ванилия -""Edeka""-Gut &amp; Günstig,HIGH PROTEIN Caramel pudding Ehrmann,Нискомасшена извара Albe (Al Campo),Котидж"&amp;" Сирене 4% Arla (Mercadona),Нискомасшена извара Albe (Al Campo),Кисело мляко 3.6% БДС - Бор Чвор,Кашкавал eatlean без лактоза, висок протеин,High Protein pudding Exquisa Шоколад,High Protein pudding Exquisa Ванилия,High Protein Chocolate Flavour Pudding,П"&amp;"рясно Мляко пълномаслено Масларски,High protein vanille Drink (Lidl),Ali &amp; Fines herbes,Топено сирене Smoret,Овче сирене LACRIMA,Извара Ситово,Киндер,Кисело мляко Ведраре, овче, 6,5%,Quarkcreme Chokolate Chios MinusL без лактоза,Скир Arla Low Fat,Плодово "&amp;"кисело мляко,Quark Creme Natut MinusL - без лактоза,Скир Arla Low Fat Strawberry,Йогурт Олимпус пълномаслен,Arla Protein Blueberry Yogurt,Arla Skyr Strawberry Yogurt,High Protein Milk Product Различни плодови варианти,Скир с мед  MILSANI,Скир ягода кауфла"&amp;"нд,Скир Bourbon Vanille Kaуфланд,Quark creme Natur HIGH Protein Kaufland,Пудинг ванилия HIGH Protein Кауфланд,Котидж сирене Exquisa,Кашкавал Кенана,Кварк Exquisa Fitline Боровинка,Körniger Frischkäse - без лактоза,EHRMANN ПРОТЕИНОВ ПУДИНГ,Мляко с повишено"&amp;" съдържание на протеин Meggle,Протеинов йогурт Kri Kri Super spoon,Извара (нискомаслена) ""JA!"",Папрука у павлаци,Кокосово мляко Alpro Barista,Обезмаслена извара БИО ""REWE"",Моцарела ""Arla"",Саламурено сирене (натрошено) с повишено водно съдържание LID"&amp;"L,Kварк Zero 0%  кокос Exquisa (без захар),Натрошено Сирене Родопско чудо,Протеинов пудинг карамел (Mercadona),YoPro Боровинка,Плодово протеиново кисело мляко (Mercadona),Morbier/Морбие сирене,краве сирене - LACRIMA,Philadelphia/Филаделфия protein,Крема С"&amp;"ирене - Хелиос,Котидж сирене - MILRAM"</formula1>
    </dataValidation>
    <dataValidation type="list" allowBlank="1" showErrorMessage="1" sqref="B51">
      <formula1>"Картофи (сурово състояние),Картофи (варено състояние),Моркови (сурово състояние),Репички (сурово състояние),Ряпа (сурово състояние),Сладък картоф (сурово състояние),Цвекло (сурово състояние),Целина- корен (сурово състояние),Сладък картоф (варен),Картофи У"&amp;"еджис / Пикантни по селски - Фантастико,Картофи по селски Уеджис - Лидл,Картофени ньоки със спанак (сурово състояние),Картофени крокети замразени - Лидъл"</formula1>
    </dataValidation>
    <dataValidation type="list" allowBlank="1" showErrorMessage="1" sqref="B50">
      <formula1>"Пилешки гърди (сурово състояние),Пилешки гърди/бонфиле (сготвено състояние),Пилешка пържола от бут без кожа (сурово състояние),Пилешка пържола от бут с кожа (сурово състояние),Пилешки сърца (сурово състояние),Пилешки крилца (сурово състояние),Пуешки гърди"&amp;" (сурово състояние),Пуешка пържола от бутче (сурово състояние),Свинска вратна пържола (сурово състояние),Свински котлет без кост (сурово състояние),Свински котлет с кост (суров),Свинско бонфиле (сурово състояние),Телешки шол (сурово състояние),Телешка пле"&amp;"шка (сурово състояние),Телешка пържола на скара,Филе Елена (Лидл),Телешко дърпано (11 meats),Пилешки бут без кост (11 meats),Свинско дърпано (11 meats),Бекон (сурово състояние),Телешко месо (готвено),Пуешко месо (11meats),Пилешка шунка (""Dulano""-Lildl),"&amp;"Телешко кюфте (печено),Печено пилешко кюфте ”Меркез”,Телешка кайма (домашна) ,Пилешка пържола от бут без кожа (на скара),Свинско бонфиле (на тиган, скара),Пуешко филе (на тиган, скара),Пилешки гърди (варени),Деликатесна шунка (варена, Дулано),Телешко филе"&amp;" (сурово),Свински врат Чех,Агнешки бут (печен),Телешка кайма 5% мазнини (сурова),Свинска кайма 5% мазнини (сурова),Конско месо (печено/варено),Кайма - Black angus от мраморно говеждо месо (MEAT REVOLUTION) - Lild,Пилешко бутче с кожа (печено),Пуешка кайма"&amp;" 7% мазнини (сурова),Адана кебаб (суров),Агнешко месо (печено/варено),Свински наденици ( 50% мазнини),Black angus бургер (сурово състояние) Лидл,Шницели от охладено свинско месо - Lidl (суров),Пуешка кайма 2%,Варена шунка (Pikok - Lidl),Блек ангъс брекфас"&amp;"т сосиджис (Black angus breakfast sausages) Vivenda,Свински наденици (45% мазнини) Алди,Пилешка пушена шунка ""Фирма - Браво"",Пуешко филе КФМ,Телешка пастърма слайс от ""АБА ЕООД"",Шунка Виенска Премиум КФМ,Луканка Маджаров (черен етикет),Кюфтета от свин"&amp;"ско и говеждо месо със сос с гъби - LIDL,Свинско контрафиле (сурово),Прошуто Кото,Пастет Апетит / Николина,Пушено свинско филе ""Тандем"",Телешки бургер (сурово състояние),Пилешко филе - шишче (сготвено),Кайма Абердин Ангус (сурова)  - Tesco finest,Кренви"&amp;"рши Лидл варено пушени,Телешко Buon Pascolo (в консерва),Ловджийски наденички охладени Лидл,Пилешки дробчета (сготвено състояние),Свински джолан (сурово състояние),Печени патешки гърди Дулано Лидл,Пуешки бут (варен),Пуешки гърди (варени),Свинки бут (варен"&amp;"),Свинско контра филе (печено),Шунка Браво (свинска),Кюфтета свински на скара,Кюфтета От младо телешко Лидл,Заек (сурово състояние),Свински котлет с кост (на скара),Хамон Лидл,Пастърма от пилешки гърди Woods Foods,Пуешко филе БРАВО (варено-пушено),Пастърм"&amp;"а Говежда Еко Мес,Прошуто Кото Дулано (Lidl),Шварцвалдска шунка, суровопушена (Lidl),Шунка Тандем Класик,Свинска вратна пържола (печена),Панагюрска луканка маджаров,Телешки Дроб (суров),Свински бут варено-пушен Baroni,Прошуто Крудо - Fratelli Beretta,Кюфт"&amp;"ета от свинско месо (lidl),Пуешко месо от бутче Pikok (Буркан),Македонска наденица,Шунка свинска - Кен,Охлюви сурови,Пършута слайс сурово сушен свински бут,Кайма Народен (пакетче),Пуешко филе Pikok 87% месо (варено-пушено),Телешка кайма от младо теле - Ли"&amp;"дл,Печена пилешка пържола “Меркез”,Пилешко Бутче - Варено Пушено - Pikok Lidl,Beef Jerky (сготвено състояние),Мариновано пуешко филе (сурово състояние),Пуешко филе в марината (сурово състояние),Адана Кебап на Шиш - Lidl,Шунка Маджаров (варено-пушена),Паст"&amp;"ет от биволско месо (WOODS FOODS),Пилешки дробчета (сурови),Пуешки кренвирши (мини, Меско),Пуешка шунка Тандем,Пуешки гърди, осолени, варени, печени, нарязани (Dulano),Шунка Бут - Слайс - Тандем,Шунка от свински бут - Пикок / Pikok,Шунка, варено-пушена, н"&amp;"арязана Dulano,Немска грил наденица - Alpen Fest - Lidl,Карначе (сурово),Бекон LIDL (сурово състояние),Млечно телешко смляно месо - Вивенда,Бургер от младо телешко (сурово състояние),Пилешко Бутче без кожа, задушено (сготвено състояние),Пилешко Бутче без "&amp;"кожа (печено),Деликатесно свинско филе Дулано,Телешко бон филе (сурово състояние),Свинска Шунка Baroni - Lidl,Пуешко филе ОРЕХИТЕ - варено-пушено,Свински бут (печен),Шунка от свинско месо, варено-пушена Пикок / Pikok,Филе Елена,Горнооряховски суджук ""Сте"&amp;"фанов"",Глиган - готвен, печен,Телешко HEREFORD (консерва),Телешки шол (сготвено състояние),Кайма от телешки шол (сготвено състояние),Сурово сушено свинско контрафиле Dulano,Пилешко роле - Меско,Пилешко месо в желе (Dulno),Сушено филе ""Родна стряха"",Пуе"&amp;"шки дроб (сурово състояние),BEEF JERKY TERIYAKI,Свински Врат (стек), суров,Детски пуешки кремвирши Лидл,Пилешко бутче с кост( долната част ) сурово състояние,Джолан - Свински желиран ЕКО МЕС (за директна консумация),Свинска Плешка (печена),Пилешки салам G"&amp;"utfried,Пуешки шницел (суров),Мексико микс - ЛИДЛ,Агнешки бут (сурово състояние),Агнешки врат (сурово състояние),Прясно пилешко филе (Лидл - сурово състояние),Пуешко филе ""IFANTIS"",Пилешки Гирос (замразен),Beef Jerky ""Shell"",Шунка Шпортлер ""Lidl"" (с"&amp;"урово състояние),Свинско сърце (сурово състояние),Свински бут (сурово състояние),Брезаола (сурово състояние),Конска Пастърма УНИТЕМП,Пуешка шунка (Mercadona),Охл. Конско кюфте - Харманли,Свинско Дърпано EL Tequito(Lidl),Пилешки филета от гърди по тихуанск"&amp;"и(Lidl),Пушено свинско филе Meze,Dulano - Пилешки гърди"</formula1>
    </dataValidation>
    <dataValidation type="list" allowBlank="1" sqref="A8:A15 A22:A29 A36:A43 A50:A57 A63:A70">
      <formula1>Foods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 outlineLevelRow="1"/>
  <cols>
    <col customWidth="1" min="1" max="2" width="25.13"/>
    <col customWidth="1" min="3" max="3" width="13.25"/>
    <col customWidth="1" min="10" max="10" width="11.5"/>
    <col customWidth="1" min="11" max="11" width="8.88"/>
    <col customWidth="1" min="12" max="12" width="7.75"/>
    <col customWidth="1" min="13" max="13" width="6.5"/>
    <col customWidth="1" min="14" max="14" width="6.13"/>
    <col customWidth="1" min="15" max="15" width="6.75"/>
  </cols>
  <sheetData>
    <row r="1">
      <c r="A1" s="298" t="s">
        <v>123</v>
      </c>
      <c r="C1" s="178"/>
      <c r="D1" s="217" t="s">
        <v>19</v>
      </c>
      <c r="E1" s="218" t="s">
        <v>20</v>
      </c>
      <c r="F1" s="218" t="s">
        <v>21</v>
      </c>
      <c r="G1" s="219" t="s">
        <v>22</v>
      </c>
      <c r="H1" s="220" t="s">
        <v>7</v>
      </c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68"/>
      <c r="Z1" s="68"/>
      <c r="AA1" s="68"/>
      <c r="AB1" s="68"/>
    </row>
    <row r="2">
      <c r="A2" s="222"/>
      <c r="C2" s="178"/>
      <c r="D2" s="223">
        <f>vlookup(D$5,'Макроси'!$A$7:$F$9,2,False)</f>
        <v>180</v>
      </c>
      <c r="E2" s="224">
        <f>vlookup(E$5,'Макроси'!$A$7:$F$9,2,False)</f>
        <v>210</v>
      </c>
      <c r="F2" s="224">
        <f>vlookup(F$5,'Макроси'!$A$7:$F$9,2,False)</f>
        <v>60</v>
      </c>
      <c r="G2" s="224"/>
      <c r="H2" s="225">
        <f>IF(ISERROR(ROUNDUP((D2+E2)*4+F2*9,0)),"",ROUNDUP((D2+E2)*4+F2*9,0))</f>
        <v>2100</v>
      </c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1"/>
      <c r="U2" s="221"/>
      <c r="V2" s="221"/>
      <c r="W2" s="221"/>
      <c r="X2" s="221"/>
      <c r="Y2" s="68"/>
      <c r="Z2" s="68"/>
      <c r="AA2" s="68"/>
      <c r="AB2" s="68"/>
    </row>
    <row r="3">
      <c r="A3" s="226"/>
      <c r="B3" s="105"/>
      <c r="C3" s="227"/>
      <c r="D3" s="228">
        <f t="shared" ref="D3:G3" si="1">D7+D21+D35+D49</f>
        <v>178.0805</v>
      </c>
      <c r="E3" s="229">
        <f t="shared" si="1"/>
        <v>153.6815</v>
      </c>
      <c r="F3" s="229">
        <f t="shared" si="1"/>
        <v>47.5465</v>
      </c>
      <c r="G3" s="229">
        <f t="shared" si="1"/>
        <v>6.674</v>
      </c>
      <c r="H3" s="230">
        <f>SUM(H7+H21+H35+H49)</f>
        <v>1757</v>
      </c>
      <c r="I3" s="221"/>
      <c r="J3" s="221"/>
      <c r="K3" s="221"/>
      <c r="L3" s="221"/>
      <c r="M3" s="221"/>
      <c r="N3" s="221"/>
      <c r="O3" s="221"/>
      <c r="P3" s="221"/>
      <c r="Q3" s="221"/>
      <c r="R3" s="221"/>
      <c r="S3" s="221"/>
      <c r="T3" s="221"/>
      <c r="U3" s="221"/>
      <c r="V3" s="221"/>
      <c r="W3" s="221"/>
      <c r="X3" s="221"/>
      <c r="Y3" s="68"/>
      <c r="Z3" s="68"/>
      <c r="AA3" s="68"/>
      <c r="AB3" s="68"/>
    </row>
    <row r="4" ht="9.75" customHeight="1">
      <c r="A4" s="68"/>
      <c r="B4" s="68"/>
      <c r="C4" s="68"/>
      <c r="D4" s="78"/>
      <c r="E4" s="78"/>
      <c r="F4" s="78"/>
      <c r="G4" s="78"/>
      <c r="H4" s="78"/>
      <c r="I4" s="221"/>
      <c r="J4" s="221"/>
      <c r="K4" s="221"/>
      <c r="L4" s="221"/>
      <c r="M4" s="221"/>
      <c r="N4" s="221"/>
      <c r="O4" s="221"/>
      <c r="P4" s="221"/>
      <c r="Q4" s="221"/>
      <c r="R4" s="221"/>
      <c r="S4" s="221"/>
      <c r="T4" s="221"/>
      <c r="U4" s="221"/>
      <c r="V4" s="221"/>
      <c r="W4" s="221"/>
      <c r="X4" s="221"/>
      <c r="Y4" s="68"/>
      <c r="Z4" s="68"/>
      <c r="AA4" s="68"/>
      <c r="AB4" s="68"/>
    </row>
    <row r="5">
      <c r="A5" s="302" t="s">
        <v>55</v>
      </c>
      <c r="B5" s="105"/>
      <c r="C5" s="227"/>
      <c r="D5" s="217" t="s">
        <v>19</v>
      </c>
      <c r="E5" s="218" t="s">
        <v>20</v>
      </c>
      <c r="F5" s="218" t="s">
        <v>21</v>
      </c>
      <c r="G5" s="219" t="s">
        <v>22</v>
      </c>
      <c r="H5" s="220" t="s">
        <v>7</v>
      </c>
      <c r="I5" s="235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68"/>
      <c r="Z5" s="68"/>
      <c r="AA5" s="68"/>
    </row>
    <row r="6">
      <c r="A6" s="303" t="s">
        <v>0</v>
      </c>
      <c r="B6" s="304" t="s">
        <v>17</v>
      </c>
      <c r="C6" s="238" t="s">
        <v>124</v>
      </c>
      <c r="D6" s="329">
        <f>vlookup(D$5,'Макроси'!$A$7:$F$9,3,False)</f>
        <v>35</v>
      </c>
      <c r="E6" s="330">
        <f>vlookup(E$5,'Макроси'!$A$7:$F$9,3,False)</f>
        <v>20</v>
      </c>
      <c r="F6" s="330">
        <f>vlookup(F$5,'Макроси'!$A$7:$F$9,3,False)</f>
        <v>5</v>
      </c>
      <c r="G6" s="330"/>
      <c r="H6" s="331">
        <f>IF(ISERROR(ROUNDUP((D6+E6)*4+F6*9,0)),"",ROUNDUP((D6+E6)*4+F6*9,0))</f>
        <v>265</v>
      </c>
      <c r="I6" s="235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68"/>
      <c r="Z6" s="68"/>
      <c r="AA6" s="68"/>
    </row>
    <row r="7">
      <c r="A7" s="105"/>
      <c r="B7" s="242"/>
      <c r="C7" s="243" t="s">
        <v>125</v>
      </c>
      <c r="D7" s="332">
        <f t="shared" ref="D7:H7" si="2">SUM(D8:D17)</f>
        <v>11</v>
      </c>
      <c r="E7" s="333">
        <f t="shared" si="2"/>
        <v>4</v>
      </c>
      <c r="F7" s="333">
        <f t="shared" si="2"/>
        <v>0</v>
      </c>
      <c r="G7" s="334">
        <f t="shared" si="2"/>
        <v>0</v>
      </c>
      <c r="H7" s="335">
        <f t="shared" si="2"/>
        <v>60</v>
      </c>
      <c r="I7" s="235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1"/>
      <c r="V7" s="221"/>
      <c r="W7" s="221"/>
      <c r="X7" s="221"/>
      <c r="Y7" s="68"/>
      <c r="Z7" s="68"/>
      <c r="AA7" s="68"/>
    </row>
    <row r="8" outlineLevel="1">
      <c r="A8" s="336" t="s">
        <v>126</v>
      </c>
      <c r="B8" s="336" t="s">
        <v>140</v>
      </c>
      <c r="C8" s="245">
        <v>100.0</v>
      </c>
      <c r="D8" s="246">
        <f>IF(ISNA(($C8/100)*VLOOKUP($B8,DB,3,FALSE)),"",($C8/100)*VLOOKUP($B8,DB,3,FALSE))</f>
        <v>11</v>
      </c>
      <c r="E8" s="246">
        <f>IF(ISNA(($C8/100)*VLOOKUP($B8,DB,4,FALSE)),"",($C8/100)*VLOOKUP($B8,DB,4,FALSE))</f>
        <v>4</v>
      </c>
      <c r="F8" s="246">
        <f>IF(ISNA(($C8/100)*VLOOKUP($B8,DB,5,FALSE)),"",($C8/100)*VLOOKUP($B8,DB,5,FALSE))</f>
        <v>0</v>
      </c>
      <c r="G8" s="246">
        <f>IF(ISNA(($C8/100)*VLOOKUP($B8,DB,6,FALSE)),"",($C8/100)*VLOOKUP($B8,DB,6,FALSE))</f>
        <v>0</v>
      </c>
      <c r="H8" s="247">
        <f t="shared" ref="H8:H17" si="3">IF(ISERROR(ROUNDUP((D8+E8)*4+F8*9,0)),"",ROUNDUP((D8+E8)*4+F8*9,0))</f>
        <v>60</v>
      </c>
      <c r="I8" s="309"/>
      <c r="J8" s="309"/>
      <c r="K8" s="309"/>
      <c r="L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09"/>
      <c r="X8" s="309"/>
      <c r="Y8" s="309"/>
      <c r="Z8" s="309"/>
      <c r="AA8" s="309"/>
      <c r="AB8" s="310"/>
    </row>
    <row r="9" outlineLevel="1">
      <c r="A9" s="336"/>
      <c r="B9" s="336"/>
      <c r="C9" s="245"/>
      <c r="D9" s="246" t="str">
        <f>IF(ISNA(($C9/100)*VLOOKUP($B9,DB,3,FALSE)),"",($C9/100)*VLOOKUP($B9,DB,3,FALSE))</f>
        <v/>
      </c>
      <c r="E9" s="246" t="str">
        <f>IF(ISNA(($C9/100)*VLOOKUP($B9,DB,4,FALSE)),"",($C9/100)*VLOOKUP($B9,DB,4,FALSE))</f>
        <v/>
      </c>
      <c r="F9" s="246" t="str">
        <f>IF(ISNA(($C9/100)*VLOOKUP($B9,DB,5,FALSE)),"",($C9/100)*VLOOKUP($B9,DB,5,FALSE))</f>
        <v/>
      </c>
      <c r="G9" s="246" t="str">
        <f>IF(ISNA(($C9/100)*VLOOKUP($B9,DB,6,FALSE)),"",($C9/100)*VLOOKUP($B9,DB,6,FALSE))</f>
        <v/>
      </c>
      <c r="H9" s="247">
        <f t="shared" si="3"/>
        <v>0</v>
      </c>
      <c r="I9" s="309"/>
      <c r="J9" s="309"/>
      <c r="K9" s="309"/>
      <c r="L9" s="309"/>
      <c r="M9" s="309"/>
      <c r="N9" s="309"/>
      <c r="O9" s="309"/>
      <c r="P9" s="309"/>
      <c r="Q9" s="309"/>
      <c r="R9" s="309"/>
      <c r="S9" s="309"/>
      <c r="T9" s="309"/>
      <c r="U9" s="309"/>
      <c r="V9" s="309"/>
      <c r="W9" s="309"/>
      <c r="X9" s="309"/>
      <c r="Y9" s="309"/>
      <c r="Z9" s="309"/>
      <c r="AA9" s="309"/>
      <c r="AB9" s="310"/>
    </row>
    <row r="10" outlineLevel="1">
      <c r="A10" s="336" t="s">
        <v>97</v>
      </c>
      <c r="B10" s="336"/>
      <c r="C10" s="245"/>
      <c r="D10" s="246" t="str">
        <f>IF(ISNA(($C10/100)*VLOOKUP($B10,DB,3,FALSE)),"",($C10/100)*VLOOKUP($B10,DB,3,FALSE))</f>
        <v/>
      </c>
      <c r="E10" s="246" t="str">
        <f>IF(ISNA(($C10/100)*VLOOKUP($B10,DB,4,FALSE)),"",($C10/100)*VLOOKUP($B10,DB,4,FALSE))</f>
        <v/>
      </c>
      <c r="F10" s="246" t="str">
        <f>IF(ISNA(($C10/100)*VLOOKUP($B10,DB,5,FALSE)),"",($C10/100)*VLOOKUP($B10,DB,5,FALSE))</f>
        <v/>
      </c>
      <c r="G10" s="246" t="str">
        <f>IF(ISNA(($C10/100)*VLOOKUP($B10,DB,6,FALSE)),"",($C10/100)*VLOOKUP($B10,DB,6,FALSE))</f>
        <v/>
      </c>
      <c r="H10" s="247">
        <f t="shared" si="3"/>
        <v>0</v>
      </c>
      <c r="I10" s="309"/>
      <c r="J10" s="309"/>
      <c r="K10" s="309"/>
      <c r="L10" s="309"/>
      <c r="M10" s="309"/>
      <c r="N10" s="309"/>
      <c r="O10" s="309"/>
      <c r="P10" s="309"/>
      <c r="Q10" s="309"/>
      <c r="R10" s="309"/>
      <c r="S10" s="309"/>
      <c r="T10" s="309"/>
      <c r="U10" s="309"/>
      <c r="V10" s="309"/>
      <c r="W10" s="309"/>
      <c r="X10" s="309"/>
      <c r="Y10" s="309"/>
      <c r="Z10" s="309"/>
      <c r="AA10" s="309"/>
      <c r="AB10" s="310"/>
    </row>
    <row r="11" outlineLevel="1">
      <c r="A11" s="336"/>
      <c r="B11" s="336"/>
      <c r="C11" s="245"/>
      <c r="D11" s="246" t="str">
        <f>IF(ISNA(($C11/100)*VLOOKUP($B11,DB,3,FALSE)),"",($C11/100)*VLOOKUP($B11,DB,3,FALSE))</f>
        <v/>
      </c>
      <c r="E11" s="246" t="str">
        <f>IF(ISNA(($C11/100)*VLOOKUP($B11,DB,4,FALSE)),"",($C11/100)*VLOOKUP($B11,DB,4,FALSE))</f>
        <v/>
      </c>
      <c r="F11" s="246" t="str">
        <f>IF(ISNA(($C11/100)*VLOOKUP($B11,DB,5,FALSE)),"",($C11/100)*VLOOKUP($B11,DB,5,FALSE))</f>
        <v/>
      </c>
      <c r="G11" s="246" t="str">
        <f>IF(ISNA(($C11/100)*VLOOKUP($B11,DB,6,FALSE)),"",($C11/100)*VLOOKUP($B11,DB,6,FALSE))</f>
        <v/>
      </c>
      <c r="H11" s="247">
        <f t="shared" si="3"/>
        <v>0</v>
      </c>
      <c r="I11" s="309"/>
      <c r="J11" s="309"/>
      <c r="K11" s="309"/>
      <c r="L11" s="309"/>
      <c r="M11" s="309"/>
      <c r="N11" s="309"/>
      <c r="O11" s="309"/>
      <c r="P11" s="309"/>
      <c r="Q11" s="309"/>
      <c r="R11" s="309"/>
      <c r="S11" s="309"/>
      <c r="T11" s="309"/>
      <c r="U11" s="309"/>
      <c r="V11" s="309"/>
      <c r="W11" s="309"/>
      <c r="X11" s="309"/>
      <c r="Y11" s="309"/>
      <c r="Z11" s="309"/>
      <c r="AA11" s="309"/>
      <c r="AB11" s="310"/>
    </row>
    <row r="12" outlineLevel="1">
      <c r="A12" s="336"/>
      <c r="B12" s="336"/>
      <c r="C12" s="245"/>
      <c r="D12" s="246" t="str">
        <f>IF(ISNA(($C12/100)*VLOOKUP($B12,DB,3,FALSE)),"",($C12/100)*VLOOKUP($B12,DB,3,FALSE))</f>
        <v/>
      </c>
      <c r="E12" s="246" t="str">
        <f>IF(ISNA(($C12/100)*VLOOKUP($B12,DB,4,FALSE)),"",($C12/100)*VLOOKUP($B12,DB,4,FALSE))</f>
        <v/>
      </c>
      <c r="F12" s="246" t="str">
        <f>IF(ISNA(($C12/100)*VLOOKUP($B12,DB,5,FALSE)),"",($C12/100)*VLOOKUP($B12,DB,5,FALSE))</f>
        <v/>
      </c>
      <c r="G12" s="246" t="str">
        <f>IF(ISNA(($C12/100)*VLOOKUP($B12,DB,6,FALSE)),"",($C12/100)*VLOOKUP($B12,DB,6,FALSE))</f>
        <v/>
      </c>
      <c r="H12" s="247">
        <f t="shared" si="3"/>
        <v>0</v>
      </c>
      <c r="I12" s="309"/>
      <c r="J12" s="309"/>
      <c r="K12" s="309"/>
      <c r="L12" s="309"/>
      <c r="M12" s="309"/>
      <c r="N12" s="309"/>
      <c r="O12" s="309"/>
      <c r="P12" s="309"/>
      <c r="Q12" s="309"/>
      <c r="R12" s="309"/>
      <c r="S12" s="309"/>
      <c r="T12" s="309"/>
      <c r="U12" s="309"/>
      <c r="V12" s="309"/>
      <c r="W12" s="309"/>
      <c r="X12" s="309"/>
      <c r="Y12" s="309"/>
      <c r="Z12" s="309"/>
      <c r="AA12" s="309"/>
      <c r="AB12" s="310"/>
    </row>
    <row r="13" outlineLevel="1">
      <c r="A13" s="336"/>
      <c r="B13" s="336"/>
      <c r="C13" s="245"/>
      <c r="D13" s="246" t="str">
        <f>IF(ISNA(($C13/100)*VLOOKUP($B13,DB,3,FALSE)),"",($C13/100)*VLOOKUP($B13,DB,3,FALSE))</f>
        <v/>
      </c>
      <c r="E13" s="246" t="str">
        <f>IF(ISNA(($C13/100)*VLOOKUP($B13,DB,4,FALSE)),"",($C13/100)*VLOOKUP($B13,DB,4,FALSE))</f>
        <v/>
      </c>
      <c r="F13" s="246" t="str">
        <f>IF(ISNA(($C13/100)*VLOOKUP($B13,DB,5,FALSE)),"",($C13/100)*VLOOKUP($B13,DB,5,FALSE))</f>
        <v/>
      </c>
      <c r="G13" s="246" t="str">
        <f>IF(ISNA(($C13/100)*VLOOKUP($B13,DB,6,FALSE)),"",($C13/100)*VLOOKUP($B13,DB,6,FALSE))</f>
        <v/>
      </c>
      <c r="H13" s="247">
        <f t="shared" si="3"/>
        <v>0</v>
      </c>
      <c r="I13" s="309"/>
      <c r="J13" s="309"/>
      <c r="K13" s="309"/>
      <c r="L13" s="309"/>
      <c r="M13" s="309"/>
      <c r="N13" s="309"/>
      <c r="O13" s="309"/>
      <c r="P13" s="309"/>
      <c r="Q13" s="309"/>
      <c r="R13" s="309"/>
      <c r="S13" s="309"/>
      <c r="T13" s="309"/>
      <c r="U13" s="309"/>
      <c r="V13" s="309"/>
      <c r="W13" s="309"/>
      <c r="X13" s="309"/>
      <c r="Y13" s="309"/>
      <c r="Z13" s="309"/>
      <c r="AA13" s="309"/>
      <c r="AB13" s="310"/>
    </row>
    <row r="14" outlineLevel="1">
      <c r="A14" s="336"/>
      <c r="B14" s="336"/>
      <c r="C14" s="245"/>
      <c r="D14" s="246" t="str">
        <f>IF(ISNA(($C14/100)*VLOOKUP($B14,DB,3,FALSE)),"",($C14/100)*VLOOKUP($B14,DB,3,FALSE))</f>
        <v/>
      </c>
      <c r="E14" s="246" t="str">
        <f>IF(ISNA(($C14/100)*VLOOKUP($B14,DB,4,FALSE)),"",($C14/100)*VLOOKUP($B14,DB,4,FALSE))</f>
        <v/>
      </c>
      <c r="F14" s="246" t="str">
        <f>IF(ISNA(($C14/100)*VLOOKUP($B14,DB,5,FALSE)),"",($C14/100)*VLOOKUP($B14,DB,5,FALSE))</f>
        <v/>
      </c>
      <c r="G14" s="246" t="str">
        <f>IF(ISNA(($C14/100)*VLOOKUP($B14,DB,6,FALSE)),"",($C14/100)*VLOOKUP($B14,DB,6,FALSE))</f>
        <v/>
      </c>
      <c r="H14" s="247">
        <f t="shared" si="3"/>
        <v>0</v>
      </c>
      <c r="I14" s="309"/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/>
      <c r="U14" s="309"/>
      <c r="V14" s="309"/>
      <c r="W14" s="309"/>
      <c r="X14" s="309"/>
      <c r="Y14" s="309"/>
      <c r="Z14" s="309"/>
      <c r="AA14" s="309"/>
      <c r="AB14" s="310"/>
    </row>
    <row r="15" outlineLevel="1">
      <c r="A15" s="336"/>
      <c r="B15" s="336"/>
      <c r="C15" s="245"/>
      <c r="D15" s="246" t="str">
        <f>IF(ISNA(($C15/100)*VLOOKUP($B15,DB,3,FALSE)),"",($C15/100)*VLOOKUP($B15,DB,3,FALSE))</f>
        <v/>
      </c>
      <c r="E15" s="246" t="str">
        <f>IF(ISNA(($C15/100)*VLOOKUP($B15,DB,4,FALSE)),"",($C15/100)*VLOOKUP($B15,DB,4,FALSE))</f>
        <v/>
      </c>
      <c r="F15" s="246" t="str">
        <f>IF(ISNA(($C15/100)*VLOOKUP($B15,DB,5,FALSE)),"",($C15/100)*VLOOKUP($B15,DB,5,FALSE))</f>
        <v/>
      </c>
      <c r="G15" s="246" t="str">
        <f>IF(ISNA(($C15/100)*VLOOKUP($B15,DB,6,FALSE)),"",($C15/100)*VLOOKUP($B15,DB,6,FALSE))</f>
        <v/>
      </c>
      <c r="H15" s="247">
        <f t="shared" si="3"/>
        <v>0</v>
      </c>
      <c r="I15" s="309"/>
      <c r="J15" s="309"/>
      <c r="K15" s="309"/>
      <c r="L15" s="309"/>
      <c r="M15" s="309"/>
      <c r="N15" s="309"/>
      <c r="O15" s="309"/>
      <c r="P15" s="309"/>
      <c r="Q15" s="309"/>
      <c r="R15" s="309"/>
      <c r="S15" s="309"/>
      <c r="T15" s="309"/>
      <c r="U15" s="309"/>
      <c r="V15" s="309"/>
      <c r="W15" s="309"/>
      <c r="X15" s="309"/>
      <c r="Y15" s="309"/>
      <c r="Z15" s="309"/>
      <c r="AA15" s="309"/>
      <c r="AB15" s="310"/>
    </row>
    <row r="16">
      <c r="A16" s="311" t="s">
        <v>130</v>
      </c>
      <c r="B16" s="255"/>
      <c r="C16" s="256"/>
      <c r="D16" s="272"/>
      <c r="E16" s="272"/>
      <c r="F16" s="272"/>
      <c r="G16" s="272"/>
      <c r="H16" s="258">
        <f t="shared" si="3"/>
        <v>0</v>
      </c>
      <c r="I16" s="235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68"/>
      <c r="Z16" s="68"/>
      <c r="AA16" s="68"/>
    </row>
    <row r="17">
      <c r="A17" s="313" t="s">
        <v>130</v>
      </c>
      <c r="B17" s="260"/>
      <c r="C17" s="89"/>
      <c r="D17" s="261"/>
      <c r="E17" s="261"/>
      <c r="F17" s="261"/>
      <c r="G17" s="261"/>
      <c r="H17" s="262">
        <f t="shared" si="3"/>
        <v>0</v>
      </c>
      <c r="I17" s="235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68"/>
      <c r="Z17" s="68"/>
      <c r="AA17" s="68"/>
    </row>
    <row r="18">
      <c r="A18" s="315"/>
      <c r="B18" s="316"/>
      <c r="C18" s="317"/>
      <c r="D18" s="318"/>
      <c r="E18" s="318"/>
      <c r="F18" s="318"/>
      <c r="G18" s="319"/>
      <c r="H18" s="268">
        <f>(D18+E18)*4+F18*9</f>
        <v>0</v>
      </c>
      <c r="I18" s="235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68"/>
      <c r="Z18" s="68"/>
      <c r="AA18" s="68"/>
    </row>
    <row r="19">
      <c r="A19" s="302" t="s">
        <v>56</v>
      </c>
      <c r="B19" s="105"/>
      <c r="C19" s="227"/>
      <c r="D19" s="217" t="s">
        <v>19</v>
      </c>
      <c r="E19" s="218" t="s">
        <v>20</v>
      </c>
      <c r="F19" s="218" t="s">
        <v>21</v>
      </c>
      <c r="G19" s="219" t="s">
        <v>22</v>
      </c>
      <c r="H19" s="220" t="s">
        <v>7</v>
      </c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68"/>
      <c r="Z19" s="68"/>
      <c r="AA19" s="68"/>
    </row>
    <row r="20">
      <c r="A20" s="303" t="s">
        <v>0</v>
      </c>
      <c r="B20" s="304" t="s">
        <v>17</v>
      </c>
      <c r="C20" s="238" t="s">
        <v>124</v>
      </c>
      <c r="D20" s="239">
        <f>vlookup(D$5,'Макроси'!$A$7:$F$9,4,False)</f>
        <v>35</v>
      </c>
      <c r="E20" s="240">
        <f>vlookup(E$5,'Макроси'!$A$7:$F$9,4,False)</f>
        <v>20</v>
      </c>
      <c r="F20" s="240">
        <f>vlookup(F$5,'Макроси'!$A$7:$F$9,4,False)</f>
        <v>5</v>
      </c>
      <c r="G20" s="270"/>
      <c r="H20" s="241">
        <f>IF(ISERROR(ROUNDUP((D20+E20)*4+F20*9,0)),"",ROUNDUP((D20+E20)*4+F20*9,0))</f>
        <v>265</v>
      </c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68"/>
      <c r="Z20" s="68"/>
      <c r="AA20" s="68"/>
    </row>
    <row r="21">
      <c r="A21" s="105"/>
      <c r="B21" s="242"/>
      <c r="C21" s="243" t="s">
        <v>125</v>
      </c>
      <c r="D21" s="332">
        <f t="shared" ref="D21:H21" si="4">SUM(D22:D31)</f>
        <v>83.05</v>
      </c>
      <c r="E21" s="333">
        <f t="shared" si="4"/>
        <v>75</v>
      </c>
      <c r="F21" s="333">
        <f t="shared" si="4"/>
        <v>15.9</v>
      </c>
      <c r="G21" s="334">
        <f t="shared" si="4"/>
        <v>3.45</v>
      </c>
      <c r="H21" s="335">
        <f t="shared" si="4"/>
        <v>776</v>
      </c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68"/>
      <c r="Z21" s="68"/>
      <c r="AA21" s="68"/>
    </row>
    <row r="22" outlineLevel="1">
      <c r="A22" s="336" t="s">
        <v>97</v>
      </c>
      <c r="B22" s="336" t="s">
        <v>141</v>
      </c>
      <c r="C22" s="245">
        <v>150.0</v>
      </c>
      <c r="D22" s="246">
        <f>IF(ISNA(($C22/100)*VLOOKUP($B22,DB,3,FALSE)),"",($C22/100)*VLOOKUP($B22,DB,3,FALSE))</f>
        <v>13.05</v>
      </c>
      <c r="E22" s="246">
        <f>IF(ISNA(($C22/100)*VLOOKUP($B22,DB,4,FALSE)),"",($C22/100)*VLOOKUP($B22,DB,4,FALSE))</f>
        <v>75</v>
      </c>
      <c r="F22" s="246">
        <f>IF(ISNA(($C22/100)*VLOOKUP($B22,DB,5,FALSE)),"",($C22/100)*VLOOKUP($B22,DB,5,FALSE))</f>
        <v>5.4</v>
      </c>
      <c r="G22" s="246">
        <f>IF(ISNA(($C22/100)*VLOOKUP($B22,DB,6,FALSE)),"",($C22/100)*VLOOKUP($B22,DB,6,FALSE))</f>
        <v>3.45</v>
      </c>
      <c r="H22" s="247">
        <f t="shared" ref="H22:H31" si="5">IF(ISERROR(ROUNDUP((D22+E22)*4+F22*9,0)),"",ROUNDUP((D22+E22)*4+F22*9,0))</f>
        <v>401</v>
      </c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309"/>
      <c r="T22" s="309"/>
      <c r="U22" s="309"/>
      <c r="V22" s="309"/>
      <c r="W22" s="309"/>
      <c r="X22" s="309"/>
      <c r="Y22" s="309"/>
      <c r="Z22" s="309"/>
      <c r="AA22" s="309"/>
      <c r="AB22" s="310"/>
    </row>
    <row r="23" outlineLevel="1">
      <c r="A23" s="336" t="s">
        <v>29</v>
      </c>
      <c r="B23" s="336" t="s">
        <v>142</v>
      </c>
      <c r="C23" s="245">
        <v>350.0</v>
      </c>
      <c r="D23" s="246">
        <f>IF(ISNA(($C23/100)*VLOOKUP($B23,DB,3,FALSE)),"",($C23/100)*VLOOKUP($B23,DB,3,FALSE))</f>
        <v>70</v>
      </c>
      <c r="E23" s="246">
        <f>IF(ISNA(($C23/100)*VLOOKUP($B23,DB,4,FALSE)),"",($C23/100)*VLOOKUP($B23,DB,4,FALSE))</f>
        <v>0</v>
      </c>
      <c r="F23" s="246">
        <f>IF(ISNA(($C23/100)*VLOOKUP($B23,DB,5,FALSE)),"",($C23/100)*VLOOKUP($B23,DB,5,FALSE))</f>
        <v>10.5</v>
      </c>
      <c r="G23" s="246">
        <f>IF(ISNA(($C23/100)*VLOOKUP($B23,DB,6,FALSE)),"",($C23/100)*VLOOKUP($B23,DB,6,FALSE))</f>
        <v>0</v>
      </c>
      <c r="H23" s="247">
        <f t="shared" si="5"/>
        <v>375</v>
      </c>
      <c r="I23" s="309"/>
      <c r="J23" s="309"/>
      <c r="K23" s="309"/>
      <c r="L23" s="309"/>
      <c r="M23" s="309"/>
      <c r="N23" s="309"/>
      <c r="O23" s="309"/>
      <c r="P23" s="309"/>
      <c r="Q23" s="309"/>
      <c r="R23" s="309"/>
      <c r="S23" s="309"/>
      <c r="T23" s="309"/>
      <c r="U23" s="309"/>
      <c r="V23" s="309"/>
      <c r="W23" s="309"/>
      <c r="X23" s="309"/>
      <c r="Y23" s="309"/>
      <c r="Z23" s="309"/>
      <c r="AA23" s="309"/>
      <c r="AB23" s="310"/>
    </row>
    <row r="24" outlineLevel="1">
      <c r="A24" s="336"/>
      <c r="B24" s="336"/>
      <c r="C24" s="245"/>
      <c r="D24" s="246" t="str">
        <f>IF(ISNA(($C24/100)*VLOOKUP($B24,DB,3,FALSE)),"",($C24/100)*VLOOKUP($B24,DB,3,FALSE))</f>
        <v/>
      </c>
      <c r="E24" s="246" t="str">
        <f>IF(ISNA(($C24/100)*VLOOKUP($B24,DB,4,FALSE)),"",($C24/100)*VLOOKUP($B24,DB,4,FALSE))</f>
        <v/>
      </c>
      <c r="F24" s="246" t="str">
        <f>IF(ISNA(($C24/100)*VLOOKUP($B24,DB,5,FALSE)),"",($C24/100)*VLOOKUP($B24,DB,5,FALSE))</f>
        <v/>
      </c>
      <c r="G24" s="246" t="str">
        <f>IF(ISNA(($C24/100)*VLOOKUP($B24,DB,6,FALSE)),"",($C24/100)*VLOOKUP($B24,DB,6,FALSE))</f>
        <v/>
      </c>
      <c r="H24" s="247">
        <f t="shared" si="5"/>
        <v>0</v>
      </c>
      <c r="I24" s="309"/>
      <c r="J24" s="309"/>
      <c r="K24" s="309"/>
      <c r="L24" s="309"/>
      <c r="M24" s="309"/>
      <c r="N24" s="309"/>
      <c r="O24" s="309"/>
      <c r="P24" s="309"/>
      <c r="Q24" s="309"/>
      <c r="R24" s="309"/>
      <c r="S24" s="309"/>
      <c r="T24" s="309"/>
      <c r="U24" s="309"/>
      <c r="V24" s="309"/>
      <c r="W24" s="309"/>
      <c r="X24" s="309"/>
      <c r="Y24" s="309"/>
      <c r="Z24" s="309"/>
      <c r="AA24" s="309"/>
      <c r="AB24" s="310"/>
    </row>
    <row r="25" outlineLevel="1">
      <c r="A25" s="336"/>
      <c r="B25" s="336"/>
      <c r="C25" s="245"/>
      <c r="D25" s="246" t="str">
        <f>IF(ISNA(($C25/100)*VLOOKUP($B25,DB,3,FALSE)),"",($C25/100)*VLOOKUP($B25,DB,3,FALSE))</f>
        <v/>
      </c>
      <c r="E25" s="246" t="str">
        <f>IF(ISNA(($C25/100)*VLOOKUP($B25,DB,4,FALSE)),"",($C25/100)*VLOOKUP($B25,DB,4,FALSE))</f>
        <v/>
      </c>
      <c r="F25" s="246" t="str">
        <f>IF(ISNA(($C25/100)*VLOOKUP($B25,DB,5,FALSE)),"",($C25/100)*VLOOKUP($B25,DB,5,FALSE))</f>
        <v/>
      </c>
      <c r="G25" s="246" t="str">
        <f>IF(ISNA(($C25/100)*VLOOKUP($B25,DB,6,FALSE)),"",($C25/100)*VLOOKUP($B25,DB,6,FALSE))</f>
        <v/>
      </c>
      <c r="H25" s="247">
        <f t="shared" si="5"/>
        <v>0</v>
      </c>
      <c r="I25" s="309"/>
      <c r="J25" s="309"/>
      <c r="K25" s="309"/>
      <c r="L25" s="309"/>
      <c r="M25" s="309"/>
      <c r="N25" s="309"/>
      <c r="O25" s="309"/>
      <c r="P25" s="309"/>
      <c r="Q25" s="309"/>
      <c r="R25" s="309"/>
      <c r="S25" s="309"/>
      <c r="T25" s="309"/>
      <c r="U25" s="309"/>
      <c r="V25" s="309"/>
      <c r="W25" s="309"/>
      <c r="X25" s="309"/>
      <c r="Y25" s="309"/>
      <c r="Z25" s="309"/>
      <c r="AA25" s="309"/>
      <c r="AB25" s="310"/>
    </row>
    <row r="26" outlineLevel="1">
      <c r="A26" s="336"/>
      <c r="B26" s="336"/>
      <c r="C26" s="245"/>
      <c r="D26" s="246" t="str">
        <f>IF(ISNA(($C26/100)*VLOOKUP($B26,DB,3,FALSE)),"",($C26/100)*VLOOKUP($B26,DB,3,FALSE))</f>
        <v/>
      </c>
      <c r="E26" s="246" t="str">
        <f>IF(ISNA(($C26/100)*VLOOKUP($B26,DB,4,FALSE)),"",($C26/100)*VLOOKUP($B26,DB,4,FALSE))</f>
        <v/>
      </c>
      <c r="F26" s="246" t="str">
        <f>IF(ISNA(($C26/100)*VLOOKUP($B26,DB,5,FALSE)),"",($C26/100)*VLOOKUP($B26,DB,5,FALSE))</f>
        <v/>
      </c>
      <c r="G26" s="246" t="str">
        <f>IF(ISNA(($C26/100)*VLOOKUP($B26,DB,6,FALSE)),"",($C26/100)*VLOOKUP($B26,DB,6,FALSE))</f>
        <v/>
      </c>
      <c r="H26" s="247">
        <f t="shared" si="5"/>
        <v>0</v>
      </c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309"/>
      <c r="T26" s="309"/>
      <c r="U26" s="309"/>
      <c r="V26" s="309"/>
      <c r="W26" s="309"/>
      <c r="X26" s="309"/>
      <c r="Y26" s="309"/>
      <c r="Z26" s="309"/>
      <c r="AA26" s="309"/>
      <c r="AB26" s="310"/>
    </row>
    <row r="27" outlineLevel="1">
      <c r="A27" s="336"/>
      <c r="B27" s="336"/>
      <c r="C27" s="245"/>
      <c r="D27" s="246" t="str">
        <f>IF(ISNA(($C27/100)*VLOOKUP($B27,DB,3,FALSE)),"",($C27/100)*VLOOKUP($B27,DB,3,FALSE))</f>
        <v/>
      </c>
      <c r="E27" s="246" t="str">
        <f>IF(ISNA(($C27/100)*VLOOKUP($B27,DB,4,FALSE)),"",($C27/100)*VLOOKUP($B27,DB,4,FALSE))</f>
        <v/>
      </c>
      <c r="F27" s="246" t="str">
        <f>IF(ISNA(($C27/100)*VLOOKUP($B27,DB,5,FALSE)),"",($C27/100)*VLOOKUP($B27,DB,5,FALSE))</f>
        <v/>
      </c>
      <c r="G27" s="246" t="str">
        <f>IF(ISNA(($C27/100)*VLOOKUP($B27,DB,6,FALSE)),"",($C27/100)*VLOOKUP($B27,DB,6,FALSE))</f>
        <v/>
      </c>
      <c r="H27" s="247">
        <f t="shared" si="5"/>
        <v>0</v>
      </c>
      <c r="I27" s="309"/>
      <c r="J27" s="309"/>
      <c r="K27" s="309"/>
      <c r="L27" s="309"/>
      <c r="M27" s="309"/>
      <c r="N27" s="309"/>
      <c r="O27" s="309"/>
      <c r="P27" s="309"/>
      <c r="Q27" s="309"/>
      <c r="R27" s="309"/>
      <c r="S27" s="309"/>
      <c r="T27" s="309"/>
      <c r="U27" s="309"/>
      <c r="V27" s="309"/>
      <c r="W27" s="309"/>
      <c r="X27" s="309"/>
      <c r="Y27" s="309"/>
      <c r="Z27" s="309"/>
      <c r="AA27" s="309"/>
      <c r="AB27" s="310"/>
    </row>
    <row r="28" outlineLevel="1">
      <c r="A28" s="336"/>
      <c r="B28" s="336"/>
      <c r="C28" s="245"/>
      <c r="D28" s="246" t="str">
        <f>IF(ISNA(($C28/100)*VLOOKUP($B28,DB,3,FALSE)),"",($C28/100)*VLOOKUP($B28,DB,3,FALSE))</f>
        <v/>
      </c>
      <c r="E28" s="246" t="str">
        <f>IF(ISNA(($C28/100)*VLOOKUP($B28,DB,4,FALSE)),"",($C28/100)*VLOOKUP($B28,DB,4,FALSE))</f>
        <v/>
      </c>
      <c r="F28" s="246" t="str">
        <f>IF(ISNA(($C28/100)*VLOOKUP($B28,DB,5,FALSE)),"",($C28/100)*VLOOKUP($B28,DB,5,FALSE))</f>
        <v/>
      </c>
      <c r="G28" s="246" t="str">
        <f>IF(ISNA(($C28/100)*VLOOKUP($B28,DB,6,FALSE)),"",($C28/100)*VLOOKUP($B28,DB,6,FALSE))</f>
        <v/>
      </c>
      <c r="H28" s="247">
        <f t="shared" si="5"/>
        <v>0</v>
      </c>
      <c r="I28" s="309"/>
      <c r="J28" s="309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10"/>
    </row>
    <row r="29" outlineLevel="1">
      <c r="A29" s="336"/>
      <c r="B29" s="336"/>
      <c r="C29" s="245"/>
      <c r="D29" s="246" t="str">
        <f>IF(ISNA(($C29/100)*VLOOKUP($B29,DB,3,FALSE)),"",($C29/100)*VLOOKUP($B29,DB,3,FALSE))</f>
        <v/>
      </c>
      <c r="E29" s="246" t="str">
        <f>IF(ISNA(($C29/100)*VLOOKUP($B29,DB,4,FALSE)),"",($C29/100)*VLOOKUP($B29,DB,4,FALSE))</f>
        <v/>
      </c>
      <c r="F29" s="246" t="str">
        <f>IF(ISNA(($C29/100)*VLOOKUP($B29,DB,5,FALSE)),"",($C29/100)*VLOOKUP($B29,DB,5,FALSE))</f>
        <v/>
      </c>
      <c r="G29" s="246" t="str">
        <f>IF(ISNA(($C29/100)*VLOOKUP($B29,DB,6,FALSE)),"",($C29/100)*VLOOKUP($B29,DB,6,FALSE))</f>
        <v/>
      </c>
      <c r="H29" s="247">
        <f t="shared" si="5"/>
        <v>0</v>
      </c>
      <c r="I29" s="309"/>
      <c r="J29" s="309"/>
      <c r="K29" s="309"/>
      <c r="L29" s="309"/>
      <c r="M29" s="309"/>
      <c r="N29" s="309"/>
      <c r="O29" s="309"/>
      <c r="P29" s="309"/>
      <c r="Q29" s="309"/>
      <c r="R29" s="309"/>
      <c r="S29" s="309"/>
      <c r="T29" s="309"/>
      <c r="U29" s="309"/>
      <c r="V29" s="309"/>
      <c r="W29" s="309"/>
      <c r="X29" s="309"/>
      <c r="Y29" s="309"/>
      <c r="Z29" s="309"/>
      <c r="AA29" s="309"/>
      <c r="AB29" s="310"/>
    </row>
    <row r="30">
      <c r="A30" s="311" t="s">
        <v>130</v>
      </c>
      <c r="B30" s="255"/>
      <c r="C30" s="256"/>
      <c r="D30" s="272"/>
      <c r="E30" s="272"/>
      <c r="F30" s="272"/>
      <c r="G30" s="272"/>
      <c r="H30" s="258">
        <f t="shared" si="5"/>
        <v>0</v>
      </c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68"/>
      <c r="Z30" s="68"/>
      <c r="AA30" s="68"/>
    </row>
    <row r="31">
      <c r="A31" s="313" t="s">
        <v>130</v>
      </c>
      <c r="B31" s="260"/>
      <c r="C31" s="89"/>
      <c r="D31" s="261"/>
      <c r="E31" s="261"/>
      <c r="F31" s="261"/>
      <c r="G31" s="261"/>
      <c r="H31" s="262">
        <f t="shared" si="5"/>
        <v>0</v>
      </c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1"/>
      <c r="U31" s="221"/>
      <c r="V31" s="221"/>
      <c r="W31" s="221"/>
      <c r="X31" s="221"/>
      <c r="Y31" s="68"/>
      <c r="Z31" s="68"/>
      <c r="AA31" s="68"/>
    </row>
    <row r="32">
      <c r="A32" s="315"/>
      <c r="B32" s="316"/>
      <c r="C32" s="317"/>
      <c r="D32" s="318"/>
      <c r="E32" s="318"/>
      <c r="F32" s="318"/>
      <c r="G32" s="319"/>
      <c r="H32" s="268">
        <f>(D32+E32)*4+F32*9</f>
        <v>0</v>
      </c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68"/>
      <c r="Z32" s="68"/>
      <c r="AA32" s="68"/>
    </row>
    <row r="33">
      <c r="A33" s="302" t="s">
        <v>57</v>
      </c>
      <c r="B33" s="105"/>
      <c r="C33" s="227"/>
      <c r="D33" s="217" t="s">
        <v>19</v>
      </c>
      <c r="E33" s="218" t="s">
        <v>20</v>
      </c>
      <c r="F33" s="218" t="s">
        <v>21</v>
      </c>
      <c r="G33" s="219" t="s">
        <v>22</v>
      </c>
      <c r="H33" s="220" t="s">
        <v>7</v>
      </c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1"/>
      <c r="U33" s="221"/>
      <c r="V33" s="221"/>
      <c r="W33" s="221"/>
      <c r="X33" s="221"/>
      <c r="Y33" s="68"/>
      <c r="Z33" s="68"/>
      <c r="AA33" s="68"/>
    </row>
    <row r="34">
      <c r="A34" s="303" t="s">
        <v>0</v>
      </c>
      <c r="B34" s="304" t="s">
        <v>17</v>
      </c>
      <c r="C34" s="238" t="s">
        <v>124</v>
      </c>
      <c r="D34" s="239">
        <f>vlookup(D$5,'Макроси'!$A$7:$F$9,5,False)</f>
        <v>55</v>
      </c>
      <c r="E34" s="240">
        <f>vlookup(E$5,'Макроси'!$A$7:$F$9,5,False)</f>
        <v>100</v>
      </c>
      <c r="F34" s="240">
        <f>vlookup(F$5,'Макроси'!$A$7:$F$9,5,False)</f>
        <v>30</v>
      </c>
      <c r="G34" s="270"/>
      <c r="H34" s="241">
        <f>IF(ISERROR(ROUNDUP((D34+E34)*4+F34*9,0)),"",ROUNDUP((D34+E34)*4+F34*9,0))</f>
        <v>890</v>
      </c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1"/>
      <c r="T34" s="221"/>
      <c r="U34" s="221"/>
      <c r="V34" s="221"/>
      <c r="W34" s="221"/>
      <c r="X34" s="221"/>
      <c r="Y34" s="68"/>
      <c r="Z34" s="68"/>
      <c r="AA34" s="68"/>
    </row>
    <row r="35">
      <c r="A35" s="105"/>
      <c r="B35" s="242"/>
      <c r="C35" s="243" t="s">
        <v>125</v>
      </c>
      <c r="D35" s="332">
        <f t="shared" ref="D35:H35" si="6">SUM(D36:D45)</f>
        <v>84.0305</v>
      </c>
      <c r="E35" s="333">
        <f t="shared" si="6"/>
        <v>74.6815</v>
      </c>
      <c r="F35" s="333">
        <f t="shared" si="6"/>
        <v>31.6465</v>
      </c>
      <c r="G35" s="334">
        <f t="shared" si="6"/>
        <v>3.224</v>
      </c>
      <c r="H35" s="335">
        <f t="shared" si="6"/>
        <v>921</v>
      </c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1"/>
      <c r="T35" s="221"/>
      <c r="U35" s="221"/>
      <c r="V35" s="221"/>
      <c r="W35" s="221"/>
      <c r="X35" s="221"/>
      <c r="Y35" s="68"/>
      <c r="Z35" s="68"/>
      <c r="AA35" s="68"/>
    </row>
    <row r="36" outlineLevel="1">
      <c r="A36" s="336" t="s">
        <v>97</v>
      </c>
      <c r="B36" s="336" t="s">
        <v>143</v>
      </c>
      <c r="C36" s="245">
        <v>124.0</v>
      </c>
      <c r="D36" s="246">
        <f>IF(ISNA(($C36/100)*VLOOKUP($B36,DB,3,FALSE)),"",($C36/100)*VLOOKUP($B36,DB,3,FALSE))</f>
        <v>9.672</v>
      </c>
      <c r="E36" s="246">
        <f>IF(ISNA(($C36/100)*VLOOKUP($B36,DB,4,FALSE)),"",($C36/100)*VLOOKUP($B36,DB,4,FALSE))</f>
        <v>63.24</v>
      </c>
      <c r="F36" s="246">
        <f>IF(ISNA(($C36/100)*VLOOKUP($B36,DB,5,FALSE)),"",($C36/100)*VLOOKUP($B36,DB,5,FALSE))</f>
        <v>9.424</v>
      </c>
      <c r="G36" s="246">
        <f>IF(ISNA(($C36/100)*VLOOKUP($B36,DB,6,FALSE)),"",($C36/100)*VLOOKUP($B36,DB,6,FALSE))</f>
        <v>3.224</v>
      </c>
      <c r="H36" s="247">
        <f t="shared" ref="H36:H45" si="7">IF(ISERROR(ROUNDUP((D36+E36)*4+F36*9,0)),"",ROUNDUP((D36+E36)*4+F36*9,0))</f>
        <v>377</v>
      </c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09"/>
      <c r="U36" s="309"/>
      <c r="V36" s="309"/>
      <c r="W36" s="309"/>
      <c r="X36" s="309"/>
      <c r="Y36" s="309"/>
      <c r="Z36" s="309"/>
      <c r="AA36" s="309"/>
      <c r="AB36" s="310"/>
    </row>
    <row r="37" outlineLevel="1">
      <c r="A37" s="336" t="s">
        <v>29</v>
      </c>
      <c r="B37" s="336" t="s">
        <v>144</v>
      </c>
      <c r="C37" s="245">
        <v>300.0</v>
      </c>
      <c r="D37" s="246">
        <f>IF(ISNA(($C37/100)*VLOOKUP($B37,DB,3,FALSE)),"",($C37/100)*VLOOKUP($B37,DB,3,FALSE))</f>
        <v>69</v>
      </c>
      <c r="E37" s="246">
        <f>IF(ISNA(($C37/100)*VLOOKUP($B37,DB,4,FALSE)),"",($C37/100)*VLOOKUP($B37,DB,4,FALSE))</f>
        <v>0</v>
      </c>
      <c r="F37" s="246">
        <f>IF(ISNA(($C37/100)*VLOOKUP($B37,DB,5,FALSE)),"",($C37/100)*VLOOKUP($B37,DB,5,FALSE))</f>
        <v>6</v>
      </c>
      <c r="G37" s="246">
        <f>IF(ISNA(($C37/100)*VLOOKUP($B37,DB,6,FALSE)),"",($C37/100)*VLOOKUP($B37,DB,6,FALSE))</f>
        <v>0</v>
      </c>
      <c r="H37" s="247">
        <f t="shared" si="7"/>
        <v>330</v>
      </c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09"/>
      <c r="U37" s="309"/>
      <c r="V37" s="309"/>
      <c r="W37" s="309"/>
      <c r="X37" s="309"/>
      <c r="Y37" s="309"/>
      <c r="Z37" s="309"/>
      <c r="AA37" s="309"/>
      <c r="AB37" s="310"/>
    </row>
    <row r="38" outlineLevel="1">
      <c r="A38" s="336" t="s">
        <v>145</v>
      </c>
      <c r="B38" s="336" t="s">
        <v>146</v>
      </c>
      <c r="C38" s="245">
        <v>35.0</v>
      </c>
      <c r="D38" s="246">
        <f>IF(ISNA(($C38/100)*VLOOKUP($B38,DB,3,FALSE)),"",($C38/100)*VLOOKUP($B38,DB,3,FALSE))</f>
        <v>5.3585</v>
      </c>
      <c r="E38" s="246">
        <f>IF(ISNA(($C38/100)*VLOOKUP($B38,DB,4,FALSE)),"",($C38/100)*VLOOKUP($B38,DB,4,FALSE))</f>
        <v>11.4415</v>
      </c>
      <c r="F38" s="246">
        <f>IF(ISNA(($C38/100)*VLOOKUP($B38,DB,5,FALSE)),"",($C38/100)*VLOOKUP($B38,DB,5,FALSE))</f>
        <v>16.2225</v>
      </c>
      <c r="G38" s="246">
        <f>IF(ISNA(($C38/100)*VLOOKUP($B38,DB,6,FALSE)),"",($C38/100)*VLOOKUP($B38,DB,6,FALSE))</f>
        <v>0</v>
      </c>
      <c r="H38" s="247">
        <f t="shared" si="7"/>
        <v>214</v>
      </c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09"/>
      <c r="U38" s="309"/>
      <c r="V38" s="309"/>
      <c r="W38" s="309"/>
      <c r="X38" s="309"/>
      <c r="Y38" s="309"/>
      <c r="Z38" s="309"/>
      <c r="AA38" s="309"/>
      <c r="AB38" s="310"/>
    </row>
    <row r="39" outlineLevel="1">
      <c r="A39" s="336"/>
      <c r="B39" s="336"/>
      <c r="C39" s="245"/>
      <c r="D39" s="246" t="str">
        <f>IF(ISNA(($C39/100)*VLOOKUP($B39,DB,3,FALSE)),"",($C39/100)*VLOOKUP($B39,DB,3,FALSE))</f>
        <v/>
      </c>
      <c r="E39" s="246" t="str">
        <f>IF(ISNA(($C39/100)*VLOOKUP($B39,DB,4,FALSE)),"",($C39/100)*VLOOKUP($B39,DB,4,FALSE))</f>
        <v/>
      </c>
      <c r="F39" s="246" t="str">
        <f>IF(ISNA(($C39/100)*VLOOKUP($B39,DB,5,FALSE)),"",($C39/100)*VLOOKUP($B39,DB,5,FALSE))</f>
        <v/>
      </c>
      <c r="G39" s="246" t="str">
        <f>IF(ISNA(($C39/100)*VLOOKUP($B39,DB,6,FALSE)),"",($C39/100)*VLOOKUP($B39,DB,6,FALSE))</f>
        <v/>
      </c>
      <c r="H39" s="247">
        <f t="shared" si="7"/>
        <v>0</v>
      </c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  <c r="X39" s="309"/>
      <c r="Y39" s="309"/>
      <c r="Z39" s="309"/>
      <c r="AA39" s="309"/>
      <c r="AB39" s="310"/>
    </row>
    <row r="40" outlineLevel="1">
      <c r="A40" s="336"/>
      <c r="B40" s="336"/>
      <c r="C40" s="245"/>
      <c r="D40" s="246" t="str">
        <f>IF(ISNA(($C40/100)*VLOOKUP($B40,DB,3,FALSE)),"",($C40/100)*VLOOKUP($B40,DB,3,FALSE))</f>
        <v/>
      </c>
      <c r="E40" s="246" t="str">
        <f>IF(ISNA(($C40/100)*VLOOKUP($B40,DB,4,FALSE)),"",($C40/100)*VLOOKUP($B40,DB,4,FALSE))</f>
        <v/>
      </c>
      <c r="F40" s="246" t="str">
        <f>IF(ISNA(($C40/100)*VLOOKUP($B40,DB,5,FALSE)),"",($C40/100)*VLOOKUP($B40,DB,5,FALSE))</f>
        <v/>
      </c>
      <c r="G40" s="246" t="str">
        <f>IF(ISNA(($C40/100)*VLOOKUP($B40,DB,6,FALSE)),"",($C40/100)*VLOOKUP($B40,DB,6,FALSE))</f>
        <v/>
      </c>
      <c r="H40" s="247">
        <f t="shared" si="7"/>
        <v>0</v>
      </c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  <c r="X40" s="309"/>
      <c r="Y40" s="309"/>
      <c r="Z40" s="309"/>
      <c r="AA40" s="309"/>
      <c r="AB40" s="310"/>
    </row>
    <row r="41" outlineLevel="1">
      <c r="A41" s="336"/>
      <c r="B41" s="336"/>
      <c r="C41" s="245"/>
      <c r="D41" s="246" t="str">
        <f>IF(ISNA(($C41/100)*VLOOKUP($B41,DB,3,FALSE)),"",($C41/100)*VLOOKUP($B41,DB,3,FALSE))</f>
        <v/>
      </c>
      <c r="E41" s="246" t="str">
        <f>IF(ISNA(($C41/100)*VLOOKUP($B41,DB,4,FALSE)),"",($C41/100)*VLOOKUP($B41,DB,4,FALSE))</f>
        <v/>
      </c>
      <c r="F41" s="246" t="str">
        <f>IF(ISNA(($C41/100)*VLOOKUP($B41,DB,5,FALSE)),"",($C41/100)*VLOOKUP($B41,DB,5,FALSE))</f>
        <v/>
      </c>
      <c r="G41" s="246" t="str">
        <f>IF(ISNA(($C41/100)*VLOOKUP($B41,DB,6,FALSE)),"",($C41/100)*VLOOKUP($B41,DB,6,FALSE))</f>
        <v/>
      </c>
      <c r="H41" s="247">
        <f t="shared" si="7"/>
        <v>0</v>
      </c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  <c r="Y41" s="309"/>
      <c r="Z41" s="309"/>
      <c r="AA41" s="309"/>
      <c r="AB41" s="310"/>
    </row>
    <row r="42" outlineLevel="1">
      <c r="A42" s="336"/>
      <c r="B42" s="336"/>
      <c r="C42" s="245"/>
      <c r="D42" s="246" t="str">
        <f>IF(ISNA(($C42/100)*VLOOKUP($B42,DB,3,FALSE)),"",($C42/100)*VLOOKUP($B42,DB,3,FALSE))</f>
        <v/>
      </c>
      <c r="E42" s="246" t="str">
        <f>IF(ISNA(($C42/100)*VLOOKUP($B42,DB,4,FALSE)),"",($C42/100)*VLOOKUP($B42,DB,4,FALSE))</f>
        <v/>
      </c>
      <c r="F42" s="246" t="str">
        <f>IF(ISNA(($C42/100)*VLOOKUP($B42,DB,5,FALSE)),"",($C42/100)*VLOOKUP($B42,DB,5,FALSE))</f>
        <v/>
      </c>
      <c r="G42" s="246" t="str">
        <f>IF(ISNA(($C42/100)*VLOOKUP($B42,DB,6,FALSE)),"",($C42/100)*VLOOKUP($B42,DB,6,FALSE))</f>
        <v/>
      </c>
      <c r="H42" s="247">
        <f t="shared" si="7"/>
        <v>0</v>
      </c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  <c r="X42" s="309"/>
      <c r="Y42" s="309"/>
      <c r="Z42" s="309"/>
      <c r="AA42" s="309"/>
      <c r="AB42" s="310"/>
    </row>
    <row r="43" outlineLevel="1">
      <c r="A43" s="336"/>
      <c r="B43" s="336"/>
      <c r="C43" s="245"/>
      <c r="D43" s="246" t="str">
        <f>IF(ISNA(($C43/100)*VLOOKUP($B43,DB,3,FALSE)),"",($C43/100)*VLOOKUP($B43,DB,3,FALSE))</f>
        <v/>
      </c>
      <c r="E43" s="246" t="str">
        <f>IF(ISNA(($C43/100)*VLOOKUP($B43,DB,4,FALSE)),"",($C43/100)*VLOOKUP($B43,DB,4,FALSE))</f>
        <v/>
      </c>
      <c r="F43" s="246" t="str">
        <f>IF(ISNA(($C43/100)*VLOOKUP($B43,DB,5,FALSE)),"",($C43/100)*VLOOKUP($B43,DB,5,FALSE))</f>
        <v/>
      </c>
      <c r="G43" s="246" t="str">
        <f>IF(ISNA(($C43/100)*VLOOKUP($B43,DB,6,FALSE)),"",($C43/100)*VLOOKUP($B43,DB,6,FALSE))</f>
        <v/>
      </c>
      <c r="H43" s="247">
        <f t="shared" si="7"/>
        <v>0</v>
      </c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  <c r="X43" s="309"/>
      <c r="Y43" s="309"/>
      <c r="Z43" s="309"/>
      <c r="AA43" s="309"/>
      <c r="AB43" s="310"/>
    </row>
    <row r="44">
      <c r="A44" s="311" t="s">
        <v>130</v>
      </c>
      <c r="B44" s="255"/>
      <c r="C44" s="256"/>
      <c r="D44" s="272"/>
      <c r="E44" s="272"/>
      <c r="F44" s="272"/>
      <c r="G44" s="272"/>
      <c r="H44" s="258">
        <f t="shared" si="7"/>
        <v>0</v>
      </c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68"/>
      <c r="Z44" s="68"/>
      <c r="AA44" s="68"/>
    </row>
    <row r="45">
      <c r="A45" s="313" t="s">
        <v>130</v>
      </c>
      <c r="B45" s="260"/>
      <c r="C45" s="89"/>
      <c r="D45" s="261"/>
      <c r="E45" s="261"/>
      <c r="F45" s="261"/>
      <c r="G45" s="261"/>
      <c r="H45" s="262">
        <f t="shared" si="7"/>
        <v>0</v>
      </c>
      <c r="I45" s="221"/>
      <c r="J45" s="221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X45" s="221"/>
      <c r="Y45" s="68"/>
      <c r="Z45" s="68"/>
      <c r="AA45" s="68"/>
    </row>
    <row r="46">
      <c r="A46" s="315"/>
      <c r="B46" s="316"/>
      <c r="C46" s="317"/>
      <c r="D46" s="318"/>
      <c r="E46" s="318"/>
      <c r="F46" s="318"/>
      <c r="G46" s="319"/>
      <c r="H46" s="268">
        <f>(D46+E46)*4+F46*9</f>
        <v>0</v>
      </c>
      <c r="I46" s="221"/>
      <c r="J46" s="221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X46" s="221"/>
      <c r="Y46" s="68"/>
      <c r="Z46" s="68"/>
      <c r="AA46" s="68"/>
    </row>
    <row r="47">
      <c r="A47" s="302" t="s">
        <v>58</v>
      </c>
      <c r="B47" s="105"/>
      <c r="C47" s="227"/>
      <c r="D47" s="217" t="s">
        <v>19</v>
      </c>
      <c r="E47" s="218" t="s">
        <v>20</v>
      </c>
      <c r="F47" s="218" t="s">
        <v>21</v>
      </c>
      <c r="G47" s="219" t="s">
        <v>22</v>
      </c>
      <c r="H47" s="220" t="s">
        <v>7</v>
      </c>
      <c r="I47" s="221"/>
      <c r="J47" s="221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X47" s="221"/>
      <c r="Y47" s="68"/>
      <c r="Z47" s="68"/>
      <c r="AA47" s="68"/>
    </row>
    <row r="48">
      <c r="A48" s="303" t="s">
        <v>0</v>
      </c>
      <c r="B48" s="304" t="s">
        <v>17</v>
      </c>
      <c r="C48" s="238" t="s">
        <v>124</v>
      </c>
      <c r="D48" s="239">
        <f>vlookup(D$5,'Макроси'!$A$7:$F$9,6,False)</f>
        <v>55</v>
      </c>
      <c r="E48" s="240">
        <f>vlookup(E$5,'Макроси'!$A$7:$F$9,6,False)</f>
        <v>70</v>
      </c>
      <c r="F48" s="240">
        <f>vlookup(F$5,'Макроси'!$A$7:$F$9,6,False)</f>
        <v>20</v>
      </c>
      <c r="G48" s="270"/>
      <c r="H48" s="241">
        <f>IF(ISERROR(ROUNDUP((D48+E48)*4+F48*9,0)),"",ROUNDUP((D48+E48)*4+F48*9,0))</f>
        <v>680</v>
      </c>
      <c r="I48" s="221"/>
      <c r="J48" s="221"/>
      <c r="K48" s="221"/>
      <c r="L48" s="221"/>
      <c r="M48" s="221"/>
      <c r="N48" s="221"/>
      <c r="O48" s="221"/>
      <c r="P48" s="221"/>
      <c r="Q48" s="221"/>
      <c r="R48" s="221"/>
      <c r="S48" s="221"/>
      <c r="T48" s="221"/>
      <c r="U48" s="221"/>
      <c r="V48" s="221"/>
      <c r="W48" s="221"/>
      <c r="X48" s="221"/>
      <c r="Y48" s="68"/>
      <c r="Z48" s="68"/>
      <c r="AA48" s="68"/>
    </row>
    <row r="49">
      <c r="A49" s="105"/>
      <c r="B49" s="242"/>
      <c r="C49" s="243" t="s">
        <v>125</v>
      </c>
      <c r="D49" s="332">
        <f t="shared" ref="D49:H49" si="8">SUM(D50:D59)</f>
        <v>0</v>
      </c>
      <c r="E49" s="333">
        <f t="shared" si="8"/>
        <v>0</v>
      </c>
      <c r="F49" s="333">
        <f t="shared" si="8"/>
        <v>0</v>
      </c>
      <c r="G49" s="334">
        <f t="shared" si="8"/>
        <v>0</v>
      </c>
      <c r="H49" s="335">
        <f t="shared" si="8"/>
        <v>0</v>
      </c>
      <c r="I49" s="221"/>
      <c r="J49" s="221"/>
      <c r="K49" s="221"/>
      <c r="L49" s="221"/>
      <c r="M49" s="221"/>
      <c r="N49" s="221"/>
      <c r="O49" s="221"/>
      <c r="P49" s="221"/>
      <c r="Q49" s="221"/>
      <c r="R49" s="221"/>
      <c r="S49" s="221"/>
      <c r="T49" s="221"/>
      <c r="U49" s="221"/>
      <c r="V49" s="221"/>
      <c r="W49" s="221"/>
      <c r="X49" s="221"/>
      <c r="Y49" s="68"/>
      <c r="Z49" s="68"/>
      <c r="AA49" s="68"/>
    </row>
    <row r="50" outlineLevel="1">
      <c r="A50" s="336"/>
      <c r="B50" s="336"/>
      <c r="C50" s="245"/>
      <c r="D50" s="246" t="str">
        <f>IF(ISNA(($C50/100)*VLOOKUP($B50,DB,3,FALSE)),"",($C50/100)*VLOOKUP($B50,DB,3,FALSE))</f>
        <v/>
      </c>
      <c r="E50" s="246" t="str">
        <f>IF(ISNA(($C50/100)*VLOOKUP($B50,DB,4,FALSE)),"",($C50/100)*VLOOKUP($B50,DB,4,FALSE))</f>
        <v/>
      </c>
      <c r="F50" s="246" t="str">
        <f>IF(ISNA(($C50/100)*VLOOKUP($B50,DB,5,FALSE)),"",($C50/100)*VLOOKUP($B50,DB,5,FALSE))</f>
        <v/>
      </c>
      <c r="G50" s="246" t="str">
        <f>IF(ISNA(($C50/100)*VLOOKUP($B50,DB,6,FALSE)),"",($C50/100)*VLOOKUP($B50,DB,6,FALSE))</f>
        <v/>
      </c>
      <c r="H50" s="247">
        <f t="shared" ref="H50:H59" si="9">IF(ISERROR(ROUNDUP((D50+E50)*4+F50*9,0)),"",ROUNDUP((D50+E50)*4+F50*9,0))</f>
        <v>0</v>
      </c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  <c r="X50" s="309"/>
      <c r="Y50" s="309"/>
      <c r="Z50" s="309"/>
      <c r="AA50" s="309"/>
      <c r="AB50" s="310"/>
    </row>
    <row r="51" outlineLevel="1">
      <c r="A51" s="336"/>
      <c r="B51" s="336"/>
      <c r="C51" s="245"/>
      <c r="D51" s="246" t="str">
        <f>IF(ISNA(($C51/100)*VLOOKUP($B51,DB,3,FALSE)),"",($C51/100)*VLOOKUP($B51,DB,3,FALSE))</f>
        <v/>
      </c>
      <c r="E51" s="246" t="str">
        <f>IF(ISNA(($C51/100)*VLOOKUP($B51,DB,4,FALSE)),"",($C51/100)*VLOOKUP($B51,DB,4,FALSE))</f>
        <v/>
      </c>
      <c r="F51" s="246" t="str">
        <f>IF(ISNA(($C51/100)*VLOOKUP($B51,DB,5,FALSE)),"",($C51/100)*VLOOKUP($B51,DB,5,FALSE))</f>
        <v/>
      </c>
      <c r="G51" s="246" t="str">
        <f>IF(ISNA(($C51/100)*VLOOKUP($B51,DB,6,FALSE)),"",($C51/100)*VLOOKUP($B51,DB,6,FALSE))</f>
        <v/>
      </c>
      <c r="H51" s="247">
        <f t="shared" si="9"/>
        <v>0</v>
      </c>
      <c r="I51" s="309"/>
      <c r="J51" s="309"/>
      <c r="K51" s="309"/>
      <c r="L51" s="309"/>
      <c r="M51" s="309"/>
      <c r="N51" s="309"/>
      <c r="O51" s="309"/>
      <c r="P51" s="309"/>
      <c r="Q51" s="309"/>
      <c r="R51" s="309"/>
      <c r="S51" s="309"/>
      <c r="T51" s="309"/>
      <c r="U51" s="309"/>
      <c r="V51" s="309"/>
      <c r="W51" s="309"/>
      <c r="X51" s="309"/>
      <c r="Y51" s="309"/>
      <c r="Z51" s="309"/>
      <c r="AA51" s="309"/>
      <c r="AB51" s="310"/>
    </row>
    <row r="52" outlineLevel="1">
      <c r="A52" s="336"/>
      <c r="B52" s="336"/>
      <c r="C52" s="245"/>
      <c r="D52" s="246" t="str">
        <f>IF(ISNA(($C52/100)*VLOOKUP($B52,DB,3,FALSE)),"",($C52/100)*VLOOKUP($B52,DB,3,FALSE))</f>
        <v/>
      </c>
      <c r="E52" s="246" t="str">
        <f>IF(ISNA(($C52/100)*VLOOKUP($B52,DB,4,FALSE)),"",($C52/100)*VLOOKUP($B52,DB,4,FALSE))</f>
        <v/>
      </c>
      <c r="F52" s="246" t="str">
        <f>IF(ISNA(($C52/100)*VLOOKUP($B52,DB,5,FALSE)),"",($C52/100)*VLOOKUP($B52,DB,5,FALSE))</f>
        <v/>
      </c>
      <c r="G52" s="246" t="str">
        <f>IF(ISNA(($C52/100)*VLOOKUP($B52,DB,6,FALSE)),"",($C52/100)*VLOOKUP($B52,DB,6,FALSE))</f>
        <v/>
      </c>
      <c r="H52" s="247">
        <f t="shared" si="9"/>
        <v>0</v>
      </c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  <c r="X52" s="309"/>
      <c r="Y52" s="309"/>
      <c r="Z52" s="309"/>
      <c r="AA52" s="309"/>
      <c r="AB52" s="310"/>
    </row>
    <row r="53" outlineLevel="1">
      <c r="A53" s="336"/>
      <c r="B53" s="336"/>
      <c r="C53" s="245"/>
      <c r="D53" s="246" t="str">
        <f>IF(ISNA(($C53/100)*VLOOKUP($B53,DB,3,FALSE)),"",($C53/100)*VLOOKUP($B53,DB,3,FALSE))</f>
        <v/>
      </c>
      <c r="E53" s="246" t="str">
        <f>IF(ISNA(($C53/100)*VLOOKUP($B53,DB,4,FALSE)),"",($C53/100)*VLOOKUP($B53,DB,4,FALSE))</f>
        <v/>
      </c>
      <c r="F53" s="246" t="str">
        <f>IF(ISNA(($C53/100)*VLOOKUP($B53,DB,5,FALSE)),"",($C53/100)*VLOOKUP($B53,DB,5,FALSE))</f>
        <v/>
      </c>
      <c r="G53" s="246" t="str">
        <f>IF(ISNA(($C53/100)*VLOOKUP($B53,DB,6,FALSE)),"",($C53/100)*VLOOKUP($B53,DB,6,FALSE))</f>
        <v/>
      </c>
      <c r="H53" s="247">
        <f t="shared" si="9"/>
        <v>0</v>
      </c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309"/>
      <c r="W53" s="309"/>
      <c r="X53" s="309"/>
      <c r="Y53" s="309"/>
      <c r="Z53" s="309"/>
      <c r="AA53" s="309"/>
      <c r="AB53" s="310"/>
    </row>
    <row r="54" outlineLevel="1">
      <c r="A54" s="336"/>
      <c r="B54" s="336"/>
      <c r="C54" s="245"/>
      <c r="D54" s="246" t="str">
        <f>IF(ISNA(($C54/100)*VLOOKUP($B54,DB,3,FALSE)),"",($C54/100)*VLOOKUP($B54,DB,3,FALSE))</f>
        <v/>
      </c>
      <c r="E54" s="246" t="str">
        <f>IF(ISNA(($C54/100)*VLOOKUP($B54,DB,4,FALSE)),"",($C54/100)*VLOOKUP($B54,DB,4,FALSE))</f>
        <v/>
      </c>
      <c r="F54" s="246" t="str">
        <f>IF(ISNA(($C54/100)*VLOOKUP($B54,DB,5,FALSE)),"",($C54/100)*VLOOKUP($B54,DB,5,FALSE))</f>
        <v/>
      </c>
      <c r="G54" s="246" t="str">
        <f>IF(ISNA(($C54/100)*VLOOKUP($B54,DB,6,FALSE)),"",($C54/100)*VLOOKUP($B54,DB,6,FALSE))</f>
        <v/>
      </c>
      <c r="H54" s="247">
        <f t="shared" si="9"/>
        <v>0</v>
      </c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  <c r="X54" s="309"/>
      <c r="Y54" s="309"/>
      <c r="Z54" s="309"/>
      <c r="AA54" s="309"/>
      <c r="AB54" s="310"/>
    </row>
    <row r="55" outlineLevel="1">
      <c r="A55" s="336"/>
      <c r="B55" s="336"/>
      <c r="C55" s="245"/>
      <c r="D55" s="246" t="str">
        <f>IF(ISNA(($C55/100)*VLOOKUP($B55,DB,3,FALSE)),"",($C55/100)*VLOOKUP($B55,DB,3,FALSE))</f>
        <v/>
      </c>
      <c r="E55" s="246" t="str">
        <f>IF(ISNA(($C55/100)*VLOOKUP($B55,DB,4,FALSE)),"",($C55/100)*VLOOKUP($B55,DB,4,FALSE))</f>
        <v/>
      </c>
      <c r="F55" s="246" t="str">
        <f>IF(ISNA(($C55/100)*VLOOKUP($B55,DB,5,FALSE)),"",($C55/100)*VLOOKUP($B55,DB,5,FALSE))</f>
        <v/>
      </c>
      <c r="G55" s="246" t="str">
        <f>IF(ISNA(($C55/100)*VLOOKUP($B55,DB,6,FALSE)),"",($C55/100)*VLOOKUP($B55,DB,6,FALSE))</f>
        <v/>
      </c>
      <c r="H55" s="247">
        <f t="shared" si="9"/>
        <v>0</v>
      </c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10"/>
    </row>
    <row r="56" outlineLevel="1">
      <c r="A56" s="336"/>
      <c r="B56" s="336"/>
      <c r="C56" s="245"/>
      <c r="D56" s="246" t="str">
        <f>IF(ISNA(($C56/100)*VLOOKUP($B56,DB,3,FALSE)),"",($C56/100)*VLOOKUP($B56,DB,3,FALSE))</f>
        <v/>
      </c>
      <c r="E56" s="246" t="str">
        <f>IF(ISNA(($C56/100)*VLOOKUP($B56,DB,4,FALSE)),"",($C56/100)*VLOOKUP($B56,DB,4,FALSE))</f>
        <v/>
      </c>
      <c r="F56" s="246" t="str">
        <f>IF(ISNA(($C56/100)*VLOOKUP($B56,DB,5,FALSE)),"",($C56/100)*VLOOKUP($B56,DB,5,FALSE))</f>
        <v/>
      </c>
      <c r="G56" s="246" t="str">
        <f>IF(ISNA(($C56/100)*VLOOKUP($B56,DB,6,FALSE)),"",($C56/100)*VLOOKUP($B56,DB,6,FALSE))</f>
        <v/>
      </c>
      <c r="H56" s="247">
        <f t="shared" si="9"/>
        <v>0</v>
      </c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09"/>
      <c r="AA56" s="309"/>
      <c r="AB56" s="310"/>
    </row>
    <row r="57" outlineLevel="1">
      <c r="A57" s="336"/>
      <c r="B57" s="336"/>
      <c r="C57" s="245"/>
      <c r="D57" s="246" t="str">
        <f>IF(ISNA(($C57/100)*VLOOKUP($B57,DB,3,FALSE)),"",($C57/100)*VLOOKUP($B57,DB,3,FALSE))</f>
        <v/>
      </c>
      <c r="E57" s="246" t="str">
        <f>IF(ISNA(($C57/100)*VLOOKUP($B57,DB,4,FALSE)),"",($C57/100)*VLOOKUP($B57,DB,4,FALSE))</f>
        <v/>
      </c>
      <c r="F57" s="246" t="str">
        <f>IF(ISNA(($C57/100)*VLOOKUP($B57,DB,5,FALSE)),"",($C57/100)*VLOOKUP($B57,DB,5,FALSE))</f>
        <v/>
      </c>
      <c r="G57" s="246" t="str">
        <f>IF(ISNA(($C57/100)*VLOOKUP($B57,DB,6,FALSE)),"",($C57/100)*VLOOKUP($B57,DB,6,FALSE))</f>
        <v/>
      </c>
      <c r="H57" s="247">
        <f t="shared" si="9"/>
        <v>0</v>
      </c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  <c r="X57" s="309"/>
      <c r="Y57" s="309"/>
      <c r="Z57" s="309"/>
      <c r="AA57" s="309"/>
      <c r="AB57" s="310"/>
    </row>
    <row r="58">
      <c r="A58" s="311" t="s">
        <v>130</v>
      </c>
      <c r="B58" s="255"/>
      <c r="C58" s="256"/>
      <c r="D58" s="272"/>
      <c r="E58" s="272"/>
      <c r="F58" s="272"/>
      <c r="G58" s="272"/>
      <c r="H58" s="258">
        <f t="shared" si="9"/>
        <v>0</v>
      </c>
      <c r="I58" s="221"/>
      <c r="J58" s="221"/>
      <c r="K58" s="221"/>
      <c r="L58" s="221"/>
      <c r="M58" s="221"/>
      <c r="N58" s="221"/>
      <c r="O58" s="221"/>
      <c r="P58" s="221"/>
      <c r="Q58" s="221"/>
      <c r="R58" s="221"/>
      <c r="S58" s="221"/>
      <c r="T58" s="221"/>
      <c r="U58" s="221"/>
      <c r="V58" s="221"/>
      <c r="W58" s="221"/>
      <c r="X58" s="221"/>
      <c r="Y58" s="68"/>
      <c r="Z58" s="68"/>
      <c r="AA58" s="68"/>
    </row>
    <row r="59">
      <c r="A59" s="313" t="s">
        <v>130</v>
      </c>
      <c r="B59" s="260"/>
      <c r="C59" s="89"/>
      <c r="D59" s="261"/>
      <c r="E59" s="261"/>
      <c r="F59" s="261"/>
      <c r="G59" s="261"/>
      <c r="H59" s="262">
        <f t="shared" si="9"/>
        <v>0</v>
      </c>
      <c r="I59" s="221"/>
      <c r="J59" s="221"/>
      <c r="K59" s="221"/>
      <c r="L59" s="221"/>
      <c r="M59" s="221"/>
      <c r="N59" s="221"/>
      <c r="O59" s="221"/>
      <c r="P59" s="221"/>
      <c r="Q59" s="221"/>
      <c r="R59" s="221"/>
      <c r="S59" s="221"/>
      <c r="T59" s="221"/>
      <c r="U59" s="221"/>
      <c r="V59" s="221"/>
      <c r="W59" s="221"/>
      <c r="X59" s="221"/>
      <c r="Y59" s="68"/>
      <c r="Z59" s="68"/>
      <c r="AA59" s="68"/>
    </row>
    <row r="60">
      <c r="A60" s="315"/>
      <c r="B60" s="316"/>
      <c r="C60" s="317"/>
      <c r="D60" s="318"/>
      <c r="E60" s="318"/>
      <c r="F60" s="318"/>
      <c r="G60" s="319"/>
      <c r="H60" s="268">
        <f>(D60+E60)*4+F60*9</f>
        <v>0</v>
      </c>
      <c r="I60" s="221"/>
      <c r="J60" s="221"/>
      <c r="K60" s="221"/>
      <c r="L60" s="221"/>
      <c r="M60" s="221"/>
      <c r="N60" s="221"/>
      <c r="O60" s="221"/>
      <c r="P60" s="221"/>
      <c r="Q60" s="221"/>
      <c r="R60" s="221"/>
      <c r="S60" s="221"/>
      <c r="T60" s="221"/>
      <c r="U60" s="221"/>
      <c r="V60" s="221"/>
      <c r="W60" s="221"/>
      <c r="X60" s="221"/>
      <c r="Y60" s="68"/>
      <c r="Z60" s="68"/>
      <c r="AA60" s="68"/>
    </row>
    <row r="61">
      <c r="A61" s="328"/>
      <c r="B61" s="328"/>
      <c r="C61" s="221"/>
      <c r="D61" s="221"/>
      <c r="E61" s="221"/>
      <c r="F61" s="221"/>
      <c r="G61" s="221"/>
      <c r="H61" s="221"/>
      <c r="I61" s="221"/>
      <c r="J61" s="221"/>
      <c r="K61" s="221"/>
      <c r="L61" s="221"/>
      <c r="M61" s="221"/>
      <c r="N61" s="221"/>
      <c r="O61" s="221"/>
      <c r="P61" s="221"/>
      <c r="Q61" s="221"/>
      <c r="R61" s="221"/>
      <c r="S61" s="221"/>
      <c r="T61" s="221"/>
      <c r="U61" s="221"/>
      <c r="V61" s="221"/>
      <c r="W61" s="221"/>
      <c r="X61" s="221"/>
      <c r="Y61" s="221"/>
      <c r="Z61" s="221"/>
      <c r="AA61" s="221"/>
      <c r="AB61" s="297"/>
    </row>
    <row r="62">
      <c r="A62" s="328"/>
      <c r="B62" s="328"/>
      <c r="C62" s="221"/>
      <c r="D62" s="221"/>
      <c r="E62" s="221"/>
      <c r="F62" s="221"/>
      <c r="G62" s="221"/>
      <c r="H62" s="221"/>
      <c r="I62" s="221"/>
      <c r="J62" s="221"/>
      <c r="K62" s="221"/>
      <c r="L62" s="221"/>
      <c r="M62" s="221"/>
      <c r="N62" s="221"/>
      <c r="O62" s="221"/>
      <c r="P62" s="221"/>
      <c r="Q62" s="221"/>
      <c r="R62" s="221"/>
      <c r="S62" s="221"/>
      <c r="T62" s="221"/>
      <c r="U62" s="221"/>
      <c r="V62" s="221"/>
      <c r="W62" s="221"/>
      <c r="X62" s="221"/>
      <c r="Y62" s="221"/>
      <c r="Z62" s="221"/>
      <c r="AA62" s="221"/>
      <c r="AB62" s="297"/>
    </row>
    <row r="63">
      <c r="A63" s="328"/>
      <c r="B63" s="328"/>
      <c r="C63" s="221"/>
      <c r="D63" s="221"/>
      <c r="E63" s="221"/>
      <c r="F63" s="221"/>
      <c r="G63" s="221"/>
      <c r="H63" s="221"/>
      <c r="I63" s="221"/>
      <c r="J63" s="221"/>
      <c r="K63" s="221"/>
      <c r="L63" s="221"/>
      <c r="M63" s="221"/>
      <c r="N63" s="221"/>
      <c r="O63" s="221"/>
      <c r="P63" s="221"/>
      <c r="Q63" s="221"/>
      <c r="R63" s="221"/>
      <c r="S63" s="221"/>
      <c r="T63" s="221"/>
      <c r="U63" s="221"/>
      <c r="V63" s="221"/>
      <c r="W63" s="221"/>
      <c r="X63" s="221"/>
      <c r="Y63" s="221"/>
      <c r="Z63" s="221"/>
      <c r="AA63" s="221"/>
      <c r="AB63" s="297"/>
    </row>
    <row r="64">
      <c r="A64" s="328"/>
      <c r="B64" s="328"/>
      <c r="C64" s="221"/>
      <c r="D64" s="221"/>
      <c r="E64" s="221"/>
      <c r="F64" s="221"/>
      <c r="G64" s="221"/>
      <c r="H64" s="221"/>
      <c r="I64" s="221"/>
      <c r="J64" s="221"/>
      <c r="K64" s="221"/>
      <c r="L64" s="221"/>
      <c r="M64" s="221"/>
      <c r="N64" s="221"/>
      <c r="O64" s="221"/>
      <c r="P64" s="221"/>
      <c r="Q64" s="221"/>
      <c r="R64" s="221"/>
      <c r="S64" s="221"/>
      <c r="T64" s="221"/>
      <c r="U64" s="221"/>
      <c r="V64" s="221"/>
      <c r="W64" s="221"/>
      <c r="X64" s="221"/>
      <c r="Y64" s="221"/>
      <c r="Z64" s="221"/>
      <c r="AA64" s="221"/>
      <c r="AB64" s="297"/>
    </row>
    <row r="65">
      <c r="A65" s="328"/>
      <c r="B65" s="328"/>
      <c r="C65" s="221"/>
      <c r="D65" s="221"/>
      <c r="E65" s="221"/>
      <c r="F65" s="221"/>
      <c r="G65" s="221"/>
      <c r="H65" s="221"/>
      <c r="I65" s="221"/>
      <c r="J65" s="221"/>
      <c r="K65" s="221"/>
      <c r="L65" s="221"/>
      <c r="M65" s="221"/>
      <c r="N65" s="221"/>
      <c r="O65" s="221"/>
      <c r="P65" s="221"/>
      <c r="Q65" s="221"/>
      <c r="R65" s="221"/>
      <c r="S65" s="221"/>
      <c r="T65" s="221"/>
      <c r="U65" s="221"/>
      <c r="V65" s="221"/>
      <c r="W65" s="221"/>
      <c r="X65" s="221"/>
      <c r="Y65" s="221"/>
      <c r="Z65" s="221"/>
      <c r="AA65" s="221"/>
      <c r="AB65" s="297"/>
    </row>
    <row r="66">
      <c r="A66" s="328"/>
      <c r="B66" s="328"/>
      <c r="C66" s="221"/>
      <c r="D66" s="221"/>
      <c r="E66" s="221"/>
      <c r="F66" s="221"/>
      <c r="G66" s="221"/>
      <c r="H66" s="221"/>
      <c r="I66" s="221"/>
      <c r="J66" s="221"/>
      <c r="K66" s="221"/>
      <c r="L66" s="221"/>
      <c r="M66" s="221"/>
      <c r="N66" s="221"/>
      <c r="O66" s="221"/>
      <c r="P66" s="221"/>
      <c r="Q66" s="221"/>
      <c r="R66" s="221"/>
      <c r="S66" s="221"/>
      <c r="T66" s="221"/>
      <c r="U66" s="221"/>
      <c r="V66" s="221"/>
      <c r="W66" s="221"/>
      <c r="X66" s="221"/>
      <c r="Y66" s="221"/>
      <c r="Z66" s="221"/>
      <c r="AA66" s="221"/>
      <c r="AB66" s="297"/>
    </row>
    <row r="67">
      <c r="A67" s="328"/>
      <c r="B67" s="328"/>
      <c r="C67" s="221"/>
      <c r="D67" s="221"/>
      <c r="E67" s="221"/>
      <c r="F67" s="221"/>
      <c r="G67" s="221"/>
      <c r="H67" s="221"/>
      <c r="I67" s="221"/>
      <c r="J67" s="221"/>
      <c r="K67" s="221"/>
      <c r="L67" s="221"/>
      <c r="M67" s="221"/>
      <c r="N67" s="221"/>
      <c r="O67" s="221"/>
      <c r="P67" s="221"/>
      <c r="Q67" s="221"/>
      <c r="R67" s="221"/>
      <c r="S67" s="221"/>
      <c r="T67" s="221"/>
      <c r="U67" s="221"/>
      <c r="V67" s="221"/>
      <c r="W67" s="221"/>
      <c r="X67" s="221"/>
      <c r="Y67" s="221"/>
      <c r="Z67" s="221"/>
      <c r="AA67" s="221"/>
      <c r="AB67" s="297"/>
    </row>
    <row r="68">
      <c r="A68" s="328"/>
      <c r="B68" s="328"/>
      <c r="C68" s="221"/>
      <c r="D68" s="221"/>
      <c r="E68" s="221"/>
      <c r="F68" s="221"/>
      <c r="G68" s="221"/>
      <c r="H68" s="221"/>
      <c r="I68" s="221"/>
      <c r="J68" s="221"/>
      <c r="K68" s="221"/>
      <c r="L68" s="221"/>
      <c r="M68" s="221"/>
      <c r="N68" s="221"/>
      <c r="O68" s="221"/>
      <c r="P68" s="221"/>
      <c r="Q68" s="221"/>
      <c r="R68" s="221"/>
      <c r="S68" s="221"/>
      <c r="T68" s="221"/>
      <c r="U68" s="221"/>
      <c r="V68" s="221"/>
      <c r="W68" s="221"/>
      <c r="X68" s="221"/>
      <c r="Y68" s="221"/>
      <c r="Z68" s="221"/>
      <c r="AA68" s="221"/>
      <c r="AB68" s="297"/>
    </row>
    <row r="69">
      <c r="A69" s="328"/>
      <c r="B69" s="328"/>
      <c r="C69" s="221"/>
      <c r="D69" s="221"/>
      <c r="E69" s="221"/>
      <c r="F69" s="221"/>
      <c r="G69" s="221"/>
      <c r="H69" s="221"/>
      <c r="I69" s="221"/>
      <c r="J69" s="221"/>
      <c r="K69" s="221"/>
      <c r="L69" s="221"/>
      <c r="M69" s="221"/>
      <c r="N69" s="221"/>
      <c r="O69" s="221"/>
      <c r="P69" s="221"/>
      <c r="Q69" s="221"/>
      <c r="R69" s="221"/>
      <c r="S69" s="221"/>
      <c r="T69" s="221"/>
      <c r="U69" s="221"/>
      <c r="V69" s="221"/>
      <c r="W69" s="221"/>
      <c r="X69" s="221"/>
      <c r="Y69" s="221"/>
      <c r="Z69" s="221"/>
      <c r="AA69" s="221"/>
      <c r="AB69" s="297"/>
    </row>
    <row r="70">
      <c r="A70" s="328"/>
      <c r="B70" s="328"/>
      <c r="C70" s="221"/>
      <c r="D70" s="221"/>
      <c r="E70" s="221"/>
      <c r="F70" s="221"/>
      <c r="G70" s="221"/>
      <c r="H70" s="221"/>
      <c r="I70" s="221"/>
      <c r="J70" s="221"/>
      <c r="K70" s="221"/>
      <c r="L70" s="221"/>
      <c r="M70" s="221"/>
      <c r="N70" s="221"/>
      <c r="O70" s="221"/>
      <c r="P70" s="221"/>
      <c r="Q70" s="221"/>
      <c r="R70" s="221"/>
      <c r="S70" s="221"/>
      <c r="T70" s="221"/>
      <c r="U70" s="221"/>
      <c r="V70" s="221"/>
      <c r="W70" s="221"/>
      <c r="X70" s="221"/>
      <c r="Y70" s="221"/>
      <c r="Z70" s="221"/>
      <c r="AA70" s="221"/>
      <c r="AB70" s="297"/>
    </row>
    <row r="71">
      <c r="A71" s="328"/>
      <c r="B71" s="328"/>
      <c r="C71" s="221"/>
      <c r="D71" s="221"/>
      <c r="E71" s="221"/>
      <c r="F71" s="221"/>
      <c r="G71" s="221"/>
      <c r="H71" s="221"/>
      <c r="I71" s="221"/>
      <c r="J71" s="221"/>
      <c r="K71" s="221"/>
      <c r="L71" s="221"/>
      <c r="M71" s="221"/>
      <c r="N71" s="221"/>
      <c r="O71" s="221"/>
      <c r="P71" s="221"/>
      <c r="Q71" s="221"/>
      <c r="R71" s="221"/>
      <c r="S71" s="221"/>
      <c r="T71" s="221"/>
      <c r="U71" s="221"/>
      <c r="V71" s="221"/>
      <c r="W71" s="221"/>
      <c r="X71" s="221"/>
      <c r="Y71" s="221"/>
      <c r="Z71" s="221"/>
      <c r="AA71" s="221"/>
      <c r="AB71" s="297"/>
    </row>
    <row r="72">
      <c r="A72" s="328"/>
      <c r="B72" s="328"/>
      <c r="C72" s="221"/>
      <c r="D72" s="221"/>
      <c r="E72" s="221"/>
      <c r="F72" s="221"/>
      <c r="G72" s="221"/>
      <c r="H72" s="221"/>
      <c r="I72" s="221"/>
      <c r="J72" s="221"/>
      <c r="K72" s="221"/>
      <c r="L72" s="221"/>
      <c r="M72" s="221"/>
      <c r="N72" s="221"/>
      <c r="O72" s="221"/>
      <c r="P72" s="221"/>
      <c r="Q72" s="221"/>
      <c r="R72" s="221"/>
      <c r="S72" s="221"/>
      <c r="T72" s="221"/>
      <c r="U72" s="221"/>
      <c r="V72" s="221"/>
      <c r="W72" s="221"/>
      <c r="X72" s="221"/>
      <c r="Y72" s="221"/>
      <c r="Z72" s="221"/>
      <c r="AA72" s="221"/>
      <c r="AB72" s="297"/>
    </row>
    <row r="73">
      <c r="A73" s="328"/>
      <c r="B73" s="328"/>
      <c r="C73" s="221"/>
      <c r="D73" s="221"/>
      <c r="E73" s="221"/>
      <c r="F73" s="221"/>
      <c r="G73" s="221"/>
      <c r="H73" s="221"/>
      <c r="I73" s="221"/>
      <c r="J73" s="221"/>
      <c r="K73" s="221"/>
      <c r="L73" s="221"/>
      <c r="M73" s="221"/>
      <c r="N73" s="221"/>
      <c r="O73" s="221"/>
      <c r="P73" s="221"/>
      <c r="Q73" s="221"/>
      <c r="R73" s="221"/>
      <c r="S73" s="221"/>
      <c r="T73" s="221"/>
      <c r="U73" s="221"/>
      <c r="V73" s="221"/>
      <c r="W73" s="221"/>
      <c r="X73" s="221"/>
      <c r="Y73" s="221"/>
      <c r="Z73" s="221"/>
      <c r="AA73" s="221"/>
      <c r="AB73" s="297"/>
    </row>
    <row r="74">
      <c r="A74" s="328"/>
      <c r="B74" s="328"/>
      <c r="C74" s="221"/>
      <c r="D74" s="221"/>
      <c r="E74" s="221"/>
      <c r="F74" s="221"/>
      <c r="G74" s="221"/>
      <c r="H74" s="221"/>
      <c r="I74" s="221"/>
      <c r="J74" s="221"/>
      <c r="K74" s="221"/>
      <c r="L74" s="221"/>
      <c r="M74" s="221"/>
      <c r="N74" s="221"/>
      <c r="O74" s="221"/>
      <c r="P74" s="221"/>
      <c r="Q74" s="221"/>
      <c r="R74" s="221"/>
      <c r="S74" s="221"/>
      <c r="T74" s="221"/>
      <c r="U74" s="221"/>
      <c r="V74" s="221"/>
      <c r="W74" s="221"/>
      <c r="X74" s="221"/>
      <c r="Y74" s="221"/>
      <c r="Z74" s="221"/>
      <c r="AA74" s="221"/>
      <c r="AB74" s="297"/>
    </row>
    <row r="75">
      <c r="A75" s="328"/>
      <c r="B75" s="328"/>
      <c r="C75" s="221"/>
      <c r="D75" s="221"/>
      <c r="E75" s="221"/>
      <c r="F75" s="221"/>
      <c r="G75" s="221"/>
      <c r="H75" s="221"/>
      <c r="I75" s="221"/>
      <c r="J75" s="221"/>
      <c r="K75" s="221"/>
      <c r="L75" s="221"/>
      <c r="M75" s="221"/>
      <c r="N75" s="221"/>
      <c r="O75" s="221"/>
      <c r="P75" s="221"/>
      <c r="Q75" s="221"/>
      <c r="R75" s="221"/>
      <c r="S75" s="221"/>
      <c r="T75" s="221"/>
      <c r="U75" s="221"/>
      <c r="V75" s="221"/>
      <c r="W75" s="221"/>
      <c r="X75" s="221"/>
      <c r="Y75" s="221"/>
      <c r="Z75" s="221"/>
      <c r="AA75" s="221"/>
      <c r="AB75" s="297"/>
    </row>
    <row r="76">
      <c r="A76" s="328"/>
      <c r="B76" s="328"/>
      <c r="C76" s="221"/>
      <c r="D76" s="221"/>
      <c r="E76" s="221"/>
      <c r="F76" s="221"/>
      <c r="G76" s="221"/>
      <c r="H76" s="221"/>
      <c r="I76" s="221"/>
      <c r="J76" s="221"/>
      <c r="K76" s="221"/>
      <c r="L76" s="221"/>
      <c r="M76" s="221"/>
      <c r="N76" s="221"/>
      <c r="O76" s="221"/>
      <c r="P76" s="221"/>
      <c r="Q76" s="221"/>
      <c r="R76" s="221"/>
      <c r="S76" s="221"/>
      <c r="T76" s="221"/>
      <c r="U76" s="221"/>
      <c r="V76" s="221"/>
      <c r="W76" s="221"/>
      <c r="X76" s="221"/>
      <c r="Y76" s="221"/>
      <c r="Z76" s="221"/>
      <c r="AA76" s="221"/>
      <c r="AB76" s="297"/>
    </row>
    <row r="77">
      <c r="A77" s="328"/>
      <c r="B77" s="328"/>
      <c r="C77" s="221"/>
      <c r="D77" s="221"/>
      <c r="E77" s="221"/>
      <c r="F77" s="221"/>
      <c r="G77" s="221"/>
      <c r="H77" s="221"/>
      <c r="I77" s="221"/>
      <c r="J77" s="221"/>
      <c r="K77" s="221"/>
      <c r="L77" s="221"/>
      <c r="M77" s="221"/>
      <c r="N77" s="221"/>
      <c r="O77" s="221"/>
      <c r="P77" s="221"/>
      <c r="Q77" s="221"/>
      <c r="R77" s="221"/>
      <c r="S77" s="221"/>
      <c r="T77" s="221"/>
      <c r="U77" s="221"/>
      <c r="V77" s="221"/>
      <c r="W77" s="221"/>
      <c r="X77" s="221"/>
      <c r="Y77" s="221"/>
      <c r="Z77" s="221"/>
      <c r="AA77" s="221"/>
      <c r="AB77" s="297"/>
    </row>
    <row r="78">
      <c r="A78" s="328"/>
      <c r="B78" s="328"/>
      <c r="C78" s="221"/>
      <c r="D78" s="221"/>
      <c r="E78" s="221"/>
      <c r="F78" s="221"/>
      <c r="G78" s="221"/>
      <c r="H78" s="221"/>
      <c r="I78" s="221"/>
      <c r="J78" s="221"/>
      <c r="K78" s="221"/>
      <c r="L78" s="221"/>
      <c r="M78" s="221"/>
      <c r="N78" s="221"/>
      <c r="O78" s="221"/>
      <c r="P78" s="221"/>
      <c r="Q78" s="221"/>
      <c r="R78" s="221"/>
      <c r="S78" s="221"/>
      <c r="T78" s="221"/>
      <c r="U78" s="221"/>
      <c r="V78" s="221"/>
      <c r="W78" s="221"/>
      <c r="X78" s="221"/>
      <c r="Y78" s="221"/>
      <c r="Z78" s="221"/>
      <c r="AA78" s="221"/>
      <c r="AB78" s="297"/>
    </row>
    <row r="79">
      <c r="A79" s="328"/>
      <c r="B79" s="328"/>
      <c r="C79" s="221"/>
      <c r="D79" s="221"/>
      <c r="E79" s="221"/>
      <c r="F79" s="221"/>
      <c r="G79" s="221"/>
      <c r="H79" s="221"/>
      <c r="I79" s="221"/>
      <c r="J79" s="221"/>
      <c r="K79" s="221"/>
      <c r="L79" s="221"/>
      <c r="M79" s="221"/>
      <c r="N79" s="221"/>
      <c r="O79" s="221"/>
      <c r="P79" s="221"/>
      <c r="Q79" s="221"/>
      <c r="R79" s="221"/>
      <c r="S79" s="221"/>
      <c r="T79" s="221"/>
      <c r="U79" s="221"/>
      <c r="V79" s="221"/>
      <c r="W79" s="221"/>
      <c r="X79" s="221"/>
      <c r="Y79" s="221"/>
      <c r="Z79" s="221"/>
      <c r="AA79" s="221"/>
      <c r="AB79" s="297"/>
    </row>
    <row r="80">
      <c r="A80" s="328"/>
      <c r="B80" s="328"/>
      <c r="C80" s="221"/>
      <c r="D80" s="221"/>
      <c r="E80" s="221"/>
      <c r="F80" s="221"/>
      <c r="G80" s="221"/>
      <c r="H80" s="221"/>
      <c r="I80" s="221"/>
      <c r="J80" s="221"/>
      <c r="K80" s="221"/>
      <c r="L80" s="221"/>
      <c r="M80" s="221"/>
      <c r="N80" s="221"/>
      <c r="O80" s="221"/>
      <c r="P80" s="221"/>
      <c r="Q80" s="221"/>
      <c r="R80" s="221"/>
      <c r="S80" s="221"/>
      <c r="T80" s="221"/>
      <c r="U80" s="221"/>
      <c r="V80" s="221"/>
      <c r="W80" s="221"/>
      <c r="X80" s="221"/>
      <c r="Y80" s="221"/>
      <c r="Z80" s="221"/>
      <c r="AA80" s="221"/>
      <c r="AB80" s="297"/>
    </row>
    <row r="81">
      <c r="A81" s="328"/>
      <c r="B81" s="328"/>
      <c r="C81" s="221"/>
      <c r="D81" s="221"/>
      <c r="E81" s="221"/>
      <c r="F81" s="221"/>
      <c r="G81" s="221"/>
      <c r="H81" s="221"/>
      <c r="I81" s="221"/>
      <c r="J81" s="221"/>
      <c r="K81" s="221"/>
      <c r="L81" s="221"/>
      <c r="M81" s="221"/>
      <c r="N81" s="221"/>
      <c r="O81" s="221"/>
      <c r="P81" s="221"/>
      <c r="Q81" s="221"/>
      <c r="R81" s="221"/>
      <c r="S81" s="221"/>
      <c r="T81" s="221"/>
      <c r="U81" s="221"/>
      <c r="V81" s="221"/>
      <c r="W81" s="221"/>
      <c r="X81" s="221"/>
      <c r="Y81" s="221"/>
      <c r="Z81" s="221"/>
      <c r="AA81" s="221"/>
      <c r="AB81" s="297"/>
    </row>
    <row r="82">
      <c r="A82" s="328"/>
      <c r="B82" s="328"/>
      <c r="C82" s="221"/>
      <c r="D82" s="221"/>
      <c r="E82" s="221"/>
      <c r="F82" s="221"/>
      <c r="G82" s="221"/>
      <c r="H82" s="221"/>
      <c r="I82" s="221"/>
      <c r="J82" s="221"/>
      <c r="K82" s="221"/>
      <c r="L82" s="221"/>
      <c r="M82" s="221"/>
      <c r="N82" s="221"/>
      <c r="O82" s="221"/>
      <c r="P82" s="221"/>
      <c r="Q82" s="221"/>
      <c r="R82" s="221"/>
      <c r="S82" s="221"/>
      <c r="T82" s="221"/>
      <c r="U82" s="221"/>
      <c r="V82" s="221"/>
      <c r="W82" s="221"/>
      <c r="X82" s="221"/>
      <c r="Y82" s="221"/>
      <c r="Z82" s="221"/>
      <c r="AA82" s="221"/>
      <c r="AB82" s="297"/>
    </row>
    <row r="83">
      <c r="A83" s="328"/>
      <c r="B83" s="328"/>
      <c r="C83" s="221"/>
      <c r="D83" s="221"/>
      <c r="E83" s="221"/>
      <c r="F83" s="221"/>
      <c r="G83" s="221"/>
      <c r="H83" s="221"/>
      <c r="I83" s="221"/>
      <c r="J83" s="221"/>
      <c r="K83" s="221"/>
      <c r="L83" s="221"/>
      <c r="M83" s="221"/>
      <c r="N83" s="221"/>
      <c r="O83" s="221"/>
      <c r="P83" s="221"/>
      <c r="Q83" s="221"/>
      <c r="R83" s="221"/>
      <c r="S83" s="221"/>
      <c r="T83" s="221"/>
      <c r="U83" s="221"/>
      <c r="V83" s="221"/>
      <c r="W83" s="221"/>
      <c r="X83" s="221"/>
      <c r="Y83" s="221"/>
      <c r="Z83" s="221"/>
      <c r="AA83" s="221"/>
      <c r="AB83" s="297"/>
    </row>
    <row r="84">
      <c r="A84" s="134"/>
      <c r="B84" s="134"/>
      <c r="C84" s="68"/>
      <c r="D84" s="68"/>
      <c r="E84" s="68"/>
      <c r="F84" s="68"/>
      <c r="G84" s="68"/>
      <c r="H84" s="68"/>
      <c r="I84" s="221"/>
      <c r="J84" s="221"/>
      <c r="K84" s="221"/>
      <c r="L84" s="221"/>
      <c r="M84" s="221"/>
      <c r="N84" s="221"/>
      <c r="O84" s="221"/>
      <c r="P84" s="221"/>
      <c r="Q84" s="221"/>
      <c r="R84" s="221"/>
      <c r="S84" s="221"/>
      <c r="T84" s="221"/>
      <c r="U84" s="221"/>
      <c r="V84" s="221"/>
      <c r="W84" s="221"/>
      <c r="X84" s="221"/>
      <c r="Y84" s="68"/>
      <c r="Z84" s="68"/>
      <c r="AA84" s="68"/>
    </row>
    <row r="85">
      <c r="A85" s="134"/>
      <c r="B85" s="134"/>
      <c r="C85" s="68"/>
      <c r="D85" s="68"/>
      <c r="E85" s="68"/>
      <c r="F85" s="68"/>
      <c r="G85" s="68"/>
      <c r="H85" s="68"/>
      <c r="I85" s="221"/>
      <c r="J85" s="221"/>
      <c r="K85" s="221"/>
      <c r="L85" s="221"/>
      <c r="M85" s="221"/>
      <c r="N85" s="221"/>
      <c r="O85" s="221"/>
      <c r="P85" s="221"/>
      <c r="Q85" s="221"/>
      <c r="R85" s="221"/>
      <c r="S85" s="221"/>
      <c r="T85" s="221"/>
      <c r="U85" s="221"/>
      <c r="V85" s="221"/>
      <c r="W85" s="221"/>
      <c r="X85" s="221"/>
      <c r="Y85" s="68"/>
      <c r="Z85" s="68"/>
      <c r="AA85" s="68"/>
    </row>
    <row r="86">
      <c r="A86" s="134"/>
      <c r="B86" s="134"/>
      <c r="C86" s="68"/>
      <c r="D86" s="68"/>
      <c r="E86" s="68"/>
      <c r="F86" s="68"/>
      <c r="G86" s="68"/>
      <c r="H86" s="68"/>
      <c r="I86" s="221"/>
      <c r="J86" s="221"/>
      <c r="K86" s="221"/>
      <c r="L86" s="221"/>
      <c r="M86" s="221"/>
      <c r="N86" s="221"/>
      <c r="O86" s="221"/>
      <c r="P86" s="221"/>
      <c r="Q86" s="221"/>
      <c r="R86" s="221"/>
      <c r="S86" s="221"/>
      <c r="T86" s="221"/>
      <c r="U86" s="221"/>
      <c r="V86" s="221"/>
      <c r="W86" s="221"/>
      <c r="X86" s="221"/>
      <c r="Y86" s="68"/>
      <c r="Z86" s="68"/>
      <c r="AA86" s="68"/>
    </row>
    <row r="87">
      <c r="A87" s="134"/>
      <c r="B87" s="134"/>
      <c r="C87" s="68"/>
      <c r="D87" s="68"/>
      <c r="E87" s="68"/>
      <c r="F87" s="68"/>
      <c r="G87" s="68"/>
      <c r="H87" s="68"/>
      <c r="I87" s="221"/>
      <c r="J87" s="221"/>
      <c r="K87" s="221"/>
      <c r="L87" s="221"/>
      <c r="M87" s="221"/>
      <c r="N87" s="221"/>
      <c r="O87" s="221"/>
      <c r="P87" s="221"/>
      <c r="Q87" s="221"/>
      <c r="R87" s="221"/>
      <c r="S87" s="221"/>
      <c r="T87" s="221"/>
      <c r="U87" s="221"/>
      <c r="V87" s="221"/>
      <c r="W87" s="221"/>
      <c r="X87" s="221"/>
      <c r="Y87" s="68"/>
      <c r="Z87" s="68"/>
      <c r="AA87" s="68"/>
    </row>
    <row r="88">
      <c r="A88" s="134"/>
      <c r="B88" s="134"/>
      <c r="C88" s="68"/>
      <c r="D88" s="68"/>
      <c r="E88" s="68"/>
      <c r="F88" s="68"/>
      <c r="G88" s="68"/>
      <c r="H88" s="68"/>
      <c r="I88" s="221"/>
      <c r="J88" s="221"/>
      <c r="K88" s="221"/>
      <c r="L88" s="221"/>
      <c r="M88" s="221"/>
      <c r="N88" s="221"/>
      <c r="O88" s="221"/>
      <c r="P88" s="221"/>
      <c r="Q88" s="221"/>
      <c r="R88" s="221"/>
      <c r="S88" s="221"/>
      <c r="T88" s="221"/>
      <c r="U88" s="221"/>
      <c r="V88" s="221"/>
      <c r="W88" s="221"/>
      <c r="X88" s="221"/>
      <c r="Y88" s="68"/>
      <c r="Z88" s="68"/>
      <c r="AA88" s="68"/>
    </row>
    <row r="89">
      <c r="A89" s="134"/>
      <c r="B89" s="134"/>
      <c r="C89" s="68"/>
      <c r="D89" s="68"/>
      <c r="E89" s="68"/>
      <c r="F89" s="68"/>
      <c r="G89" s="68"/>
      <c r="H89" s="68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68"/>
      <c r="Z89" s="68"/>
      <c r="AA89" s="68"/>
    </row>
    <row r="90">
      <c r="A90" s="134"/>
      <c r="B90" s="134"/>
      <c r="C90" s="68"/>
      <c r="D90" s="68"/>
      <c r="E90" s="68"/>
      <c r="F90" s="68"/>
      <c r="G90" s="68"/>
      <c r="H90" s="68"/>
      <c r="I90" s="221"/>
      <c r="J90" s="221"/>
      <c r="K90" s="221"/>
      <c r="L90" s="221"/>
      <c r="M90" s="221"/>
      <c r="N90" s="221"/>
      <c r="O90" s="221"/>
      <c r="P90" s="221"/>
      <c r="Q90" s="221"/>
      <c r="R90" s="221"/>
      <c r="S90" s="221"/>
      <c r="T90" s="221"/>
      <c r="U90" s="221"/>
      <c r="V90" s="221"/>
      <c r="W90" s="221"/>
      <c r="X90" s="221"/>
      <c r="Y90" s="68"/>
      <c r="Z90" s="68"/>
      <c r="AA90" s="68"/>
    </row>
    <row r="91">
      <c r="A91" s="134"/>
      <c r="B91" s="134"/>
      <c r="C91" s="68"/>
      <c r="D91" s="68"/>
      <c r="E91" s="68"/>
      <c r="F91" s="68"/>
      <c r="G91" s="68"/>
      <c r="H91" s="68"/>
      <c r="I91" s="221"/>
      <c r="J91" s="221"/>
      <c r="K91" s="221"/>
      <c r="L91" s="221"/>
      <c r="M91" s="221"/>
      <c r="N91" s="221"/>
      <c r="O91" s="221"/>
      <c r="P91" s="221"/>
      <c r="Q91" s="221"/>
      <c r="R91" s="221"/>
      <c r="S91" s="221"/>
      <c r="T91" s="221"/>
      <c r="U91" s="221"/>
      <c r="V91" s="221"/>
      <c r="W91" s="221"/>
      <c r="X91" s="221"/>
      <c r="Y91" s="68"/>
      <c r="Z91" s="68"/>
      <c r="AA91" s="68"/>
    </row>
    <row r="92">
      <c r="A92" s="134"/>
      <c r="B92" s="134"/>
      <c r="C92" s="68"/>
      <c r="D92" s="68"/>
      <c r="E92" s="68"/>
      <c r="F92" s="68"/>
      <c r="G92" s="68"/>
      <c r="H92" s="68"/>
      <c r="I92" s="221"/>
      <c r="J92" s="221"/>
      <c r="K92" s="221"/>
      <c r="L92" s="221"/>
      <c r="M92" s="221"/>
      <c r="N92" s="221"/>
      <c r="O92" s="221"/>
      <c r="P92" s="221"/>
      <c r="Q92" s="221"/>
      <c r="R92" s="221"/>
      <c r="S92" s="221"/>
      <c r="T92" s="221"/>
      <c r="U92" s="221"/>
      <c r="V92" s="221"/>
      <c r="W92" s="221"/>
      <c r="X92" s="221"/>
      <c r="Y92" s="68"/>
      <c r="Z92" s="68"/>
      <c r="AA92" s="68"/>
    </row>
    <row r="93">
      <c r="A93" s="134"/>
      <c r="B93" s="134"/>
      <c r="C93" s="68"/>
      <c r="D93" s="68"/>
      <c r="E93" s="68"/>
      <c r="F93" s="68"/>
      <c r="G93" s="68"/>
      <c r="H93" s="68"/>
      <c r="I93" s="221"/>
      <c r="J93" s="221"/>
      <c r="K93" s="221"/>
      <c r="L93" s="221"/>
      <c r="M93" s="221"/>
      <c r="N93" s="221"/>
      <c r="O93" s="221"/>
      <c r="P93" s="221"/>
      <c r="Q93" s="221"/>
      <c r="R93" s="221"/>
      <c r="S93" s="221"/>
      <c r="T93" s="221"/>
      <c r="U93" s="221"/>
      <c r="V93" s="221"/>
      <c r="W93" s="221"/>
      <c r="X93" s="221"/>
      <c r="Y93" s="68"/>
      <c r="Z93" s="68"/>
      <c r="AA93" s="68"/>
    </row>
    <row r="94">
      <c r="A94" s="134"/>
      <c r="B94" s="134"/>
      <c r="C94" s="68"/>
      <c r="D94" s="68"/>
      <c r="E94" s="68"/>
      <c r="F94" s="68"/>
      <c r="G94" s="68"/>
      <c r="H94" s="68"/>
      <c r="I94" s="221"/>
      <c r="J94" s="221"/>
      <c r="K94" s="221"/>
      <c r="L94" s="221"/>
      <c r="M94" s="221"/>
      <c r="N94" s="221"/>
      <c r="O94" s="221"/>
      <c r="P94" s="221"/>
      <c r="Q94" s="221"/>
      <c r="R94" s="221"/>
      <c r="S94" s="221"/>
      <c r="T94" s="221"/>
      <c r="U94" s="221"/>
      <c r="V94" s="221"/>
      <c r="W94" s="221"/>
      <c r="X94" s="221"/>
      <c r="Y94" s="68"/>
      <c r="Z94" s="68"/>
      <c r="AA94" s="68"/>
    </row>
    <row r="95">
      <c r="A95" s="134"/>
      <c r="B95" s="134"/>
      <c r="C95" s="68"/>
      <c r="D95" s="68"/>
      <c r="E95" s="68"/>
      <c r="F95" s="68"/>
      <c r="G95" s="68"/>
      <c r="H95" s="68"/>
      <c r="I95" s="221"/>
      <c r="J95" s="221"/>
      <c r="K95" s="221"/>
      <c r="L95" s="221"/>
      <c r="M95" s="221"/>
      <c r="N95" s="221"/>
      <c r="O95" s="221"/>
      <c r="P95" s="221"/>
      <c r="Q95" s="221"/>
      <c r="R95" s="221"/>
      <c r="S95" s="221"/>
      <c r="T95" s="221"/>
      <c r="U95" s="221"/>
      <c r="V95" s="221"/>
      <c r="W95" s="221"/>
      <c r="X95" s="221"/>
      <c r="Y95" s="68"/>
      <c r="Z95" s="68"/>
      <c r="AA95" s="68"/>
    </row>
    <row r="96">
      <c r="A96" s="134"/>
      <c r="B96" s="134"/>
      <c r="C96" s="68"/>
      <c r="D96" s="68"/>
      <c r="E96" s="68"/>
      <c r="F96" s="68"/>
      <c r="G96" s="68"/>
      <c r="H96" s="68"/>
      <c r="I96" s="221"/>
      <c r="J96" s="221"/>
      <c r="K96" s="221"/>
      <c r="L96" s="221"/>
      <c r="M96" s="221"/>
      <c r="N96" s="221"/>
      <c r="O96" s="221"/>
      <c r="P96" s="221"/>
      <c r="Q96" s="221"/>
      <c r="R96" s="221"/>
      <c r="S96" s="221"/>
      <c r="T96" s="221"/>
      <c r="U96" s="221"/>
      <c r="V96" s="221"/>
      <c r="W96" s="221"/>
      <c r="X96" s="221"/>
      <c r="Y96" s="68"/>
      <c r="Z96" s="68"/>
      <c r="AA96" s="68"/>
    </row>
    <row r="97">
      <c r="A97" s="134"/>
      <c r="B97" s="134"/>
      <c r="C97" s="68"/>
      <c r="D97" s="68"/>
      <c r="E97" s="68"/>
      <c r="F97" s="68"/>
      <c r="G97" s="68"/>
      <c r="H97" s="68"/>
      <c r="I97" s="221"/>
      <c r="J97" s="221"/>
      <c r="K97" s="221"/>
      <c r="L97" s="221"/>
      <c r="M97" s="221"/>
      <c r="N97" s="221"/>
      <c r="O97" s="221"/>
      <c r="P97" s="221"/>
      <c r="Q97" s="221"/>
      <c r="R97" s="221"/>
      <c r="S97" s="221"/>
      <c r="T97" s="221"/>
      <c r="U97" s="221"/>
      <c r="V97" s="221"/>
      <c r="W97" s="221"/>
      <c r="X97" s="221"/>
      <c r="Y97" s="68"/>
      <c r="Z97" s="68"/>
      <c r="AA97" s="68"/>
    </row>
    <row r="98">
      <c r="A98" s="134"/>
      <c r="B98" s="134"/>
      <c r="C98" s="68"/>
      <c r="D98" s="68"/>
      <c r="E98" s="68"/>
      <c r="F98" s="68"/>
      <c r="G98" s="68"/>
      <c r="H98" s="68"/>
      <c r="I98" s="221"/>
      <c r="J98" s="221"/>
      <c r="K98" s="221"/>
      <c r="L98" s="221"/>
      <c r="M98" s="221"/>
      <c r="N98" s="221"/>
      <c r="O98" s="221"/>
      <c r="P98" s="221"/>
      <c r="Q98" s="221"/>
      <c r="R98" s="221"/>
      <c r="S98" s="221"/>
      <c r="T98" s="221"/>
      <c r="U98" s="221"/>
      <c r="V98" s="221"/>
      <c r="W98" s="221"/>
      <c r="X98" s="221"/>
      <c r="Y98" s="68"/>
      <c r="Z98" s="68"/>
      <c r="AA98" s="68"/>
    </row>
    <row r="99">
      <c r="A99" s="134"/>
      <c r="B99" s="134"/>
      <c r="C99" s="68"/>
      <c r="D99" s="68"/>
      <c r="E99" s="68"/>
      <c r="F99" s="68"/>
      <c r="G99" s="68"/>
      <c r="H99" s="68"/>
      <c r="I99" s="221"/>
      <c r="J99" s="221"/>
      <c r="K99" s="221"/>
      <c r="L99" s="221"/>
      <c r="M99" s="221"/>
      <c r="N99" s="221"/>
      <c r="O99" s="221"/>
      <c r="P99" s="221"/>
      <c r="Q99" s="221"/>
      <c r="R99" s="221"/>
      <c r="S99" s="221"/>
      <c r="T99" s="221"/>
      <c r="U99" s="221"/>
      <c r="V99" s="221"/>
      <c r="W99" s="221"/>
      <c r="X99" s="221"/>
      <c r="Y99" s="68"/>
      <c r="Z99" s="68"/>
      <c r="AA99" s="68"/>
    </row>
    <row r="100">
      <c r="A100" s="134"/>
      <c r="B100" s="134"/>
      <c r="C100" s="68"/>
      <c r="D100" s="68"/>
      <c r="E100" s="68"/>
      <c r="F100" s="68"/>
      <c r="G100" s="68"/>
      <c r="H100" s="68"/>
      <c r="I100" s="221"/>
      <c r="J100" s="221"/>
      <c r="K100" s="221"/>
      <c r="L100" s="221"/>
      <c r="M100" s="221"/>
      <c r="N100" s="221"/>
      <c r="O100" s="221"/>
      <c r="P100" s="221"/>
      <c r="Q100" s="221"/>
      <c r="R100" s="221"/>
      <c r="S100" s="221"/>
      <c r="T100" s="221"/>
      <c r="U100" s="221"/>
      <c r="V100" s="221"/>
      <c r="W100" s="221"/>
      <c r="X100" s="221"/>
      <c r="Y100" s="68"/>
      <c r="Z100" s="68"/>
      <c r="AA100" s="68"/>
    </row>
    <row r="101">
      <c r="A101" s="134"/>
      <c r="B101" s="134"/>
      <c r="C101" s="68"/>
      <c r="D101" s="68"/>
      <c r="E101" s="68"/>
      <c r="F101" s="68"/>
      <c r="G101" s="68"/>
      <c r="H101" s="68"/>
      <c r="I101" s="221"/>
      <c r="J101" s="221"/>
      <c r="K101" s="221"/>
      <c r="L101" s="221"/>
      <c r="M101" s="221"/>
      <c r="N101" s="221"/>
      <c r="O101" s="221"/>
      <c r="P101" s="221"/>
      <c r="Q101" s="221"/>
      <c r="R101" s="221"/>
      <c r="S101" s="221"/>
      <c r="T101" s="221"/>
      <c r="U101" s="221"/>
      <c r="V101" s="221"/>
      <c r="W101" s="221"/>
      <c r="X101" s="221"/>
      <c r="Y101" s="68"/>
      <c r="Z101" s="68"/>
      <c r="AA101" s="68"/>
    </row>
    <row r="102">
      <c r="A102" s="134"/>
      <c r="B102" s="134"/>
      <c r="C102" s="68"/>
      <c r="D102" s="68"/>
      <c r="E102" s="68"/>
      <c r="F102" s="68"/>
      <c r="G102" s="68"/>
      <c r="H102" s="68"/>
      <c r="I102" s="221"/>
      <c r="J102" s="221"/>
      <c r="K102" s="221"/>
      <c r="L102" s="221"/>
      <c r="M102" s="221"/>
      <c r="N102" s="221"/>
      <c r="O102" s="221"/>
      <c r="P102" s="221"/>
      <c r="Q102" s="221"/>
      <c r="R102" s="221"/>
      <c r="S102" s="221"/>
      <c r="T102" s="221"/>
      <c r="U102" s="221"/>
      <c r="V102" s="221"/>
      <c r="W102" s="221"/>
      <c r="X102" s="221"/>
      <c r="Y102" s="68"/>
      <c r="Z102" s="68"/>
      <c r="AA102" s="68"/>
    </row>
    <row r="103">
      <c r="A103" s="134"/>
      <c r="B103" s="134"/>
      <c r="C103" s="68"/>
      <c r="D103" s="68"/>
      <c r="E103" s="68"/>
      <c r="F103" s="68"/>
      <c r="G103" s="68"/>
      <c r="H103" s="68"/>
      <c r="I103" s="221"/>
      <c r="J103" s="221"/>
      <c r="K103" s="221"/>
      <c r="L103" s="221"/>
      <c r="M103" s="221"/>
      <c r="N103" s="221"/>
      <c r="O103" s="221"/>
      <c r="P103" s="221"/>
      <c r="Q103" s="221"/>
      <c r="R103" s="221"/>
      <c r="S103" s="221"/>
      <c r="T103" s="221"/>
      <c r="U103" s="221"/>
      <c r="V103" s="221"/>
      <c r="W103" s="221"/>
      <c r="X103" s="221"/>
      <c r="Y103" s="68"/>
      <c r="Z103" s="68"/>
      <c r="AA103" s="68"/>
    </row>
    <row r="104">
      <c r="A104" s="134"/>
      <c r="B104" s="134"/>
      <c r="C104" s="68"/>
      <c r="D104" s="68"/>
      <c r="E104" s="68"/>
      <c r="F104" s="68"/>
      <c r="G104" s="68"/>
      <c r="H104" s="68"/>
      <c r="I104" s="221"/>
      <c r="J104" s="221"/>
      <c r="K104" s="221"/>
      <c r="L104" s="221"/>
      <c r="M104" s="221"/>
      <c r="N104" s="221"/>
      <c r="O104" s="221"/>
      <c r="P104" s="221"/>
      <c r="Q104" s="221"/>
      <c r="R104" s="221"/>
      <c r="S104" s="221"/>
      <c r="T104" s="221"/>
      <c r="U104" s="221"/>
      <c r="V104" s="221"/>
      <c r="W104" s="221"/>
      <c r="X104" s="221"/>
      <c r="Y104" s="68"/>
      <c r="Z104" s="68"/>
      <c r="AA104" s="68"/>
    </row>
    <row r="105">
      <c r="A105" s="134"/>
      <c r="B105" s="134"/>
      <c r="C105" s="68"/>
      <c r="D105" s="68"/>
      <c r="E105" s="68"/>
      <c r="F105" s="68"/>
      <c r="G105" s="68"/>
      <c r="H105" s="68"/>
      <c r="I105" s="221"/>
      <c r="J105" s="221"/>
      <c r="K105" s="221"/>
      <c r="L105" s="221"/>
      <c r="M105" s="221"/>
      <c r="N105" s="221"/>
      <c r="O105" s="221"/>
      <c r="P105" s="221"/>
      <c r="Q105" s="221"/>
      <c r="R105" s="221"/>
      <c r="S105" s="221"/>
      <c r="T105" s="221"/>
      <c r="U105" s="221"/>
      <c r="V105" s="221"/>
      <c r="W105" s="221"/>
      <c r="X105" s="221"/>
      <c r="Y105" s="68"/>
      <c r="Z105" s="68"/>
      <c r="AA105" s="68"/>
    </row>
    <row r="106">
      <c r="A106" s="134"/>
      <c r="B106" s="134"/>
      <c r="C106" s="68"/>
      <c r="D106" s="68"/>
      <c r="E106" s="68"/>
      <c r="F106" s="68"/>
      <c r="G106" s="68"/>
      <c r="H106" s="68"/>
      <c r="I106" s="221"/>
      <c r="J106" s="221"/>
      <c r="K106" s="221"/>
      <c r="L106" s="221"/>
      <c r="M106" s="221"/>
      <c r="N106" s="221"/>
      <c r="O106" s="221"/>
      <c r="P106" s="221"/>
      <c r="Q106" s="221"/>
      <c r="R106" s="221"/>
      <c r="S106" s="221"/>
      <c r="T106" s="221"/>
      <c r="U106" s="221"/>
      <c r="V106" s="221"/>
      <c r="W106" s="221"/>
      <c r="X106" s="221"/>
      <c r="Y106" s="68"/>
      <c r="Z106" s="68"/>
      <c r="AA106" s="68"/>
    </row>
    <row r="107">
      <c r="A107" s="134"/>
      <c r="B107" s="134"/>
      <c r="C107" s="68"/>
      <c r="D107" s="68"/>
      <c r="E107" s="68"/>
      <c r="F107" s="68"/>
      <c r="G107" s="68"/>
      <c r="H107" s="68"/>
      <c r="I107" s="221"/>
      <c r="J107" s="221"/>
      <c r="K107" s="221"/>
      <c r="L107" s="221"/>
      <c r="M107" s="221"/>
      <c r="N107" s="221"/>
      <c r="O107" s="221"/>
      <c r="P107" s="221"/>
      <c r="Q107" s="221"/>
      <c r="R107" s="221"/>
      <c r="S107" s="221"/>
      <c r="T107" s="221"/>
      <c r="U107" s="221"/>
      <c r="V107" s="221"/>
      <c r="W107" s="221"/>
      <c r="X107" s="221"/>
      <c r="Y107" s="68"/>
      <c r="Z107" s="68"/>
      <c r="AA107" s="68"/>
    </row>
    <row r="108">
      <c r="A108" s="134"/>
      <c r="B108" s="134"/>
      <c r="C108" s="68"/>
      <c r="D108" s="68"/>
      <c r="E108" s="68"/>
      <c r="F108" s="68"/>
      <c r="G108" s="68"/>
      <c r="H108" s="68"/>
      <c r="I108" s="221"/>
      <c r="J108" s="221"/>
      <c r="K108" s="221"/>
      <c r="L108" s="221"/>
      <c r="M108" s="221"/>
      <c r="N108" s="221"/>
      <c r="O108" s="221"/>
      <c r="P108" s="221"/>
      <c r="Q108" s="221"/>
      <c r="R108" s="221"/>
      <c r="S108" s="221"/>
      <c r="T108" s="221"/>
      <c r="U108" s="221"/>
      <c r="V108" s="221"/>
      <c r="W108" s="221"/>
      <c r="X108" s="221"/>
      <c r="Y108" s="68"/>
      <c r="Z108" s="68"/>
      <c r="AA108" s="68"/>
    </row>
    <row r="109">
      <c r="A109" s="134"/>
      <c r="B109" s="134"/>
      <c r="C109" s="68"/>
      <c r="D109" s="68"/>
      <c r="E109" s="68"/>
      <c r="F109" s="68"/>
      <c r="G109" s="68"/>
      <c r="H109" s="68"/>
      <c r="I109" s="221"/>
      <c r="J109" s="221"/>
      <c r="K109" s="221"/>
      <c r="L109" s="221"/>
      <c r="M109" s="221"/>
      <c r="N109" s="221"/>
      <c r="O109" s="221"/>
      <c r="P109" s="221"/>
      <c r="Q109" s="221"/>
      <c r="R109" s="221"/>
      <c r="S109" s="221"/>
      <c r="T109" s="221"/>
      <c r="U109" s="221"/>
      <c r="V109" s="221"/>
      <c r="W109" s="221"/>
      <c r="X109" s="221"/>
      <c r="Y109" s="68"/>
      <c r="Z109" s="68"/>
      <c r="AA109" s="68"/>
    </row>
    <row r="110">
      <c r="A110" s="134"/>
      <c r="B110" s="134"/>
      <c r="C110" s="68"/>
      <c r="D110" s="68"/>
      <c r="E110" s="68"/>
      <c r="F110" s="68"/>
      <c r="G110" s="68"/>
      <c r="H110" s="68"/>
      <c r="I110" s="221"/>
      <c r="J110" s="221"/>
      <c r="K110" s="221"/>
      <c r="L110" s="221"/>
      <c r="M110" s="221"/>
      <c r="N110" s="221"/>
      <c r="O110" s="221"/>
      <c r="P110" s="221"/>
      <c r="Q110" s="221"/>
      <c r="R110" s="221"/>
      <c r="S110" s="221"/>
      <c r="T110" s="221"/>
      <c r="U110" s="221"/>
      <c r="V110" s="221"/>
      <c r="W110" s="221"/>
      <c r="X110" s="221"/>
      <c r="Y110" s="68"/>
      <c r="Z110" s="68"/>
      <c r="AA110" s="68"/>
    </row>
    <row r="111">
      <c r="A111" s="134"/>
      <c r="B111" s="134"/>
      <c r="C111" s="68"/>
      <c r="D111" s="68"/>
      <c r="E111" s="68"/>
      <c r="F111" s="68"/>
      <c r="G111" s="68"/>
      <c r="H111" s="68"/>
      <c r="I111" s="221"/>
      <c r="J111" s="221"/>
      <c r="K111" s="221"/>
      <c r="L111" s="221"/>
      <c r="M111" s="221"/>
      <c r="N111" s="221"/>
      <c r="O111" s="221"/>
      <c r="P111" s="221"/>
      <c r="Q111" s="221"/>
      <c r="R111" s="221"/>
      <c r="S111" s="221"/>
      <c r="T111" s="221"/>
      <c r="U111" s="221"/>
      <c r="V111" s="221"/>
      <c r="W111" s="221"/>
      <c r="X111" s="221"/>
      <c r="Y111" s="68"/>
      <c r="Z111" s="68"/>
      <c r="AA111" s="68"/>
    </row>
    <row r="112">
      <c r="A112" s="134"/>
      <c r="B112" s="134"/>
      <c r="C112" s="68"/>
      <c r="D112" s="68"/>
      <c r="E112" s="68"/>
      <c r="F112" s="68"/>
      <c r="G112" s="68"/>
      <c r="H112" s="68"/>
      <c r="I112" s="221"/>
      <c r="J112" s="221"/>
      <c r="K112" s="221"/>
      <c r="L112" s="221"/>
      <c r="M112" s="221"/>
      <c r="N112" s="221"/>
      <c r="O112" s="221"/>
      <c r="P112" s="221"/>
      <c r="Q112" s="221"/>
      <c r="R112" s="221"/>
      <c r="S112" s="221"/>
      <c r="T112" s="221"/>
      <c r="U112" s="221"/>
      <c r="V112" s="221"/>
      <c r="W112" s="221"/>
      <c r="X112" s="221"/>
      <c r="Y112" s="68"/>
      <c r="Z112" s="68"/>
      <c r="AA112" s="68"/>
    </row>
    <row r="113">
      <c r="A113" s="134"/>
      <c r="B113" s="134"/>
      <c r="C113" s="68"/>
      <c r="D113" s="68"/>
      <c r="E113" s="68"/>
      <c r="F113" s="68"/>
      <c r="G113" s="68"/>
      <c r="H113" s="68"/>
      <c r="I113" s="221"/>
      <c r="J113" s="221"/>
      <c r="K113" s="221"/>
      <c r="L113" s="221"/>
      <c r="M113" s="221"/>
      <c r="N113" s="221"/>
      <c r="O113" s="221"/>
      <c r="P113" s="221"/>
      <c r="Q113" s="221"/>
      <c r="R113" s="221"/>
      <c r="S113" s="221"/>
      <c r="T113" s="221"/>
      <c r="U113" s="221"/>
      <c r="V113" s="221"/>
      <c r="W113" s="221"/>
      <c r="X113" s="221"/>
      <c r="Y113" s="68"/>
      <c r="Z113" s="68"/>
      <c r="AA113" s="68"/>
    </row>
    <row r="114">
      <c r="A114" s="134"/>
      <c r="B114" s="134"/>
      <c r="C114" s="68"/>
      <c r="D114" s="68"/>
      <c r="E114" s="68"/>
      <c r="F114" s="68"/>
      <c r="G114" s="68"/>
      <c r="H114" s="68"/>
      <c r="I114" s="221"/>
      <c r="J114" s="221"/>
      <c r="K114" s="221"/>
      <c r="L114" s="221"/>
      <c r="M114" s="221"/>
      <c r="N114" s="221"/>
      <c r="O114" s="221"/>
      <c r="P114" s="221"/>
      <c r="Q114" s="221"/>
      <c r="R114" s="221"/>
      <c r="S114" s="221"/>
      <c r="T114" s="221"/>
      <c r="U114" s="221"/>
      <c r="V114" s="221"/>
      <c r="W114" s="221"/>
      <c r="X114" s="221"/>
      <c r="Y114" s="68"/>
      <c r="Z114" s="68"/>
      <c r="AA114" s="68"/>
    </row>
    <row r="115">
      <c r="A115" s="134"/>
      <c r="B115" s="134"/>
      <c r="C115" s="68"/>
      <c r="D115" s="68"/>
      <c r="E115" s="68"/>
      <c r="F115" s="68"/>
      <c r="G115" s="68"/>
      <c r="H115" s="68"/>
      <c r="I115" s="221"/>
      <c r="J115" s="221"/>
      <c r="K115" s="221"/>
      <c r="L115" s="221"/>
      <c r="M115" s="221"/>
      <c r="N115" s="221"/>
      <c r="O115" s="221"/>
      <c r="P115" s="221"/>
      <c r="Q115" s="221"/>
      <c r="R115" s="221"/>
      <c r="S115" s="221"/>
      <c r="T115" s="221"/>
      <c r="U115" s="221"/>
      <c r="V115" s="221"/>
      <c r="W115" s="221"/>
      <c r="X115" s="221"/>
      <c r="Y115" s="68"/>
      <c r="Z115" s="68"/>
      <c r="AA115" s="68"/>
    </row>
    <row r="116">
      <c r="A116" s="134"/>
      <c r="B116" s="134"/>
      <c r="C116" s="68"/>
      <c r="D116" s="68"/>
      <c r="E116" s="68"/>
      <c r="F116" s="68"/>
      <c r="G116" s="68"/>
      <c r="H116" s="68"/>
      <c r="I116" s="221"/>
      <c r="J116" s="221"/>
      <c r="K116" s="221"/>
      <c r="L116" s="221"/>
      <c r="M116" s="221"/>
      <c r="N116" s="221"/>
      <c r="O116" s="221"/>
      <c r="P116" s="221"/>
      <c r="Q116" s="221"/>
      <c r="R116" s="221"/>
      <c r="S116" s="221"/>
      <c r="T116" s="221"/>
      <c r="U116" s="221"/>
      <c r="V116" s="221"/>
      <c r="W116" s="221"/>
      <c r="X116" s="221"/>
      <c r="Y116" s="68"/>
      <c r="Z116" s="68"/>
      <c r="AA116" s="68"/>
    </row>
    <row r="117">
      <c r="A117" s="134"/>
      <c r="B117" s="134"/>
      <c r="C117" s="68"/>
      <c r="D117" s="68"/>
      <c r="E117" s="68"/>
      <c r="F117" s="68"/>
      <c r="G117" s="68"/>
      <c r="H117" s="68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221"/>
      <c r="X117" s="221"/>
      <c r="Y117" s="68"/>
      <c r="Z117" s="68"/>
      <c r="AA117" s="68"/>
    </row>
    <row r="118">
      <c r="A118" s="134"/>
      <c r="B118" s="134"/>
      <c r="C118" s="68"/>
      <c r="D118" s="68"/>
      <c r="E118" s="68"/>
      <c r="F118" s="68"/>
      <c r="G118" s="68"/>
      <c r="H118" s="68"/>
      <c r="I118" s="221"/>
      <c r="J118" s="221"/>
      <c r="K118" s="221"/>
      <c r="L118" s="221"/>
      <c r="M118" s="221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68"/>
      <c r="Z118" s="68"/>
      <c r="AA118" s="68"/>
    </row>
    <row r="119">
      <c r="A119" s="134"/>
      <c r="B119" s="134"/>
      <c r="C119" s="68"/>
      <c r="D119" s="68"/>
      <c r="E119" s="68"/>
      <c r="F119" s="68"/>
      <c r="G119" s="68"/>
      <c r="H119" s="68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68"/>
      <c r="Z119" s="68"/>
      <c r="AA119" s="68"/>
    </row>
    <row r="120">
      <c r="A120" s="134"/>
      <c r="B120" s="134"/>
      <c r="C120" s="68"/>
      <c r="D120" s="68"/>
      <c r="E120" s="68"/>
      <c r="F120" s="68"/>
      <c r="G120" s="68"/>
      <c r="H120" s="68"/>
      <c r="I120" s="221"/>
      <c r="J120" s="221"/>
      <c r="K120" s="221"/>
      <c r="L120" s="221"/>
      <c r="M120" s="221"/>
      <c r="N120" s="221"/>
      <c r="O120" s="221"/>
      <c r="P120" s="221"/>
      <c r="Q120" s="221"/>
      <c r="R120" s="221"/>
      <c r="S120" s="221"/>
      <c r="T120" s="221"/>
      <c r="U120" s="221"/>
      <c r="V120" s="221"/>
      <c r="W120" s="221"/>
      <c r="X120" s="221"/>
      <c r="Y120" s="68"/>
      <c r="Z120" s="68"/>
      <c r="AA120" s="68"/>
    </row>
    <row r="121">
      <c r="A121" s="134"/>
      <c r="B121" s="134"/>
      <c r="C121" s="68"/>
      <c r="D121" s="68"/>
      <c r="E121" s="68"/>
      <c r="F121" s="68"/>
      <c r="G121" s="68"/>
      <c r="H121" s="68"/>
      <c r="I121" s="221"/>
      <c r="J121" s="221"/>
      <c r="K121" s="221"/>
      <c r="L121" s="221"/>
      <c r="M121" s="221"/>
      <c r="N121" s="221"/>
      <c r="O121" s="221"/>
      <c r="P121" s="221"/>
      <c r="Q121" s="221"/>
      <c r="R121" s="221"/>
      <c r="S121" s="221"/>
      <c r="T121" s="221"/>
      <c r="U121" s="221"/>
      <c r="V121" s="221"/>
      <c r="W121" s="221"/>
      <c r="X121" s="221"/>
      <c r="Y121" s="68"/>
      <c r="Z121" s="68"/>
      <c r="AA121" s="68"/>
    </row>
    <row r="122">
      <c r="A122" s="134"/>
      <c r="B122" s="134"/>
      <c r="C122" s="68"/>
      <c r="D122" s="68"/>
      <c r="E122" s="68"/>
      <c r="F122" s="68"/>
      <c r="G122" s="68"/>
      <c r="H122" s="68"/>
      <c r="I122" s="221"/>
      <c r="J122" s="221"/>
      <c r="K122" s="221"/>
      <c r="L122" s="221"/>
      <c r="M122" s="221"/>
      <c r="N122" s="221"/>
      <c r="O122" s="221"/>
      <c r="P122" s="221"/>
      <c r="Q122" s="221"/>
      <c r="R122" s="221"/>
      <c r="S122" s="221"/>
      <c r="T122" s="221"/>
      <c r="U122" s="221"/>
      <c r="V122" s="221"/>
      <c r="W122" s="221"/>
      <c r="X122" s="221"/>
      <c r="Y122" s="68"/>
      <c r="Z122" s="68"/>
      <c r="AA122" s="68"/>
    </row>
    <row r="123">
      <c r="A123" s="134"/>
      <c r="B123" s="134"/>
      <c r="C123" s="68"/>
      <c r="D123" s="68"/>
      <c r="E123" s="68"/>
      <c r="F123" s="68"/>
      <c r="G123" s="68"/>
      <c r="H123" s="68"/>
      <c r="I123" s="221"/>
      <c r="J123" s="221"/>
      <c r="K123" s="221"/>
      <c r="L123" s="221"/>
      <c r="M123" s="221"/>
      <c r="N123" s="221"/>
      <c r="O123" s="221"/>
      <c r="P123" s="221"/>
      <c r="Q123" s="221"/>
      <c r="R123" s="221"/>
      <c r="S123" s="221"/>
      <c r="T123" s="221"/>
      <c r="U123" s="221"/>
      <c r="V123" s="221"/>
      <c r="W123" s="221"/>
      <c r="X123" s="221"/>
      <c r="Y123" s="68"/>
      <c r="Z123" s="68"/>
      <c r="AA123" s="68"/>
    </row>
    <row r="124">
      <c r="A124" s="134"/>
      <c r="B124" s="134"/>
      <c r="C124" s="68"/>
      <c r="D124" s="68"/>
      <c r="E124" s="68"/>
      <c r="F124" s="68"/>
      <c r="G124" s="68"/>
      <c r="H124" s="68"/>
      <c r="I124" s="221"/>
      <c r="J124" s="221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68"/>
      <c r="Z124" s="68"/>
      <c r="AA124" s="68"/>
    </row>
    <row r="125">
      <c r="A125" s="134"/>
      <c r="B125" s="134"/>
      <c r="C125" s="68"/>
      <c r="D125" s="68"/>
      <c r="E125" s="68"/>
      <c r="F125" s="68"/>
      <c r="G125" s="68"/>
      <c r="H125" s="68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68"/>
      <c r="Z125" s="68"/>
      <c r="AA125" s="68"/>
    </row>
    <row r="126">
      <c r="A126" s="134"/>
      <c r="B126" s="134"/>
      <c r="C126" s="68"/>
      <c r="D126" s="68"/>
      <c r="E126" s="68"/>
      <c r="F126" s="68"/>
      <c r="G126" s="68"/>
      <c r="H126" s="68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21"/>
      <c r="T126" s="221"/>
      <c r="U126" s="221"/>
      <c r="V126" s="221"/>
      <c r="W126" s="221"/>
      <c r="X126" s="221"/>
      <c r="Y126" s="68"/>
      <c r="Z126" s="68"/>
      <c r="AA126" s="68"/>
    </row>
    <row r="127">
      <c r="A127" s="134"/>
      <c r="B127" s="134"/>
      <c r="C127" s="68"/>
      <c r="D127" s="68"/>
      <c r="E127" s="68"/>
      <c r="F127" s="68"/>
      <c r="G127" s="68"/>
      <c r="H127" s="68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68"/>
      <c r="Z127" s="68"/>
      <c r="AA127" s="68"/>
    </row>
    <row r="128">
      <c r="A128" s="134"/>
      <c r="B128" s="134"/>
      <c r="C128" s="68"/>
      <c r="D128" s="68"/>
      <c r="E128" s="68"/>
      <c r="F128" s="68"/>
      <c r="G128" s="68"/>
      <c r="H128" s="68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21"/>
      <c r="T128" s="221"/>
      <c r="U128" s="221"/>
      <c r="V128" s="221"/>
      <c r="W128" s="221"/>
      <c r="X128" s="221"/>
      <c r="Y128" s="68"/>
      <c r="Z128" s="68"/>
      <c r="AA128" s="68"/>
    </row>
    <row r="129">
      <c r="A129" s="134"/>
      <c r="B129" s="134"/>
      <c r="C129" s="68"/>
      <c r="D129" s="68"/>
      <c r="E129" s="68"/>
      <c r="F129" s="68"/>
      <c r="G129" s="68"/>
      <c r="H129" s="68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68"/>
      <c r="Z129" s="68"/>
      <c r="AA129" s="68"/>
    </row>
    <row r="130">
      <c r="A130" s="134"/>
      <c r="B130" s="134"/>
      <c r="C130" s="68"/>
      <c r="D130" s="68"/>
      <c r="E130" s="68"/>
      <c r="F130" s="68"/>
      <c r="G130" s="68"/>
      <c r="H130" s="68"/>
      <c r="I130" s="221"/>
      <c r="J130" s="221"/>
      <c r="K130" s="221"/>
      <c r="L130" s="221"/>
      <c r="M130" s="221"/>
      <c r="N130" s="221"/>
      <c r="O130" s="221"/>
      <c r="P130" s="221"/>
      <c r="Q130" s="221"/>
      <c r="R130" s="221"/>
      <c r="S130" s="221"/>
      <c r="T130" s="221"/>
      <c r="U130" s="221"/>
      <c r="V130" s="221"/>
      <c r="W130" s="221"/>
      <c r="X130" s="221"/>
      <c r="Y130" s="68"/>
      <c r="Z130" s="68"/>
      <c r="AA130" s="68"/>
    </row>
    <row r="131">
      <c r="A131" s="134"/>
      <c r="B131" s="134"/>
      <c r="C131" s="68"/>
      <c r="D131" s="68"/>
      <c r="E131" s="68"/>
      <c r="F131" s="68"/>
      <c r="G131" s="68"/>
      <c r="H131" s="68"/>
      <c r="I131" s="221"/>
      <c r="J131" s="221"/>
      <c r="K131" s="221"/>
      <c r="L131" s="221"/>
      <c r="M131" s="221"/>
      <c r="N131" s="221"/>
      <c r="O131" s="221"/>
      <c r="P131" s="221"/>
      <c r="Q131" s="221"/>
      <c r="R131" s="221"/>
      <c r="S131" s="221"/>
      <c r="T131" s="221"/>
      <c r="U131" s="221"/>
      <c r="V131" s="221"/>
      <c r="W131" s="221"/>
      <c r="X131" s="221"/>
      <c r="Y131" s="68"/>
      <c r="Z131" s="68"/>
      <c r="AA131" s="68"/>
    </row>
    <row r="132">
      <c r="A132" s="134"/>
      <c r="B132" s="134"/>
      <c r="C132" s="68"/>
      <c r="D132" s="68"/>
      <c r="E132" s="68"/>
      <c r="F132" s="68"/>
      <c r="G132" s="68"/>
      <c r="H132" s="68"/>
      <c r="I132" s="221"/>
      <c r="J132" s="221"/>
      <c r="K132" s="221"/>
      <c r="L132" s="221"/>
      <c r="M132" s="221"/>
      <c r="N132" s="221"/>
      <c r="O132" s="221"/>
      <c r="P132" s="221"/>
      <c r="Q132" s="221"/>
      <c r="R132" s="221"/>
      <c r="S132" s="221"/>
      <c r="T132" s="221"/>
      <c r="U132" s="221"/>
      <c r="V132" s="221"/>
      <c r="W132" s="221"/>
      <c r="X132" s="221"/>
      <c r="Y132" s="68"/>
      <c r="Z132" s="68"/>
      <c r="AA132" s="68"/>
    </row>
    <row r="133">
      <c r="A133" s="134"/>
      <c r="B133" s="134"/>
      <c r="C133" s="68"/>
      <c r="D133" s="68"/>
      <c r="E133" s="68"/>
      <c r="F133" s="68"/>
      <c r="G133" s="68"/>
      <c r="H133" s="68"/>
      <c r="I133" s="221"/>
      <c r="J133" s="221"/>
      <c r="K133" s="221"/>
      <c r="L133" s="221"/>
      <c r="M133" s="221"/>
      <c r="N133" s="221"/>
      <c r="O133" s="221"/>
      <c r="P133" s="221"/>
      <c r="Q133" s="221"/>
      <c r="R133" s="221"/>
      <c r="S133" s="221"/>
      <c r="T133" s="221"/>
      <c r="U133" s="221"/>
      <c r="V133" s="221"/>
      <c r="W133" s="221"/>
      <c r="X133" s="221"/>
      <c r="Y133" s="68"/>
      <c r="Z133" s="68"/>
      <c r="AA133" s="68"/>
    </row>
    <row r="134">
      <c r="A134" s="134"/>
      <c r="B134" s="134"/>
      <c r="C134" s="68"/>
      <c r="D134" s="68"/>
      <c r="E134" s="68"/>
      <c r="F134" s="68"/>
      <c r="G134" s="68"/>
      <c r="H134" s="68"/>
      <c r="I134" s="221"/>
      <c r="J134" s="221"/>
      <c r="K134" s="221"/>
      <c r="L134" s="221"/>
      <c r="M134" s="221"/>
      <c r="N134" s="221"/>
      <c r="O134" s="221"/>
      <c r="P134" s="221"/>
      <c r="Q134" s="221"/>
      <c r="R134" s="221"/>
      <c r="S134" s="221"/>
      <c r="T134" s="221"/>
      <c r="U134" s="221"/>
      <c r="V134" s="221"/>
      <c r="W134" s="221"/>
      <c r="X134" s="221"/>
      <c r="Y134" s="68"/>
      <c r="Z134" s="68"/>
      <c r="AA134" s="68"/>
    </row>
    <row r="135">
      <c r="A135" s="134"/>
      <c r="B135" s="134"/>
      <c r="C135" s="68"/>
      <c r="D135" s="68"/>
      <c r="E135" s="68"/>
      <c r="F135" s="68"/>
      <c r="G135" s="68"/>
      <c r="H135" s="68"/>
      <c r="I135" s="221"/>
      <c r="J135" s="221"/>
      <c r="K135" s="221"/>
      <c r="L135" s="221"/>
      <c r="M135" s="221"/>
      <c r="N135" s="221"/>
      <c r="O135" s="221"/>
      <c r="P135" s="221"/>
      <c r="Q135" s="221"/>
      <c r="R135" s="221"/>
      <c r="S135" s="221"/>
      <c r="T135" s="221"/>
      <c r="U135" s="221"/>
      <c r="V135" s="221"/>
      <c r="W135" s="221"/>
      <c r="X135" s="221"/>
      <c r="Y135" s="68"/>
      <c r="Z135" s="68"/>
      <c r="AA135" s="68"/>
    </row>
    <row r="136">
      <c r="A136" s="134"/>
      <c r="B136" s="134"/>
      <c r="C136" s="68"/>
      <c r="D136" s="68"/>
      <c r="E136" s="68"/>
      <c r="F136" s="68"/>
      <c r="G136" s="68"/>
      <c r="H136" s="68"/>
      <c r="I136" s="221"/>
      <c r="J136" s="221"/>
      <c r="K136" s="221"/>
      <c r="L136" s="221"/>
      <c r="M136" s="221"/>
      <c r="N136" s="221"/>
      <c r="O136" s="221"/>
      <c r="P136" s="221"/>
      <c r="Q136" s="221"/>
      <c r="R136" s="221"/>
      <c r="S136" s="221"/>
      <c r="T136" s="221"/>
      <c r="U136" s="221"/>
      <c r="V136" s="221"/>
      <c r="W136" s="221"/>
      <c r="X136" s="221"/>
      <c r="Y136" s="68"/>
      <c r="Z136" s="68"/>
      <c r="AA136" s="68"/>
    </row>
    <row r="137">
      <c r="A137" s="134"/>
      <c r="B137" s="134"/>
      <c r="C137" s="68"/>
      <c r="D137" s="68"/>
      <c r="E137" s="68"/>
      <c r="F137" s="68"/>
      <c r="G137" s="68"/>
      <c r="H137" s="68"/>
      <c r="I137" s="221"/>
      <c r="J137" s="221"/>
      <c r="K137" s="221"/>
      <c r="L137" s="221"/>
      <c r="M137" s="221"/>
      <c r="N137" s="221"/>
      <c r="O137" s="221"/>
      <c r="P137" s="221"/>
      <c r="Q137" s="221"/>
      <c r="R137" s="221"/>
      <c r="S137" s="221"/>
      <c r="T137" s="221"/>
      <c r="U137" s="221"/>
      <c r="V137" s="221"/>
      <c r="W137" s="221"/>
      <c r="X137" s="221"/>
      <c r="Y137" s="68"/>
      <c r="Z137" s="68"/>
      <c r="AA137" s="68"/>
    </row>
    <row r="138">
      <c r="A138" s="134"/>
      <c r="B138" s="134"/>
      <c r="C138" s="68"/>
      <c r="D138" s="68"/>
      <c r="E138" s="68"/>
      <c r="F138" s="68"/>
      <c r="G138" s="68"/>
      <c r="H138" s="68"/>
      <c r="I138" s="221"/>
      <c r="J138" s="221"/>
      <c r="K138" s="221"/>
      <c r="L138" s="221"/>
      <c r="M138" s="221"/>
      <c r="N138" s="221"/>
      <c r="O138" s="221"/>
      <c r="P138" s="221"/>
      <c r="Q138" s="221"/>
      <c r="R138" s="221"/>
      <c r="S138" s="221"/>
      <c r="T138" s="221"/>
      <c r="U138" s="221"/>
      <c r="V138" s="221"/>
      <c r="W138" s="221"/>
      <c r="X138" s="221"/>
      <c r="Y138" s="68"/>
      <c r="Z138" s="68"/>
      <c r="AA138" s="68"/>
    </row>
    <row r="139">
      <c r="A139" s="134"/>
      <c r="B139" s="134"/>
      <c r="C139" s="68"/>
      <c r="D139" s="68"/>
      <c r="E139" s="68"/>
      <c r="F139" s="68"/>
      <c r="G139" s="68"/>
      <c r="H139" s="68"/>
      <c r="I139" s="221"/>
      <c r="J139" s="221"/>
      <c r="K139" s="221"/>
      <c r="L139" s="221"/>
      <c r="M139" s="221"/>
      <c r="N139" s="221"/>
      <c r="O139" s="221"/>
      <c r="P139" s="221"/>
      <c r="Q139" s="221"/>
      <c r="R139" s="221"/>
      <c r="S139" s="221"/>
      <c r="T139" s="221"/>
      <c r="U139" s="221"/>
      <c r="V139" s="221"/>
      <c r="W139" s="221"/>
      <c r="X139" s="221"/>
      <c r="Y139" s="68"/>
      <c r="Z139" s="68"/>
      <c r="AA139" s="68"/>
    </row>
    <row r="140">
      <c r="A140" s="134"/>
      <c r="B140" s="134"/>
      <c r="C140" s="68"/>
      <c r="D140" s="68"/>
      <c r="E140" s="68"/>
      <c r="F140" s="68"/>
      <c r="G140" s="68"/>
      <c r="H140" s="68"/>
      <c r="I140" s="221"/>
      <c r="J140" s="221"/>
      <c r="K140" s="221"/>
      <c r="L140" s="221"/>
      <c r="M140" s="221"/>
      <c r="N140" s="221"/>
      <c r="O140" s="221"/>
      <c r="P140" s="221"/>
      <c r="Q140" s="221"/>
      <c r="R140" s="221"/>
      <c r="S140" s="221"/>
      <c r="T140" s="221"/>
      <c r="U140" s="221"/>
      <c r="V140" s="221"/>
      <c r="W140" s="221"/>
      <c r="X140" s="221"/>
      <c r="Y140" s="68"/>
      <c r="Z140" s="68"/>
      <c r="AA140" s="68"/>
    </row>
    <row r="141">
      <c r="A141" s="134"/>
      <c r="B141" s="134"/>
      <c r="C141" s="68"/>
      <c r="D141" s="68"/>
      <c r="E141" s="68"/>
      <c r="F141" s="68"/>
      <c r="G141" s="68"/>
      <c r="H141" s="68"/>
      <c r="I141" s="221"/>
      <c r="J141" s="221"/>
      <c r="K141" s="221"/>
      <c r="L141" s="221"/>
      <c r="M141" s="221"/>
      <c r="N141" s="221"/>
      <c r="O141" s="221"/>
      <c r="P141" s="221"/>
      <c r="Q141" s="221"/>
      <c r="R141" s="221"/>
      <c r="S141" s="221"/>
      <c r="T141" s="221"/>
      <c r="U141" s="221"/>
      <c r="V141" s="221"/>
      <c r="W141" s="221"/>
      <c r="X141" s="221"/>
      <c r="Y141" s="68"/>
      <c r="Z141" s="68"/>
      <c r="AA141" s="68"/>
    </row>
    <row r="142">
      <c r="A142" s="134"/>
      <c r="B142" s="134"/>
      <c r="C142" s="68"/>
      <c r="D142" s="68"/>
      <c r="E142" s="68"/>
      <c r="F142" s="68"/>
      <c r="G142" s="68"/>
      <c r="H142" s="68"/>
      <c r="I142" s="221"/>
      <c r="J142" s="221"/>
      <c r="K142" s="221"/>
      <c r="L142" s="221"/>
      <c r="M142" s="221"/>
      <c r="N142" s="221"/>
      <c r="O142" s="221"/>
      <c r="P142" s="221"/>
      <c r="Q142" s="221"/>
      <c r="R142" s="221"/>
      <c r="S142" s="221"/>
      <c r="T142" s="221"/>
      <c r="U142" s="221"/>
      <c r="V142" s="221"/>
      <c r="W142" s="221"/>
      <c r="X142" s="221"/>
      <c r="Y142" s="68"/>
      <c r="Z142" s="68"/>
      <c r="AA142" s="68"/>
    </row>
    <row r="143">
      <c r="A143" s="134"/>
      <c r="B143" s="134"/>
      <c r="C143" s="68"/>
      <c r="D143" s="68"/>
      <c r="E143" s="68"/>
      <c r="F143" s="68"/>
      <c r="G143" s="68"/>
      <c r="H143" s="68"/>
      <c r="I143" s="221"/>
      <c r="J143" s="221"/>
      <c r="K143" s="221"/>
      <c r="L143" s="221"/>
      <c r="M143" s="221"/>
      <c r="N143" s="221"/>
      <c r="O143" s="221"/>
      <c r="P143" s="221"/>
      <c r="Q143" s="221"/>
      <c r="R143" s="221"/>
      <c r="S143" s="221"/>
      <c r="T143" s="221"/>
      <c r="U143" s="221"/>
      <c r="V143" s="221"/>
      <c r="W143" s="221"/>
      <c r="X143" s="221"/>
      <c r="Y143" s="68"/>
      <c r="Z143" s="68"/>
      <c r="AA143" s="68"/>
    </row>
    <row r="144">
      <c r="A144" s="134"/>
      <c r="B144" s="134"/>
      <c r="C144" s="68"/>
      <c r="D144" s="68"/>
      <c r="E144" s="68"/>
      <c r="F144" s="68"/>
      <c r="G144" s="68"/>
      <c r="H144" s="68"/>
      <c r="I144" s="221"/>
      <c r="J144" s="221"/>
      <c r="K144" s="221"/>
      <c r="L144" s="221"/>
      <c r="M144" s="221"/>
      <c r="N144" s="221"/>
      <c r="O144" s="221"/>
      <c r="P144" s="221"/>
      <c r="Q144" s="221"/>
      <c r="R144" s="221"/>
      <c r="S144" s="221"/>
      <c r="T144" s="221"/>
      <c r="U144" s="221"/>
      <c r="V144" s="221"/>
      <c r="W144" s="221"/>
      <c r="X144" s="221"/>
      <c r="Y144" s="68"/>
      <c r="Z144" s="68"/>
      <c r="AA144" s="68"/>
    </row>
    <row r="145">
      <c r="A145" s="134"/>
      <c r="B145" s="134"/>
      <c r="C145" s="68"/>
      <c r="D145" s="68"/>
      <c r="E145" s="68"/>
      <c r="F145" s="68"/>
      <c r="G145" s="68"/>
      <c r="H145" s="68"/>
      <c r="I145" s="221"/>
      <c r="J145" s="221"/>
      <c r="K145" s="221"/>
      <c r="L145" s="221"/>
      <c r="M145" s="221"/>
      <c r="N145" s="221"/>
      <c r="O145" s="221"/>
      <c r="P145" s="221"/>
      <c r="Q145" s="221"/>
      <c r="R145" s="221"/>
      <c r="S145" s="221"/>
      <c r="T145" s="221"/>
      <c r="U145" s="221"/>
      <c r="V145" s="221"/>
      <c r="W145" s="221"/>
      <c r="X145" s="221"/>
      <c r="Y145" s="68"/>
      <c r="Z145" s="68"/>
      <c r="AA145" s="68"/>
    </row>
    <row r="146">
      <c r="A146" s="134"/>
      <c r="B146" s="134"/>
      <c r="C146" s="68"/>
      <c r="D146" s="68"/>
      <c r="E146" s="68"/>
      <c r="F146" s="68"/>
      <c r="G146" s="68"/>
      <c r="H146" s="68"/>
      <c r="I146" s="221"/>
      <c r="J146" s="221"/>
      <c r="K146" s="221"/>
      <c r="L146" s="221"/>
      <c r="M146" s="221"/>
      <c r="N146" s="221"/>
      <c r="O146" s="221"/>
      <c r="P146" s="221"/>
      <c r="Q146" s="221"/>
      <c r="R146" s="221"/>
      <c r="S146" s="221"/>
      <c r="T146" s="221"/>
      <c r="U146" s="221"/>
      <c r="V146" s="221"/>
      <c r="W146" s="221"/>
      <c r="X146" s="221"/>
      <c r="Y146" s="68"/>
      <c r="Z146" s="68"/>
      <c r="AA146" s="68"/>
    </row>
    <row r="147">
      <c r="A147" s="134"/>
      <c r="B147" s="134"/>
      <c r="C147" s="68"/>
      <c r="D147" s="68"/>
      <c r="E147" s="68"/>
      <c r="F147" s="68"/>
      <c r="G147" s="68"/>
      <c r="H147" s="68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68"/>
      <c r="Z147" s="68"/>
      <c r="AA147" s="68"/>
    </row>
    <row r="148">
      <c r="A148" s="134"/>
      <c r="B148" s="134"/>
      <c r="C148" s="68"/>
      <c r="D148" s="68"/>
      <c r="E148" s="68"/>
      <c r="F148" s="68"/>
      <c r="G148" s="68"/>
      <c r="H148" s="68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221"/>
      <c r="W148" s="221"/>
      <c r="X148" s="221"/>
      <c r="Y148" s="68"/>
      <c r="Z148" s="68"/>
      <c r="AA148" s="68"/>
    </row>
    <row r="149">
      <c r="A149" s="134"/>
      <c r="B149" s="134"/>
      <c r="C149" s="68"/>
      <c r="D149" s="68"/>
      <c r="E149" s="68"/>
      <c r="F149" s="68"/>
      <c r="G149" s="68"/>
      <c r="H149" s="68"/>
      <c r="I149" s="221"/>
      <c r="J149" s="221"/>
      <c r="K149" s="221"/>
      <c r="L149" s="221"/>
      <c r="M149" s="221"/>
      <c r="N149" s="221"/>
      <c r="O149" s="221"/>
      <c r="P149" s="221"/>
      <c r="Q149" s="221"/>
      <c r="R149" s="221"/>
      <c r="S149" s="221"/>
      <c r="T149" s="221"/>
      <c r="U149" s="221"/>
      <c r="V149" s="221"/>
      <c r="W149" s="221"/>
      <c r="X149" s="221"/>
      <c r="Y149" s="68"/>
      <c r="Z149" s="68"/>
      <c r="AA149" s="68"/>
    </row>
    <row r="150">
      <c r="A150" s="134"/>
      <c r="B150" s="134"/>
      <c r="C150" s="68"/>
      <c r="D150" s="68"/>
      <c r="E150" s="68"/>
      <c r="F150" s="68"/>
      <c r="G150" s="68"/>
      <c r="H150" s="68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221"/>
      <c r="X150" s="221"/>
      <c r="Y150" s="68"/>
      <c r="Z150" s="68"/>
      <c r="AA150" s="68"/>
    </row>
    <row r="151">
      <c r="A151" s="134"/>
      <c r="B151" s="134"/>
      <c r="C151" s="68"/>
      <c r="D151" s="68"/>
      <c r="E151" s="68"/>
      <c r="F151" s="68"/>
      <c r="G151" s="68"/>
      <c r="H151" s="68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68"/>
      <c r="Z151" s="68"/>
      <c r="AA151" s="68"/>
    </row>
    <row r="152">
      <c r="A152" s="134"/>
      <c r="B152" s="134"/>
      <c r="C152" s="68"/>
      <c r="D152" s="68"/>
      <c r="E152" s="68"/>
      <c r="F152" s="68"/>
      <c r="G152" s="68"/>
      <c r="H152" s="68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68"/>
      <c r="Z152" s="68"/>
      <c r="AA152" s="68"/>
    </row>
    <row r="153">
      <c r="A153" s="134"/>
      <c r="B153" s="134"/>
      <c r="C153" s="68"/>
      <c r="D153" s="68"/>
      <c r="E153" s="68"/>
      <c r="F153" s="68"/>
      <c r="G153" s="68"/>
      <c r="H153" s="68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68"/>
      <c r="Z153" s="68"/>
      <c r="AA153" s="68"/>
    </row>
    <row r="154">
      <c r="A154" s="134"/>
      <c r="B154" s="134"/>
      <c r="C154" s="68"/>
      <c r="D154" s="68"/>
      <c r="E154" s="68"/>
      <c r="F154" s="68"/>
      <c r="G154" s="68"/>
      <c r="H154" s="68"/>
      <c r="I154" s="221"/>
      <c r="J154" s="221"/>
      <c r="K154" s="221"/>
      <c r="L154" s="221"/>
      <c r="M154" s="221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68"/>
      <c r="Z154" s="68"/>
      <c r="AA154" s="68"/>
    </row>
    <row r="155">
      <c r="A155" s="134"/>
      <c r="B155" s="134"/>
      <c r="C155" s="68"/>
      <c r="D155" s="68"/>
      <c r="E155" s="68"/>
      <c r="F155" s="68"/>
      <c r="G155" s="68"/>
      <c r="H155" s="68"/>
      <c r="I155" s="221"/>
      <c r="J155" s="221"/>
      <c r="K155" s="221"/>
      <c r="L155" s="221"/>
      <c r="M155" s="221"/>
      <c r="N155" s="221"/>
      <c r="O155" s="221"/>
      <c r="P155" s="221"/>
      <c r="Q155" s="221"/>
      <c r="R155" s="221"/>
      <c r="S155" s="221"/>
      <c r="T155" s="221"/>
      <c r="U155" s="221"/>
      <c r="V155" s="221"/>
      <c r="W155" s="221"/>
      <c r="X155" s="221"/>
      <c r="Y155" s="68"/>
      <c r="Z155" s="68"/>
      <c r="AA155" s="68"/>
    </row>
    <row r="156">
      <c r="A156" s="134"/>
      <c r="B156" s="134"/>
      <c r="C156" s="68"/>
      <c r="D156" s="68"/>
      <c r="E156" s="68"/>
      <c r="F156" s="68"/>
      <c r="G156" s="68"/>
      <c r="H156" s="68"/>
      <c r="I156" s="221"/>
      <c r="J156" s="221"/>
      <c r="K156" s="221"/>
      <c r="L156" s="221"/>
      <c r="M156" s="221"/>
      <c r="N156" s="221"/>
      <c r="O156" s="221"/>
      <c r="P156" s="221"/>
      <c r="Q156" s="221"/>
      <c r="R156" s="221"/>
      <c r="S156" s="221"/>
      <c r="T156" s="221"/>
      <c r="U156" s="221"/>
      <c r="V156" s="221"/>
      <c r="W156" s="221"/>
      <c r="X156" s="221"/>
      <c r="Y156" s="68"/>
      <c r="Z156" s="68"/>
      <c r="AA156" s="68"/>
    </row>
    <row r="157">
      <c r="A157" s="134"/>
      <c r="B157" s="134"/>
      <c r="C157" s="68"/>
      <c r="D157" s="68"/>
      <c r="E157" s="68"/>
      <c r="F157" s="68"/>
      <c r="G157" s="68"/>
      <c r="H157" s="68"/>
      <c r="I157" s="221"/>
      <c r="J157" s="221"/>
      <c r="K157" s="221"/>
      <c r="L157" s="221"/>
      <c r="M157" s="221"/>
      <c r="N157" s="221"/>
      <c r="O157" s="221"/>
      <c r="P157" s="221"/>
      <c r="Q157" s="221"/>
      <c r="R157" s="221"/>
      <c r="S157" s="221"/>
      <c r="T157" s="221"/>
      <c r="U157" s="221"/>
      <c r="V157" s="221"/>
      <c r="W157" s="221"/>
      <c r="X157" s="221"/>
      <c r="Y157" s="68"/>
      <c r="Z157" s="68"/>
      <c r="AA157" s="68"/>
    </row>
    <row r="158">
      <c r="A158" s="134"/>
      <c r="B158" s="134"/>
      <c r="C158" s="68"/>
      <c r="D158" s="68"/>
      <c r="E158" s="68"/>
      <c r="F158" s="68"/>
      <c r="G158" s="68"/>
      <c r="H158" s="68"/>
      <c r="I158" s="221"/>
      <c r="J158" s="221"/>
      <c r="K158" s="221"/>
      <c r="L158" s="221"/>
      <c r="M158" s="221"/>
      <c r="N158" s="221"/>
      <c r="O158" s="221"/>
      <c r="P158" s="221"/>
      <c r="Q158" s="221"/>
      <c r="R158" s="221"/>
      <c r="S158" s="221"/>
      <c r="T158" s="221"/>
      <c r="U158" s="221"/>
      <c r="V158" s="221"/>
      <c r="W158" s="221"/>
      <c r="X158" s="221"/>
      <c r="Y158" s="68"/>
      <c r="Z158" s="68"/>
      <c r="AA158" s="68"/>
    </row>
    <row r="159">
      <c r="A159" s="134"/>
      <c r="B159" s="134"/>
      <c r="C159" s="68"/>
      <c r="D159" s="68"/>
      <c r="E159" s="68"/>
      <c r="F159" s="68"/>
      <c r="G159" s="68"/>
      <c r="H159" s="68"/>
      <c r="I159" s="221"/>
      <c r="J159" s="221"/>
      <c r="K159" s="221"/>
      <c r="L159" s="221"/>
      <c r="M159" s="221"/>
      <c r="N159" s="221"/>
      <c r="O159" s="221"/>
      <c r="P159" s="221"/>
      <c r="Q159" s="221"/>
      <c r="R159" s="221"/>
      <c r="S159" s="221"/>
      <c r="T159" s="221"/>
      <c r="U159" s="221"/>
      <c r="V159" s="221"/>
      <c r="W159" s="221"/>
      <c r="X159" s="221"/>
      <c r="Y159" s="68"/>
      <c r="Z159" s="68"/>
      <c r="AA159" s="68"/>
    </row>
    <row r="160">
      <c r="A160" s="134"/>
      <c r="B160" s="134"/>
      <c r="C160" s="68"/>
      <c r="D160" s="68"/>
      <c r="E160" s="68"/>
      <c r="F160" s="68"/>
      <c r="G160" s="68"/>
      <c r="H160" s="68"/>
      <c r="I160" s="221"/>
      <c r="J160" s="221"/>
      <c r="K160" s="221"/>
      <c r="L160" s="221"/>
      <c r="M160" s="221"/>
      <c r="N160" s="221"/>
      <c r="O160" s="221"/>
      <c r="P160" s="221"/>
      <c r="Q160" s="221"/>
      <c r="R160" s="221"/>
      <c r="S160" s="221"/>
      <c r="T160" s="221"/>
      <c r="U160" s="221"/>
      <c r="V160" s="221"/>
      <c r="W160" s="221"/>
      <c r="X160" s="221"/>
      <c r="Y160" s="68"/>
      <c r="Z160" s="68"/>
      <c r="AA160" s="68"/>
    </row>
    <row r="161">
      <c r="A161" s="134"/>
      <c r="B161" s="134"/>
      <c r="C161" s="68"/>
      <c r="D161" s="68"/>
      <c r="E161" s="68"/>
      <c r="F161" s="68"/>
      <c r="G161" s="68"/>
      <c r="H161" s="68"/>
      <c r="I161" s="221"/>
      <c r="J161" s="221"/>
      <c r="K161" s="221"/>
      <c r="L161" s="221"/>
      <c r="M161" s="221"/>
      <c r="N161" s="221"/>
      <c r="O161" s="221"/>
      <c r="P161" s="221"/>
      <c r="Q161" s="221"/>
      <c r="R161" s="221"/>
      <c r="S161" s="221"/>
      <c r="T161" s="221"/>
      <c r="U161" s="221"/>
      <c r="V161" s="221"/>
      <c r="W161" s="221"/>
      <c r="X161" s="221"/>
      <c r="Y161" s="68"/>
      <c r="Z161" s="68"/>
      <c r="AA161" s="68"/>
    </row>
    <row r="162">
      <c r="A162" s="134"/>
      <c r="B162" s="134"/>
      <c r="C162" s="68"/>
      <c r="D162" s="68"/>
      <c r="E162" s="68"/>
      <c r="F162" s="68"/>
      <c r="G162" s="68"/>
      <c r="H162" s="68"/>
      <c r="I162" s="221"/>
      <c r="J162" s="221"/>
      <c r="K162" s="221"/>
      <c r="L162" s="221"/>
      <c r="M162" s="221"/>
      <c r="N162" s="221"/>
      <c r="O162" s="221"/>
      <c r="P162" s="221"/>
      <c r="Q162" s="221"/>
      <c r="R162" s="221"/>
      <c r="S162" s="221"/>
      <c r="T162" s="221"/>
      <c r="U162" s="221"/>
      <c r="V162" s="221"/>
      <c r="W162" s="221"/>
      <c r="X162" s="221"/>
      <c r="Y162" s="68"/>
      <c r="Z162" s="68"/>
      <c r="AA162" s="68"/>
    </row>
    <row r="163">
      <c r="A163" s="134"/>
      <c r="B163" s="134"/>
      <c r="C163" s="68"/>
      <c r="D163" s="68"/>
      <c r="E163" s="68"/>
      <c r="F163" s="68"/>
      <c r="G163" s="68"/>
      <c r="H163" s="68"/>
      <c r="I163" s="221"/>
      <c r="J163" s="221"/>
      <c r="K163" s="221"/>
      <c r="L163" s="221"/>
      <c r="M163" s="221"/>
      <c r="N163" s="221"/>
      <c r="O163" s="221"/>
      <c r="P163" s="221"/>
      <c r="Q163" s="221"/>
      <c r="R163" s="221"/>
      <c r="S163" s="221"/>
      <c r="T163" s="221"/>
      <c r="U163" s="221"/>
      <c r="V163" s="221"/>
      <c r="W163" s="221"/>
      <c r="X163" s="221"/>
      <c r="Y163" s="68"/>
      <c r="Z163" s="68"/>
      <c r="AA163" s="68"/>
    </row>
    <row r="164">
      <c r="A164" s="134"/>
      <c r="B164" s="134"/>
      <c r="C164" s="68"/>
      <c r="D164" s="68"/>
      <c r="E164" s="68"/>
      <c r="F164" s="68"/>
      <c r="G164" s="68"/>
      <c r="H164" s="68"/>
      <c r="I164" s="221"/>
      <c r="J164" s="221"/>
      <c r="K164" s="221"/>
      <c r="L164" s="221"/>
      <c r="M164" s="221"/>
      <c r="N164" s="221"/>
      <c r="O164" s="221"/>
      <c r="P164" s="221"/>
      <c r="Q164" s="221"/>
      <c r="R164" s="221"/>
      <c r="S164" s="221"/>
      <c r="T164" s="221"/>
      <c r="U164" s="221"/>
      <c r="V164" s="221"/>
      <c r="W164" s="221"/>
      <c r="X164" s="221"/>
      <c r="Y164" s="68"/>
      <c r="Z164" s="68"/>
      <c r="AA164" s="68"/>
    </row>
    <row r="165">
      <c r="A165" s="134"/>
      <c r="B165" s="134"/>
      <c r="C165" s="68"/>
      <c r="D165" s="68"/>
      <c r="E165" s="68"/>
      <c r="F165" s="68"/>
      <c r="G165" s="68"/>
      <c r="H165" s="68"/>
      <c r="I165" s="221"/>
      <c r="J165" s="221"/>
      <c r="K165" s="221"/>
      <c r="L165" s="221"/>
      <c r="M165" s="221"/>
      <c r="N165" s="221"/>
      <c r="O165" s="221"/>
      <c r="P165" s="221"/>
      <c r="Q165" s="221"/>
      <c r="R165" s="221"/>
      <c r="S165" s="221"/>
      <c r="T165" s="221"/>
      <c r="U165" s="221"/>
      <c r="V165" s="221"/>
      <c r="W165" s="221"/>
      <c r="X165" s="221"/>
      <c r="Y165" s="68"/>
      <c r="Z165" s="68"/>
      <c r="AA165" s="68"/>
    </row>
    <row r="166">
      <c r="A166" s="134"/>
      <c r="B166" s="134"/>
      <c r="C166" s="68"/>
      <c r="D166" s="68"/>
      <c r="E166" s="68"/>
      <c r="F166" s="68"/>
      <c r="G166" s="68"/>
      <c r="H166" s="68"/>
      <c r="I166" s="221"/>
      <c r="J166" s="221"/>
      <c r="K166" s="221"/>
      <c r="L166" s="221"/>
      <c r="M166" s="221"/>
      <c r="N166" s="221"/>
      <c r="O166" s="221"/>
      <c r="P166" s="221"/>
      <c r="Q166" s="221"/>
      <c r="R166" s="221"/>
      <c r="S166" s="221"/>
      <c r="T166" s="221"/>
      <c r="U166" s="221"/>
      <c r="V166" s="221"/>
      <c r="W166" s="221"/>
      <c r="X166" s="221"/>
      <c r="Y166" s="68"/>
      <c r="Z166" s="68"/>
      <c r="AA166" s="68"/>
    </row>
    <row r="167">
      <c r="A167" s="134"/>
      <c r="B167" s="134"/>
      <c r="C167" s="68"/>
      <c r="D167" s="68"/>
      <c r="E167" s="68"/>
      <c r="F167" s="68"/>
      <c r="G167" s="68"/>
      <c r="H167" s="68"/>
      <c r="I167" s="221"/>
      <c r="J167" s="221"/>
      <c r="K167" s="221"/>
      <c r="L167" s="221"/>
      <c r="M167" s="221"/>
      <c r="N167" s="221"/>
      <c r="O167" s="221"/>
      <c r="P167" s="221"/>
      <c r="Q167" s="221"/>
      <c r="R167" s="221"/>
      <c r="S167" s="221"/>
      <c r="T167" s="221"/>
      <c r="U167" s="221"/>
      <c r="V167" s="221"/>
      <c r="W167" s="221"/>
      <c r="X167" s="221"/>
      <c r="Y167" s="68"/>
      <c r="Z167" s="68"/>
      <c r="AA167" s="68"/>
    </row>
    <row r="168">
      <c r="A168" s="134"/>
      <c r="B168" s="134"/>
      <c r="C168" s="68"/>
      <c r="D168" s="68"/>
      <c r="E168" s="68"/>
      <c r="F168" s="68"/>
      <c r="G168" s="68"/>
      <c r="H168" s="68"/>
      <c r="I168" s="221"/>
      <c r="J168" s="221"/>
      <c r="K168" s="221"/>
      <c r="L168" s="221"/>
      <c r="M168" s="221"/>
      <c r="N168" s="221"/>
      <c r="O168" s="221"/>
      <c r="P168" s="221"/>
      <c r="Q168" s="221"/>
      <c r="R168" s="221"/>
      <c r="S168" s="221"/>
      <c r="T168" s="221"/>
      <c r="U168" s="221"/>
      <c r="V168" s="221"/>
      <c r="W168" s="221"/>
      <c r="X168" s="221"/>
      <c r="Y168" s="68"/>
      <c r="Z168" s="68"/>
      <c r="AA168" s="68"/>
    </row>
    <row r="169">
      <c r="A169" s="134"/>
      <c r="B169" s="134"/>
      <c r="C169" s="68"/>
      <c r="D169" s="68"/>
      <c r="E169" s="68"/>
      <c r="F169" s="68"/>
      <c r="G169" s="68"/>
      <c r="H169" s="68"/>
      <c r="I169" s="221"/>
      <c r="J169" s="221"/>
      <c r="K169" s="221"/>
      <c r="L169" s="221"/>
      <c r="M169" s="221"/>
      <c r="N169" s="221"/>
      <c r="O169" s="221"/>
      <c r="P169" s="221"/>
      <c r="Q169" s="221"/>
      <c r="R169" s="221"/>
      <c r="S169" s="221"/>
      <c r="T169" s="221"/>
      <c r="U169" s="221"/>
      <c r="V169" s="221"/>
      <c r="W169" s="221"/>
      <c r="X169" s="221"/>
      <c r="Y169" s="68"/>
      <c r="Z169" s="68"/>
      <c r="AA169" s="68"/>
    </row>
    <row r="170">
      <c r="A170" s="134"/>
      <c r="B170" s="134"/>
      <c r="C170" s="68"/>
      <c r="D170" s="68"/>
      <c r="E170" s="68"/>
      <c r="F170" s="68"/>
      <c r="G170" s="68"/>
      <c r="H170" s="68"/>
      <c r="I170" s="221"/>
      <c r="J170" s="221"/>
      <c r="K170" s="221"/>
      <c r="L170" s="221"/>
      <c r="M170" s="221"/>
      <c r="N170" s="221"/>
      <c r="O170" s="221"/>
      <c r="P170" s="221"/>
      <c r="Q170" s="221"/>
      <c r="R170" s="221"/>
      <c r="S170" s="221"/>
      <c r="T170" s="221"/>
      <c r="U170" s="221"/>
      <c r="V170" s="221"/>
      <c r="W170" s="221"/>
      <c r="X170" s="221"/>
      <c r="Y170" s="68"/>
      <c r="Z170" s="68"/>
      <c r="AA170" s="68"/>
    </row>
    <row r="171">
      <c r="A171" s="134"/>
      <c r="B171" s="134"/>
      <c r="C171" s="68"/>
      <c r="D171" s="68"/>
      <c r="E171" s="68"/>
      <c r="F171" s="68"/>
      <c r="G171" s="68"/>
      <c r="H171" s="68"/>
      <c r="I171" s="221"/>
      <c r="J171" s="221"/>
      <c r="K171" s="221"/>
      <c r="L171" s="221"/>
      <c r="M171" s="221"/>
      <c r="N171" s="221"/>
      <c r="O171" s="221"/>
      <c r="P171" s="221"/>
      <c r="Q171" s="221"/>
      <c r="R171" s="221"/>
      <c r="S171" s="221"/>
      <c r="T171" s="221"/>
      <c r="U171" s="221"/>
      <c r="V171" s="221"/>
      <c r="W171" s="221"/>
      <c r="X171" s="221"/>
      <c r="Y171" s="68"/>
      <c r="Z171" s="68"/>
      <c r="AA171" s="68"/>
    </row>
    <row r="172">
      <c r="A172" s="134"/>
      <c r="B172" s="134"/>
      <c r="C172" s="68"/>
      <c r="D172" s="68"/>
      <c r="E172" s="68"/>
      <c r="F172" s="68"/>
      <c r="G172" s="68"/>
      <c r="H172" s="68"/>
      <c r="I172" s="221"/>
      <c r="J172" s="221"/>
      <c r="K172" s="221"/>
      <c r="L172" s="221"/>
      <c r="M172" s="221"/>
      <c r="N172" s="221"/>
      <c r="O172" s="221"/>
      <c r="P172" s="221"/>
      <c r="Q172" s="221"/>
      <c r="R172" s="221"/>
      <c r="S172" s="221"/>
      <c r="T172" s="221"/>
      <c r="U172" s="221"/>
      <c r="V172" s="221"/>
      <c r="W172" s="221"/>
      <c r="X172" s="221"/>
      <c r="Y172" s="68"/>
      <c r="Z172" s="68"/>
      <c r="AA172" s="68"/>
    </row>
    <row r="173">
      <c r="A173" s="134"/>
      <c r="B173" s="134"/>
      <c r="C173" s="68"/>
      <c r="D173" s="68"/>
      <c r="E173" s="68"/>
      <c r="F173" s="68"/>
      <c r="G173" s="68"/>
      <c r="H173" s="68"/>
      <c r="I173" s="221"/>
      <c r="J173" s="221"/>
      <c r="K173" s="221"/>
      <c r="L173" s="221"/>
      <c r="M173" s="221"/>
      <c r="N173" s="221"/>
      <c r="O173" s="221"/>
      <c r="P173" s="221"/>
      <c r="Q173" s="221"/>
      <c r="R173" s="221"/>
      <c r="S173" s="221"/>
      <c r="T173" s="221"/>
      <c r="U173" s="221"/>
      <c r="V173" s="221"/>
      <c r="W173" s="221"/>
      <c r="X173" s="221"/>
      <c r="Y173" s="68"/>
      <c r="Z173" s="68"/>
      <c r="AA173" s="68"/>
    </row>
    <row r="174">
      <c r="A174" s="134"/>
      <c r="B174" s="134"/>
      <c r="C174" s="68"/>
      <c r="D174" s="68"/>
      <c r="E174" s="68"/>
      <c r="F174" s="68"/>
      <c r="G174" s="68"/>
      <c r="H174" s="68"/>
      <c r="I174" s="221"/>
      <c r="J174" s="221"/>
      <c r="K174" s="221"/>
      <c r="L174" s="221"/>
      <c r="M174" s="221"/>
      <c r="N174" s="221"/>
      <c r="O174" s="221"/>
      <c r="P174" s="221"/>
      <c r="Q174" s="221"/>
      <c r="R174" s="221"/>
      <c r="S174" s="221"/>
      <c r="T174" s="221"/>
      <c r="U174" s="221"/>
      <c r="V174" s="221"/>
      <c r="W174" s="221"/>
      <c r="X174" s="221"/>
      <c r="Y174" s="68"/>
      <c r="Z174" s="68"/>
      <c r="AA174" s="68"/>
    </row>
    <row r="175">
      <c r="A175" s="134"/>
      <c r="B175" s="134"/>
      <c r="C175" s="68"/>
      <c r="D175" s="68"/>
      <c r="E175" s="68"/>
      <c r="F175" s="68"/>
      <c r="G175" s="68"/>
      <c r="H175" s="68"/>
      <c r="I175" s="221"/>
      <c r="J175" s="221"/>
      <c r="K175" s="221"/>
      <c r="L175" s="221"/>
      <c r="M175" s="221"/>
      <c r="N175" s="221"/>
      <c r="O175" s="221"/>
      <c r="P175" s="221"/>
      <c r="Q175" s="221"/>
      <c r="R175" s="221"/>
      <c r="S175" s="221"/>
      <c r="T175" s="221"/>
      <c r="U175" s="221"/>
      <c r="V175" s="221"/>
      <c r="W175" s="221"/>
      <c r="X175" s="221"/>
      <c r="Y175" s="68"/>
      <c r="Z175" s="68"/>
      <c r="AA175" s="68"/>
    </row>
    <row r="176">
      <c r="A176" s="134"/>
      <c r="B176" s="134"/>
      <c r="C176" s="68"/>
      <c r="D176" s="68"/>
      <c r="E176" s="68"/>
      <c r="F176" s="68"/>
      <c r="G176" s="68"/>
      <c r="H176" s="68"/>
      <c r="I176" s="221"/>
      <c r="J176" s="221"/>
      <c r="K176" s="221"/>
      <c r="L176" s="221"/>
      <c r="M176" s="221"/>
      <c r="N176" s="221"/>
      <c r="O176" s="221"/>
      <c r="P176" s="221"/>
      <c r="Q176" s="221"/>
      <c r="R176" s="221"/>
      <c r="S176" s="221"/>
      <c r="T176" s="221"/>
      <c r="U176" s="221"/>
      <c r="V176" s="221"/>
      <c r="W176" s="221"/>
      <c r="X176" s="221"/>
      <c r="Y176" s="68"/>
      <c r="Z176" s="68"/>
      <c r="AA176" s="68"/>
    </row>
    <row r="177">
      <c r="A177" s="134"/>
      <c r="B177" s="134"/>
      <c r="C177" s="68"/>
      <c r="D177" s="68"/>
      <c r="E177" s="68"/>
      <c r="F177" s="68"/>
      <c r="G177" s="68"/>
      <c r="H177" s="68"/>
      <c r="I177" s="221"/>
      <c r="J177" s="221"/>
      <c r="K177" s="221"/>
      <c r="L177" s="221"/>
      <c r="M177" s="221"/>
      <c r="N177" s="221"/>
      <c r="O177" s="221"/>
      <c r="P177" s="221"/>
      <c r="Q177" s="221"/>
      <c r="R177" s="221"/>
      <c r="S177" s="221"/>
      <c r="T177" s="221"/>
      <c r="U177" s="221"/>
      <c r="V177" s="221"/>
      <c r="W177" s="221"/>
      <c r="X177" s="221"/>
      <c r="Y177" s="68"/>
      <c r="Z177" s="68"/>
      <c r="AA177" s="68"/>
    </row>
    <row r="178">
      <c r="A178" s="134"/>
      <c r="B178" s="134"/>
      <c r="C178" s="68"/>
      <c r="D178" s="68"/>
      <c r="E178" s="68"/>
      <c r="F178" s="68"/>
      <c r="G178" s="68"/>
      <c r="H178" s="68"/>
      <c r="I178" s="221"/>
      <c r="J178" s="221"/>
      <c r="K178" s="221"/>
      <c r="L178" s="221"/>
      <c r="M178" s="221"/>
      <c r="N178" s="221"/>
      <c r="O178" s="221"/>
      <c r="P178" s="221"/>
      <c r="Q178" s="221"/>
      <c r="R178" s="221"/>
      <c r="S178" s="221"/>
      <c r="T178" s="221"/>
      <c r="U178" s="221"/>
      <c r="V178" s="221"/>
      <c r="W178" s="221"/>
      <c r="X178" s="221"/>
      <c r="Y178" s="68"/>
      <c r="Z178" s="68"/>
      <c r="AA178" s="68"/>
    </row>
    <row r="179">
      <c r="A179" s="134"/>
      <c r="B179" s="134"/>
      <c r="C179" s="68"/>
      <c r="D179" s="68"/>
      <c r="E179" s="68"/>
      <c r="F179" s="68"/>
      <c r="G179" s="68"/>
      <c r="H179" s="68"/>
      <c r="I179" s="221"/>
      <c r="J179" s="221"/>
      <c r="K179" s="221"/>
      <c r="L179" s="221"/>
      <c r="M179" s="221"/>
      <c r="N179" s="221"/>
      <c r="O179" s="221"/>
      <c r="P179" s="221"/>
      <c r="Q179" s="221"/>
      <c r="R179" s="221"/>
      <c r="S179" s="221"/>
      <c r="T179" s="221"/>
      <c r="U179" s="221"/>
      <c r="V179" s="221"/>
      <c r="W179" s="221"/>
      <c r="X179" s="221"/>
      <c r="Y179" s="68"/>
      <c r="Z179" s="68"/>
      <c r="AA179" s="68"/>
    </row>
    <row r="180">
      <c r="A180" s="134"/>
      <c r="B180" s="134"/>
      <c r="C180" s="68"/>
      <c r="D180" s="68"/>
      <c r="E180" s="68"/>
      <c r="F180" s="68"/>
      <c r="G180" s="68"/>
      <c r="H180" s="68"/>
      <c r="I180" s="221"/>
      <c r="J180" s="221"/>
      <c r="K180" s="221"/>
      <c r="L180" s="221"/>
      <c r="M180" s="221"/>
      <c r="N180" s="221"/>
      <c r="O180" s="221"/>
      <c r="P180" s="221"/>
      <c r="Q180" s="221"/>
      <c r="R180" s="221"/>
      <c r="S180" s="221"/>
      <c r="T180" s="221"/>
      <c r="U180" s="221"/>
      <c r="V180" s="221"/>
      <c r="W180" s="221"/>
      <c r="X180" s="221"/>
      <c r="Y180" s="68"/>
      <c r="Z180" s="68"/>
      <c r="AA180" s="68"/>
    </row>
    <row r="181">
      <c r="A181" s="134"/>
      <c r="B181" s="134"/>
      <c r="C181" s="68"/>
      <c r="D181" s="68"/>
      <c r="E181" s="68"/>
      <c r="F181" s="68"/>
      <c r="G181" s="68"/>
      <c r="H181" s="68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1"/>
      <c r="T181" s="221"/>
      <c r="U181" s="221"/>
      <c r="V181" s="221"/>
      <c r="W181" s="221"/>
      <c r="X181" s="221"/>
      <c r="Y181" s="68"/>
      <c r="Z181" s="68"/>
      <c r="AA181" s="68"/>
    </row>
    <row r="182">
      <c r="A182" s="134"/>
      <c r="B182" s="134"/>
      <c r="C182" s="68"/>
      <c r="D182" s="68"/>
      <c r="E182" s="68"/>
      <c r="F182" s="68"/>
      <c r="G182" s="68"/>
      <c r="H182" s="68"/>
      <c r="I182" s="221"/>
      <c r="J182" s="221"/>
      <c r="K182" s="221"/>
      <c r="L182" s="221"/>
      <c r="M182" s="221"/>
      <c r="N182" s="221"/>
      <c r="O182" s="221"/>
      <c r="P182" s="221"/>
      <c r="Q182" s="221"/>
      <c r="R182" s="221"/>
      <c r="S182" s="221"/>
      <c r="T182" s="221"/>
      <c r="U182" s="221"/>
      <c r="V182" s="221"/>
      <c r="W182" s="221"/>
      <c r="X182" s="221"/>
      <c r="Y182" s="68"/>
      <c r="Z182" s="68"/>
      <c r="AA182" s="68"/>
    </row>
    <row r="183">
      <c r="A183" s="134"/>
      <c r="B183" s="134"/>
      <c r="C183" s="68"/>
      <c r="D183" s="68"/>
      <c r="E183" s="68"/>
      <c r="F183" s="68"/>
      <c r="G183" s="68"/>
      <c r="H183" s="68"/>
      <c r="I183" s="221"/>
      <c r="J183" s="221"/>
      <c r="K183" s="221"/>
      <c r="L183" s="221"/>
      <c r="M183" s="221"/>
      <c r="N183" s="221"/>
      <c r="O183" s="221"/>
      <c r="P183" s="221"/>
      <c r="Q183" s="221"/>
      <c r="R183" s="221"/>
      <c r="S183" s="221"/>
      <c r="T183" s="221"/>
      <c r="U183" s="221"/>
      <c r="V183" s="221"/>
      <c r="W183" s="221"/>
      <c r="X183" s="221"/>
      <c r="Y183" s="68"/>
      <c r="Z183" s="68"/>
      <c r="AA183" s="68"/>
    </row>
    <row r="184">
      <c r="A184" s="134"/>
      <c r="B184" s="134"/>
      <c r="C184" s="68"/>
      <c r="D184" s="68"/>
      <c r="E184" s="68"/>
      <c r="F184" s="68"/>
      <c r="G184" s="68"/>
      <c r="H184" s="68"/>
      <c r="I184" s="221"/>
      <c r="J184" s="221"/>
      <c r="K184" s="221"/>
      <c r="L184" s="221"/>
      <c r="M184" s="221"/>
      <c r="N184" s="221"/>
      <c r="O184" s="221"/>
      <c r="P184" s="221"/>
      <c r="Q184" s="221"/>
      <c r="R184" s="221"/>
      <c r="S184" s="221"/>
      <c r="T184" s="221"/>
      <c r="U184" s="221"/>
      <c r="V184" s="221"/>
      <c r="W184" s="221"/>
      <c r="X184" s="221"/>
      <c r="Y184" s="68"/>
      <c r="Z184" s="68"/>
      <c r="AA184" s="68"/>
    </row>
    <row r="185">
      <c r="A185" s="134"/>
      <c r="B185" s="134"/>
      <c r="C185" s="68"/>
      <c r="D185" s="68"/>
      <c r="E185" s="68"/>
      <c r="F185" s="68"/>
      <c r="G185" s="68"/>
      <c r="H185" s="68"/>
      <c r="I185" s="221"/>
      <c r="J185" s="221"/>
      <c r="K185" s="221"/>
      <c r="L185" s="221"/>
      <c r="M185" s="221"/>
      <c r="N185" s="221"/>
      <c r="O185" s="221"/>
      <c r="P185" s="221"/>
      <c r="Q185" s="221"/>
      <c r="R185" s="221"/>
      <c r="S185" s="221"/>
      <c r="T185" s="221"/>
      <c r="U185" s="221"/>
      <c r="V185" s="221"/>
      <c r="W185" s="221"/>
      <c r="X185" s="221"/>
      <c r="Y185" s="68"/>
      <c r="Z185" s="68"/>
      <c r="AA185" s="68"/>
    </row>
    <row r="186">
      <c r="A186" s="134"/>
      <c r="B186" s="134"/>
      <c r="C186" s="68"/>
      <c r="D186" s="68"/>
      <c r="E186" s="68"/>
      <c r="F186" s="68"/>
      <c r="G186" s="68"/>
      <c r="H186" s="68"/>
      <c r="I186" s="221"/>
      <c r="J186" s="221"/>
      <c r="K186" s="221"/>
      <c r="L186" s="221"/>
      <c r="M186" s="221"/>
      <c r="N186" s="221"/>
      <c r="O186" s="221"/>
      <c r="P186" s="221"/>
      <c r="Q186" s="221"/>
      <c r="R186" s="221"/>
      <c r="S186" s="221"/>
      <c r="T186" s="221"/>
      <c r="U186" s="221"/>
      <c r="V186" s="221"/>
      <c r="W186" s="221"/>
      <c r="X186" s="221"/>
      <c r="Y186" s="68"/>
      <c r="Z186" s="68"/>
      <c r="AA186" s="68"/>
    </row>
    <row r="187">
      <c r="A187" s="134"/>
      <c r="B187" s="134"/>
      <c r="C187" s="68"/>
      <c r="D187" s="68"/>
      <c r="E187" s="68"/>
      <c r="F187" s="68"/>
      <c r="G187" s="68"/>
      <c r="H187" s="68"/>
      <c r="I187" s="221"/>
      <c r="J187" s="221"/>
      <c r="K187" s="221"/>
      <c r="L187" s="221"/>
      <c r="M187" s="221"/>
      <c r="N187" s="221"/>
      <c r="O187" s="221"/>
      <c r="P187" s="221"/>
      <c r="Q187" s="221"/>
      <c r="R187" s="221"/>
      <c r="S187" s="221"/>
      <c r="T187" s="221"/>
      <c r="U187" s="221"/>
      <c r="V187" s="221"/>
      <c r="W187" s="221"/>
      <c r="X187" s="221"/>
      <c r="Y187" s="68"/>
      <c r="Z187" s="68"/>
      <c r="AA187" s="68"/>
    </row>
    <row r="188">
      <c r="A188" s="134"/>
      <c r="B188" s="134"/>
      <c r="C188" s="68"/>
      <c r="D188" s="68"/>
      <c r="E188" s="68"/>
      <c r="F188" s="68"/>
      <c r="G188" s="68"/>
      <c r="H188" s="68"/>
      <c r="I188" s="221"/>
      <c r="J188" s="221"/>
      <c r="K188" s="221"/>
      <c r="L188" s="221"/>
      <c r="M188" s="221"/>
      <c r="N188" s="221"/>
      <c r="O188" s="221"/>
      <c r="P188" s="221"/>
      <c r="Q188" s="221"/>
      <c r="R188" s="221"/>
      <c r="S188" s="221"/>
      <c r="T188" s="221"/>
      <c r="U188" s="221"/>
      <c r="V188" s="221"/>
      <c r="W188" s="221"/>
      <c r="X188" s="221"/>
      <c r="Y188" s="68"/>
      <c r="Z188" s="68"/>
      <c r="AA188" s="68"/>
    </row>
    <row r="189">
      <c r="A189" s="134"/>
      <c r="B189" s="134"/>
      <c r="C189" s="68"/>
      <c r="D189" s="68"/>
      <c r="E189" s="68"/>
      <c r="F189" s="68"/>
      <c r="G189" s="68"/>
      <c r="H189" s="68"/>
      <c r="I189" s="221"/>
      <c r="J189" s="221"/>
      <c r="K189" s="221"/>
      <c r="L189" s="221"/>
      <c r="M189" s="221"/>
      <c r="N189" s="221"/>
      <c r="O189" s="221"/>
      <c r="P189" s="221"/>
      <c r="Q189" s="221"/>
      <c r="R189" s="221"/>
      <c r="S189" s="221"/>
      <c r="T189" s="221"/>
      <c r="U189" s="221"/>
      <c r="V189" s="221"/>
      <c r="W189" s="221"/>
      <c r="X189" s="221"/>
      <c r="Y189" s="68"/>
      <c r="Z189" s="68"/>
      <c r="AA189" s="68"/>
    </row>
    <row r="190">
      <c r="A190" s="134"/>
      <c r="B190" s="134"/>
      <c r="C190" s="68"/>
      <c r="D190" s="68"/>
      <c r="E190" s="68"/>
      <c r="F190" s="68"/>
      <c r="G190" s="68"/>
      <c r="H190" s="68"/>
      <c r="I190" s="221"/>
      <c r="J190" s="221"/>
      <c r="K190" s="221"/>
      <c r="L190" s="221"/>
      <c r="M190" s="221"/>
      <c r="N190" s="221"/>
      <c r="O190" s="221"/>
      <c r="P190" s="221"/>
      <c r="Q190" s="221"/>
      <c r="R190" s="221"/>
      <c r="S190" s="221"/>
      <c r="T190" s="221"/>
      <c r="U190" s="221"/>
      <c r="V190" s="221"/>
      <c r="W190" s="221"/>
      <c r="X190" s="221"/>
      <c r="Y190" s="68"/>
      <c r="Z190" s="68"/>
      <c r="AA190" s="68"/>
    </row>
    <row r="191">
      <c r="A191" s="134"/>
      <c r="B191" s="134"/>
      <c r="C191" s="68"/>
      <c r="D191" s="68"/>
      <c r="E191" s="68"/>
      <c r="F191" s="68"/>
      <c r="G191" s="68"/>
      <c r="H191" s="68"/>
      <c r="I191" s="221"/>
      <c r="J191" s="221"/>
      <c r="K191" s="221"/>
      <c r="L191" s="221"/>
      <c r="M191" s="221"/>
      <c r="N191" s="221"/>
      <c r="O191" s="221"/>
      <c r="P191" s="221"/>
      <c r="Q191" s="221"/>
      <c r="R191" s="221"/>
      <c r="S191" s="221"/>
      <c r="T191" s="221"/>
      <c r="U191" s="221"/>
      <c r="V191" s="221"/>
      <c r="W191" s="221"/>
      <c r="X191" s="221"/>
      <c r="Y191" s="68"/>
      <c r="Z191" s="68"/>
      <c r="AA191" s="68"/>
    </row>
    <row r="192">
      <c r="A192" s="134"/>
      <c r="B192" s="134"/>
      <c r="C192" s="68"/>
      <c r="D192" s="68"/>
      <c r="E192" s="68"/>
      <c r="F192" s="68"/>
      <c r="G192" s="68"/>
      <c r="H192" s="68"/>
      <c r="I192" s="221"/>
      <c r="J192" s="221"/>
      <c r="K192" s="221"/>
      <c r="L192" s="221"/>
      <c r="M192" s="221"/>
      <c r="N192" s="221"/>
      <c r="O192" s="221"/>
      <c r="P192" s="221"/>
      <c r="Q192" s="221"/>
      <c r="R192" s="221"/>
      <c r="S192" s="221"/>
      <c r="T192" s="221"/>
      <c r="U192" s="221"/>
      <c r="V192" s="221"/>
      <c r="W192" s="221"/>
      <c r="X192" s="221"/>
      <c r="Y192" s="68"/>
      <c r="Z192" s="68"/>
      <c r="AA192" s="68"/>
    </row>
    <row r="193">
      <c r="A193" s="134"/>
      <c r="B193" s="134"/>
      <c r="C193" s="68"/>
      <c r="D193" s="68"/>
      <c r="E193" s="68"/>
      <c r="F193" s="68"/>
      <c r="G193" s="68"/>
      <c r="H193" s="68"/>
      <c r="I193" s="221"/>
      <c r="J193" s="221"/>
      <c r="K193" s="221"/>
      <c r="L193" s="221"/>
      <c r="M193" s="221"/>
      <c r="N193" s="221"/>
      <c r="O193" s="221"/>
      <c r="P193" s="221"/>
      <c r="Q193" s="221"/>
      <c r="R193" s="221"/>
      <c r="S193" s="221"/>
      <c r="T193" s="221"/>
      <c r="U193" s="221"/>
      <c r="V193" s="221"/>
      <c r="W193" s="221"/>
      <c r="X193" s="221"/>
      <c r="Y193" s="68"/>
      <c r="Z193" s="68"/>
      <c r="AA193" s="68"/>
    </row>
    <row r="194">
      <c r="A194" s="134"/>
      <c r="B194" s="134"/>
      <c r="C194" s="68"/>
      <c r="D194" s="68"/>
      <c r="E194" s="68"/>
      <c r="F194" s="68"/>
      <c r="G194" s="68"/>
      <c r="H194" s="68"/>
      <c r="I194" s="221"/>
      <c r="J194" s="221"/>
      <c r="K194" s="221"/>
      <c r="L194" s="221"/>
      <c r="M194" s="221"/>
      <c r="N194" s="221"/>
      <c r="O194" s="221"/>
      <c r="P194" s="221"/>
      <c r="Q194" s="221"/>
      <c r="R194" s="221"/>
      <c r="S194" s="221"/>
      <c r="T194" s="221"/>
      <c r="U194" s="221"/>
      <c r="V194" s="221"/>
      <c r="W194" s="221"/>
      <c r="X194" s="221"/>
      <c r="Y194" s="68"/>
      <c r="Z194" s="68"/>
      <c r="AA194" s="68"/>
    </row>
    <row r="195">
      <c r="A195" s="134"/>
      <c r="B195" s="134"/>
      <c r="C195" s="68"/>
      <c r="D195" s="68"/>
      <c r="E195" s="68"/>
      <c r="F195" s="68"/>
      <c r="G195" s="68"/>
      <c r="H195" s="68"/>
      <c r="I195" s="221"/>
      <c r="J195" s="221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68"/>
      <c r="Z195" s="68"/>
      <c r="AA195" s="68"/>
    </row>
    <row r="196">
      <c r="A196" s="134"/>
      <c r="B196" s="134"/>
      <c r="C196" s="68"/>
      <c r="D196" s="68"/>
      <c r="E196" s="68"/>
      <c r="F196" s="68"/>
      <c r="G196" s="68"/>
      <c r="H196" s="68"/>
      <c r="I196" s="221"/>
      <c r="J196" s="221"/>
      <c r="K196" s="221"/>
      <c r="L196" s="221"/>
      <c r="M196" s="221"/>
      <c r="N196" s="221"/>
      <c r="O196" s="221"/>
      <c r="P196" s="221"/>
      <c r="Q196" s="221"/>
      <c r="R196" s="221"/>
      <c r="S196" s="221"/>
      <c r="T196" s="221"/>
      <c r="U196" s="221"/>
      <c r="V196" s="221"/>
      <c r="W196" s="221"/>
      <c r="X196" s="221"/>
      <c r="Y196" s="68"/>
      <c r="Z196" s="68"/>
      <c r="AA196" s="68"/>
    </row>
    <row r="197">
      <c r="A197" s="134"/>
      <c r="B197" s="134"/>
      <c r="C197" s="68"/>
      <c r="D197" s="68"/>
      <c r="E197" s="68"/>
      <c r="F197" s="68"/>
      <c r="G197" s="68"/>
      <c r="H197" s="68"/>
      <c r="I197" s="221"/>
      <c r="J197" s="221"/>
      <c r="K197" s="221"/>
      <c r="L197" s="221"/>
      <c r="M197" s="221"/>
      <c r="N197" s="221"/>
      <c r="O197" s="221"/>
      <c r="P197" s="221"/>
      <c r="Q197" s="221"/>
      <c r="R197" s="221"/>
      <c r="S197" s="221"/>
      <c r="T197" s="221"/>
      <c r="U197" s="221"/>
      <c r="V197" s="221"/>
      <c r="W197" s="221"/>
      <c r="X197" s="221"/>
      <c r="Y197" s="68"/>
      <c r="Z197" s="68"/>
      <c r="AA197" s="68"/>
    </row>
    <row r="198">
      <c r="A198" s="134"/>
      <c r="B198" s="134"/>
      <c r="C198" s="68"/>
      <c r="D198" s="68"/>
      <c r="E198" s="68"/>
      <c r="F198" s="68"/>
      <c r="G198" s="68"/>
      <c r="H198" s="68"/>
      <c r="I198" s="221"/>
      <c r="J198" s="221"/>
      <c r="K198" s="221"/>
      <c r="L198" s="221"/>
      <c r="M198" s="221"/>
      <c r="N198" s="221"/>
      <c r="O198" s="221"/>
      <c r="P198" s="221"/>
      <c r="Q198" s="221"/>
      <c r="R198" s="221"/>
      <c r="S198" s="221"/>
      <c r="T198" s="221"/>
      <c r="U198" s="221"/>
      <c r="V198" s="221"/>
      <c r="W198" s="221"/>
      <c r="X198" s="221"/>
      <c r="Y198" s="68"/>
      <c r="Z198" s="68"/>
      <c r="AA198" s="68"/>
    </row>
    <row r="199">
      <c r="A199" s="134"/>
      <c r="B199" s="134"/>
      <c r="C199" s="68"/>
      <c r="D199" s="68"/>
      <c r="E199" s="68"/>
      <c r="F199" s="68"/>
      <c r="G199" s="68"/>
      <c r="H199" s="68"/>
      <c r="I199" s="221"/>
      <c r="J199" s="221"/>
      <c r="K199" s="221"/>
      <c r="L199" s="221"/>
      <c r="M199" s="221"/>
      <c r="N199" s="221"/>
      <c r="O199" s="221"/>
      <c r="P199" s="221"/>
      <c r="Q199" s="221"/>
      <c r="R199" s="221"/>
      <c r="S199" s="221"/>
      <c r="T199" s="221"/>
      <c r="U199" s="221"/>
      <c r="V199" s="221"/>
      <c r="W199" s="221"/>
      <c r="X199" s="221"/>
      <c r="Y199" s="68"/>
      <c r="Z199" s="68"/>
      <c r="AA199" s="68"/>
    </row>
    <row r="200">
      <c r="A200" s="134"/>
      <c r="B200" s="134"/>
      <c r="C200" s="68"/>
      <c r="D200" s="68"/>
      <c r="E200" s="68"/>
      <c r="F200" s="68"/>
      <c r="G200" s="68"/>
      <c r="H200" s="68"/>
      <c r="I200" s="221"/>
      <c r="J200" s="221"/>
      <c r="K200" s="221"/>
      <c r="L200" s="221"/>
      <c r="M200" s="221"/>
      <c r="N200" s="221"/>
      <c r="O200" s="221"/>
      <c r="P200" s="221"/>
      <c r="Q200" s="221"/>
      <c r="R200" s="221"/>
      <c r="S200" s="221"/>
      <c r="T200" s="221"/>
      <c r="U200" s="221"/>
      <c r="V200" s="221"/>
      <c r="W200" s="221"/>
      <c r="X200" s="221"/>
      <c r="Y200" s="68"/>
      <c r="Z200" s="68"/>
      <c r="AA200" s="68"/>
    </row>
    <row r="201">
      <c r="A201" s="134"/>
      <c r="B201" s="134"/>
      <c r="C201" s="68"/>
      <c r="D201" s="68"/>
      <c r="E201" s="68"/>
      <c r="F201" s="68"/>
      <c r="G201" s="68"/>
      <c r="H201" s="68"/>
      <c r="I201" s="221"/>
      <c r="J201" s="221"/>
      <c r="K201" s="221"/>
      <c r="L201" s="221"/>
      <c r="M201" s="221"/>
      <c r="N201" s="221"/>
      <c r="O201" s="221"/>
      <c r="P201" s="221"/>
      <c r="Q201" s="221"/>
      <c r="R201" s="221"/>
      <c r="S201" s="221"/>
      <c r="T201" s="221"/>
      <c r="U201" s="221"/>
      <c r="V201" s="221"/>
      <c r="W201" s="221"/>
      <c r="X201" s="221"/>
      <c r="Y201" s="68"/>
      <c r="Z201" s="68"/>
      <c r="AA201" s="68"/>
    </row>
    <row r="202">
      <c r="A202" s="134"/>
      <c r="B202" s="134"/>
      <c r="C202" s="68"/>
      <c r="D202" s="68"/>
      <c r="E202" s="68"/>
      <c r="F202" s="68"/>
      <c r="G202" s="68"/>
      <c r="H202" s="68"/>
      <c r="I202" s="221"/>
      <c r="J202" s="221"/>
      <c r="K202" s="221"/>
      <c r="L202" s="221"/>
      <c r="M202" s="221"/>
      <c r="N202" s="221"/>
      <c r="O202" s="221"/>
      <c r="P202" s="221"/>
      <c r="Q202" s="221"/>
      <c r="R202" s="221"/>
      <c r="S202" s="221"/>
      <c r="T202" s="221"/>
      <c r="U202" s="221"/>
      <c r="V202" s="221"/>
      <c r="W202" s="221"/>
      <c r="X202" s="221"/>
      <c r="Y202" s="68"/>
      <c r="Z202" s="68"/>
      <c r="AA202" s="68"/>
    </row>
    <row r="203">
      <c r="A203" s="134"/>
      <c r="B203" s="134"/>
      <c r="C203" s="68"/>
      <c r="D203" s="68"/>
      <c r="E203" s="68"/>
      <c r="F203" s="68"/>
      <c r="G203" s="68"/>
      <c r="H203" s="68"/>
      <c r="I203" s="221"/>
      <c r="J203" s="221"/>
      <c r="K203" s="221"/>
      <c r="L203" s="221"/>
      <c r="M203" s="221"/>
      <c r="N203" s="221"/>
      <c r="O203" s="221"/>
      <c r="P203" s="221"/>
      <c r="Q203" s="221"/>
      <c r="R203" s="221"/>
      <c r="S203" s="221"/>
      <c r="T203" s="221"/>
      <c r="U203" s="221"/>
      <c r="V203" s="221"/>
      <c r="W203" s="221"/>
      <c r="X203" s="221"/>
      <c r="Y203" s="68"/>
      <c r="Z203" s="68"/>
      <c r="AA203" s="68"/>
    </row>
    <row r="204">
      <c r="A204" s="134"/>
      <c r="B204" s="134"/>
      <c r="C204" s="68"/>
      <c r="D204" s="68"/>
      <c r="E204" s="68"/>
      <c r="F204" s="68"/>
      <c r="G204" s="68"/>
      <c r="H204" s="68"/>
      <c r="I204" s="221"/>
      <c r="J204" s="221"/>
      <c r="K204" s="221"/>
      <c r="L204" s="221"/>
      <c r="M204" s="221"/>
      <c r="N204" s="221"/>
      <c r="O204" s="221"/>
      <c r="P204" s="221"/>
      <c r="Q204" s="221"/>
      <c r="R204" s="221"/>
      <c r="S204" s="221"/>
      <c r="T204" s="221"/>
      <c r="U204" s="221"/>
      <c r="V204" s="221"/>
      <c r="W204" s="221"/>
      <c r="X204" s="221"/>
      <c r="Y204" s="68"/>
      <c r="Z204" s="68"/>
      <c r="AA204" s="68"/>
    </row>
    <row r="205">
      <c r="A205" s="134"/>
      <c r="B205" s="134"/>
      <c r="C205" s="68"/>
      <c r="D205" s="68"/>
      <c r="E205" s="68"/>
      <c r="F205" s="68"/>
      <c r="G205" s="68"/>
      <c r="H205" s="68"/>
      <c r="I205" s="221"/>
      <c r="J205" s="221"/>
      <c r="K205" s="221"/>
      <c r="L205" s="221"/>
      <c r="M205" s="221"/>
      <c r="N205" s="221"/>
      <c r="O205" s="221"/>
      <c r="P205" s="221"/>
      <c r="Q205" s="221"/>
      <c r="R205" s="221"/>
      <c r="S205" s="221"/>
      <c r="T205" s="221"/>
      <c r="U205" s="221"/>
      <c r="V205" s="221"/>
      <c r="W205" s="221"/>
      <c r="X205" s="221"/>
      <c r="Y205" s="68"/>
      <c r="Z205" s="68"/>
      <c r="AA205" s="68"/>
    </row>
    <row r="206">
      <c r="A206" s="134"/>
      <c r="B206" s="134"/>
      <c r="C206" s="68"/>
      <c r="D206" s="68"/>
      <c r="E206" s="68"/>
      <c r="F206" s="68"/>
      <c r="G206" s="68"/>
      <c r="H206" s="68"/>
      <c r="I206" s="221"/>
      <c r="J206" s="221"/>
      <c r="K206" s="221"/>
      <c r="L206" s="221"/>
      <c r="M206" s="221"/>
      <c r="N206" s="221"/>
      <c r="O206" s="221"/>
      <c r="P206" s="221"/>
      <c r="Q206" s="221"/>
      <c r="R206" s="221"/>
      <c r="S206" s="221"/>
      <c r="T206" s="221"/>
      <c r="U206" s="221"/>
      <c r="V206" s="221"/>
      <c r="W206" s="221"/>
      <c r="X206" s="221"/>
      <c r="Y206" s="68"/>
      <c r="Z206" s="68"/>
      <c r="AA206" s="68"/>
    </row>
    <row r="207">
      <c r="A207" s="134"/>
      <c r="B207" s="134"/>
      <c r="C207" s="68"/>
      <c r="D207" s="68"/>
      <c r="E207" s="68"/>
      <c r="F207" s="68"/>
      <c r="G207" s="68"/>
      <c r="H207" s="68"/>
      <c r="I207" s="221"/>
      <c r="J207" s="221"/>
      <c r="K207" s="221"/>
      <c r="L207" s="221"/>
      <c r="M207" s="221"/>
      <c r="N207" s="221"/>
      <c r="O207" s="221"/>
      <c r="P207" s="221"/>
      <c r="Q207" s="221"/>
      <c r="R207" s="221"/>
      <c r="S207" s="221"/>
      <c r="T207" s="221"/>
      <c r="U207" s="221"/>
      <c r="V207" s="221"/>
      <c r="W207" s="221"/>
      <c r="X207" s="221"/>
      <c r="Y207" s="68"/>
      <c r="Z207" s="68"/>
      <c r="AA207" s="68"/>
    </row>
    <row r="208">
      <c r="A208" s="134"/>
      <c r="B208" s="134"/>
      <c r="C208" s="68"/>
      <c r="D208" s="68"/>
      <c r="E208" s="68"/>
      <c r="F208" s="68"/>
      <c r="G208" s="68"/>
      <c r="H208" s="68"/>
      <c r="I208" s="221"/>
      <c r="J208" s="221"/>
      <c r="K208" s="221"/>
      <c r="L208" s="221"/>
      <c r="M208" s="221"/>
      <c r="N208" s="221"/>
      <c r="O208" s="221"/>
      <c r="P208" s="221"/>
      <c r="Q208" s="221"/>
      <c r="R208" s="221"/>
      <c r="S208" s="221"/>
      <c r="T208" s="221"/>
      <c r="U208" s="221"/>
      <c r="V208" s="221"/>
      <c r="W208" s="221"/>
      <c r="X208" s="221"/>
      <c r="Y208" s="68"/>
      <c r="Z208" s="68"/>
      <c r="AA208" s="68"/>
    </row>
    <row r="209">
      <c r="A209" s="134"/>
      <c r="B209" s="134"/>
      <c r="C209" s="68"/>
      <c r="D209" s="68"/>
      <c r="E209" s="68"/>
      <c r="F209" s="68"/>
      <c r="G209" s="68"/>
      <c r="H209" s="68"/>
      <c r="I209" s="221"/>
      <c r="J209" s="221"/>
      <c r="K209" s="221"/>
      <c r="L209" s="221"/>
      <c r="M209" s="221"/>
      <c r="N209" s="221"/>
      <c r="O209" s="221"/>
      <c r="P209" s="221"/>
      <c r="Q209" s="221"/>
      <c r="R209" s="221"/>
      <c r="S209" s="221"/>
      <c r="T209" s="221"/>
      <c r="U209" s="221"/>
      <c r="V209" s="221"/>
      <c r="W209" s="221"/>
      <c r="X209" s="221"/>
      <c r="Y209" s="68"/>
      <c r="Z209" s="68"/>
      <c r="AA209" s="68"/>
    </row>
    <row r="210">
      <c r="A210" s="134"/>
      <c r="B210" s="134"/>
      <c r="C210" s="68"/>
      <c r="D210" s="68"/>
      <c r="E210" s="68"/>
      <c r="F210" s="68"/>
      <c r="G210" s="68"/>
      <c r="H210" s="68"/>
      <c r="I210" s="221"/>
      <c r="J210" s="221"/>
      <c r="K210" s="221"/>
      <c r="L210" s="221"/>
      <c r="M210" s="221"/>
      <c r="N210" s="221"/>
      <c r="O210" s="221"/>
      <c r="P210" s="221"/>
      <c r="Q210" s="221"/>
      <c r="R210" s="221"/>
      <c r="S210" s="221"/>
      <c r="T210" s="221"/>
      <c r="U210" s="221"/>
      <c r="V210" s="221"/>
      <c r="W210" s="221"/>
      <c r="X210" s="221"/>
      <c r="Y210" s="68"/>
      <c r="Z210" s="68"/>
      <c r="AA210" s="68"/>
    </row>
    <row r="211">
      <c r="A211" s="134"/>
      <c r="B211" s="134"/>
      <c r="C211" s="68"/>
      <c r="D211" s="68"/>
      <c r="E211" s="68"/>
      <c r="F211" s="68"/>
      <c r="G211" s="68"/>
      <c r="H211" s="68"/>
      <c r="I211" s="221"/>
      <c r="J211" s="221"/>
      <c r="K211" s="221"/>
      <c r="L211" s="221"/>
      <c r="M211" s="221"/>
      <c r="N211" s="221"/>
      <c r="O211" s="221"/>
      <c r="P211" s="221"/>
      <c r="Q211" s="221"/>
      <c r="R211" s="221"/>
      <c r="S211" s="221"/>
      <c r="T211" s="221"/>
      <c r="U211" s="221"/>
      <c r="V211" s="221"/>
      <c r="W211" s="221"/>
      <c r="X211" s="221"/>
      <c r="Y211" s="68"/>
      <c r="Z211" s="68"/>
      <c r="AA211" s="68"/>
    </row>
    <row r="212">
      <c r="A212" s="134"/>
      <c r="B212" s="134"/>
      <c r="C212" s="68"/>
      <c r="D212" s="68"/>
      <c r="E212" s="68"/>
      <c r="F212" s="68"/>
      <c r="G212" s="68"/>
      <c r="H212" s="68"/>
      <c r="I212" s="221"/>
      <c r="J212" s="221"/>
      <c r="K212" s="221"/>
      <c r="L212" s="221"/>
      <c r="M212" s="221"/>
      <c r="N212" s="221"/>
      <c r="O212" s="221"/>
      <c r="P212" s="221"/>
      <c r="Q212" s="221"/>
      <c r="R212" s="221"/>
      <c r="S212" s="221"/>
      <c r="T212" s="221"/>
      <c r="U212" s="221"/>
      <c r="V212" s="221"/>
      <c r="W212" s="221"/>
      <c r="X212" s="221"/>
      <c r="Y212" s="68"/>
      <c r="Z212" s="68"/>
      <c r="AA212" s="68"/>
    </row>
    <row r="213">
      <c r="A213" s="134"/>
      <c r="B213" s="134"/>
      <c r="C213" s="68"/>
      <c r="D213" s="68"/>
      <c r="E213" s="68"/>
      <c r="F213" s="68"/>
      <c r="G213" s="68"/>
      <c r="H213" s="68"/>
      <c r="I213" s="221"/>
      <c r="J213" s="221"/>
      <c r="K213" s="221"/>
      <c r="L213" s="221"/>
      <c r="M213" s="221"/>
      <c r="N213" s="221"/>
      <c r="O213" s="221"/>
      <c r="P213" s="221"/>
      <c r="Q213" s="221"/>
      <c r="R213" s="221"/>
      <c r="S213" s="221"/>
      <c r="T213" s="221"/>
      <c r="U213" s="221"/>
      <c r="V213" s="221"/>
      <c r="W213" s="221"/>
      <c r="X213" s="221"/>
      <c r="Y213" s="68"/>
      <c r="Z213" s="68"/>
      <c r="AA213" s="68"/>
    </row>
    <row r="214">
      <c r="A214" s="134"/>
      <c r="B214" s="134"/>
      <c r="C214" s="68"/>
      <c r="D214" s="68"/>
      <c r="E214" s="68"/>
      <c r="F214" s="68"/>
      <c r="G214" s="68"/>
      <c r="H214" s="68"/>
      <c r="I214" s="221"/>
      <c r="J214" s="221"/>
      <c r="K214" s="221"/>
      <c r="L214" s="221"/>
      <c r="M214" s="221"/>
      <c r="N214" s="221"/>
      <c r="O214" s="221"/>
      <c r="P214" s="221"/>
      <c r="Q214" s="221"/>
      <c r="R214" s="221"/>
      <c r="S214" s="221"/>
      <c r="T214" s="221"/>
      <c r="U214" s="221"/>
      <c r="V214" s="221"/>
      <c r="W214" s="221"/>
      <c r="X214" s="221"/>
      <c r="Y214" s="68"/>
      <c r="Z214" s="68"/>
      <c r="AA214" s="68"/>
    </row>
    <row r="215">
      <c r="A215" s="134"/>
      <c r="B215" s="134"/>
      <c r="C215" s="68"/>
      <c r="D215" s="68"/>
      <c r="E215" s="68"/>
      <c r="F215" s="68"/>
      <c r="G215" s="68"/>
      <c r="H215" s="68"/>
      <c r="I215" s="221"/>
      <c r="J215" s="221"/>
      <c r="K215" s="221"/>
      <c r="L215" s="221"/>
      <c r="M215" s="221"/>
      <c r="N215" s="221"/>
      <c r="O215" s="221"/>
      <c r="P215" s="221"/>
      <c r="Q215" s="221"/>
      <c r="R215" s="221"/>
      <c r="S215" s="221"/>
      <c r="T215" s="221"/>
      <c r="U215" s="221"/>
      <c r="V215" s="221"/>
      <c r="W215" s="221"/>
      <c r="X215" s="221"/>
      <c r="Y215" s="68"/>
      <c r="Z215" s="68"/>
      <c r="AA215" s="68"/>
    </row>
    <row r="216">
      <c r="A216" s="134"/>
      <c r="B216" s="134"/>
      <c r="C216" s="68"/>
      <c r="D216" s="68"/>
      <c r="E216" s="68"/>
      <c r="F216" s="68"/>
      <c r="G216" s="68"/>
      <c r="H216" s="68"/>
      <c r="I216" s="221"/>
      <c r="J216" s="221"/>
      <c r="K216" s="221"/>
      <c r="L216" s="221"/>
      <c r="M216" s="221"/>
      <c r="N216" s="221"/>
      <c r="O216" s="221"/>
      <c r="P216" s="221"/>
      <c r="Q216" s="221"/>
      <c r="R216" s="221"/>
      <c r="S216" s="221"/>
      <c r="T216" s="221"/>
      <c r="U216" s="221"/>
      <c r="V216" s="221"/>
      <c r="W216" s="221"/>
      <c r="X216" s="221"/>
      <c r="Y216" s="68"/>
      <c r="Z216" s="68"/>
      <c r="AA216" s="68"/>
    </row>
    <row r="217">
      <c r="A217" s="134"/>
      <c r="B217" s="134"/>
      <c r="C217" s="68"/>
      <c r="D217" s="68"/>
      <c r="E217" s="68"/>
      <c r="F217" s="68"/>
      <c r="G217" s="68"/>
      <c r="H217" s="68"/>
      <c r="I217" s="221"/>
      <c r="J217" s="221"/>
      <c r="K217" s="221"/>
      <c r="L217" s="221"/>
      <c r="M217" s="221"/>
      <c r="N217" s="221"/>
      <c r="O217" s="221"/>
      <c r="P217" s="221"/>
      <c r="Q217" s="221"/>
      <c r="R217" s="221"/>
      <c r="S217" s="221"/>
      <c r="T217" s="221"/>
      <c r="U217" s="221"/>
      <c r="V217" s="221"/>
      <c r="W217" s="221"/>
      <c r="X217" s="221"/>
      <c r="Y217" s="68"/>
      <c r="Z217" s="68"/>
      <c r="AA217" s="68"/>
    </row>
    <row r="218">
      <c r="A218" s="134"/>
      <c r="B218" s="134"/>
      <c r="C218" s="68"/>
      <c r="D218" s="68"/>
      <c r="E218" s="68"/>
      <c r="F218" s="68"/>
      <c r="G218" s="68"/>
      <c r="H218" s="68"/>
      <c r="I218" s="221"/>
      <c r="J218" s="221"/>
      <c r="K218" s="221"/>
      <c r="L218" s="221"/>
      <c r="M218" s="221"/>
      <c r="N218" s="221"/>
      <c r="O218" s="221"/>
      <c r="P218" s="221"/>
      <c r="Q218" s="221"/>
      <c r="R218" s="221"/>
      <c r="S218" s="221"/>
      <c r="T218" s="221"/>
      <c r="U218" s="221"/>
      <c r="V218" s="221"/>
      <c r="W218" s="221"/>
      <c r="X218" s="221"/>
      <c r="Y218" s="68"/>
      <c r="Z218" s="68"/>
      <c r="AA218" s="68"/>
    </row>
    <row r="219">
      <c r="A219" s="134"/>
      <c r="B219" s="134"/>
      <c r="C219" s="68"/>
      <c r="D219" s="68"/>
      <c r="E219" s="68"/>
      <c r="F219" s="68"/>
      <c r="G219" s="68"/>
      <c r="H219" s="68"/>
      <c r="I219" s="221"/>
      <c r="J219" s="221"/>
      <c r="K219" s="221"/>
      <c r="L219" s="221"/>
      <c r="M219" s="221"/>
      <c r="N219" s="221"/>
      <c r="O219" s="221"/>
      <c r="P219" s="221"/>
      <c r="Q219" s="221"/>
      <c r="R219" s="221"/>
      <c r="S219" s="221"/>
      <c r="T219" s="221"/>
      <c r="U219" s="221"/>
      <c r="V219" s="221"/>
      <c r="W219" s="221"/>
      <c r="X219" s="221"/>
      <c r="Y219" s="68"/>
      <c r="Z219" s="68"/>
      <c r="AA219" s="68"/>
    </row>
    <row r="220">
      <c r="A220" s="134"/>
      <c r="B220" s="134"/>
      <c r="C220" s="68"/>
      <c r="D220" s="68"/>
      <c r="E220" s="68"/>
      <c r="F220" s="68"/>
      <c r="G220" s="68"/>
      <c r="H220" s="68"/>
      <c r="I220" s="221"/>
      <c r="J220" s="221"/>
      <c r="K220" s="221"/>
      <c r="L220" s="221"/>
      <c r="M220" s="221"/>
      <c r="N220" s="221"/>
      <c r="O220" s="221"/>
      <c r="P220" s="221"/>
      <c r="Q220" s="221"/>
      <c r="R220" s="221"/>
      <c r="S220" s="221"/>
      <c r="T220" s="221"/>
      <c r="U220" s="221"/>
      <c r="V220" s="221"/>
      <c r="W220" s="221"/>
      <c r="X220" s="221"/>
      <c r="Y220" s="68"/>
      <c r="Z220" s="68"/>
      <c r="AA220" s="68"/>
    </row>
    <row r="221">
      <c r="A221" s="134"/>
      <c r="B221" s="134"/>
      <c r="C221" s="68"/>
      <c r="D221" s="68"/>
      <c r="E221" s="68"/>
      <c r="F221" s="68"/>
      <c r="G221" s="68"/>
      <c r="H221" s="68"/>
      <c r="I221" s="221"/>
      <c r="J221" s="221"/>
      <c r="K221" s="221"/>
      <c r="L221" s="221"/>
      <c r="M221" s="221"/>
      <c r="N221" s="221"/>
      <c r="O221" s="221"/>
      <c r="P221" s="221"/>
      <c r="Q221" s="221"/>
      <c r="R221" s="221"/>
      <c r="S221" s="221"/>
      <c r="T221" s="221"/>
      <c r="U221" s="221"/>
      <c r="V221" s="221"/>
      <c r="W221" s="221"/>
      <c r="X221" s="221"/>
      <c r="Y221" s="68"/>
      <c r="Z221" s="68"/>
      <c r="AA221" s="68"/>
    </row>
    <row r="222">
      <c r="A222" s="134"/>
      <c r="B222" s="134"/>
      <c r="C222" s="68"/>
      <c r="D222" s="68"/>
      <c r="E222" s="68"/>
      <c r="F222" s="68"/>
      <c r="G222" s="68"/>
      <c r="H222" s="68"/>
      <c r="I222" s="221"/>
      <c r="J222" s="221"/>
      <c r="K222" s="221"/>
      <c r="L222" s="221"/>
      <c r="M222" s="221"/>
      <c r="N222" s="221"/>
      <c r="O222" s="221"/>
      <c r="P222" s="221"/>
      <c r="Q222" s="221"/>
      <c r="R222" s="221"/>
      <c r="S222" s="221"/>
      <c r="T222" s="221"/>
      <c r="U222" s="221"/>
      <c r="V222" s="221"/>
      <c r="W222" s="221"/>
      <c r="X222" s="221"/>
      <c r="Y222" s="68"/>
      <c r="Z222" s="68"/>
      <c r="AA222" s="68"/>
    </row>
    <row r="223">
      <c r="A223" s="134"/>
      <c r="B223" s="134"/>
      <c r="C223" s="68"/>
      <c r="D223" s="68"/>
      <c r="E223" s="68"/>
      <c r="F223" s="68"/>
      <c r="G223" s="68"/>
      <c r="H223" s="68"/>
      <c r="I223" s="221"/>
      <c r="J223" s="221"/>
      <c r="K223" s="221"/>
      <c r="L223" s="221"/>
      <c r="M223" s="221"/>
      <c r="N223" s="221"/>
      <c r="O223" s="221"/>
      <c r="P223" s="221"/>
      <c r="Q223" s="221"/>
      <c r="R223" s="221"/>
      <c r="S223" s="221"/>
      <c r="T223" s="221"/>
      <c r="U223" s="221"/>
      <c r="V223" s="221"/>
      <c r="W223" s="221"/>
      <c r="X223" s="221"/>
      <c r="Y223" s="68"/>
      <c r="Z223" s="68"/>
      <c r="AA223" s="68"/>
    </row>
    <row r="224">
      <c r="A224" s="134"/>
      <c r="B224" s="134"/>
      <c r="C224" s="68"/>
      <c r="D224" s="68"/>
      <c r="E224" s="68"/>
      <c r="F224" s="68"/>
      <c r="G224" s="68"/>
      <c r="H224" s="68"/>
      <c r="I224" s="221"/>
      <c r="J224" s="221"/>
      <c r="K224" s="221"/>
      <c r="L224" s="221"/>
      <c r="M224" s="221"/>
      <c r="N224" s="221"/>
      <c r="O224" s="221"/>
      <c r="P224" s="221"/>
      <c r="Q224" s="221"/>
      <c r="R224" s="221"/>
      <c r="S224" s="221"/>
      <c r="T224" s="221"/>
      <c r="U224" s="221"/>
      <c r="V224" s="221"/>
      <c r="W224" s="221"/>
      <c r="X224" s="221"/>
      <c r="Y224" s="68"/>
      <c r="Z224" s="68"/>
      <c r="AA224" s="68"/>
    </row>
    <row r="225">
      <c r="A225" s="134"/>
      <c r="B225" s="134"/>
      <c r="C225" s="68"/>
      <c r="D225" s="68"/>
      <c r="E225" s="68"/>
      <c r="F225" s="68"/>
      <c r="G225" s="68"/>
      <c r="H225" s="68"/>
      <c r="I225" s="221"/>
      <c r="J225" s="221"/>
      <c r="K225" s="221"/>
      <c r="L225" s="221"/>
      <c r="M225" s="221"/>
      <c r="N225" s="221"/>
      <c r="O225" s="221"/>
      <c r="P225" s="221"/>
      <c r="Q225" s="221"/>
      <c r="R225" s="221"/>
      <c r="S225" s="221"/>
      <c r="T225" s="221"/>
      <c r="U225" s="221"/>
      <c r="V225" s="221"/>
      <c r="W225" s="221"/>
      <c r="X225" s="221"/>
      <c r="Y225" s="68"/>
      <c r="Z225" s="68"/>
      <c r="AA225" s="68"/>
    </row>
    <row r="226">
      <c r="A226" s="134"/>
      <c r="B226" s="134"/>
      <c r="C226" s="68"/>
      <c r="D226" s="68"/>
      <c r="E226" s="68"/>
      <c r="F226" s="68"/>
      <c r="G226" s="68"/>
      <c r="H226" s="68"/>
      <c r="I226" s="221"/>
      <c r="J226" s="221"/>
      <c r="K226" s="221"/>
      <c r="L226" s="221"/>
      <c r="M226" s="221"/>
      <c r="N226" s="221"/>
      <c r="O226" s="221"/>
      <c r="P226" s="221"/>
      <c r="Q226" s="221"/>
      <c r="R226" s="221"/>
      <c r="S226" s="221"/>
      <c r="T226" s="221"/>
      <c r="U226" s="221"/>
      <c r="V226" s="221"/>
      <c r="W226" s="221"/>
      <c r="X226" s="221"/>
      <c r="Y226" s="68"/>
      <c r="Z226" s="68"/>
      <c r="AA226" s="68"/>
    </row>
    <row r="227">
      <c r="A227" s="134"/>
      <c r="B227" s="134"/>
      <c r="C227" s="68"/>
      <c r="D227" s="68"/>
      <c r="E227" s="68"/>
      <c r="F227" s="68"/>
      <c r="G227" s="68"/>
      <c r="H227" s="68"/>
      <c r="I227" s="221"/>
      <c r="J227" s="221"/>
      <c r="K227" s="221"/>
      <c r="L227" s="221"/>
      <c r="M227" s="221"/>
      <c r="N227" s="221"/>
      <c r="O227" s="221"/>
      <c r="P227" s="221"/>
      <c r="Q227" s="221"/>
      <c r="R227" s="221"/>
      <c r="S227" s="221"/>
      <c r="T227" s="221"/>
      <c r="U227" s="221"/>
      <c r="V227" s="221"/>
      <c r="W227" s="221"/>
      <c r="X227" s="221"/>
      <c r="Y227" s="68"/>
      <c r="Z227" s="68"/>
      <c r="AA227" s="68"/>
    </row>
    <row r="228">
      <c r="A228" s="134"/>
      <c r="B228" s="134"/>
      <c r="C228" s="68"/>
      <c r="D228" s="68"/>
      <c r="E228" s="68"/>
      <c r="F228" s="68"/>
      <c r="G228" s="68"/>
      <c r="H228" s="68"/>
      <c r="I228" s="221"/>
      <c r="J228" s="221"/>
      <c r="K228" s="221"/>
      <c r="L228" s="221"/>
      <c r="M228" s="221"/>
      <c r="N228" s="221"/>
      <c r="O228" s="221"/>
      <c r="P228" s="221"/>
      <c r="Q228" s="221"/>
      <c r="R228" s="221"/>
      <c r="S228" s="221"/>
      <c r="T228" s="221"/>
      <c r="U228" s="221"/>
      <c r="V228" s="221"/>
      <c r="W228" s="221"/>
      <c r="X228" s="221"/>
      <c r="Y228" s="68"/>
      <c r="Z228" s="68"/>
      <c r="AA228" s="68"/>
    </row>
    <row r="229">
      <c r="A229" s="134"/>
      <c r="B229" s="134"/>
      <c r="C229" s="68"/>
      <c r="D229" s="68"/>
      <c r="E229" s="68"/>
      <c r="F229" s="68"/>
      <c r="G229" s="68"/>
      <c r="H229" s="68"/>
      <c r="I229" s="221"/>
      <c r="J229" s="221"/>
      <c r="K229" s="221"/>
      <c r="L229" s="221"/>
      <c r="M229" s="221"/>
      <c r="N229" s="221"/>
      <c r="O229" s="221"/>
      <c r="P229" s="221"/>
      <c r="Q229" s="221"/>
      <c r="R229" s="221"/>
      <c r="S229" s="221"/>
      <c r="T229" s="221"/>
      <c r="U229" s="221"/>
      <c r="V229" s="221"/>
      <c r="W229" s="221"/>
      <c r="X229" s="221"/>
      <c r="Y229" s="68"/>
      <c r="Z229" s="68"/>
      <c r="AA229" s="68"/>
    </row>
    <row r="230">
      <c r="A230" s="134"/>
      <c r="B230" s="134"/>
      <c r="C230" s="68"/>
      <c r="D230" s="68"/>
      <c r="E230" s="68"/>
      <c r="F230" s="68"/>
      <c r="G230" s="68"/>
      <c r="H230" s="68"/>
      <c r="I230" s="221"/>
      <c r="J230" s="221"/>
      <c r="K230" s="221"/>
      <c r="L230" s="221"/>
      <c r="M230" s="221"/>
      <c r="N230" s="221"/>
      <c r="O230" s="221"/>
      <c r="P230" s="221"/>
      <c r="Q230" s="221"/>
      <c r="R230" s="221"/>
      <c r="S230" s="221"/>
      <c r="T230" s="221"/>
      <c r="U230" s="221"/>
      <c r="V230" s="221"/>
      <c r="W230" s="221"/>
      <c r="X230" s="221"/>
      <c r="Y230" s="68"/>
      <c r="Z230" s="68"/>
      <c r="AA230" s="68"/>
    </row>
    <row r="231">
      <c r="A231" s="134"/>
      <c r="B231" s="134"/>
      <c r="C231" s="68"/>
      <c r="D231" s="68"/>
      <c r="E231" s="68"/>
      <c r="F231" s="68"/>
      <c r="G231" s="68"/>
      <c r="H231" s="68"/>
      <c r="I231" s="221"/>
      <c r="J231" s="221"/>
      <c r="K231" s="221"/>
      <c r="L231" s="221"/>
      <c r="M231" s="221"/>
      <c r="N231" s="221"/>
      <c r="O231" s="221"/>
      <c r="P231" s="221"/>
      <c r="Q231" s="221"/>
      <c r="R231" s="221"/>
      <c r="S231" s="221"/>
      <c r="T231" s="221"/>
      <c r="U231" s="221"/>
      <c r="V231" s="221"/>
      <c r="W231" s="221"/>
      <c r="X231" s="221"/>
      <c r="Y231" s="68"/>
      <c r="Z231" s="68"/>
      <c r="AA231" s="68"/>
    </row>
    <row r="232">
      <c r="A232" s="134"/>
      <c r="B232" s="134"/>
      <c r="C232" s="68"/>
      <c r="D232" s="68"/>
      <c r="E232" s="68"/>
      <c r="F232" s="68"/>
      <c r="G232" s="68"/>
      <c r="H232" s="68"/>
      <c r="I232" s="221"/>
      <c r="J232" s="221"/>
      <c r="K232" s="221"/>
      <c r="L232" s="221"/>
      <c r="M232" s="221"/>
      <c r="N232" s="221"/>
      <c r="O232" s="221"/>
      <c r="P232" s="221"/>
      <c r="Q232" s="221"/>
      <c r="R232" s="221"/>
      <c r="S232" s="221"/>
      <c r="T232" s="221"/>
      <c r="U232" s="221"/>
      <c r="V232" s="221"/>
      <c r="W232" s="221"/>
      <c r="X232" s="221"/>
      <c r="Y232" s="68"/>
      <c r="Z232" s="68"/>
      <c r="AA232" s="68"/>
    </row>
    <row r="233">
      <c r="A233" s="134"/>
      <c r="B233" s="134"/>
      <c r="C233" s="68"/>
      <c r="D233" s="68"/>
      <c r="E233" s="68"/>
      <c r="F233" s="68"/>
      <c r="G233" s="68"/>
      <c r="H233" s="68"/>
      <c r="I233" s="221"/>
      <c r="J233" s="221"/>
      <c r="K233" s="221"/>
      <c r="L233" s="221"/>
      <c r="M233" s="221"/>
      <c r="N233" s="221"/>
      <c r="O233" s="221"/>
      <c r="P233" s="221"/>
      <c r="Q233" s="221"/>
      <c r="R233" s="221"/>
      <c r="S233" s="221"/>
      <c r="T233" s="221"/>
      <c r="U233" s="221"/>
      <c r="V233" s="221"/>
      <c r="W233" s="221"/>
      <c r="X233" s="221"/>
      <c r="Y233" s="68"/>
      <c r="Z233" s="68"/>
      <c r="AA233" s="68"/>
    </row>
    <row r="234">
      <c r="A234" s="134"/>
      <c r="B234" s="134"/>
      <c r="C234" s="68"/>
      <c r="D234" s="68"/>
      <c r="E234" s="68"/>
      <c r="F234" s="68"/>
      <c r="G234" s="68"/>
      <c r="H234" s="68"/>
      <c r="I234" s="221"/>
      <c r="J234" s="221"/>
      <c r="K234" s="221"/>
      <c r="L234" s="221"/>
      <c r="M234" s="221"/>
      <c r="N234" s="221"/>
      <c r="O234" s="221"/>
      <c r="P234" s="221"/>
      <c r="Q234" s="221"/>
      <c r="R234" s="221"/>
      <c r="S234" s="221"/>
      <c r="T234" s="221"/>
      <c r="U234" s="221"/>
      <c r="V234" s="221"/>
      <c r="W234" s="221"/>
      <c r="X234" s="221"/>
      <c r="Y234" s="68"/>
      <c r="Z234" s="68"/>
      <c r="AA234" s="68"/>
    </row>
    <row r="235">
      <c r="A235" s="134"/>
      <c r="B235" s="134"/>
      <c r="C235" s="68"/>
      <c r="D235" s="68"/>
      <c r="E235" s="68"/>
      <c r="F235" s="68"/>
      <c r="G235" s="68"/>
      <c r="H235" s="68"/>
      <c r="I235" s="221"/>
      <c r="J235" s="221"/>
      <c r="K235" s="221"/>
      <c r="L235" s="221"/>
      <c r="M235" s="221"/>
      <c r="N235" s="221"/>
      <c r="O235" s="221"/>
      <c r="P235" s="221"/>
      <c r="Q235" s="221"/>
      <c r="R235" s="221"/>
      <c r="S235" s="221"/>
      <c r="T235" s="221"/>
      <c r="U235" s="221"/>
      <c r="V235" s="221"/>
      <c r="W235" s="221"/>
      <c r="X235" s="221"/>
      <c r="Y235" s="68"/>
      <c r="Z235" s="68"/>
      <c r="AA235" s="68"/>
    </row>
    <row r="236">
      <c r="A236" s="134"/>
      <c r="B236" s="134"/>
      <c r="C236" s="68"/>
      <c r="D236" s="68"/>
      <c r="E236" s="68"/>
      <c r="F236" s="68"/>
      <c r="G236" s="68"/>
      <c r="H236" s="68"/>
      <c r="I236" s="221"/>
      <c r="J236" s="221"/>
      <c r="K236" s="221"/>
      <c r="L236" s="221"/>
      <c r="M236" s="221"/>
      <c r="N236" s="221"/>
      <c r="O236" s="221"/>
      <c r="P236" s="221"/>
      <c r="Q236" s="221"/>
      <c r="R236" s="221"/>
      <c r="S236" s="221"/>
      <c r="T236" s="221"/>
      <c r="U236" s="221"/>
      <c r="V236" s="221"/>
      <c r="W236" s="221"/>
      <c r="X236" s="221"/>
      <c r="Y236" s="68"/>
      <c r="Z236" s="68"/>
      <c r="AA236" s="68"/>
    </row>
    <row r="237">
      <c r="A237" s="134"/>
      <c r="B237" s="134"/>
      <c r="C237" s="68"/>
      <c r="D237" s="68"/>
      <c r="E237" s="68"/>
      <c r="F237" s="68"/>
      <c r="G237" s="68"/>
      <c r="H237" s="68"/>
      <c r="I237" s="221"/>
      <c r="J237" s="221"/>
      <c r="K237" s="221"/>
      <c r="L237" s="221"/>
      <c r="M237" s="221"/>
      <c r="N237" s="221"/>
      <c r="O237" s="221"/>
      <c r="P237" s="221"/>
      <c r="Q237" s="221"/>
      <c r="R237" s="221"/>
      <c r="S237" s="221"/>
      <c r="T237" s="221"/>
      <c r="U237" s="221"/>
      <c r="V237" s="221"/>
      <c r="W237" s="221"/>
      <c r="X237" s="221"/>
      <c r="Y237" s="68"/>
      <c r="Z237" s="68"/>
      <c r="AA237" s="68"/>
    </row>
    <row r="238">
      <c r="A238" s="134"/>
      <c r="B238" s="134"/>
      <c r="C238" s="68"/>
      <c r="D238" s="68"/>
      <c r="E238" s="68"/>
      <c r="F238" s="68"/>
      <c r="G238" s="68"/>
      <c r="H238" s="68"/>
      <c r="I238" s="221"/>
      <c r="J238" s="221"/>
      <c r="K238" s="221"/>
      <c r="L238" s="221"/>
      <c r="M238" s="221"/>
      <c r="N238" s="221"/>
      <c r="O238" s="221"/>
      <c r="P238" s="221"/>
      <c r="Q238" s="221"/>
      <c r="R238" s="221"/>
      <c r="S238" s="221"/>
      <c r="T238" s="221"/>
      <c r="U238" s="221"/>
      <c r="V238" s="221"/>
      <c r="W238" s="221"/>
      <c r="X238" s="221"/>
      <c r="Y238" s="68"/>
      <c r="Z238" s="68"/>
      <c r="AA238" s="68"/>
    </row>
    <row r="239">
      <c r="A239" s="134"/>
      <c r="B239" s="134"/>
      <c r="C239" s="68"/>
      <c r="D239" s="68"/>
      <c r="E239" s="68"/>
      <c r="F239" s="68"/>
      <c r="G239" s="68"/>
      <c r="H239" s="68"/>
      <c r="I239" s="221"/>
      <c r="J239" s="221"/>
      <c r="K239" s="221"/>
      <c r="L239" s="221"/>
      <c r="M239" s="221"/>
      <c r="N239" s="221"/>
      <c r="O239" s="221"/>
      <c r="P239" s="221"/>
      <c r="Q239" s="221"/>
      <c r="R239" s="221"/>
      <c r="S239" s="221"/>
      <c r="T239" s="221"/>
      <c r="U239" s="221"/>
      <c r="V239" s="221"/>
      <c r="W239" s="221"/>
      <c r="X239" s="221"/>
      <c r="Y239" s="68"/>
      <c r="Z239" s="68"/>
      <c r="AA239" s="68"/>
    </row>
    <row r="240">
      <c r="A240" s="134"/>
      <c r="B240" s="134"/>
      <c r="C240" s="68"/>
      <c r="D240" s="68"/>
      <c r="E240" s="68"/>
      <c r="F240" s="68"/>
      <c r="G240" s="68"/>
      <c r="H240" s="68"/>
      <c r="I240" s="221"/>
      <c r="J240" s="221"/>
      <c r="K240" s="221"/>
      <c r="L240" s="221"/>
      <c r="M240" s="221"/>
      <c r="N240" s="221"/>
      <c r="O240" s="221"/>
      <c r="P240" s="221"/>
      <c r="Q240" s="221"/>
      <c r="R240" s="221"/>
      <c r="S240" s="221"/>
      <c r="T240" s="221"/>
      <c r="U240" s="221"/>
      <c r="V240" s="221"/>
      <c r="W240" s="221"/>
      <c r="X240" s="221"/>
      <c r="Y240" s="68"/>
      <c r="Z240" s="68"/>
      <c r="AA240" s="68"/>
    </row>
    <row r="241">
      <c r="A241" s="134"/>
      <c r="B241" s="134"/>
      <c r="C241" s="68"/>
      <c r="D241" s="68"/>
      <c r="E241" s="68"/>
      <c r="F241" s="68"/>
      <c r="G241" s="68"/>
      <c r="H241" s="68"/>
      <c r="I241" s="221"/>
      <c r="J241" s="221"/>
      <c r="K241" s="221"/>
      <c r="L241" s="221"/>
      <c r="M241" s="221"/>
      <c r="N241" s="221"/>
      <c r="O241" s="221"/>
      <c r="P241" s="221"/>
      <c r="Q241" s="221"/>
      <c r="R241" s="221"/>
      <c r="S241" s="221"/>
      <c r="T241" s="221"/>
      <c r="U241" s="221"/>
      <c r="V241" s="221"/>
      <c r="W241" s="221"/>
      <c r="X241" s="221"/>
      <c r="Y241" s="68"/>
      <c r="Z241" s="68"/>
      <c r="AA241" s="68"/>
    </row>
    <row r="242">
      <c r="A242" s="134"/>
      <c r="B242" s="134"/>
      <c r="C242" s="68"/>
      <c r="D242" s="68"/>
      <c r="E242" s="68"/>
      <c r="F242" s="68"/>
      <c r="G242" s="68"/>
      <c r="H242" s="68"/>
      <c r="I242" s="221"/>
      <c r="J242" s="221"/>
      <c r="K242" s="221"/>
      <c r="L242" s="221"/>
      <c r="M242" s="221"/>
      <c r="N242" s="221"/>
      <c r="O242" s="221"/>
      <c r="P242" s="221"/>
      <c r="Q242" s="221"/>
      <c r="R242" s="221"/>
      <c r="S242" s="221"/>
      <c r="T242" s="221"/>
      <c r="U242" s="221"/>
      <c r="V242" s="221"/>
      <c r="W242" s="221"/>
      <c r="X242" s="221"/>
      <c r="Y242" s="68"/>
      <c r="Z242" s="68"/>
      <c r="AA242" s="68"/>
    </row>
    <row r="243">
      <c r="A243" s="134"/>
      <c r="B243" s="134"/>
      <c r="C243" s="68"/>
      <c r="D243" s="68"/>
      <c r="E243" s="68"/>
      <c r="F243" s="68"/>
      <c r="G243" s="68"/>
      <c r="H243" s="68"/>
      <c r="I243" s="221"/>
      <c r="J243" s="221"/>
      <c r="K243" s="221"/>
      <c r="L243" s="221"/>
      <c r="M243" s="221"/>
      <c r="N243" s="221"/>
      <c r="O243" s="221"/>
      <c r="P243" s="221"/>
      <c r="Q243" s="221"/>
      <c r="R243" s="221"/>
      <c r="S243" s="221"/>
      <c r="T243" s="221"/>
      <c r="U243" s="221"/>
      <c r="V243" s="221"/>
      <c r="W243" s="221"/>
      <c r="X243" s="221"/>
      <c r="Y243" s="68"/>
      <c r="Z243" s="68"/>
      <c r="AA243" s="68"/>
    </row>
    <row r="244">
      <c r="A244" s="134"/>
      <c r="B244" s="134"/>
      <c r="C244" s="68"/>
      <c r="D244" s="68"/>
      <c r="E244" s="68"/>
      <c r="F244" s="68"/>
      <c r="G244" s="68"/>
      <c r="H244" s="68"/>
      <c r="I244" s="221"/>
      <c r="J244" s="221"/>
      <c r="K244" s="221"/>
      <c r="L244" s="221"/>
      <c r="M244" s="221"/>
      <c r="N244" s="221"/>
      <c r="O244" s="221"/>
      <c r="P244" s="221"/>
      <c r="Q244" s="221"/>
      <c r="R244" s="221"/>
      <c r="S244" s="221"/>
      <c r="T244" s="221"/>
      <c r="U244" s="221"/>
      <c r="V244" s="221"/>
      <c r="W244" s="221"/>
      <c r="X244" s="221"/>
      <c r="Y244" s="68"/>
      <c r="Z244" s="68"/>
      <c r="AA244" s="68"/>
    </row>
    <row r="245">
      <c r="A245" s="134"/>
      <c r="B245" s="134"/>
      <c r="C245" s="68"/>
      <c r="D245" s="68"/>
      <c r="E245" s="68"/>
      <c r="F245" s="68"/>
      <c r="G245" s="68"/>
      <c r="H245" s="68"/>
      <c r="I245" s="221"/>
      <c r="J245" s="221"/>
      <c r="K245" s="221"/>
      <c r="L245" s="221"/>
      <c r="M245" s="221"/>
      <c r="N245" s="221"/>
      <c r="O245" s="221"/>
      <c r="P245" s="221"/>
      <c r="Q245" s="221"/>
      <c r="R245" s="221"/>
      <c r="S245" s="221"/>
      <c r="T245" s="221"/>
      <c r="U245" s="221"/>
      <c r="V245" s="221"/>
      <c r="W245" s="221"/>
      <c r="X245" s="221"/>
      <c r="Y245" s="68"/>
      <c r="Z245" s="68"/>
      <c r="AA245" s="68"/>
    </row>
    <row r="246">
      <c r="A246" s="134"/>
      <c r="B246" s="134"/>
      <c r="C246" s="68"/>
      <c r="D246" s="68"/>
      <c r="E246" s="68"/>
      <c r="F246" s="68"/>
      <c r="G246" s="68"/>
      <c r="H246" s="68"/>
      <c r="I246" s="221"/>
      <c r="J246" s="221"/>
      <c r="K246" s="221"/>
      <c r="L246" s="221"/>
      <c r="M246" s="221"/>
      <c r="N246" s="221"/>
      <c r="O246" s="221"/>
      <c r="P246" s="221"/>
      <c r="Q246" s="221"/>
      <c r="R246" s="221"/>
      <c r="S246" s="221"/>
      <c r="T246" s="221"/>
      <c r="U246" s="221"/>
      <c r="V246" s="221"/>
      <c r="W246" s="221"/>
      <c r="X246" s="221"/>
      <c r="Y246" s="68"/>
      <c r="Z246" s="68"/>
      <c r="AA246" s="68"/>
    </row>
    <row r="247">
      <c r="A247" s="134"/>
      <c r="B247" s="134"/>
      <c r="C247" s="68"/>
      <c r="D247" s="68"/>
      <c r="E247" s="68"/>
      <c r="F247" s="68"/>
      <c r="G247" s="68"/>
      <c r="H247" s="68"/>
      <c r="I247" s="221"/>
      <c r="J247" s="221"/>
      <c r="K247" s="221"/>
      <c r="L247" s="221"/>
      <c r="M247" s="221"/>
      <c r="N247" s="221"/>
      <c r="O247" s="221"/>
      <c r="P247" s="221"/>
      <c r="Q247" s="221"/>
      <c r="R247" s="221"/>
      <c r="S247" s="221"/>
      <c r="T247" s="221"/>
      <c r="U247" s="221"/>
      <c r="V247" s="221"/>
      <c r="W247" s="221"/>
      <c r="X247" s="221"/>
      <c r="Y247" s="68"/>
      <c r="Z247" s="68"/>
      <c r="AA247" s="68"/>
    </row>
    <row r="248">
      <c r="A248" s="134"/>
      <c r="B248" s="134"/>
      <c r="C248" s="68"/>
      <c r="D248" s="68"/>
      <c r="E248" s="68"/>
      <c r="F248" s="68"/>
      <c r="G248" s="68"/>
      <c r="H248" s="68"/>
      <c r="I248" s="221"/>
      <c r="J248" s="221"/>
      <c r="K248" s="221"/>
      <c r="L248" s="221"/>
      <c r="M248" s="221"/>
      <c r="N248" s="221"/>
      <c r="O248" s="221"/>
      <c r="P248" s="221"/>
      <c r="Q248" s="221"/>
      <c r="R248" s="221"/>
      <c r="S248" s="221"/>
      <c r="T248" s="221"/>
      <c r="U248" s="221"/>
      <c r="V248" s="221"/>
      <c r="W248" s="221"/>
      <c r="X248" s="221"/>
      <c r="Y248" s="68"/>
      <c r="Z248" s="68"/>
      <c r="AA248" s="68"/>
    </row>
    <row r="249">
      <c r="A249" s="134"/>
      <c r="B249" s="134"/>
      <c r="C249" s="68"/>
      <c r="D249" s="68"/>
      <c r="E249" s="68"/>
      <c r="F249" s="68"/>
      <c r="G249" s="68"/>
      <c r="H249" s="68"/>
      <c r="I249" s="221"/>
      <c r="J249" s="221"/>
      <c r="K249" s="221"/>
      <c r="L249" s="221"/>
      <c r="M249" s="221"/>
      <c r="N249" s="221"/>
      <c r="O249" s="221"/>
      <c r="P249" s="221"/>
      <c r="Q249" s="221"/>
      <c r="R249" s="221"/>
      <c r="S249" s="221"/>
      <c r="T249" s="221"/>
      <c r="U249" s="221"/>
      <c r="V249" s="221"/>
      <c r="W249" s="221"/>
      <c r="X249" s="221"/>
      <c r="Y249" s="68"/>
      <c r="Z249" s="68"/>
      <c r="AA249" s="68"/>
    </row>
    <row r="250">
      <c r="A250" s="134"/>
      <c r="B250" s="134"/>
      <c r="C250" s="68"/>
      <c r="D250" s="68"/>
      <c r="E250" s="68"/>
      <c r="F250" s="68"/>
      <c r="G250" s="68"/>
      <c r="H250" s="68"/>
      <c r="I250" s="221"/>
      <c r="J250" s="221"/>
      <c r="K250" s="221"/>
      <c r="L250" s="221"/>
      <c r="M250" s="221"/>
      <c r="N250" s="221"/>
      <c r="O250" s="221"/>
      <c r="P250" s="221"/>
      <c r="Q250" s="221"/>
      <c r="R250" s="221"/>
      <c r="S250" s="221"/>
      <c r="T250" s="221"/>
      <c r="U250" s="221"/>
      <c r="V250" s="221"/>
      <c r="W250" s="221"/>
      <c r="X250" s="221"/>
      <c r="Y250" s="68"/>
      <c r="Z250" s="68"/>
      <c r="AA250" s="68"/>
    </row>
    <row r="251">
      <c r="A251" s="134"/>
      <c r="B251" s="134"/>
      <c r="C251" s="68"/>
      <c r="D251" s="68"/>
      <c r="E251" s="68"/>
      <c r="F251" s="68"/>
      <c r="G251" s="68"/>
      <c r="H251" s="68"/>
      <c r="I251" s="221"/>
      <c r="J251" s="221"/>
      <c r="K251" s="221"/>
      <c r="L251" s="221"/>
      <c r="M251" s="221"/>
      <c r="N251" s="221"/>
      <c r="O251" s="221"/>
      <c r="P251" s="221"/>
      <c r="Q251" s="221"/>
      <c r="R251" s="221"/>
      <c r="S251" s="221"/>
      <c r="T251" s="221"/>
      <c r="U251" s="221"/>
      <c r="V251" s="221"/>
      <c r="W251" s="221"/>
      <c r="X251" s="221"/>
      <c r="Y251" s="68"/>
      <c r="Z251" s="68"/>
      <c r="AA251" s="68"/>
    </row>
    <row r="252">
      <c r="A252" s="134"/>
      <c r="B252" s="134"/>
      <c r="C252" s="68"/>
      <c r="D252" s="68"/>
      <c r="E252" s="68"/>
      <c r="F252" s="68"/>
      <c r="G252" s="68"/>
      <c r="H252" s="68"/>
      <c r="I252" s="221"/>
      <c r="J252" s="221"/>
      <c r="K252" s="221"/>
      <c r="L252" s="221"/>
      <c r="M252" s="221"/>
      <c r="N252" s="221"/>
      <c r="O252" s="221"/>
      <c r="P252" s="221"/>
      <c r="Q252" s="221"/>
      <c r="R252" s="221"/>
      <c r="S252" s="221"/>
      <c r="T252" s="221"/>
      <c r="U252" s="221"/>
      <c r="V252" s="221"/>
      <c r="W252" s="221"/>
      <c r="X252" s="221"/>
      <c r="Y252" s="68"/>
      <c r="Z252" s="68"/>
      <c r="AA252" s="68"/>
    </row>
    <row r="253">
      <c r="A253" s="134"/>
      <c r="B253" s="134"/>
      <c r="C253" s="68"/>
      <c r="D253" s="68"/>
      <c r="E253" s="68"/>
      <c r="F253" s="68"/>
      <c r="G253" s="68"/>
      <c r="H253" s="68"/>
      <c r="I253" s="221"/>
      <c r="J253" s="221"/>
      <c r="K253" s="221"/>
      <c r="L253" s="221"/>
      <c r="M253" s="221"/>
      <c r="N253" s="221"/>
      <c r="O253" s="221"/>
      <c r="P253" s="221"/>
      <c r="Q253" s="221"/>
      <c r="R253" s="221"/>
      <c r="S253" s="221"/>
      <c r="T253" s="221"/>
      <c r="U253" s="221"/>
      <c r="V253" s="221"/>
      <c r="W253" s="221"/>
      <c r="X253" s="221"/>
      <c r="Y253" s="68"/>
      <c r="Z253" s="68"/>
      <c r="AA253" s="68"/>
    </row>
    <row r="254">
      <c r="A254" s="134"/>
      <c r="B254" s="134"/>
      <c r="C254" s="68"/>
      <c r="D254" s="68"/>
      <c r="E254" s="68"/>
      <c r="F254" s="68"/>
      <c r="G254" s="68"/>
      <c r="H254" s="68"/>
      <c r="I254" s="221"/>
      <c r="J254" s="221"/>
      <c r="K254" s="221"/>
      <c r="L254" s="221"/>
      <c r="M254" s="221"/>
      <c r="N254" s="221"/>
      <c r="O254" s="221"/>
      <c r="P254" s="221"/>
      <c r="Q254" s="221"/>
      <c r="R254" s="221"/>
      <c r="S254" s="221"/>
      <c r="T254" s="221"/>
      <c r="U254" s="221"/>
      <c r="V254" s="221"/>
      <c r="W254" s="221"/>
      <c r="X254" s="221"/>
      <c r="Y254" s="68"/>
      <c r="Z254" s="68"/>
      <c r="AA254" s="68"/>
    </row>
    <row r="255">
      <c r="A255" s="134"/>
      <c r="B255" s="134"/>
      <c r="C255" s="68"/>
      <c r="D255" s="68"/>
      <c r="E255" s="68"/>
      <c r="F255" s="68"/>
      <c r="G255" s="68"/>
      <c r="H255" s="68"/>
      <c r="I255" s="221"/>
      <c r="J255" s="221"/>
      <c r="K255" s="221"/>
      <c r="L255" s="221"/>
      <c r="M255" s="221"/>
      <c r="N255" s="221"/>
      <c r="O255" s="221"/>
      <c r="P255" s="221"/>
      <c r="Q255" s="221"/>
      <c r="R255" s="221"/>
      <c r="S255" s="221"/>
      <c r="T255" s="221"/>
      <c r="U255" s="221"/>
      <c r="V255" s="221"/>
      <c r="W255" s="221"/>
      <c r="X255" s="221"/>
      <c r="Y255" s="68"/>
      <c r="Z255" s="68"/>
      <c r="AA255" s="68"/>
    </row>
    <row r="256">
      <c r="A256" s="134"/>
      <c r="B256" s="134"/>
      <c r="C256" s="68"/>
      <c r="D256" s="68"/>
      <c r="E256" s="68"/>
      <c r="F256" s="68"/>
      <c r="G256" s="68"/>
      <c r="H256" s="68"/>
      <c r="I256" s="221"/>
      <c r="J256" s="221"/>
      <c r="K256" s="221"/>
      <c r="L256" s="221"/>
      <c r="M256" s="221"/>
      <c r="N256" s="221"/>
      <c r="O256" s="221"/>
      <c r="P256" s="221"/>
      <c r="Q256" s="221"/>
      <c r="R256" s="221"/>
      <c r="S256" s="221"/>
      <c r="T256" s="221"/>
      <c r="U256" s="221"/>
      <c r="V256" s="221"/>
      <c r="W256" s="221"/>
      <c r="X256" s="221"/>
      <c r="Y256" s="68"/>
      <c r="Z256" s="68"/>
      <c r="AA256" s="68"/>
    </row>
    <row r="257">
      <c r="A257" s="134"/>
      <c r="B257" s="134"/>
      <c r="C257" s="68"/>
      <c r="D257" s="68"/>
      <c r="E257" s="68"/>
      <c r="F257" s="68"/>
      <c r="G257" s="68"/>
      <c r="H257" s="68"/>
      <c r="I257" s="221"/>
      <c r="J257" s="221"/>
      <c r="K257" s="221"/>
      <c r="L257" s="221"/>
      <c r="M257" s="221"/>
      <c r="N257" s="221"/>
      <c r="O257" s="221"/>
      <c r="P257" s="221"/>
      <c r="Q257" s="221"/>
      <c r="R257" s="221"/>
      <c r="S257" s="221"/>
      <c r="T257" s="221"/>
      <c r="U257" s="221"/>
      <c r="V257" s="221"/>
      <c r="W257" s="221"/>
      <c r="X257" s="221"/>
      <c r="Y257" s="68"/>
      <c r="Z257" s="68"/>
      <c r="AA257" s="68"/>
    </row>
    <row r="258">
      <c r="A258" s="134"/>
      <c r="B258" s="134"/>
      <c r="C258" s="68"/>
      <c r="D258" s="68"/>
      <c r="E258" s="68"/>
      <c r="F258" s="68"/>
      <c r="G258" s="68"/>
      <c r="H258" s="68"/>
      <c r="I258" s="221"/>
      <c r="J258" s="221"/>
      <c r="K258" s="221"/>
      <c r="L258" s="221"/>
      <c r="M258" s="221"/>
      <c r="N258" s="221"/>
      <c r="O258" s="221"/>
      <c r="P258" s="221"/>
      <c r="Q258" s="221"/>
      <c r="R258" s="221"/>
      <c r="S258" s="221"/>
      <c r="T258" s="221"/>
      <c r="U258" s="221"/>
      <c r="V258" s="221"/>
      <c r="W258" s="221"/>
      <c r="X258" s="221"/>
      <c r="Y258" s="68"/>
      <c r="Z258" s="68"/>
      <c r="AA258" s="68"/>
    </row>
    <row r="259">
      <c r="A259" s="134"/>
      <c r="B259" s="134"/>
      <c r="C259" s="68"/>
      <c r="D259" s="68"/>
      <c r="E259" s="68"/>
      <c r="F259" s="68"/>
      <c r="G259" s="68"/>
      <c r="H259" s="68"/>
      <c r="I259" s="221"/>
      <c r="J259" s="221"/>
      <c r="K259" s="221"/>
      <c r="L259" s="221"/>
      <c r="M259" s="221"/>
      <c r="N259" s="221"/>
      <c r="O259" s="221"/>
      <c r="P259" s="221"/>
      <c r="Q259" s="221"/>
      <c r="R259" s="221"/>
      <c r="S259" s="221"/>
      <c r="T259" s="221"/>
      <c r="U259" s="221"/>
      <c r="V259" s="221"/>
      <c r="W259" s="221"/>
      <c r="X259" s="221"/>
      <c r="Y259" s="68"/>
      <c r="Z259" s="68"/>
      <c r="AA259" s="68"/>
    </row>
    <row r="260">
      <c r="A260" s="134"/>
      <c r="B260" s="134"/>
      <c r="C260" s="68"/>
      <c r="D260" s="68"/>
      <c r="E260" s="68"/>
      <c r="F260" s="68"/>
      <c r="G260" s="68"/>
      <c r="H260" s="68"/>
      <c r="I260" s="221"/>
      <c r="J260" s="221"/>
      <c r="K260" s="221"/>
      <c r="L260" s="221"/>
      <c r="M260" s="221"/>
      <c r="N260" s="221"/>
      <c r="O260" s="221"/>
      <c r="P260" s="221"/>
      <c r="Q260" s="221"/>
      <c r="R260" s="221"/>
      <c r="S260" s="221"/>
      <c r="T260" s="221"/>
      <c r="U260" s="221"/>
      <c r="V260" s="221"/>
      <c r="W260" s="221"/>
      <c r="X260" s="221"/>
      <c r="Y260" s="68"/>
      <c r="Z260" s="68"/>
      <c r="AA260" s="68"/>
    </row>
    <row r="261">
      <c r="A261" s="134"/>
      <c r="B261" s="134"/>
      <c r="C261" s="68"/>
      <c r="D261" s="68"/>
      <c r="E261" s="68"/>
      <c r="F261" s="68"/>
      <c r="G261" s="68"/>
      <c r="H261" s="68"/>
      <c r="I261" s="221"/>
      <c r="J261" s="221"/>
      <c r="K261" s="221"/>
      <c r="L261" s="221"/>
      <c r="M261" s="221"/>
      <c r="N261" s="221"/>
      <c r="O261" s="221"/>
      <c r="P261" s="221"/>
      <c r="Q261" s="221"/>
      <c r="R261" s="221"/>
      <c r="S261" s="221"/>
      <c r="T261" s="221"/>
      <c r="U261" s="221"/>
      <c r="V261" s="221"/>
      <c r="W261" s="221"/>
      <c r="X261" s="221"/>
      <c r="Y261" s="68"/>
      <c r="Z261" s="68"/>
      <c r="AA261" s="68"/>
    </row>
    <row r="262">
      <c r="A262" s="134"/>
      <c r="B262" s="134"/>
      <c r="C262" s="68"/>
      <c r="D262" s="68"/>
      <c r="E262" s="68"/>
      <c r="F262" s="68"/>
      <c r="G262" s="68"/>
      <c r="H262" s="68"/>
      <c r="I262" s="221"/>
      <c r="J262" s="221"/>
      <c r="K262" s="221"/>
      <c r="L262" s="221"/>
      <c r="M262" s="221"/>
      <c r="N262" s="221"/>
      <c r="O262" s="221"/>
      <c r="P262" s="221"/>
      <c r="Q262" s="221"/>
      <c r="R262" s="221"/>
      <c r="S262" s="221"/>
      <c r="T262" s="221"/>
      <c r="U262" s="221"/>
      <c r="V262" s="221"/>
      <c r="W262" s="221"/>
      <c r="X262" s="221"/>
      <c r="Y262" s="68"/>
      <c r="Z262" s="68"/>
      <c r="AA262" s="68"/>
    </row>
    <row r="263">
      <c r="A263" s="134"/>
      <c r="B263" s="134"/>
      <c r="C263" s="68"/>
      <c r="D263" s="68"/>
      <c r="E263" s="68"/>
      <c r="F263" s="68"/>
      <c r="G263" s="68"/>
      <c r="H263" s="68"/>
      <c r="I263" s="221"/>
      <c r="J263" s="221"/>
      <c r="K263" s="221"/>
      <c r="L263" s="221"/>
      <c r="M263" s="221"/>
      <c r="N263" s="221"/>
      <c r="O263" s="221"/>
      <c r="P263" s="221"/>
      <c r="Q263" s="221"/>
      <c r="R263" s="221"/>
      <c r="S263" s="221"/>
      <c r="T263" s="221"/>
      <c r="U263" s="221"/>
      <c r="V263" s="221"/>
      <c r="W263" s="221"/>
      <c r="X263" s="221"/>
      <c r="Y263" s="68"/>
      <c r="Z263" s="68"/>
      <c r="AA263" s="68"/>
    </row>
    <row r="264">
      <c r="A264" s="134"/>
      <c r="B264" s="134"/>
      <c r="C264" s="68"/>
      <c r="D264" s="68"/>
      <c r="E264" s="68"/>
      <c r="F264" s="68"/>
      <c r="G264" s="68"/>
      <c r="H264" s="68"/>
      <c r="I264" s="221"/>
      <c r="J264" s="221"/>
      <c r="K264" s="221"/>
      <c r="L264" s="221"/>
      <c r="M264" s="221"/>
      <c r="N264" s="221"/>
      <c r="O264" s="221"/>
      <c r="P264" s="221"/>
      <c r="Q264" s="221"/>
      <c r="R264" s="221"/>
      <c r="S264" s="221"/>
      <c r="T264" s="221"/>
      <c r="U264" s="221"/>
      <c r="V264" s="221"/>
      <c r="W264" s="221"/>
      <c r="X264" s="221"/>
      <c r="Y264" s="68"/>
      <c r="Z264" s="68"/>
      <c r="AA264" s="68"/>
    </row>
    <row r="265">
      <c r="A265" s="134"/>
      <c r="B265" s="134"/>
      <c r="C265" s="68"/>
      <c r="D265" s="68"/>
      <c r="E265" s="68"/>
      <c r="F265" s="68"/>
      <c r="G265" s="68"/>
      <c r="H265" s="68"/>
      <c r="I265" s="221"/>
      <c r="J265" s="221"/>
      <c r="K265" s="221"/>
      <c r="L265" s="221"/>
      <c r="M265" s="221"/>
      <c r="N265" s="221"/>
      <c r="O265" s="221"/>
      <c r="P265" s="221"/>
      <c r="Q265" s="221"/>
      <c r="R265" s="221"/>
      <c r="S265" s="221"/>
      <c r="T265" s="221"/>
      <c r="U265" s="221"/>
      <c r="V265" s="221"/>
      <c r="W265" s="221"/>
      <c r="X265" s="221"/>
      <c r="Y265" s="68"/>
      <c r="Z265" s="68"/>
      <c r="AA265" s="68"/>
    </row>
    <row r="266">
      <c r="A266" s="134"/>
      <c r="B266" s="134"/>
      <c r="C266" s="68"/>
      <c r="D266" s="68"/>
      <c r="E266" s="68"/>
      <c r="F266" s="68"/>
      <c r="G266" s="68"/>
      <c r="H266" s="68"/>
      <c r="I266" s="221"/>
      <c r="J266" s="221"/>
      <c r="K266" s="221"/>
      <c r="L266" s="221"/>
      <c r="M266" s="221"/>
      <c r="N266" s="221"/>
      <c r="O266" s="221"/>
      <c r="P266" s="221"/>
      <c r="Q266" s="221"/>
      <c r="R266" s="221"/>
      <c r="S266" s="221"/>
      <c r="T266" s="221"/>
      <c r="U266" s="221"/>
      <c r="V266" s="221"/>
      <c r="W266" s="221"/>
      <c r="X266" s="221"/>
      <c r="Y266" s="68"/>
      <c r="Z266" s="68"/>
      <c r="AA266" s="68"/>
    </row>
    <row r="267">
      <c r="A267" s="134"/>
      <c r="B267" s="134"/>
      <c r="C267" s="68"/>
      <c r="D267" s="68"/>
      <c r="E267" s="68"/>
      <c r="F267" s="68"/>
      <c r="G267" s="68"/>
      <c r="H267" s="68"/>
      <c r="I267" s="221"/>
      <c r="J267" s="221"/>
      <c r="K267" s="221"/>
      <c r="L267" s="221"/>
      <c r="M267" s="221"/>
      <c r="N267" s="221"/>
      <c r="O267" s="221"/>
      <c r="P267" s="221"/>
      <c r="Q267" s="221"/>
      <c r="R267" s="221"/>
      <c r="S267" s="221"/>
      <c r="T267" s="221"/>
      <c r="U267" s="221"/>
      <c r="V267" s="221"/>
      <c r="W267" s="221"/>
      <c r="X267" s="221"/>
      <c r="Y267" s="68"/>
      <c r="Z267" s="68"/>
      <c r="AA267" s="68"/>
    </row>
    <row r="268">
      <c r="A268" s="134"/>
      <c r="B268" s="134"/>
      <c r="C268" s="68"/>
      <c r="D268" s="68"/>
      <c r="E268" s="68"/>
      <c r="F268" s="68"/>
      <c r="G268" s="68"/>
      <c r="H268" s="68"/>
      <c r="I268" s="221"/>
      <c r="J268" s="221"/>
      <c r="K268" s="221"/>
      <c r="L268" s="221"/>
      <c r="M268" s="221"/>
      <c r="N268" s="221"/>
      <c r="O268" s="221"/>
      <c r="P268" s="221"/>
      <c r="Q268" s="221"/>
      <c r="R268" s="221"/>
      <c r="S268" s="221"/>
      <c r="T268" s="221"/>
      <c r="U268" s="221"/>
      <c r="V268" s="221"/>
      <c r="W268" s="221"/>
      <c r="X268" s="221"/>
      <c r="Y268" s="68"/>
      <c r="Z268" s="68"/>
      <c r="AA268" s="68"/>
    </row>
    <row r="269">
      <c r="A269" s="134"/>
      <c r="B269" s="134"/>
      <c r="C269" s="68"/>
      <c r="D269" s="68"/>
      <c r="E269" s="68"/>
      <c r="F269" s="68"/>
      <c r="G269" s="68"/>
      <c r="H269" s="68"/>
      <c r="I269" s="221"/>
      <c r="J269" s="221"/>
      <c r="K269" s="221"/>
      <c r="L269" s="221"/>
      <c r="M269" s="221"/>
      <c r="N269" s="221"/>
      <c r="O269" s="221"/>
      <c r="P269" s="221"/>
      <c r="Q269" s="221"/>
      <c r="R269" s="221"/>
      <c r="S269" s="221"/>
      <c r="T269" s="221"/>
      <c r="U269" s="221"/>
      <c r="V269" s="221"/>
      <c r="W269" s="221"/>
      <c r="X269" s="221"/>
      <c r="Y269" s="68"/>
      <c r="Z269" s="68"/>
      <c r="AA269" s="68"/>
    </row>
    <row r="270">
      <c r="A270" s="134"/>
      <c r="B270" s="134"/>
      <c r="C270" s="68"/>
      <c r="D270" s="68"/>
      <c r="E270" s="68"/>
      <c r="F270" s="68"/>
      <c r="G270" s="68"/>
      <c r="H270" s="68"/>
      <c r="I270" s="221"/>
      <c r="J270" s="221"/>
      <c r="K270" s="221"/>
      <c r="L270" s="221"/>
      <c r="M270" s="221"/>
      <c r="N270" s="221"/>
      <c r="O270" s="221"/>
      <c r="P270" s="221"/>
      <c r="Q270" s="221"/>
      <c r="R270" s="221"/>
      <c r="S270" s="221"/>
      <c r="T270" s="221"/>
      <c r="U270" s="221"/>
      <c r="V270" s="221"/>
      <c r="W270" s="221"/>
      <c r="X270" s="221"/>
      <c r="Y270" s="68"/>
      <c r="Z270" s="68"/>
      <c r="AA270" s="68"/>
    </row>
    <row r="271">
      <c r="A271" s="134"/>
      <c r="B271" s="134"/>
      <c r="C271" s="68"/>
      <c r="D271" s="68"/>
      <c r="E271" s="68"/>
      <c r="F271" s="68"/>
      <c r="G271" s="68"/>
      <c r="H271" s="68"/>
      <c r="I271" s="221"/>
      <c r="J271" s="221"/>
      <c r="K271" s="221"/>
      <c r="L271" s="221"/>
      <c r="M271" s="221"/>
      <c r="N271" s="221"/>
      <c r="O271" s="221"/>
      <c r="P271" s="221"/>
      <c r="Q271" s="221"/>
      <c r="R271" s="221"/>
      <c r="S271" s="221"/>
      <c r="T271" s="221"/>
      <c r="U271" s="221"/>
      <c r="V271" s="221"/>
      <c r="W271" s="221"/>
      <c r="X271" s="221"/>
      <c r="Y271" s="68"/>
      <c r="Z271" s="68"/>
      <c r="AA271" s="68"/>
    </row>
    <row r="272">
      <c r="A272" s="134"/>
      <c r="B272" s="134"/>
      <c r="C272" s="68"/>
      <c r="D272" s="68"/>
      <c r="E272" s="68"/>
      <c r="F272" s="68"/>
      <c r="G272" s="68"/>
      <c r="H272" s="68"/>
      <c r="I272" s="221"/>
      <c r="J272" s="221"/>
      <c r="K272" s="221"/>
      <c r="L272" s="221"/>
      <c r="M272" s="221"/>
      <c r="N272" s="221"/>
      <c r="O272" s="221"/>
      <c r="P272" s="221"/>
      <c r="Q272" s="221"/>
      <c r="R272" s="221"/>
      <c r="S272" s="221"/>
      <c r="T272" s="221"/>
      <c r="U272" s="221"/>
      <c r="V272" s="221"/>
      <c r="W272" s="221"/>
      <c r="X272" s="221"/>
      <c r="Y272" s="68"/>
      <c r="Z272" s="68"/>
      <c r="AA272" s="68"/>
    </row>
    <row r="273">
      <c r="A273" s="134"/>
      <c r="B273" s="134"/>
      <c r="C273" s="68"/>
      <c r="D273" s="68"/>
      <c r="E273" s="68"/>
      <c r="F273" s="68"/>
      <c r="G273" s="68"/>
      <c r="H273" s="68"/>
      <c r="I273" s="221"/>
      <c r="J273" s="221"/>
      <c r="K273" s="221"/>
      <c r="L273" s="221"/>
      <c r="M273" s="221"/>
      <c r="N273" s="221"/>
      <c r="O273" s="221"/>
      <c r="P273" s="221"/>
      <c r="Q273" s="221"/>
      <c r="R273" s="221"/>
      <c r="S273" s="221"/>
      <c r="T273" s="221"/>
      <c r="U273" s="221"/>
      <c r="V273" s="221"/>
      <c r="W273" s="221"/>
      <c r="X273" s="221"/>
      <c r="Y273" s="68"/>
      <c r="Z273" s="68"/>
      <c r="AA273" s="68"/>
    </row>
    <row r="274">
      <c r="A274" s="134"/>
      <c r="B274" s="134"/>
      <c r="C274" s="68"/>
      <c r="D274" s="68"/>
      <c r="E274" s="68"/>
      <c r="F274" s="68"/>
      <c r="G274" s="68"/>
      <c r="H274" s="68"/>
      <c r="I274" s="221"/>
      <c r="J274" s="221"/>
      <c r="K274" s="221"/>
      <c r="L274" s="221"/>
      <c r="M274" s="221"/>
      <c r="N274" s="221"/>
      <c r="O274" s="221"/>
      <c r="P274" s="221"/>
      <c r="Q274" s="221"/>
      <c r="R274" s="221"/>
      <c r="S274" s="221"/>
      <c r="T274" s="221"/>
      <c r="U274" s="221"/>
      <c r="V274" s="221"/>
      <c r="W274" s="221"/>
      <c r="X274" s="221"/>
      <c r="Y274" s="68"/>
      <c r="Z274" s="68"/>
      <c r="AA274" s="68"/>
    </row>
    <row r="275">
      <c r="A275" s="134"/>
      <c r="B275" s="134"/>
      <c r="C275" s="68"/>
      <c r="D275" s="68"/>
      <c r="E275" s="68"/>
      <c r="F275" s="68"/>
      <c r="G275" s="68"/>
      <c r="H275" s="68"/>
      <c r="I275" s="221"/>
      <c r="J275" s="221"/>
      <c r="K275" s="221"/>
      <c r="L275" s="221"/>
      <c r="M275" s="221"/>
      <c r="N275" s="221"/>
      <c r="O275" s="221"/>
      <c r="P275" s="221"/>
      <c r="Q275" s="221"/>
      <c r="R275" s="221"/>
      <c r="S275" s="221"/>
      <c r="T275" s="221"/>
      <c r="U275" s="221"/>
      <c r="V275" s="221"/>
      <c r="W275" s="221"/>
      <c r="X275" s="221"/>
      <c r="Y275" s="68"/>
      <c r="Z275" s="68"/>
      <c r="AA275" s="68"/>
    </row>
    <row r="276">
      <c r="A276" s="134"/>
      <c r="B276" s="134"/>
      <c r="C276" s="68"/>
      <c r="D276" s="68"/>
      <c r="E276" s="68"/>
      <c r="F276" s="68"/>
      <c r="G276" s="68"/>
      <c r="H276" s="68"/>
      <c r="I276" s="221"/>
      <c r="J276" s="221"/>
      <c r="K276" s="221"/>
      <c r="L276" s="221"/>
      <c r="M276" s="221"/>
      <c r="N276" s="221"/>
      <c r="O276" s="221"/>
      <c r="P276" s="221"/>
      <c r="Q276" s="221"/>
      <c r="R276" s="221"/>
      <c r="S276" s="221"/>
      <c r="T276" s="221"/>
      <c r="U276" s="221"/>
      <c r="V276" s="221"/>
      <c r="W276" s="221"/>
      <c r="X276" s="221"/>
      <c r="Y276" s="68"/>
      <c r="Z276" s="68"/>
      <c r="AA276" s="68"/>
    </row>
    <row r="277">
      <c r="A277" s="134"/>
      <c r="B277" s="134"/>
      <c r="C277" s="68"/>
      <c r="D277" s="68"/>
      <c r="E277" s="68"/>
      <c r="F277" s="68"/>
      <c r="G277" s="68"/>
      <c r="H277" s="68"/>
      <c r="I277" s="221"/>
      <c r="J277" s="221"/>
      <c r="K277" s="221"/>
      <c r="L277" s="221"/>
      <c r="M277" s="221"/>
      <c r="N277" s="221"/>
      <c r="O277" s="221"/>
      <c r="P277" s="221"/>
      <c r="Q277" s="221"/>
      <c r="R277" s="221"/>
      <c r="S277" s="221"/>
      <c r="T277" s="221"/>
      <c r="U277" s="221"/>
      <c r="V277" s="221"/>
      <c r="W277" s="221"/>
      <c r="X277" s="221"/>
      <c r="Y277" s="68"/>
      <c r="Z277" s="68"/>
      <c r="AA277" s="68"/>
    </row>
    <row r="278">
      <c r="A278" s="134"/>
      <c r="B278" s="134"/>
      <c r="C278" s="68"/>
      <c r="D278" s="68"/>
      <c r="E278" s="68"/>
      <c r="F278" s="68"/>
      <c r="G278" s="68"/>
      <c r="H278" s="68"/>
      <c r="I278" s="221"/>
      <c r="J278" s="221"/>
      <c r="K278" s="221"/>
      <c r="L278" s="221"/>
      <c r="M278" s="221"/>
      <c r="N278" s="221"/>
      <c r="O278" s="221"/>
      <c r="P278" s="221"/>
      <c r="Q278" s="221"/>
      <c r="R278" s="221"/>
      <c r="S278" s="221"/>
      <c r="T278" s="221"/>
      <c r="U278" s="221"/>
      <c r="V278" s="221"/>
      <c r="W278" s="221"/>
      <c r="X278" s="221"/>
      <c r="Y278" s="68"/>
      <c r="Z278" s="68"/>
      <c r="AA278" s="68"/>
    </row>
    <row r="279">
      <c r="A279" s="134"/>
      <c r="B279" s="134"/>
      <c r="C279" s="68"/>
      <c r="D279" s="68"/>
      <c r="E279" s="68"/>
      <c r="F279" s="68"/>
      <c r="G279" s="68"/>
      <c r="H279" s="68"/>
      <c r="I279" s="221"/>
      <c r="J279" s="221"/>
      <c r="K279" s="221"/>
      <c r="L279" s="221"/>
      <c r="M279" s="221"/>
      <c r="N279" s="221"/>
      <c r="O279" s="221"/>
      <c r="P279" s="221"/>
      <c r="Q279" s="221"/>
      <c r="R279" s="221"/>
      <c r="S279" s="221"/>
      <c r="T279" s="221"/>
      <c r="U279" s="221"/>
      <c r="V279" s="221"/>
      <c r="W279" s="221"/>
      <c r="X279" s="221"/>
      <c r="Y279" s="68"/>
      <c r="Z279" s="68"/>
      <c r="AA279" s="68"/>
    </row>
    <row r="280">
      <c r="A280" s="134"/>
      <c r="B280" s="134"/>
      <c r="C280" s="68"/>
      <c r="D280" s="68"/>
      <c r="E280" s="68"/>
      <c r="F280" s="68"/>
      <c r="G280" s="68"/>
      <c r="H280" s="68"/>
      <c r="I280" s="221"/>
      <c r="J280" s="221"/>
      <c r="K280" s="221"/>
      <c r="L280" s="221"/>
      <c r="M280" s="221"/>
      <c r="N280" s="221"/>
      <c r="O280" s="221"/>
      <c r="P280" s="221"/>
      <c r="Q280" s="221"/>
      <c r="R280" s="221"/>
      <c r="S280" s="221"/>
      <c r="T280" s="221"/>
      <c r="U280" s="221"/>
      <c r="V280" s="221"/>
      <c r="W280" s="221"/>
      <c r="X280" s="221"/>
      <c r="Y280" s="68"/>
      <c r="Z280" s="68"/>
      <c r="AA280" s="68"/>
    </row>
    <row r="281">
      <c r="A281" s="134"/>
      <c r="B281" s="134"/>
      <c r="C281" s="68"/>
      <c r="D281" s="68"/>
      <c r="E281" s="68"/>
      <c r="F281" s="68"/>
      <c r="G281" s="68"/>
      <c r="H281" s="68"/>
      <c r="I281" s="221"/>
      <c r="J281" s="221"/>
      <c r="K281" s="221"/>
      <c r="L281" s="221"/>
      <c r="M281" s="221"/>
      <c r="N281" s="221"/>
      <c r="O281" s="221"/>
      <c r="P281" s="221"/>
      <c r="Q281" s="221"/>
      <c r="R281" s="221"/>
      <c r="S281" s="221"/>
      <c r="T281" s="221"/>
      <c r="U281" s="221"/>
      <c r="V281" s="221"/>
      <c r="W281" s="221"/>
      <c r="X281" s="221"/>
      <c r="Y281" s="68"/>
      <c r="Z281" s="68"/>
      <c r="AA281" s="68"/>
    </row>
    <row r="282">
      <c r="A282" s="134"/>
      <c r="B282" s="134"/>
      <c r="C282" s="68"/>
      <c r="D282" s="68"/>
      <c r="E282" s="68"/>
      <c r="F282" s="68"/>
      <c r="G282" s="68"/>
      <c r="H282" s="68"/>
      <c r="I282" s="221"/>
      <c r="J282" s="221"/>
      <c r="K282" s="221"/>
      <c r="L282" s="221"/>
      <c r="M282" s="221"/>
      <c r="N282" s="221"/>
      <c r="O282" s="221"/>
      <c r="P282" s="221"/>
      <c r="Q282" s="221"/>
      <c r="R282" s="221"/>
      <c r="S282" s="221"/>
      <c r="T282" s="221"/>
      <c r="U282" s="221"/>
      <c r="V282" s="221"/>
      <c r="W282" s="221"/>
      <c r="X282" s="221"/>
      <c r="Y282" s="68"/>
      <c r="Z282" s="68"/>
      <c r="AA282" s="68"/>
    </row>
    <row r="283">
      <c r="A283" s="134"/>
      <c r="B283" s="134"/>
      <c r="C283" s="68"/>
      <c r="D283" s="68"/>
      <c r="E283" s="68"/>
      <c r="F283" s="68"/>
      <c r="G283" s="68"/>
      <c r="H283" s="68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68"/>
      <c r="Z283" s="68"/>
      <c r="AA283" s="68"/>
    </row>
    <row r="284">
      <c r="A284" s="134"/>
      <c r="B284" s="134"/>
      <c r="C284" s="68"/>
      <c r="D284" s="68"/>
      <c r="E284" s="68"/>
      <c r="F284" s="68"/>
      <c r="G284" s="68"/>
      <c r="H284" s="68"/>
      <c r="I284" s="221"/>
      <c r="J284" s="221"/>
      <c r="K284" s="221"/>
      <c r="L284" s="221"/>
      <c r="M284" s="221"/>
      <c r="N284" s="221"/>
      <c r="O284" s="221"/>
      <c r="P284" s="221"/>
      <c r="Q284" s="221"/>
      <c r="R284" s="221"/>
      <c r="S284" s="221"/>
      <c r="T284" s="221"/>
      <c r="U284" s="221"/>
      <c r="V284" s="221"/>
      <c r="W284" s="221"/>
      <c r="X284" s="221"/>
      <c r="Y284" s="68"/>
      <c r="Z284" s="68"/>
      <c r="AA284" s="68"/>
    </row>
    <row r="285">
      <c r="A285" s="134"/>
      <c r="B285" s="134"/>
      <c r="C285" s="68"/>
      <c r="D285" s="68"/>
      <c r="E285" s="68"/>
      <c r="F285" s="68"/>
      <c r="G285" s="68"/>
      <c r="H285" s="68"/>
      <c r="I285" s="221"/>
      <c r="J285" s="221"/>
      <c r="K285" s="221"/>
      <c r="L285" s="221"/>
      <c r="M285" s="221"/>
      <c r="N285" s="221"/>
      <c r="O285" s="221"/>
      <c r="P285" s="221"/>
      <c r="Q285" s="221"/>
      <c r="R285" s="221"/>
      <c r="S285" s="221"/>
      <c r="T285" s="221"/>
      <c r="U285" s="221"/>
      <c r="V285" s="221"/>
      <c r="W285" s="221"/>
      <c r="X285" s="221"/>
      <c r="Y285" s="68"/>
      <c r="Z285" s="68"/>
      <c r="AA285" s="68"/>
    </row>
    <row r="286">
      <c r="A286" s="134"/>
      <c r="B286" s="134"/>
      <c r="C286" s="68"/>
      <c r="D286" s="68"/>
      <c r="E286" s="68"/>
      <c r="F286" s="68"/>
      <c r="G286" s="68"/>
      <c r="H286" s="68"/>
      <c r="I286" s="221"/>
      <c r="J286" s="221"/>
      <c r="K286" s="221"/>
      <c r="L286" s="221"/>
      <c r="M286" s="221"/>
      <c r="N286" s="221"/>
      <c r="O286" s="221"/>
      <c r="P286" s="221"/>
      <c r="Q286" s="221"/>
      <c r="R286" s="221"/>
      <c r="S286" s="221"/>
      <c r="T286" s="221"/>
      <c r="U286" s="221"/>
      <c r="V286" s="221"/>
      <c r="W286" s="221"/>
      <c r="X286" s="221"/>
      <c r="Y286" s="68"/>
      <c r="Z286" s="68"/>
      <c r="AA286" s="68"/>
    </row>
    <row r="287">
      <c r="A287" s="134"/>
      <c r="B287" s="134"/>
      <c r="C287" s="68"/>
      <c r="D287" s="68"/>
      <c r="E287" s="68"/>
      <c r="F287" s="68"/>
      <c r="G287" s="68"/>
      <c r="H287" s="68"/>
      <c r="I287" s="221"/>
      <c r="J287" s="221"/>
      <c r="K287" s="221"/>
      <c r="L287" s="221"/>
      <c r="M287" s="221"/>
      <c r="N287" s="221"/>
      <c r="O287" s="221"/>
      <c r="P287" s="221"/>
      <c r="Q287" s="221"/>
      <c r="R287" s="221"/>
      <c r="S287" s="221"/>
      <c r="T287" s="221"/>
      <c r="U287" s="221"/>
      <c r="V287" s="221"/>
      <c r="W287" s="221"/>
      <c r="X287" s="221"/>
      <c r="Y287" s="68"/>
      <c r="Z287" s="68"/>
      <c r="AA287" s="68"/>
    </row>
    <row r="288">
      <c r="A288" s="134"/>
      <c r="B288" s="134"/>
      <c r="C288" s="68"/>
      <c r="D288" s="68"/>
      <c r="E288" s="68"/>
      <c r="F288" s="68"/>
      <c r="G288" s="68"/>
      <c r="H288" s="68"/>
      <c r="I288" s="221"/>
      <c r="J288" s="221"/>
      <c r="K288" s="221"/>
      <c r="L288" s="221"/>
      <c r="M288" s="221"/>
      <c r="N288" s="221"/>
      <c r="O288" s="221"/>
      <c r="P288" s="221"/>
      <c r="Q288" s="221"/>
      <c r="R288" s="221"/>
      <c r="S288" s="221"/>
      <c r="T288" s="221"/>
      <c r="U288" s="221"/>
      <c r="V288" s="221"/>
      <c r="W288" s="221"/>
      <c r="X288" s="221"/>
      <c r="Y288" s="68"/>
      <c r="Z288" s="68"/>
      <c r="AA288" s="68"/>
    </row>
    <row r="289">
      <c r="A289" s="134"/>
      <c r="B289" s="134"/>
      <c r="C289" s="68"/>
      <c r="D289" s="68"/>
      <c r="E289" s="68"/>
      <c r="F289" s="68"/>
      <c r="G289" s="68"/>
      <c r="H289" s="68"/>
      <c r="I289" s="221"/>
      <c r="J289" s="221"/>
      <c r="K289" s="221"/>
      <c r="L289" s="221"/>
      <c r="M289" s="221"/>
      <c r="N289" s="221"/>
      <c r="O289" s="221"/>
      <c r="P289" s="221"/>
      <c r="Q289" s="221"/>
      <c r="R289" s="221"/>
      <c r="S289" s="221"/>
      <c r="T289" s="221"/>
      <c r="U289" s="221"/>
      <c r="V289" s="221"/>
      <c r="W289" s="221"/>
      <c r="X289" s="221"/>
      <c r="Y289" s="68"/>
      <c r="Z289" s="68"/>
      <c r="AA289" s="68"/>
    </row>
    <row r="290">
      <c r="A290" s="134"/>
      <c r="B290" s="134"/>
      <c r="C290" s="68"/>
      <c r="D290" s="68"/>
      <c r="E290" s="68"/>
      <c r="F290" s="68"/>
      <c r="G290" s="68"/>
      <c r="H290" s="68"/>
      <c r="I290" s="221"/>
      <c r="J290" s="221"/>
      <c r="K290" s="221"/>
      <c r="L290" s="221"/>
      <c r="M290" s="221"/>
      <c r="N290" s="221"/>
      <c r="O290" s="221"/>
      <c r="P290" s="221"/>
      <c r="Q290" s="221"/>
      <c r="R290" s="221"/>
      <c r="S290" s="221"/>
      <c r="T290" s="221"/>
      <c r="U290" s="221"/>
      <c r="V290" s="221"/>
      <c r="W290" s="221"/>
      <c r="X290" s="221"/>
      <c r="Y290" s="68"/>
      <c r="Z290" s="68"/>
      <c r="AA290" s="68"/>
    </row>
    <row r="291">
      <c r="A291" s="134"/>
      <c r="B291" s="134"/>
      <c r="C291" s="68"/>
      <c r="D291" s="68"/>
      <c r="E291" s="68"/>
      <c r="F291" s="68"/>
      <c r="G291" s="68"/>
      <c r="H291" s="68"/>
      <c r="I291" s="221"/>
      <c r="J291" s="221"/>
      <c r="K291" s="221"/>
      <c r="L291" s="221"/>
      <c r="M291" s="221"/>
      <c r="N291" s="221"/>
      <c r="O291" s="221"/>
      <c r="P291" s="221"/>
      <c r="Q291" s="221"/>
      <c r="R291" s="221"/>
      <c r="S291" s="221"/>
      <c r="T291" s="221"/>
      <c r="U291" s="221"/>
      <c r="V291" s="221"/>
      <c r="W291" s="221"/>
      <c r="X291" s="221"/>
      <c r="Y291" s="68"/>
      <c r="Z291" s="68"/>
      <c r="AA291" s="68"/>
    </row>
    <row r="292">
      <c r="A292" s="134"/>
      <c r="B292" s="134"/>
      <c r="C292" s="68"/>
      <c r="D292" s="68"/>
      <c r="E292" s="68"/>
      <c r="F292" s="68"/>
      <c r="G292" s="68"/>
      <c r="H292" s="68"/>
      <c r="I292" s="221"/>
      <c r="J292" s="221"/>
      <c r="K292" s="221"/>
      <c r="L292" s="221"/>
      <c r="M292" s="221"/>
      <c r="N292" s="221"/>
      <c r="O292" s="221"/>
      <c r="P292" s="221"/>
      <c r="Q292" s="221"/>
      <c r="R292" s="221"/>
      <c r="S292" s="221"/>
      <c r="T292" s="221"/>
      <c r="U292" s="221"/>
      <c r="V292" s="221"/>
      <c r="W292" s="221"/>
      <c r="X292" s="221"/>
      <c r="Y292" s="68"/>
      <c r="Z292" s="68"/>
      <c r="AA292" s="68"/>
    </row>
    <row r="293">
      <c r="A293" s="134"/>
      <c r="B293" s="134"/>
      <c r="C293" s="68"/>
      <c r="D293" s="68"/>
      <c r="E293" s="68"/>
      <c r="F293" s="68"/>
      <c r="G293" s="68"/>
      <c r="H293" s="68"/>
      <c r="I293" s="221"/>
      <c r="J293" s="221"/>
      <c r="K293" s="221"/>
      <c r="L293" s="221"/>
      <c r="M293" s="221"/>
      <c r="N293" s="221"/>
      <c r="O293" s="221"/>
      <c r="P293" s="221"/>
      <c r="Q293" s="221"/>
      <c r="R293" s="221"/>
      <c r="S293" s="221"/>
      <c r="T293" s="221"/>
      <c r="U293" s="221"/>
      <c r="V293" s="221"/>
      <c r="W293" s="221"/>
      <c r="X293" s="221"/>
      <c r="Y293" s="68"/>
      <c r="Z293" s="68"/>
      <c r="AA293" s="68"/>
    </row>
    <row r="294">
      <c r="A294" s="134"/>
      <c r="B294" s="134"/>
      <c r="C294" s="68"/>
      <c r="D294" s="68"/>
      <c r="E294" s="68"/>
      <c r="F294" s="68"/>
      <c r="G294" s="68"/>
      <c r="H294" s="68"/>
      <c r="I294" s="221"/>
      <c r="J294" s="221"/>
      <c r="K294" s="221"/>
      <c r="L294" s="221"/>
      <c r="M294" s="221"/>
      <c r="N294" s="221"/>
      <c r="O294" s="221"/>
      <c r="P294" s="221"/>
      <c r="Q294" s="221"/>
      <c r="R294" s="221"/>
      <c r="S294" s="221"/>
      <c r="T294" s="221"/>
      <c r="U294" s="221"/>
      <c r="V294" s="221"/>
      <c r="W294" s="221"/>
      <c r="X294" s="221"/>
      <c r="Y294" s="68"/>
      <c r="Z294" s="68"/>
      <c r="AA294" s="68"/>
    </row>
    <row r="295">
      <c r="A295" s="134"/>
      <c r="B295" s="134"/>
      <c r="C295" s="68"/>
      <c r="D295" s="68"/>
      <c r="E295" s="68"/>
      <c r="F295" s="68"/>
      <c r="G295" s="68"/>
      <c r="H295" s="68"/>
      <c r="I295" s="221"/>
      <c r="J295" s="221"/>
      <c r="K295" s="221"/>
      <c r="L295" s="221"/>
      <c r="M295" s="221"/>
      <c r="N295" s="221"/>
      <c r="O295" s="221"/>
      <c r="P295" s="221"/>
      <c r="Q295" s="221"/>
      <c r="R295" s="221"/>
      <c r="S295" s="221"/>
      <c r="T295" s="221"/>
      <c r="U295" s="221"/>
      <c r="V295" s="221"/>
      <c r="W295" s="221"/>
      <c r="X295" s="221"/>
      <c r="Y295" s="68"/>
      <c r="Z295" s="68"/>
      <c r="AA295" s="68"/>
    </row>
    <row r="296">
      <c r="A296" s="134"/>
      <c r="B296" s="134"/>
      <c r="C296" s="68"/>
      <c r="D296" s="68"/>
      <c r="E296" s="68"/>
      <c r="F296" s="68"/>
      <c r="G296" s="68"/>
      <c r="H296" s="68"/>
      <c r="I296" s="221"/>
      <c r="J296" s="221"/>
      <c r="K296" s="221"/>
      <c r="L296" s="221"/>
      <c r="M296" s="221"/>
      <c r="N296" s="221"/>
      <c r="O296" s="221"/>
      <c r="P296" s="221"/>
      <c r="Q296" s="221"/>
      <c r="R296" s="221"/>
      <c r="S296" s="221"/>
      <c r="T296" s="221"/>
      <c r="U296" s="221"/>
      <c r="V296" s="221"/>
      <c r="W296" s="221"/>
      <c r="X296" s="221"/>
      <c r="Y296" s="68"/>
      <c r="Z296" s="68"/>
      <c r="AA296" s="68"/>
    </row>
    <row r="297">
      <c r="A297" s="134"/>
      <c r="B297" s="134"/>
      <c r="C297" s="68"/>
      <c r="D297" s="68"/>
      <c r="E297" s="68"/>
      <c r="F297" s="68"/>
      <c r="G297" s="68"/>
      <c r="H297" s="68"/>
      <c r="I297" s="221"/>
      <c r="J297" s="221"/>
      <c r="K297" s="221"/>
      <c r="L297" s="221"/>
      <c r="M297" s="221"/>
      <c r="N297" s="221"/>
      <c r="O297" s="221"/>
      <c r="P297" s="221"/>
      <c r="Q297" s="221"/>
      <c r="R297" s="221"/>
      <c r="S297" s="221"/>
      <c r="T297" s="221"/>
      <c r="U297" s="221"/>
      <c r="V297" s="221"/>
      <c r="W297" s="221"/>
      <c r="X297" s="221"/>
      <c r="Y297" s="68"/>
      <c r="Z297" s="68"/>
      <c r="AA297" s="68"/>
    </row>
    <row r="298">
      <c r="A298" s="134"/>
      <c r="B298" s="134"/>
      <c r="C298" s="68"/>
      <c r="D298" s="68"/>
      <c r="E298" s="68"/>
      <c r="F298" s="68"/>
      <c r="G298" s="68"/>
      <c r="H298" s="68"/>
      <c r="I298" s="221"/>
      <c r="J298" s="221"/>
      <c r="K298" s="221"/>
      <c r="L298" s="221"/>
      <c r="M298" s="221"/>
      <c r="N298" s="221"/>
      <c r="O298" s="221"/>
      <c r="P298" s="221"/>
      <c r="Q298" s="221"/>
      <c r="R298" s="221"/>
      <c r="S298" s="221"/>
      <c r="T298" s="221"/>
      <c r="U298" s="221"/>
      <c r="V298" s="221"/>
      <c r="W298" s="221"/>
      <c r="X298" s="221"/>
      <c r="Y298" s="68"/>
      <c r="Z298" s="68"/>
      <c r="AA298" s="68"/>
    </row>
    <row r="299">
      <c r="A299" s="134"/>
      <c r="B299" s="134"/>
      <c r="C299" s="68"/>
      <c r="D299" s="68"/>
      <c r="E299" s="68"/>
      <c r="F299" s="68"/>
      <c r="G299" s="68"/>
      <c r="H299" s="68"/>
      <c r="I299" s="221"/>
      <c r="J299" s="221"/>
      <c r="K299" s="221"/>
      <c r="L299" s="221"/>
      <c r="M299" s="221"/>
      <c r="N299" s="221"/>
      <c r="O299" s="221"/>
      <c r="P299" s="221"/>
      <c r="Q299" s="221"/>
      <c r="R299" s="221"/>
      <c r="S299" s="221"/>
      <c r="T299" s="221"/>
      <c r="U299" s="221"/>
      <c r="V299" s="221"/>
      <c r="W299" s="221"/>
      <c r="X299" s="221"/>
      <c r="Y299" s="68"/>
      <c r="Z299" s="68"/>
      <c r="AA299" s="68"/>
    </row>
    <row r="300">
      <c r="A300" s="134"/>
      <c r="B300" s="134"/>
      <c r="C300" s="68"/>
      <c r="D300" s="68"/>
      <c r="E300" s="68"/>
      <c r="F300" s="68"/>
      <c r="G300" s="68"/>
      <c r="H300" s="68"/>
      <c r="I300" s="221"/>
      <c r="J300" s="221"/>
      <c r="K300" s="221"/>
      <c r="L300" s="221"/>
      <c r="M300" s="221"/>
      <c r="N300" s="221"/>
      <c r="O300" s="221"/>
      <c r="P300" s="221"/>
      <c r="Q300" s="221"/>
      <c r="R300" s="221"/>
      <c r="S300" s="221"/>
      <c r="T300" s="221"/>
      <c r="U300" s="221"/>
      <c r="V300" s="221"/>
      <c r="W300" s="221"/>
      <c r="X300" s="221"/>
      <c r="Y300" s="68"/>
      <c r="Z300" s="68"/>
      <c r="AA300" s="68"/>
    </row>
    <row r="301">
      <c r="A301" s="134"/>
      <c r="B301" s="134"/>
      <c r="C301" s="68"/>
      <c r="D301" s="68"/>
      <c r="E301" s="68"/>
      <c r="F301" s="68"/>
      <c r="G301" s="68"/>
      <c r="H301" s="68"/>
      <c r="I301" s="221"/>
      <c r="J301" s="221"/>
      <c r="K301" s="221"/>
      <c r="L301" s="221"/>
      <c r="M301" s="221"/>
      <c r="N301" s="221"/>
      <c r="O301" s="221"/>
      <c r="P301" s="221"/>
      <c r="Q301" s="221"/>
      <c r="R301" s="221"/>
      <c r="S301" s="221"/>
      <c r="T301" s="221"/>
      <c r="U301" s="221"/>
      <c r="V301" s="221"/>
      <c r="W301" s="221"/>
      <c r="X301" s="221"/>
      <c r="Y301" s="68"/>
      <c r="Z301" s="68"/>
      <c r="AA301" s="68"/>
    </row>
    <row r="302">
      <c r="A302" s="134"/>
      <c r="B302" s="134"/>
      <c r="C302" s="68"/>
      <c r="D302" s="68"/>
      <c r="E302" s="68"/>
      <c r="F302" s="68"/>
      <c r="G302" s="68"/>
      <c r="H302" s="68"/>
      <c r="I302" s="221"/>
      <c r="J302" s="221"/>
      <c r="K302" s="221"/>
      <c r="L302" s="221"/>
      <c r="M302" s="221"/>
      <c r="N302" s="221"/>
      <c r="O302" s="221"/>
      <c r="P302" s="221"/>
      <c r="Q302" s="221"/>
      <c r="R302" s="221"/>
      <c r="S302" s="221"/>
      <c r="T302" s="221"/>
      <c r="U302" s="221"/>
      <c r="V302" s="221"/>
      <c r="W302" s="221"/>
      <c r="X302" s="221"/>
      <c r="Y302" s="68"/>
      <c r="Z302" s="68"/>
      <c r="AA302" s="68"/>
    </row>
    <row r="303">
      <c r="A303" s="134"/>
      <c r="B303" s="134"/>
      <c r="C303" s="68"/>
      <c r="D303" s="68"/>
      <c r="E303" s="68"/>
      <c r="F303" s="68"/>
      <c r="G303" s="68"/>
      <c r="H303" s="68"/>
      <c r="I303" s="221"/>
      <c r="J303" s="221"/>
      <c r="K303" s="221"/>
      <c r="L303" s="221"/>
      <c r="M303" s="221"/>
      <c r="N303" s="221"/>
      <c r="O303" s="221"/>
      <c r="P303" s="221"/>
      <c r="Q303" s="221"/>
      <c r="R303" s="221"/>
      <c r="S303" s="221"/>
      <c r="T303" s="221"/>
      <c r="U303" s="221"/>
      <c r="V303" s="221"/>
      <c r="W303" s="221"/>
      <c r="X303" s="221"/>
      <c r="Y303" s="68"/>
      <c r="Z303" s="68"/>
      <c r="AA303" s="68"/>
    </row>
    <row r="304">
      <c r="A304" s="134"/>
      <c r="B304" s="134"/>
      <c r="C304" s="68"/>
      <c r="D304" s="68"/>
      <c r="E304" s="68"/>
      <c r="F304" s="68"/>
      <c r="G304" s="68"/>
      <c r="H304" s="68"/>
      <c r="I304" s="221"/>
      <c r="J304" s="221"/>
      <c r="K304" s="221"/>
      <c r="L304" s="221"/>
      <c r="M304" s="221"/>
      <c r="N304" s="221"/>
      <c r="O304" s="221"/>
      <c r="P304" s="221"/>
      <c r="Q304" s="221"/>
      <c r="R304" s="221"/>
      <c r="S304" s="221"/>
      <c r="T304" s="221"/>
      <c r="U304" s="221"/>
      <c r="V304" s="221"/>
      <c r="W304" s="221"/>
      <c r="X304" s="221"/>
      <c r="Y304" s="68"/>
      <c r="Z304" s="68"/>
      <c r="AA304" s="68"/>
    </row>
    <row r="305">
      <c r="A305" s="134"/>
      <c r="B305" s="134"/>
      <c r="C305" s="68"/>
      <c r="D305" s="68"/>
      <c r="E305" s="68"/>
      <c r="F305" s="68"/>
      <c r="G305" s="68"/>
      <c r="H305" s="68"/>
      <c r="I305" s="221"/>
      <c r="J305" s="221"/>
      <c r="K305" s="221"/>
      <c r="L305" s="221"/>
      <c r="M305" s="221"/>
      <c r="N305" s="221"/>
      <c r="O305" s="221"/>
      <c r="P305" s="221"/>
      <c r="Q305" s="221"/>
      <c r="R305" s="221"/>
      <c r="S305" s="221"/>
      <c r="T305" s="221"/>
      <c r="U305" s="221"/>
      <c r="V305" s="221"/>
      <c r="W305" s="221"/>
      <c r="X305" s="221"/>
      <c r="Y305" s="68"/>
      <c r="Z305" s="68"/>
      <c r="AA305" s="68"/>
    </row>
    <row r="306">
      <c r="A306" s="134"/>
      <c r="B306" s="134"/>
      <c r="C306" s="68"/>
      <c r="D306" s="68"/>
      <c r="E306" s="68"/>
      <c r="F306" s="68"/>
      <c r="G306" s="68"/>
      <c r="H306" s="68"/>
      <c r="I306" s="221"/>
      <c r="J306" s="221"/>
      <c r="K306" s="221"/>
      <c r="L306" s="221"/>
      <c r="M306" s="221"/>
      <c r="N306" s="221"/>
      <c r="O306" s="221"/>
      <c r="P306" s="221"/>
      <c r="Q306" s="221"/>
      <c r="R306" s="221"/>
      <c r="S306" s="221"/>
      <c r="T306" s="221"/>
      <c r="U306" s="221"/>
      <c r="V306" s="221"/>
      <c r="W306" s="221"/>
      <c r="X306" s="221"/>
      <c r="Y306" s="68"/>
      <c r="Z306" s="68"/>
      <c r="AA306" s="68"/>
    </row>
    <row r="307">
      <c r="A307" s="134"/>
      <c r="B307" s="134"/>
      <c r="C307" s="68"/>
      <c r="D307" s="68"/>
      <c r="E307" s="68"/>
      <c r="F307" s="68"/>
      <c r="G307" s="68"/>
      <c r="H307" s="68"/>
      <c r="I307" s="221"/>
      <c r="J307" s="221"/>
      <c r="K307" s="221"/>
      <c r="L307" s="221"/>
      <c r="M307" s="221"/>
      <c r="N307" s="221"/>
      <c r="O307" s="221"/>
      <c r="P307" s="221"/>
      <c r="Q307" s="221"/>
      <c r="R307" s="221"/>
      <c r="S307" s="221"/>
      <c r="T307" s="221"/>
      <c r="U307" s="221"/>
      <c r="V307" s="221"/>
      <c r="W307" s="221"/>
      <c r="X307" s="221"/>
      <c r="Y307" s="68"/>
      <c r="Z307" s="68"/>
      <c r="AA307" s="68"/>
    </row>
    <row r="308">
      <c r="A308" s="134"/>
      <c r="B308" s="134"/>
      <c r="C308" s="68"/>
      <c r="D308" s="68"/>
      <c r="E308" s="68"/>
      <c r="F308" s="68"/>
      <c r="G308" s="68"/>
      <c r="H308" s="68"/>
      <c r="I308" s="221"/>
      <c r="J308" s="221"/>
      <c r="K308" s="221"/>
      <c r="L308" s="221"/>
      <c r="M308" s="221"/>
      <c r="N308" s="221"/>
      <c r="O308" s="221"/>
      <c r="P308" s="221"/>
      <c r="Q308" s="221"/>
      <c r="R308" s="221"/>
      <c r="S308" s="221"/>
      <c r="T308" s="221"/>
      <c r="U308" s="221"/>
      <c r="V308" s="221"/>
      <c r="W308" s="221"/>
      <c r="X308" s="221"/>
      <c r="Y308" s="68"/>
      <c r="Z308" s="68"/>
      <c r="AA308" s="68"/>
    </row>
    <row r="309">
      <c r="A309" s="134"/>
      <c r="B309" s="134"/>
      <c r="C309" s="68"/>
      <c r="D309" s="68"/>
      <c r="E309" s="68"/>
      <c r="F309" s="68"/>
      <c r="G309" s="68"/>
      <c r="H309" s="68"/>
      <c r="I309" s="221"/>
      <c r="J309" s="221"/>
      <c r="K309" s="221"/>
      <c r="L309" s="221"/>
      <c r="M309" s="221"/>
      <c r="N309" s="221"/>
      <c r="O309" s="221"/>
      <c r="P309" s="221"/>
      <c r="Q309" s="221"/>
      <c r="R309" s="221"/>
      <c r="S309" s="221"/>
      <c r="T309" s="221"/>
      <c r="U309" s="221"/>
      <c r="V309" s="221"/>
      <c r="W309" s="221"/>
      <c r="X309" s="221"/>
      <c r="Y309" s="68"/>
      <c r="Z309" s="68"/>
      <c r="AA309" s="68"/>
    </row>
    <row r="310">
      <c r="A310" s="134"/>
      <c r="B310" s="134"/>
      <c r="C310" s="68"/>
      <c r="D310" s="68"/>
      <c r="E310" s="68"/>
      <c r="F310" s="68"/>
      <c r="G310" s="68"/>
      <c r="H310" s="68"/>
      <c r="I310" s="221"/>
      <c r="J310" s="221"/>
      <c r="K310" s="221"/>
      <c r="L310" s="221"/>
      <c r="M310" s="221"/>
      <c r="N310" s="221"/>
      <c r="O310" s="221"/>
      <c r="P310" s="221"/>
      <c r="Q310" s="221"/>
      <c r="R310" s="221"/>
      <c r="S310" s="221"/>
      <c r="T310" s="221"/>
      <c r="U310" s="221"/>
      <c r="V310" s="221"/>
      <c r="W310" s="221"/>
      <c r="X310" s="221"/>
      <c r="Y310" s="68"/>
      <c r="Z310" s="68"/>
      <c r="AA310" s="68"/>
    </row>
    <row r="311">
      <c r="A311" s="134"/>
      <c r="B311" s="134"/>
      <c r="C311" s="68"/>
      <c r="D311" s="68"/>
      <c r="E311" s="68"/>
      <c r="F311" s="68"/>
      <c r="G311" s="68"/>
      <c r="H311" s="68"/>
      <c r="I311" s="221"/>
      <c r="J311" s="221"/>
      <c r="K311" s="221"/>
      <c r="L311" s="221"/>
      <c r="M311" s="221"/>
      <c r="N311" s="221"/>
      <c r="O311" s="221"/>
      <c r="P311" s="221"/>
      <c r="Q311" s="221"/>
      <c r="R311" s="221"/>
      <c r="S311" s="221"/>
      <c r="T311" s="221"/>
      <c r="U311" s="221"/>
      <c r="V311" s="221"/>
      <c r="W311" s="221"/>
      <c r="X311" s="221"/>
      <c r="Y311" s="68"/>
      <c r="Z311" s="68"/>
      <c r="AA311" s="68"/>
    </row>
    <row r="312">
      <c r="A312" s="134"/>
      <c r="B312" s="134"/>
      <c r="C312" s="68"/>
      <c r="D312" s="68"/>
      <c r="E312" s="68"/>
      <c r="F312" s="68"/>
      <c r="G312" s="68"/>
      <c r="H312" s="68"/>
      <c r="I312" s="221"/>
      <c r="J312" s="221"/>
      <c r="K312" s="221"/>
      <c r="L312" s="221"/>
      <c r="M312" s="221"/>
      <c r="N312" s="221"/>
      <c r="O312" s="221"/>
      <c r="P312" s="221"/>
      <c r="Q312" s="221"/>
      <c r="R312" s="221"/>
      <c r="S312" s="221"/>
      <c r="T312" s="221"/>
      <c r="U312" s="221"/>
      <c r="V312" s="221"/>
      <c r="W312" s="221"/>
      <c r="X312" s="221"/>
      <c r="Y312" s="68"/>
      <c r="Z312" s="68"/>
      <c r="AA312" s="68"/>
    </row>
    <row r="313">
      <c r="A313" s="134"/>
      <c r="B313" s="134"/>
      <c r="C313" s="68"/>
      <c r="D313" s="68"/>
      <c r="E313" s="68"/>
      <c r="F313" s="68"/>
      <c r="G313" s="68"/>
      <c r="H313" s="68"/>
      <c r="I313" s="221"/>
      <c r="J313" s="221"/>
      <c r="K313" s="221"/>
      <c r="L313" s="221"/>
      <c r="M313" s="221"/>
      <c r="N313" s="221"/>
      <c r="O313" s="221"/>
      <c r="P313" s="221"/>
      <c r="Q313" s="221"/>
      <c r="R313" s="221"/>
      <c r="S313" s="221"/>
      <c r="T313" s="221"/>
      <c r="U313" s="221"/>
      <c r="V313" s="221"/>
      <c r="W313" s="221"/>
      <c r="X313" s="221"/>
      <c r="Y313" s="68"/>
      <c r="Z313" s="68"/>
      <c r="AA313" s="68"/>
    </row>
    <row r="314">
      <c r="A314" s="134"/>
      <c r="B314" s="134"/>
      <c r="C314" s="68"/>
      <c r="D314" s="68"/>
      <c r="E314" s="68"/>
      <c r="F314" s="68"/>
      <c r="G314" s="68"/>
      <c r="H314" s="68"/>
      <c r="I314" s="221"/>
      <c r="J314" s="221"/>
      <c r="K314" s="221"/>
      <c r="L314" s="221"/>
      <c r="M314" s="221"/>
      <c r="N314" s="221"/>
      <c r="O314" s="221"/>
      <c r="P314" s="221"/>
      <c r="Q314" s="221"/>
      <c r="R314" s="221"/>
      <c r="S314" s="221"/>
      <c r="T314" s="221"/>
      <c r="U314" s="221"/>
      <c r="V314" s="221"/>
      <c r="W314" s="221"/>
      <c r="X314" s="221"/>
      <c r="Y314" s="68"/>
      <c r="Z314" s="68"/>
      <c r="AA314" s="68"/>
    </row>
    <row r="315">
      <c r="A315" s="134"/>
      <c r="B315" s="134"/>
      <c r="C315" s="68"/>
      <c r="D315" s="68"/>
      <c r="E315" s="68"/>
      <c r="F315" s="68"/>
      <c r="G315" s="68"/>
      <c r="H315" s="68"/>
      <c r="I315" s="221"/>
      <c r="J315" s="221"/>
      <c r="K315" s="221"/>
      <c r="L315" s="221"/>
      <c r="M315" s="221"/>
      <c r="N315" s="221"/>
      <c r="O315" s="221"/>
      <c r="P315" s="221"/>
      <c r="Q315" s="221"/>
      <c r="R315" s="221"/>
      <c r="S315" s="221"/>
      <c r="T315" s="221"/>
      <c r="U315" s="221"/>
      <c r="V315" s="221"/>
      <c r="W315" s="221"/>
      <c r="X315" s="221"/>
      <c r="Y315" s="68"/>
      <c r="Z315" s="68"/>
      <c r="AA315" s="68"/>
    </row>
    <row r="316">
      <c r="A316" s="134"/>
      <c r="B316" s="134"/>
      <c r="C316" s="68"/>
      <c r="D316" s="68"/>
      <c r="E316" s="68"/>
      <c r="F316" s="68"/>
      <c r="G316" s="68"/>
      <c r="H316" s="68"/>
      <c r="I316" s="221"/>
      <c r="J316" s="221"/>
      <c r="K316" s="221"/>
      <c r="L316" s="221"/>
      <c r="M316" s="221"/>
      <c r="N316" s="221"/>
      <c r="O316" s="221"/>
      <c r="P316" s="221"/>
      <c r="Q316" s="221"/>
      <c r="R316" s="221"/>
      <c r="S316" s="221"/>
      <c r="T316" s="221"/>
      <c r="U316" s="221"/>
      <c r="V316" s="221"/>
      <c r="W316" s="221"/>
      <c r="X316" s="221"/>
      <c r="Y316" s="68"/>
      <c r="Z316" s="68"/>
      <c r="AA316" s="68"/>
    </row>
    <row r="317">
      <c r="A317" s="134"/>
      <c r="B317" s="134"/>
      <c r="C317" s="68"/>
      <c r="D317" s="68"/>
      <c r="E317" s="68"/>
      <c r="F317" s="68"/>
      <c r="G317" s="68"/>
      <c r="H317" s="68"/>
      <c r="I317" s="221"/>
      <c r="J317" s="221"/>
      <c r="K317" s="221"/>
      <c r="L317" s="221"/>
      <c r="M317" s="221"/>
      <c r="N317" s="221"/>
      <c r="O317" s="221"/>
      <c r="P317" s="221"/>
      <c r="Q317" s="221"/>
      <c r="R317" s="221"/>
      <c r="S317" s="221"/>
      <c r="T317" s="221"/>
      <c r="U317" s="221"/>
      <c r="V317" s="221"/>
      <c r="W317" s="221"/>
      <c r="X317" s="221"/>
      <c r="Y317" s="68"/>
      <c r="Z317" s="68"/>
      <c r="AA317" s="68"/>
    </row>
    <row r="318">
      <c r="A318" s="134"/>
      <c r="B318" s="134"/>
      <c r="C318" s="68"/>
      <c r="D318" s="68"/>
      <c r="E318" s="68"/>
      <c r="F318" s="68"/>
      <c r="G318" s="68"/>
      <c r="H318" s="68"/>
      <c r="I318" s="221"/>
      <c r="J318" s="221"/>
      <c r="K318" s="221"/>
      <c r="L318" s="221"/>
      <c r="M318" s="221"/>
      <c r="N318" s="221"/>
      <c r="O318" s="221"/>
      <c r="P318" s="221"/>
      <c r="Q318" s="221"/>
      <c r="R318" s="221"/>
      <c r="S318" s="221"/>
      <c r="T318" s="221"/>
      <c r="U318" s="221"/>
      <c r="V318" s="221"/>
      <c r="W318" s="221"/>
      <c r="X318" s="221"/>
      <c r="Y318" s="68"/>
      <c r="Z318" s="68"/>
      <c r="AA318" s="68"/>
    </row>
    <row r="319">
      <c r="A319" s="134"/>
      <c r="B319" s="134"/>
      <c r="C319" s="68"/>
      <c r="D319" s="68"/>
      <c r="E319" s="68"/>
      <c r="F319" s="68"/>
      <c r="G319" s="68"/>
      <c r="H319" s="68"/>
      <c r="I319" s="221"/>
      <c r="J319" s="221"/>
      <c r="K319" s="221"/>
      <c r="L319" s="221"/>
      <c r="M319" s="221"/>
      <c r="N319" s="221"/>
      <c r="O319" s="221"/>
      <c r="P319" s="221"/>
      <c r="Q319" s="221"/>
      <c r="R319" s="221"/>
      <c r="S319" s="221"/>
      <c r="T319" s="221"/>
      <c r="U319" s="221"/>
      <c r="V319" s="221"/>
      <c r="W319" s="221"/>
      <c r="X319" s="221"/>
      <c r="Y319" s="68"/>
      <c r="Z319" s="68"/>
      <c r="AA319" s="68"/>
    </row>
    <row r="320">
      <c r="A320" s="134"/>
      <c r="B320" s="134"/>
      <c r="C320" s="68"/>
      <c r="D320" s="68"/>
      <c r="E320" s="68"/>
      <c r="F320" s="68"/>
      <c r="G320" s="68"/>
      <c r="H320" s="68"/>
      <c r="I320" s="221"/>
      <c r="J320" s="221"/>
      <c r="K320" s="221"/>
      <c r="L320" s="221"/>
      <c r="M320" s="221"/>
      <c r="N320" s="221"/>
      <c r="O320" s="221"/>
      <c r="P320" s="221"/>
      <c r="Q320" s="221"/>
      <c r="R320" s="221"/>
      <c r="S320" s="221"/>
      <c r="T320" s="221"/>
      <c r="U320" s="221"/>
      <c r="V320" s="221"/>
      <c r="W320" s="221"/>
      <c r="X320" s="221"/>
      <c r="Y320" s="68"/>
      <c r="Z320" s="68"/>
      <c r="AA320" s="68"/>
    </row>
    <row r="321">
      <c r="A321" s="134"/>
      <c r="B321" s="134"/>
      <c r="C321" s="68"/>
      <c r="D321" s="68"/>
      <c r="E321" s="68"/>
      <c r="F321" s="68"/>
      <c r="G321" s="68"/>
      <c r="H321" s="68"/>
      <c r="I321" s="221"/>
      <c r="J321" s="221"/>
      <c r="K321" s="221"/>
      <c r="L321" s="221"/>
      <c r="M321" s="221"/>
      <c r="N321" s="221"/>
      <c r="O321" s="221"/>
      <c r="P321" s="221"/>
      <c r="Q321" s="221"/>
      <c r="R321" s="221"/>
      <c r="S321" s="221"/>
      <c r="T321" s="221"/>
      <c r="U321" s="221"/>
      <c r="V321" s="221"/>
      <c r="W321" s="221"/>
      <c r="X321" s="221"/>
      <c r="Y321" s="68"/>
      <c r="Z321" s="68"/>
      <c r="AA321" s="68"/>
    </row>
    <row r="322">
      <c r="A322" s="134"/>
      <c r="B322" s="134"/>
      <c r="C322" s="68"/>
      <c r="D322" s="68"/>
      <c r="E322" s="68"/>
      <c r="F322" s="68"/>
      <c r="G322" s="68"/>
      <c r="H322" s="68"/>
      <c r="I322" s="221"/>
      <c r="J322" s="221"/>
      <c r="K322" s="221"/>
      <c r="L322" s="221"/>
      <c r="M322" s="221"/>
      <c r="N322" s="221"/>
      <c r="O322" s="221"/>
      <c r="P322" s="221"/>
      <c r="Q322" s="221"/>
      <c r="R322" s="221"/>
      <c r="S322" s="221"/>
      <c r="T322" s="221"/>
      <c r="U322" s="221"/>
      <c r="V322" s="221"/>
      <c r="W322" s="221"/>
      <c r="X322" s="221"/>
      <c r="Y322" s="68"/>
      <c r="Z322" s="68"/>
      <c r="AA322" s="68"/>
    </row>
    <row r="323">
      <c r="A323" s="134"/>
      <c r="B323" s="134"/>
      <c r="C323" s="68"/>
      <c r="D323" s="68"/>
      <c r="E323" s="68"/>
      <c r="F323" s="68"/>
      <c r="G323" s="68"/>
      <c r="H323" s="68"/>
      <c r="I323" s="221"/>
      <c r="J323" s="221"/>
      <c r="K323" s="221"/>
      <c r="L323" s="221"/>
      <c r="M323" s="221"/>
      <c r="N323" s="221"/>
      <c r="O323" s="221"/>
      <c r="P323" s="221"/>
      <c r="Q323" s="221"/>
      <c r="R323" s="221"/>
      <c r="S323" s="221"/>
      <c r="T323" s="221"/>
      <c r="U323" s="221"/>
      <c r="V323" s="221"/>
      <c r="W323" s="221"/>
      <c r="X323" s="221"/>
      <c r="Y323" s="68"/>
      <c r="Z323" s="68"/>
      <c r="AA323" s="68"/>
    </row>
    <row r="324">
      <c r="A324" s="134"/>
      <c r="B324" s="134"/>
      <c r="C324" s="68"/>
      <c r="D324" s="68"/>
      <c r="E324" s="68"/>
      <c r="F324" s="68"/>
      <c r="G324" s="68"/>
      <c r="H324" s="68"/>
      <c r="I324" s="221"/>
      <c r="J324" s="221"/>
      <c r="K324" s="221"/>
      <c r="L324" s="221"/>
      <c r="M324" s="221"/>
      <c r="N324" s="221"/>
      <c r="O324" s="221"/>
      <c r="P324" s="221"/>
      <c r="Q324" s="221"/>
      <c r="R324" s="221"/>
      <c r="S324" s="221"/>
      <c r="T324" s="221"/>
      <c r="U324" s="221"/>
      <c r="V324" s="221"/>
      <c r="W324" s="221"/>
      <c r="X324" s="221"/>
      <c r="Y324" s="68"/>
      <c r="Z324" s="68"/>
      <c r="AA324" s="68"/>
    </row>
    <row r="325">
      <c r="A325" s="134"/>
      <c r="B325" s="134"/>
      <c r="C325" s="68"/>
      <c r="D325" s="68"/>
      <c r="E325" s="68"/>
      <c r="F325" s="68"/>
      <c r="G325" s="68"/>
      <c r="H325" s="68"/>
      <c r="I325" s="221"/>
      <c r="J325" s="221"/>
      <c r="K325" s="221"/>
      <c r="L325" s="221"/>
      <c r="M325" s="221"/>
      <c r="N325" s="221"/>
      <c r="O325" s="221"/>
      <c r="P325" s="221"/>
      <c r="Q325" s="221"/>
      <c r="R325" s="221"/>
      <c r="S325" s="221"/>
      <c r="T325" s="221"/>
      <c r="U325" s="221"/>
      <c r="V325" s="221"/>
      <c r="W325" s="221"/>
      <c r="X325" s="221"/>
      <c r="Y325" s="68"/>
      <c r="Z325" s="68"/>
      <c r="AA325" s="68"/>
    </row>
    <row r="326">
      <c r="A326" s="134"/>
      <c r="B326" s="134"/>
      <c r="C326" s="68"/>
      <c r="D326" s="68"/>
      <c r="E326" s="68"/>
      <c r="F326" s="68"/>
      <c r="G326" s="68"/>
      <c r="H326" s="68"/>
      <c r="I326" s="221"/>
      <c r="J326" s="221"/>
      <c r="K326" s="221"/>
      <c r="L326" s="221"/>
      <c r="M326" s="221"/>
      <c r="N326" s="221"/>
      <c r="O326" s="221"/>
      <c r="P326" s="221"/>
      <c r="Q326" s="221"/>
      <c r="R326" s="221"/>
      <c r="S326" s="221"/>
      <c r="T326" s="221"/>
      <c r="U326" s="221"/>
      <c r="V326" s="221"/>
      <c r="W326" s="221"/>
      <c r="X326" s="221"/>
      <c r="Y326" s="68"/>
      <c r="Z326" s="68"/>
      <c r="AA326" s="68"/>
    </row>
    <row r="327">
      <c r="A327" s="134"/>
      <c r="B327" s="134"/>
      <c r="C327" s="68"/>
      <c r="D327" s="68"/>
      <c r="E327" s="68"/>
      <c r="F327" s="68"/>
      <c r="G327" s="68"/>
      <c r="H327" s="68"/>
      <c r="I327" s="221"/>
      <c r="J327" s="221"/>
      <c r="K327" s="221"/>
      <c r="L327" s="221"/>
      <c r="M327" s="221"/>
      <c r="N327" s="221"/>
      <c r="O327" s="221"/>
      <c r="P327" s="221"/>
      <c r="Q327" s="221"/>
      <c r="R327" s="221"/>
      <c r="S327" s="221"/>
      <c r="T327" s="221"/>
      <c r="U327" s="221"/>
      <c r="V327" s="221"/>
      <c r="W327" s="221"/>
      <c r="X327" s="221"/>
      <c r="Y327" s="68"/>
      <c r="Z327" s="68"/>
      <c r="AA327" s="68"/>
    </row>
    <row r="328">
      <c r="A328" s="134"/>
      <c r="B328" s="134"/>
      <c r="C328" s="68"/>
      <c r="D328" s="68"/>
      <c r="E328" s="68"/>
      <c r="F328" s="68"/>
      <c r="G328" s="68"/>
      <c r="H328" s="68"/>
      <c r="I328" s="221"/>
      <c r="J328" s="221"/>
      <c r="K328" s="221"/>
      <c r="L328" s="221"/>
      <c r="M328" s="221"/>
      <c r="N328" s="221"/>
      <c r="O328" s="221"/>
      <c r="P328" s="221"/>
      <c r="Q328" s="221"/>
      <c r="R328" s="221"/>
      <c r="S328" s="221"/>
      <c r="T328" s="221"/>
      <c r="U328" s="221"/>
      <c r="V328" s="221"/>
      <c r="W328" s="221"/>
      <c r="X328" s="221"/>
      <c r="Y328" s="68"/>
      <c r="Z328" s="68"/>
      <c r="AA328" s="68"/>
    </row>
    <row r="329">
      <c r="A329" s="134"/>
      <c r="B329" s="134"/>
      <c r="C329" s="68"/>
      <c r="D329" s="68"/>
      <c r="E329" s="68"/>
      <c r="F329" s="68"/>
      <c r="G329" s="68"/>
      <c r="H329" s="68"/>
      <c r="I329" s="221"/>
      <c r="J329" s="221"/>
      <c r="K329" s="221"/>
      <c r="L329" s="221"/>
      <c r="M329" s="221"/>
      <c r="N329" s="221"/>
      <c r="O329" s="221"/>
      <c r="P329" s="221"/>
      <c r="Q329" s="221"/>
      <c r="R329" s="221"/>
      <c r="S329" s="221"/>
      <c r="T329" s="221"/>
      <c r="U329" s="221"/>
      <c r="V329" s="221"/>
      <c r="W329" s="221"/>
      <c r="X329" s="221"/>
      <c r="Y329" s="68"/>
      <c r="Z329" s="68"/>
      <c r="AA329" s="68"/>
    </row>
    <row r="330">
      <c r="A330" s="134"/>
      <c r="B330" s="134"/>
      <c r="C330" s="68"/>
      <c r="D330" s="68"/>
      <c r="E330" s="68"/>
      <c r="F330" s="68"/>
      <c r="G330" s="68"/>
      <c r="H330" s="68"/>
      <c r="I330" s="221"/>
      <c r="J330" s="221"/>
      <c r="K330" s="221"/>
      <c r="L330" s="221"/>
      <c r="M330" s="221"/>
      <c r="N330" s="221"/>
      <c r="O330" s="221"/>
      <c r="P330" s="221"/>
      <c r="Q330" s="221"/>
      <c r="R330" s="221"/>
      <c r="S330" s="221"/>
      <c r="T330" s="221"/>
      <c r="U330" s="221"/>
      <c r="V330" s="221"/>
      <c r="W330" s="221"/>
      <c r="X330" s="221"/>
      <c r="Y330" s="68"/>
      <c r="Z330" s="68"/>
      <c r="AA330" s="68"/>
    </row>
    <row r="331">
      <c r="A331" s="134"/>
      <c r="B331" s="134"/>
      <c r="C331" s="68"/>
      <c r="D331" s="68"/>
      <c r="E331" s="68"/>
      <c r="F331" s="68"/>
      <c r="G331" s="68"/>
      <c r="H331" s="68"/>
      <c r="I331" s="221"/>
      <c r="J331" s="221"/>
      <c r="K331" s="221"/>
      <c r="L331" s="221"/>
      <c r="M331" s="221"/>
      <c r="N331" s="221"/>
      <c r="O331" s="221"/>
      <c r="P331" s="221"/>
      <c r="Q331" s="221"/>
      <c r="R331" s="221"/>
      <c r="S331" s="221"/>
      <c r="T331" s="221"/>
      <c r="U331" s="221"/>
      <c r="V331" s="221"/>
      <c r="W331" s="221"/>
      <c r="X331" s="221"/>
      <c r="Y331" s="68"/>
      <c r="Z331" s="68"/>
      <c r="AA331" s="68"/>
    </row>
    <row r="332">
      <c r="A332" s="134"/>
      <c r="B332" s="134"/>
      <c r="C332" s="68"/>
      <c r="D332" s="68"/>
      <c r="E332" s="68"/>
      <c r="F332" s="68"/>
      <c r="G332" s="68"/>
      <c r="H332" s="68"/>
      <c r="I332" s="221"/>
      <c r="J332" s="221"/>
      <c r="K332" s="221"/>
      <c r="L332" s="221"/>
      <c r="M332" s="221"/>
      <c r="N332" s="221"/>
      <c r="O332" s="221"/>
      <c r="P332" s="221"/>
      <c r="Q332" s="221"/>
      <c r="R332" s="221"/>
      <c r="S332" s="221"/>
      <c r="T332" s="221"/>
      <c r="U332" s="221"/>
      <c r="V332" s="221"/>
      <c r="W332" s="221"/>
      <c r="X332" s="221"/>
      <c r="Y332" s="68"/>
      <c r="Z332" s="68"/>
      <c r="AA332" s="68"/>
    </row>
    <row r="333">
      <c r="A333" s="134"/>
      <c r="B333" s="134"/>
      <c r="C333" s="68"/>
      <c r="D333" s="68"/>
      <c r="E333" s="68"/>
      <c r="F333" s="68"/>
      <c r="G333" s="68"/>
      <c r="H333" s="68"/>
      <c r="I333" s="221"/>
      <c r="J333" s="221"/>
      <c r="K333" s="221"/>
      <c r="L333" s="221"/>
      <c r="M333" s="221"/>
      <c r="N333" s="221"/>
      <c r="O333" s="221"/>
      <c r="P333" s="221"/>
      <c r="Q333" s="221"/>
      <c r="R333" s="221"/>
      <c r="S333" s="221"/>
      <c r="T333" s="221"/>
      <c r="U333" s="221"/>
      <c r="V333" s="221"/>
      <c r="W333" s="221"/>
      <c r="X333" s="221"/>
      <c r="Y333" s="68"/>
      <c r="Z333" s="68"/>
      <c r="AA333" s="68"/>
    </row>
    <row r="334">
      <c r="A334" s="134"/>
      <c r="B334" s="134"/>
      <c r="C334" s="68"/>
      <c r="D334" s="68"/>
      <c r="E334" s="68"/>
      <c r="F334" s="68"/>
      <c r="G334" s="68"/>
      <c r="H334" s="68"/>
      <c r="I334" s="221"/>
      <c r="J334" s="221"/>
      <c r="K334" s="221"/>
      <c r="L334" s="221"/>
      <c r="M334" s="221"/>
      <c r="N334" s="221"/>
      <c r="O334" s="221"/>
      <c r="P334" s="221"/>
      <c r="Q334" s="221"/>
      <c r="R334" s="221"/>
      <c r="S334" s="221"/>
      <c r="T334" s="221"/>
      <c r="U334" s="221"/>
      <c r="V334" s="221"/>
      <c r="W334" s="221"/>
      <c r="X334" s="221"/>
      <c r="Y334" s="68"/>
      <c r="Z334" s="68"/>
      <c r="AA334" s="68"/>
    </row>
    <row r="335">
      <c r="A335" s="134"/>
      <c r="B335" s="134"/>
      <c r="C335" s="68"/>
      <c r="D335" s="68"/>
      <c r="E335" s="68"/>
      <c r="F335" s="68"/>
      <c r="G335" s="68"/>
      <c r="H335" s="68"/>
      <c r="I335" s="221"/>
      <c r="J335" s="221"/>
      <c r="K335" s="221"/>
      <c r="L335" s="221"/>
      <c r="M335" s="221"/>
      <c r="N335" s="221"/>
      <c r="O335" s="221"/>
      <c r="P335" s="221"/>
      <c r="Q335" s="221"/>
      <c r="R335" s="221"/>
      <c r="S335" s="221"/>
      <c r="T335" s="221"/>
      <c r="U335" s="221"/>
      <c r="V335" s="221"/>
      <c r="W335" s="221"/>
      <c r="X335" s="221"/>
      <c r="Y335" s="68"/>
      <c r="Z335" s="68"/>
      <c r="AA335" s="68"/>
    </row>
    <row r="336">
      <c r="A336" s="134"/>
      <c r="B336" s="134"/>
      <c r="C336" s="68"/>
      <c r="D336" s="68"/>
      <c r="E336" s="68"/>
      <c r="F336" s="68"/>
      <c r="G336" s="68"/>
      <c r="H336" s="68"/>
      <c r="I336" s="221"/>
      <c r="J336" s="221"/>
      <c r="K336" s="221"/>
      <c r="L336" s="221"/>
      <c r="M336" s="221"/>
      <c r="N336" s="221"/>
      <c r="O336" s="221"/>
      <c r="P336" s="221"/>
      <c r="Q336" s="221"/>
      <c r="R336" s="221"/>
      <c r="S336" s="221"/>
      <c r="T336" s="221"/>
      <c r="U336" s="221"/>
      <c r="V336" s="221"/>
      <c r="W336" s="221"/>
      <c r="X336" s="221"/>
      <c r="Y336" s="68"/>
      <c r="Z336" s="68"/>
      <c r="AA336" s="68"/>
    </row>
    <row r="337">
      <c r="A337" s="134"/>
      <c r="B337" s="134"/>
      <c r="C337" s="68"/>
      <c r="D337" s="68"/>
      <c r="E337" s="68"/>
      <c r="F337" s="68"/>
      <c r="G337" s="68"/>
      <c r="H337" s="68"/>
      <c r="I337" s="221"/>
      <c r="J337" s="221"/>
      <c r="K337" s="221"/>
      <c r="L337" s="221"/>
      <c r="M337" s="221"/>
      <c r="N337" s="221"/>
      <c r="O337" s="221"/>
      <c r="P337" s="221"/>
      <c r="Q337" s="221"/>
      <c r="R337" s="221"/>
      <c r="S337" s="221"/>
      <c r="T337" s="221"/>
      <c r="U337" s="221"/>
      <c r="V337" s="221"/>
      <c r="W337" s="221"/>
      <c r="X337" s="221"/>
      <c r="Y337" s="68"/>
      <c r="Z337" s="68"/>
      <c r="AA337" s="68"/>
    </row>
    <row r="338">
      <c r="A338" s="134"/>
      <c r="B338" s="134"/>
      <c r="C338" s="68"/>
      <c r="D338" s="68"/>
      <c r="E338" s="68"/>
      <c r="F338" s="68"/>
      <c r="G338" s="68"/>
      <c r="H338" s="68"/>
      <c r="I338" s="221"/>
      <c r="J338" s="221"/>
      <c r="K338" s="221"/>
      <c r="L338" s="221"/>
      <c r="M338" s="221"/>
      <c r="N338" s="221"/>
      <c r="O338" s="221"/>
      <c r="P338" s="221"/>
      <c r="Q338" s="221"/>
      <c r="R338" s="221"/>
      <c r="S338" s="221"/>
      <c r="T338" s="221"/>
      <c r="U338" s="221"/>
      <c r="V338" s="221"/>
      <c r="W338" s="221"/>
      <c r="X338" s="221"/>
      <c r="Y338" s="68"/>
      <c r="Z338" s="68"/>
      <c r="AA338" s="68"/>
    </row>
    <row r="339">
      <c r="A339" s="134"/>
      <c r="B339" s="134"/>
      <c r="C339" s="68"/>
      <c r="D339" s="68"/>
      <c r="E339" s="68"/>
      <c r="F339" s="68"/>
      <c r="G339" s="68"/>
      <c r="H339" s="68"/>
      <c r="I339" s="221"/>
      <c r="J339" s="221"/>
      <c r="K339" s="221"/>
      <c r="L339" s="221"/>
      <c r="M339" s="221"/>
      <c r="N339" s="221"/>
      <c r="O339" s="221"/>
      <c r="P339" s="221"/>
      <c r="Q339" s="221"/>
      <c r="R339" s="221"/>
      <c r="S339" s="221"/>
      <c r="T339" s="221"/>
      <c r="U339" s="221"/>
      <c r="V339" s="221"/>
      <c r="W339" s="221"/>
      <c r="X339" s="221"/>
      <c r="Y339" s="68"/>
      <c r="Z339" s="68"/>
      <c r="AA339" s="68"/>
    </row>
    <row r="340">
      <c r="A340" s="134"/>
      <c r="B340" s="134"/>
      <c r="C340" s="68"/>
      <c r="D340" s="68"/>
      <c r="E340" s="68"/>
      <c r="F340" s="68"/>
      <c r="G340" s="68"/>
      <c r="H340" s="68"/>
      <c r="I340" s="221"/>
      <c r="J340" s="221"/>
      <c r="K340" s="221"/>
      <c r="L340" s="221"/>
      <c r="M340" s="221"/>
      <c r="N340" s="221"/>
      <c r="O340" s="221"/>
      <c r="P340" s="221"/>
      <c r="Q340" s="221"/>
      <c r="R340" s="221"/>
      <c r="S340" s="221"/>
      <c r="T340" s="221"/>
      <c r="U340" s="221"/>
      <c r="V340" s="221"/>
      <c r="W340" s="221"/>
      <c r="X340" s="221"/>
      <c r="Y340" s="68"/>
      <c r="Z340" s="68"/>
      <c r="AA340" s="68"/>
    </row>
    <row r="341">
      <c r="A341" s="134"/>
      <c r="B341" s="134"/>
      <c r="C341" s="68"/>
      <c r="D341" s="68"/>
      <c r="E341" s="68"/>
      <c r="F341" s="68"/>
      <c r="G341" s="68"/>
      <c r="H341" s="68"/>
      <c r="I341" s="221"/>
      <c r="J341" s="221"/>
      <c r="K341" s="221"/>
      <c r="L341" s="221"/>
      <c r="M341" s="221"/>
      <c r="N341" s="221"/>
      <c r="O341" s="221"/>
      <c r="P341" s="221"/>
      <c r="Q341" s="221"/>
      <c r="R341" s="221"/>
      <c r="S341" s="221"/>
      <c r="T341" s="221"/>
      <c r="U341" s="221"/>
      <c r="V341" s="221"/>
      <c r="W341" s="221"/>
      <c r="X341" s="221"/>
      <c r="Y341" s="68"/>
      <c r="Z341" s="68"/>
      <c r="AA341" s="68"/>
    </row>
    <row r="342">
      <c r="A342" s="134"/>
      <c r="B342" s="134"/>
      <c r="C342" s="68"/>
      <c r="D342" s="68"/>
      <c r="E342" s="68"/>
      <c r="F342" s="68"/>
      <c r="G342" s="68"/>
      <c r="H342" s="68"/>
      <c r="I342" s="221"/>
      <c r="J342" s="221"/>
      <c r="K342" s="221"/>
      <c r="L342" s="221"/>
      <c r="M342" s="221"/>
      <c r="N342" s="221"/>
      <c r="O342" s="221"/>
      <c r="P342" s="221"/>
      <c r="Q342" s="221"/>
      <c r="R342" s="221"/>
      <c r="S342" s="221"/>
      <c r="T342" s="221"/>
      <c r="U342" s="221"/>
      <c r="V342" s="221"/>
      <c r="W342" s="221"/>
      <c r="X342" s="221"/>
      <c r="Y342" s="68"/>
      <c r="Z342" s="68"/>
      <c r="AA342" s="68"/>
    </row>
    <row r="343">
      <c r="A343" s="134"/>
      <c r="B343" s="134"/>
      <c r="C343" s="68"/>
      <c r="D343" s="68"/>
      <c r="E343" s="68"/>
      <c r="F343" s="68"/>
      <c r="G343" s="68"/>
      <c r="H343" s="68"/>
      <c r="I343" s="221"/>
      <c r="J343" s="221"/>
      <c r="K343" s="221"/>
      <c r="L343" s="221"/>
      <c r="M343" s="221"/>
      <c r="N343" s="221"/>
      <c r="O343" s="221"/>
      <c r="P343" s="221"/>
      <c r="Q343" s="221"/>
      <c r="R343" s="221"/>
      <c r="S343" s="221"/>
      <c r="T343" s="221"/>
      <c r="U343" s="221"/>
      <c r="V343" s="221"/>
      <c r="W343" s="221"/>
      <c r="X343" s="221"/>
      <c r="Y343" s="68"/>
      <c r="Z343" s="68"/>
      <c r="AA343" s="68"/>
    </row>
    <row r="344">
      <c r="A344" s="134"/>
      <c r="B344" s="134"/>
      <c r="C344" s="68"/>
      <c r="D344" s="68"/>
      <c r="E344" s="68"/>
      <c r="F344" s="68"/>
      <c r="G344" s="68"/>
      <c r="H344" s="68"/>
      <c r="I344" s="221"/>
      <c r="J344" s="221"/>
      <c r="K344" s="221"/>
      <c r="L344" s="221"/>
      <c r="M344" s="221"/>
      <c r="N344" s="221"/>
      <c r="O344" s="221"/>
      <c r="P344" s="221"/>
      <c r="Q344" s="221"/>
      <c r="R344" s="221"/>
      <c r="S344" s="221"/>
      <c r="T344" s="221"/>
      <c r="U344" s="221"/>
      <c r="V344" s="221"/>
      <c r="W344" s="221"/>
      <c r="X344" s="221"/>
      <c r="Y344" s="68"/>
      <c r="Z344" s="68"/>
      <c r="AA344" s="68"/>
    </row>
    <row r="345">
      <c r="A345" s="134"/>
      <c r="B345" s="134"/>
      <c r="C345" s="68"/>
      <c r="D345" s="68"/>
      <c r="E345" s="68"/>
      <c r="F345" s="68"/>
      <c r="G345" s="68"/>
      <c r="H345" s="68"/>
      <c r="I345" s="221"/>
      <c r="J345" s="221"/>
      <c r="K345" s="221"/>
      <c r="L345" s="221"/>
      <c r="M345" s="221"/>
      <c r="N345" s="221"/>
      <c r="O345" s="221"/>
      <c r="P345" s="221"/>
      <c r="Q345" s="221"/>
      <c r="R345" s="221"/>
      <c r="S345" s="221"/>
      <c r="T345" s="221"/>
      <c r="U345" s="221"/>
      <c r="V345" s="221"/>
      <c r="W345" s="221"/>
      <c r="X345" s="221"/>
      <c r="Y345" s="68"/>
      <c r="Z345" s="68"/>
      <c r="AA345" s="68"/>
    </row>
    <row r="346">
      <c r="A346" s="134"/>
      <c r="B346" s="134"/>
      <c r="C346" s="68"/>
      <c r="D346" s="68"/>
      <c r="E346" s="68"/>
      <c r="F346" s="68"/>
      <c r="G346" s="68"/>
      <c r="H346" s="68"/>
      <c r="I346" s="221"/>
      <c r="J346" s="221"/>
      <c r="K346" s="221"/>
      <c r="L346" s="221"/>
      <c r="M346" s="221"/>
      <c r="N346" s="221"/>
      <c r="O346" s="221"/>
      <c r="P346" s="221"/>
      <c r="Q346" s="221"/>
      <c r="R346" s="221"/>
      <c r="S346" s="221"/>
      <c r="T346" s="221"/>
      <c r="U346" s="221"/>
      <c r="V346" s="221"/>
      <c r="W346" s="221"/>
      <c r="X346" s="221"/>
      <c r="Y346" s="68"/>
      <c r="Z346" s="68"/>
      <c r="AA346" s="68"/>
    </row>
    <row r="347">
      <c r="A347" s="134"/>
      <c r="B347" s="134"/>
      <c r="C347" s="68"/>
      <c r="D347" s="68"/>
      <c r="E347" s="68"/>
      <c r="F347" s="68"/>
      <c r="G347" s="68"/>
      <c r="H347" s="68"/>
      <c r="I347" s="221"/>
      <c r="J347" s="221"/>
      <c r="K347" s="221"/>
      <c r="L347" s="221"/>
      <c r="M347" s="221"/>
      <c r="N347" s="221"/>
      <c r="O347" s="221"/>
      <c r="P347" s="221"/>
      <c r="Q347" s="221"/>
      <c r="R347" s="221"/>
      <c r="S347" s="221"/>
      <c r="T347" s="221"/>
      <c r="U347" s="221"/>
      <c r="V347" s="221"/>
      <c r="W347" s="221"/>
      <c r="X347" s="221"/>
      <c r="Y347" s="68"/>
      <c r="Z347" s="68"/>
      <c r="AA347" s="68"/>
    </row>
    <row r="348">
      <c r="A348" s="134"/>
      <c r="B348" s="134"/>
      <c r="C348" s="68"/>
      <c r="D348" s="68"/>
      <c r="E348" s="68"/>
      <c r="F348" s="68"/>
      <c r="G348" s="68"/>
      <c r="H348" s="68"/>
      <c r="I348" s="221"/>
      <c r="J348" s="221"/>
      <c r="K348" s="221"/>
      <c r="L348" s="221"/>
      <c r="M348" s="221"/>
      <c r="N348" s="221"/>
      <c r="O348" s="221"/>
      <c r="P348" s="221"/>
      <c r="Q348" s="221"/>
      <c r="R348" s="221"/>
      <c r="S348" s="221"/>
      <c r="T348" s="221"/>
      <c r="U348" s="221"/>
      <c r="V348" s="221"/>
      <c r="W348" s="221"/>
      <c r="X348" s="221"/>
      <c r="Y348" s="68"/>
      <c r="Z348" s="68"/>
      <c r="AA348" s="68"/>
    </row>
    <row r="349">
      <c r="A349" s="134"/>
      <c r="B349" s="134"/>
      <c r="C349" s="68"/>
      <c r="D349" s="68"/>
      <c r="E349" s="68"/>
      <c r="F349" s="68"/>
      <c r="G349" s="68"/>
      <c r="H349" s="68"/>
      <c r="I349" s="221"/>
      <c r="J349" s="221"/>
      <c r="K349" s="221"/>
      <c r="L349" s="221"/>
      <c r="M349" s="221"/>
      <c r="N349" s="221"/>
      <c r="O349" s="221"/>
      <c r="P349" s="221"/>
      <c r="Q349" s="221"/>
      <c r="R349" s="221"/>
      <c r="S349" s="221"/>
      <c r="T349" s="221"/>
      <c r="U349" s="221"/>
      <c r="V349" s="221"/>
      <c r="W349" s="221"/>
      <c r="X349" s="221"/>
      <c r="Y349" s="68"/>
      <c r="Z349" s="68"/>
      <c r="AA349" s="68"/>
    </row>
    <row r="350">
      <c r="A350" s="134"/>
      <c r="B350" s="134"/>
      <c r="C350" s="68"/>
      <c r="D350" s="68"/>
      <c r="E350" s="68"/>
      <c r="F350" s="68"/>
      <c r="G350" s="68"/>
      <c r="H350" s="68"/>
      <c r="I350" s="221"/>
      <c r="J350" s="221"/>
      <c r="K350" s="221"/>
      <c r="L350" s="221"/>
      <c r="M350" s="221"/>
      <c r="N350" s="221"/>
      <c r="O350" s="221"/>
      <c r="P350" s="221"/>
      <c r="Q350" s="221"/>
      <c r="R350" s="221"/>
      <c r="S350" s="221"/>
      <c r="T350" s="221"/>
      <c r="U350" s="221"/>
      <c r="V350" s="221"/>
      <c r="W350" s="221"/>
      <c r="X350" s="221"/>
      <c r="Y350" s="68"/>
      <c r="Z350" s="68"/>
      <c r="AA350" s="68"/>
    </row>
    <row r="351">
      <c r="A351" s="134"/>
      <c r="B351" s="134"/>
      <c r="C351" s="68"/>
      <c r="D351" s="68"/>
      <c r="E351" s="68"/>
      <c r="F351" s="68"/>
      <c r="G351" s="68"/>
      <c r="H351" s="68"/>
      <c r="I351" s="221"/>
      <c r="J351" s="221"/>
      <c r="K351" s="221"/>
      <c r="L351" s="221"/>
      <c r="M351" s="221"/>
      <c r="N351" s="221"/>
      <c r="O351" s="221"/>
      <c r="P351" s="221"/>
      <c r="Q351" s="221"/>
      <c r="R351" s="221"/>
      <c r="S351" s="221"/>
      <c r="T351" s="221"/>
      <c r="U351" s="221"/>
      <c r="V351" s="221"/>
      <c r="W351" s="221"/>
      <c r="X351" s="221"/>
      <c r="Y351" s="68"/>
      <c r="Z351" s="68"/>
      <c r="AA351" s="68"/>
    </row>
    <row r="352">
      <c r="A352" s="134"/>
      <c r="B352" s="134"/>
      <c r="C352" s="68"/>
      <c r="D352" s="68"/>
      <c r="E352" s="68"/>
      <c r="F352" s="68"/>
      <c r="G352" s="68"/>
      <c r="H352" s="68"/>
      <c r="I352" s="221"/>
      <c r="J352" s="221"/>
      <c r="K352" s="221"/>
      <c r="L352" s="221"/>
      <c r="M352" s="221"/>
      <c r="N352" s="221"/>
      <c r="O352" s="221"/>
      <c r="P352" s="221"/>
      <c r="Q352" s="221"/>
      <c r="R352" s="221"/>
      <c r="S352" s="221"/>
      <c r="T352" s="221"/>
      <c r="U352" s="221"/>
      <c r="V352" s="221"/>
      <c r="W352" s="221"/>
      <c r="X352" s="221"/>
      <c r="Y352" s="68"/>
      <c r="Z352" s="68"/>
      <c r="AA352" s="68"/>
    </row>
    <row r="353">
      <c r="A353" s="134"/>
      <c r="B353" s="134"/>
      <c r="C353" s="68"/>
      <c r="D353" s="68"/>
      <c r="E353" s="68"/>
      <c r="F353" s="68"/>
      <c r="G353" s="68"/>
      <c r="H353" s="68"/>
      <c r="I353" s="221"/>
      <c r="J353" s="221"/>
      <c r="K353" s="221"/>
      <c r="L353" s="221"/>
      <c r="M353" s="221"/>
      <c r="N353" s="221"/>
      <c r="O353" s="221"/>
      <c r="P353" s="221"/>
      <c r="Q353" s="221"/>
      <c r="R353" s="221"/>
      <c r="S353" s="221"/>
      <c r="T353" s="221"/>
      <c r="U353" s="221"/>
      <c r="V353" s="221"/>
      <c r="W353" s="221"/>
      <c r="X353" s="221"/>
      <c r="Y353" s="68"/>
      <c r="Z353" s="68"/>
      <c r="AA353" s="68"/>
    </row>
    <row r="354">
      <c r="A354" s="134"/>
      <c r="B354" s="134"/>
      <c r="C354" s="68"/>
      <c r="D354" s="68"/>
      <c r="E354" s="68"/>
      <c r="F354" s="68"/>
      <c r="G354" s="68"/>
      <c r="H354" s="68"/>
      <c r="I354" s="221"/>
      <c r="J354" s="221"/>
      <c r="K354" s="221"/>
      <c r="L354" s="221"/>
      <c r="M354" s="221"/>
      <c r="N354" s="221"/>
      <c r="O354" s="221"/>
      <c r="P354" s="221"/>
      <c r="Q354" s="221"/>
      <c r="R354" s="221"/>
      <c r="S354" s="221"/>
      <c r="T354" s="221"/>
      <c r="U354" s="221"/>
      <c r="V354" s="221"/>
      <c r="W354" s="221"/>
      <c r="X354" s="221"/>
      <c r="Y354" s="68"/>
      <c r="Z354" s="68"/>
      <c r="AA354" s="68"/>
    </row>
    <row r="355">
      <c r="A355" s="134"/>
      <c r="B355" s="134"/>
      <c r="C355" s="68"/>
      <c r="D355" s="68"/>
      <c r="E355" s="68"/>
      <c r="F355" s="68"/>
      <c r="G355" s="68"/>
      <c r="H355" s="68"/>
      <c r="I355" s="221"/>
      <c r="J355" s="221"/>
      <c r="K355" s="221"/>
      <c r="L355" s="221"/>
      <c r="M355" s="221"/>
      <c r="N355" s="221"/>
      <c r="O355" s="221"/>
      <c r="P355" s="221"/>
      <c r="Q355" s="221"/>
      <c r="R355" s="221"/>
      <c r="S355" s="221"/>
      <c r="T355" s="221"/>
      <c r="U355" s="221"/>
      <c r="V355" s="221"/>
      <c r="W355" s="221"/>
      <c r="X355" s="221"/>
      <c r="Y355" s="68"/>
      <c r="Z355" s="68"/>
      <c r="AA355" s="68"/>
    </row>
    <row r="356">
      <c r="A356" s="134"/>
      <c r="B356" s="134"/>
      <c r="C356" s="68"/>
      <c r="D356" s="68"/>
      <c r="E356" s="68"/>
      <c r="F356" s="68"/>
      <c r="G356" s="68"/>
      <c r="H356" s="68"/>
      <c r="I356" s="221"/>
      <c r="J356" s="221"/>
      <c r="K356" s="221"/>
      <c r="L356" s="221"/>
      <c r="M356" s="221"/>
      <c r="N356" s="221"/>
      <c r="O356" s="221"/>
      <c r="P356" s="221"/>
      <c r="Q356" s="221"/>
      <c r="R356" s="221"/>
      <c r="S356" s="221"/>
      <c r="T356" s="221"/>
      <c r="U356" s="221"/>
      <c r="V356" s="221"/>
      <c r="W356" s="221"/>
      <c r="X356" s="221"/>
      <c r="Y356" s="68"/>
      <c r="Z356" s="68"/>
      <c r="AA356" s="68"/>
    </row>
    <row r="357">
      <c r="A357" s="134"/>
      <c r="B357" s="134"/>
      <c r="C357" s="68"/>
      <c r="D357" s="68"/>
      <c r="E357" s="68"/>
      <c r="F357" s="68"/>
      <c r="G357" s="68"/>
      <c r="H357" s="68"/>
      <c r="I357" s="221"/>
      <c r="J357" s="221"/>
      <c r="K357" s="221"/>
      <c r="L357" s="221"/>
      <c r="M357" s="221"/>
      <c r="N357" s="221"/>
      <c r="O357" s="221"/>
      <c r="P357" s="221"/>
      <c r="Q357" s="221"/>
      <c r="R357" s="221"/>
      <c r="S357" s="221"/>
      <c r="T357" s="221"/>
      <c r="U357" s="221"/>
      <c r="V357" s="221"/>
      <c r="W357" s="221"/>
      <c r="X357" s="221"/>
      <c r="Y357" s="68"/>
      <c r="Z357" s="68"/>
      <c r="AA357" s="68"/>
    </row>
    <row r="358">
      <c r="A358" s="134"/>
      <c r="B358" s="134"/>
      <c r="C358" s="68"/>
      <c r="D358" s="68"/>
      <c r="E358" s="68"/>
      <c r="F358" s="68"/>
      <c r="G358" s="68"/>
      <c r="H358" s="68"/>
      <c r="I358" s="221"/>
      <c r="J358" s="221"/>
      <c r="K358" s="221"/>
      <c r="L358" s="221"/>
      <c r="M358" s="221"/>
      <c r="N358" s="221"/>
      <c r="O358" s="221"/>
      <c r="P358" s="221"/>
      <c r="Q358" s="221"/>
      <c r="R358" s="221"/>
      <c r="S358" s="221"/>
      <c r="T358" s="221"/>
      <c r="U358" s="221"/>
      <c r="V358" s="221"/>
      <c r="W358" s="221"/>
      <c r="X358" s="221"/>
      <c r="Y358" s="68"/>
      <c r="Z358" s="68"/>
      <c r="AA358" s="68"/>
    </row>
    <row r="359">
      <c r="A359" s="134"/>
      <c r="B359" s="134"/>
      <c r="C359" s="68"/>
      <c r="D359" s="68"/>
      <c r="E359" s="68"/>
      <c r="F359" s="68"/>
      <c r="G359" s="68"/>
      <c r="H359" s="68"/>
      <c r="I359" s="221"/>
      <c r="J359" s="221"/>
      <c r="K359" s="221"/>
      <c r="L359" s="221"/>
      <c r="M359" s="221"/>
      <c r="N359" s="221"/>
      <c r="O359" s="221"/>
      <c r="P359" s="221"/>
      <c r="Q359" s="221"/>
      <c r="R359" s="221"/>
      <c r="S359" s="221"/>
      <c r="T359" s="221"/>
      <c r="U359" s="221"/>
      <c r="V359" s="221"/>
      <c r="W359" s="221"/>
      <c r="X359" s="221"/>
      <c r="Y359" s="68"/>
      <c r="Z359" s="68"/>
      <c r="AA359" s="68"/>
    </row>
    <row r="360">
      <c r="A360" s="134"/>
      <c r="B360" s="134"/>
      <c r="C360" s="68"/>
      <c r="D360" s="68"/>
      <c r="E360" s="68"/>
      <c r="F360" s="68"/>
      <c r="G360" s="68"/>
      <c r="H360" s="68"/>
      <c r="I360" s="221"/>
      <c r="J360" s="221"/>
      <c r="K360" s="221"/>
      <c r="L360" s="221"/>
      <c r="M360" s="221"/>
      <c r="N360" s="221"/>
      <c r="O360" s="221"/>
      <c r="P360" s="221"/>
      <c r="Q360" s="221"/>
      <c r="R360" s="221"/>
      <c r="S360" s="221"/>
      <c r="T360" s="221"/>
      <c r="U360" s="221"/>
      <c r="V360" s="221"/>
      <c r="W360" s="221"/>
      <c r="X360" s="221"/>
      <c r="Y360" s="68"/>
      <c r="Z360" s="68"/>
      <c r="AA360" s="68"/>
    </row>
    <row r="361">
      <c r="A361" s="134"/>
      <c r="B361" s="134"/>
      <c r="C361" s="68"/>
      <c r="D361" s="68"/>
      <c r="E361" s="68"/>
      <c r="F361" s="68"/>
      <c r="G361" s="68"/>
      <c r="H361" s="68"/>
      <c r="I361" s="221"/>
      <c r="J361" s="221"/>
      <c r="K361" s="221"/>
      <c r="L361" s="221"/>
      <c r="M361" s="221"/>
      <c r="N361" s="221"/>
      <c r="O361" s="221"/>
      <c r="P361" s="221"/>
      <c r="Q361" s="221"/>
      <c r="R361" s="221"/>
      <c r="S361" s="221"/>
      <c r="T361" s="221"/>
      <c r="U361" s="221"/>
      <c r="V361" s="221"/>
      <c r="W361" s="221"/>
      <c r="X361" s="221"/>
      <c r="Y361" s="68"/>
      <c r="Z361" s="68"/>
      <c r="AA361" s="68"/>
    </row>
    <row r="362">
      <c r="A362" s="134"/>
      <c r="B362" s="134"/>
      <c r="C362" s="68"/>
      <c r="D362" s="68"/>
      <c r="E362" s="68"/>
      <c r="F362" s="68"/>
      <c r="G362" s="68"/>
      <c r="H362" s="68"/>
      <c r="I362" s="221"/>
      <c r="J362" s="221"/>
      <c r="K362" s="221"/>
      <c r="L362" s="221"/>
      <c r="M362" s="221"/>
      <c r="N362" s="221"/>
      <c r="O362" s="221"/>
      <c r="P362" s="221"/>
      <c r="Q362" s="221"/>
      <c r="R362" s="221"/>
      <c r="S362" s="221"/>
      <c r="T362" s="221"/>
      <c r="U362" s="221"/>
      <c r="V362" s="221"/>
      <c r="W362" s="221"/>
      <c r="X362" s="221"/>
      <c r="Y362" s="68"/>
      <c r="Z362" s="68"/>
      <c r="AA362" s="68"/>
    </row>
    <row r="363">
      <c r="A363" s="134"/>
      <c r="B363" s="134"/>
      <c r="C363" s="68"/>
      <c r="D363" s="68"/>
      <c r="E363" s="68"/>
      <c r="F363" s="68"/>
      <c r="G363" s="68"/>
      <c r="H363" s="68"/>
      <c r="I363" s="221"/>
      <c r="J363" s="221"/>
      <c r="K363" s="221"/>
      <c r="L363" s="221"/>
      <c r="M363" s="221"/>
      <c r="N363" s="221"/>
      <c r="O363" s="221"/>
      <c r="P363" s="221"/>
      <c r="Q363" s="221"/>
      <c r="R363" s="221"/>
      <c r="S363" s="221"/>
      <c r="T363" s="221"/>
      <c r="U363" s="221"/>
      <c r="V363" s="221"/>
      <c r="W363" s="221"/>
      <c r="X363" s="221"/>
      <c r="Y363" s="68"/>
      <c r="Z363" s="68"/>
      <c r="AA363" s="68"/>
    </row>
    <row r="364">
      <c r="A364" s="134"/>
      <c r="B364" s="134"/>
      <c r="C364" s="68"/>
      <c r="D364" s="68"/>
      <c r="E364" s="68"/>
      <c r="F364" s="68"/>
      <c r="G364" s="68"/>
      <c r="H364" s="68"/>
      <c r="I364" s="221"/>
      <c r="J364" s="221"/>
      <c r="K364" s="221"/>
      <c r="L364" s="221"/>
      <c r="M364" s="221"/>
      <c r="N364" s="221"/>
      <c r="O364" s="221"/>
      <c r="P364" s="221"/>
      <c r="Q364" s="221"/>
      <c r="R364" s="221"/>
      <c r="S364" s="221"/>
      <c r="T364" s="221"/>
      <c r="U364" s="221"/>
      <c r="V364" s="221"/>
      <c r="W364" s="221"/>
      <c r="X364" s="221"/>
      <c r="Y364" s="68"/>
      <c r="Z364" s="68"/>
      <c r="AA364" s="68"/>
    </row>
    <row r="365">
      <c r="A365" s="134"/>
      <c r="B365" s="134"/>
      <c r="C365" s="68"/>
      <c r="D365" s="68"/>
      <c r="E365" s="68"/>
      <c r="F365" s="68"/>
      <c r="G365" s="68"/>
      <c r="H365" s="68"/>
      <c r="I365" s="221"/>
      <c r="J365" s="221"/>
      <c r="K365" s="221"/>
      <c r="L365" s="221"/>
      <c r="M365" s="221"/>
      <c r="N365" s="221"/>
      <c r="O365" s="221"/>
      <c r="P365" s="221"/>
      <c r="Q365" s="221"/>
      <c r="R365" s="221"/>
      <c r="S365" s="221"/>
      <c r="T365" s="221"/>
      <c r="U365" s="221"/>
      <c r="V365" s="221"/>
      <c r="W365" s="221"/>
      <c r="X365" s="221"/>
      <c r="Y365" s="68"/>
      <c r="Z365" s="68"/>
      <c r="AA365" s="68"/>
    </row>
    <row r="366">
      <c r="A366" s="134"/>
      <c r="B366" s="134"/>
      <c r="C366" s="68"/>
      <c r="D366" s="68"/>
      <c r="E366" s="68"/>
      <c r="F366" s="68"/>
      <c r="G366" s="68"/>
      <c r="H366" s="68"/>
      <c r="I366" s="221"/>
      <c r="J366" s="221"/>
      <c r="K366" s="221"/>
      <c r="L366" s="221"/>
      <c r="M366" s="221"/>
      <c r="N366" s="221"/>
      <c r="O366" s="221"/>
      <c r="P366" s="221"/>
      <c r="Q366" s="221"/>
      <c r="R366" s="221"/>
      <c r="S366" s="221"/>
      <c r="T366" s="221"/>
      <c r="U366" s="221"/>
      <c r="V366" s="221"/>
      <c r="W366" s="221"/>
      <c r="X366" s="221"/>
      <c r="Y366" s="68"/>
      <c r="Z366" s="68"/>
      <c r="AA366" s="68"/>
    </row>
    <row r="367">
      <c r="A367" s="134"/>
      <c r="B367" s="134"/>
      <c r="C367" s="68"/>
      <c r="D367" s="68"/>
      <c r="E367" s="68"/>
      <c r="F367" s="68"/>
      <c r="G367" s="68"/>
      <c r="H367" s="68"/>
      <c r="I367" s="221"/>
      <c r="J367" s="221"/>
      <c r="K367" s="221"/>
      <c r="L367" s="221"/>
      <c r="M367" s="221"/>
      <c r="N367" s="221"/>
      <c r="O367" s="221"/>
      <c r="P367" s="221"/>
      <c r="Q367" s="221"/>
      <c r="R367" s="221"/>
      <c r="S367" s="221"/>
      <c r="T367" s="221"/>
      <c r="U367" s="221"/>
      <c r="V367" s="221"/>
      <c r="W367" s="221"/>
      <c r="X367" s="221"/>
      <c r="Y367" s="68"/>
      <c r="Z367" s="68"/>
      <c r="AA367" s="68"/>
    </row>
    <row r="368">
      <c r="A368" s="134"/>
      <c r="B368" s="134"/>
      <c r="C368" s="68"/>
      <c r="D368" s="68"/>
      <c r="E368" s="68"/>
      <c r="F368" s="68"/>
      <c r="G368" s="68"/>
      <c r="H368" s="68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68"/>
      <c r="Z368" s="68"/>
      <c r="AA368" s="68"/>
    </row>
    <row r="369">
      <c r="A369" s="134"/>
      <c r="B369" s="134"/>
      <c r="C369" s="68"/>
      <c r="D369" s="68"/>
      <c r="E369" s="68"/>
      <c r="F369" s="68"/>
      <c r="G369" s="68"/>
      <c r="H369" s="68"/>
      <c r="I369" s="221"/>
      <c r="J369" s="221"/>
      <c r="K369" s="221"/>
      <c r="L369" s="221"/>
      <c r="M369" s="221"/>
      <c r="N369" s="221"/>
      <c r="O369" s="221"/>
      <c r="P369" s="221"/>
      <c r="Q369" s="221"/>
      <c r="R369" s="221"/>
      <c r="S369" s="221"/>
      <c r="T369" s="221"/>
      <c r="U369" s="221"/>
      <c r="V369" s="221"/>
      <c r="W369" s="221"/>
      <c r="X369" s="221"/>
      <c r="Y369" s="68"/>
      <c r="Z369" s="68"/>
      <c r="AA369" s="68"/>
    </row>
    <row r="370">
      <c r="A370" s="134"/>
      <c r="B370" s="134"/>
      <c r="C370" s="68"/>
      <c r="D370" s="68"/>
      <c r="E370" s="68"/>
      <c r="F370" s="68"/>
      <c r="G370" s="68"/>
      <c r="H370" s="68"/>
      <c r="I370" s="221"/>
      <c r="J370" s="221"/>
      <c r="K370" s="221"/>
      <c r="L370" s="221"/>
      <c r="M370" s="221"/>
      <c r="N370" s="221"/>
      <c r="O370" s="221"/>
      <c r="P370" s="221"/>
      <c r="Q370" s="221"/>
      <c r="R370" s="221"/>
      <c r="S370" s="221"/>
      <c r="T370" s="221"/>
      <c r="U370" s="221"/>
      <c r="V370" s="221"/>
      <c r="W370" s="221"/>
      <c r="X370" s="221"/>
      <c r="Y370" s="68"/>
      <c r="Z370" s="68"/>
      <c r="AA370" s="68"/>
    </row>
    <row r="371">
      <c r="A371" s="134"/>
      <c r="B371" s="134"/>
      <c r="C371" s="68"/>
      <c r="D371" s="68"/>
      <c r="E371" s="68"/>
      <c r="F371" s="68"/>
      <c r="G371" s="68"/>
      <c r="H371" s="68"/>
      <c r="I371" s="221"/>
      <c r="J371" s="221"/>
      <c r="K371" s="221"/>
      <c r="L371" s="221"/>
      <c r="M371" s="221"/>
      <c r="N371" s="221"/>
      <c r="O371" s="221"/>
      <c r="P371" s="221"/>
      <c r="Q371" s="221"/>
      <c r="R371" s="221"/>
      <c r="S371" s="221"/>
      <c r="T371" s="221"/>
      <c r="U371" s="221"/>
      <c r="V371" s="221"/>
      <c r="W371" s="221"/>
      <c r="X371" s="221"/>
      <c r="Y371" s="68"/>
      <c r="Z371" s="68"/>
      <c r="AA371" s="68"/>
    </row>
    <row r="372">
      <c r="A372" s="134"/>
      <c r="B372" s="134"/>
      <c r="C372" s="68"/>
      <c r="D372" s="68"/>
      <c r="E372" s="68"/>
      <c r="F372" s="68"/>
      <c r="G372" s="68"/>
      <c r="H372" s="68"/>
      <c r="I372" s="221"/>
      <c r="J372" s="221"/>
      <c r="K372" s="221"/>
      <c r="L372" s="221"/>
      <c r="M372" s="221"/>
      <c r="N372" s="221"/>
      <c r="O372" s="221"/>
      <c r="P372" s="221"/>
      <c r="Q372" s="221"/>
      <c r="R372" s="221"/>
      <c r="S372" s="221"/>
      <c r="T372" s="221"/>
      <c r="U372" s="221"/>
      <c r="V372" s="221"/>
      <c r="W372" s="221"/>
      <c r="X372" s="221"/>
      <c r="Y372" s="68"/>
      <c r="Z372" s="68"/>
      <c r="AA372" s="68"/>
    </row>
    <row r="373">
      <c r="A373" s="134"/>
      <c r="B373" s="134"/>
      <c r="C373" s="68"/>
      <c r="D373" s="68"/>
      <c r="E373" s="68"/>
      <c r="F373" s="68"/>
      <c r="G373" s="68"/>
      <c r="H373" s="68"/>
      <c r="I373" s="221"/>
      <c r="J373" s="221"/>
      <c r="K373" s="221"/>
      <c r="L373" s="221"/>
      <c r="M373" s="221"/>
      <c r="N373" s="221"/>
      <c r="O373" s="221"/>
      <c r="P373" s="221"/>
      <c r="Q373" s="221"/>
      <c r="R373" s="221"/>
      <c r="S373" s="221"/>
      <c r="T373" s="221"/>
      <c r="U373" s="221"/>
      <c r="V373" s="221"/>
      <c r="W373" s="221"/>
      <c r="X373" s="221"/>
      <c r="Y373" s="68"/>
      <c r="Z373" s="68"/>
      <c r="AA373" s="68"/>
    </row>
    <row r="374">
      <c r="A374" s="134"/>
      <c r="B374" s="134"/>
      <c r="C374" s="68"/>
      <c r="D374" s="68"/>
      <c r="E374" s="68"/>
      <c r="F374" s="68"/>
      <c r="G374" s="68"/>
      <c r="H374" s="68"/>
      <c r="I374" s="221"/>
      <c r="J374" s="221"/>
      <c r="K374" s="221"/>
      <c r="L374" s="221"/>
      <c r="M374" s="221"/>
      <c r="N374" s="221"/>
      <c r="O374" s="221"/>
      <c r="P374" s="221"/>
      <c r="Q374" s="221"/>
      <c r="R374" s="221"/>
      <c r="S374" s="221"/>
      <c r="T374" s="221"/>
      <c r="U374" s="221"/>
      <c r="V374" s="221"/>
      <c r="W374" s="221"/>
      <c r="X374" s="221"/>
      <c r="Y374" s="68"/>
      <c r="Z374" s="68"/>
      <c r="AA374" s="68"/>
    </row>
    <row r="375">
      <c r="A375" s="134"/>
      <c r="B375" s="134"/>
      <c r="C375" s="68"/>
      <c r="D375" s="68"/>
      <c r="E375" s="68"/>
      <c r="F375" s="68"/>
      <c r="G375" s="68"/>
      <c r="H375" s="68"/>
      <c r="I375" s="221"/>
      <c r="J375" s="221"/>
      <c r="K375" s="221"/>
      <c r="L375" s="221"/>
      <c r="M375" s="221"/>
      <c r="N375" s="221"/>
      <c r="O375" s="221"/>
      <c r="P375" s="221"/>
      <c r="Q375" s="221"/>
      <c r="R375" s="221"/>
      <c r="S375" s="221"/>
      <c r="T375" s="221"/>
      <c r="U375" s="221"/>
      <c r="V375" s="221"/>
      <c r="W375" s="221"/>
      <c r="X375" s="221"/>
      <c r="Y375" s="68"/>
      <c r="Z375" s="68"/>
      <c r="AA375" s="68"/>
    </row>
    <row r="376">
      <c r="A376" s="134"/>
      <c r="B376" s="134"/>
      <c r="C376" s="68"/>
      <c r="D376" s="68"/>
      <c r="E376" s="68"/>
      <c r="F376" s="68"/>
      <c r="G376" s="68"/>
      <c r="H376" s="68"/>
      <c r="I376" s="221"/>
      <c r="J376" s="221"/>
      <c r="K376" s="221"/>
      <c r="L376" s="221"/>
      <c r="M376" s="221"/>
      <c r="N376" s="221"/>
      <c r="O376" s="221"/>
      <c r="P376" s="221"/>
      <c r="Q376" s="221"/>
      <c r="R376" s="221"/>
      <c r="S376" s="221"/>
      <c r="T376" s="221"/>
      <c r="U376" s="221"/>
      <c r="V376" s="221"/>
      <c r="W376" s="221"/>
      <c r="X376" s="221"/>
      <c r="Y376" s="68"/>
      <c r="Z376" s="68"/>
      <c r="AA376" s="68"/>
    </row>
    <row r="377">
      <c r="A377" s="134"/>
      <c r="B377" s="134"/>
      <c r="C377" s="68"/>
      <c r="D377" s="68"/>
      <c r="E377" s="68"/>
      <c r="F377" s="68"/>
      <c r="G377" s="68"/>
      <c r="H377" s="68"/>
      <c r="I377" s="221"/>
      <c r="J377" s="221"/>
      <c r="K377" s="221"/>
      <c r="L377" s="221"/>
      <c r="M377" s="221"/>
      <c r="N377" s="221"/>
      <c r="O377" s="221"/>
      <c r="P377" s="221"/>
      <c r="Q377" s="221"/>
      <c r="R377" s="221"/>
      <c r="S377" s="221"/>
      <c r="T377" s="221"/>
      <c r="U377" s="221"/>
      <c r="V377" s="221"/>
      <c r="W377" s="221"/>
      <c r="X377" s="221"/>
      <c r="Y377" s="68"/>
      <c r="Z377" s="68"/>
      <c r="AA377" s="68"/>
    </row>
    <row r="378">
      <c r="A378" s="134"/>
      <c r="B378" s="134"/>
      <c r="C378" s="68"/>
      <c r="D378" s="68"/>
      <c r="E378" s="68"/>
      <c r="F378" s="68"/>
      <c r="G378" s="68"/>
      <c r="H378" s="68"/>
      <c r="I378" s="221"/>
      <c r="J378" s="221"/>
      <c r="K378" s="221"/>
      <c r="L378" s="221"/>
      <c r="M378" s="221"/>
      <c r="N378" s="221"/>
      <c r="O378" s="221"/>
      <c r="P378" s="221"/>
      <c r="Q378" s="221"/>
      <c r="R378" s="221"/>
      <c r="S378" s="221"/>
      <c r="T378" s="221"/>
      <c r="U378" s="221"/>
      <c r="V378" s="221"/>
      <c r="W378" s="221"/>
      <c r="X378" s="221"/>
      <c r="Y378" s="68"/>
      <c r="Z378" s="68"/>
      <c r="AA378" s="68"/>
    </row>
    <row r="379">
      <c r="A379" s="134"/>
      <c r="B379" s="134"/>
      <c r="C379" s="68"/>
      <c r="D379" s="68"/>
      <c r="E379" s="68"/>
      <c r="F379" s="68"/>
      <c r="G379" s="68"/>
      <c r="H379" s="68"/>
      <c r="I379" s="221"/>
      <c r="J379" s="221"/>
      <c r="K379" s="221"/>
      <c r="L379" s="221"/>
      <c r="M379" s="221"/>
      <c r="N379" s="221"/>
      <c r="O379" s="221"/>
      <c r="P379" s="221"/>
      <c r="Q379" s="221"/>
      <c r="R379" s="221"/>
      <c r="S379" s="221"/>
      <c r="T379" s="221"/>
      <c r="U379" s="221"/>
      <c r="V379" s="221"/>
      <c r="W379" s="221"/>
      <c r="X379" s="221"/>
      <c r="Y379" s="68"/>
      <c r="Z379" s="68"/>
      <c r="AA379" s="68"/>
    </row>
    <row r="380">
      <c r="A380" s="134"/>
      <c r="B380" s="134"/>
      <c r="C380" s="68"/>
      <c r="D380" s="68"/>
      <c r="E380" s="68"/>
      <c r="F380" s="68"/>
      <c r="G380" s="68"/>
      <c r="H380" s="68"/>
      <c r="I380" s="221"/>
      <c r="J380" s="221"/>
      <c r="K380" s="221"/>
      <c r="L380" s="221"/>
      <c r="M380" s="221"/>
      <c r="N380" s="221"/>
      <c r="O380" s="221"/>
      <c r="P380" s="221"/>
      <c r="Q380" s="221"/>
      <c r="R380" s="221"/>
      <c r="S380" s="221"/>
      <c r="T380" s="221"/>
      <c r="U380" s="221"/>
      <c r="V380" s="221"/>
      <c r="W380" s="221"/>
      <c r="X380" s="221"/>
      <c r="Y380" s="68"/>
      <c r="Z380" s="68"/>
      <c r="AA380" s="68"/>
    </row>
    <row r="381">
      <c r="A381" s="134"/>
      <c r="B381" s="134"/>
      <c r="C381" s="68"/>
      <c r="D381" s="68"/>
      <c r="E381" s="68"/>
      <c r="F381" s="68"/>
      <c r="G381" s="68"/>
      <c r="H381" s="68"/>
      <c r="I381" s="221"/>
      <c r="J381" s="221"/>
      <c r="K381" s="221"/>
      <c r="L381" s="221"/>
      <c r="M381" s="221"/>
      <c r="N381" s="221"/>
      <c r="O381" s="221"/>
      <c r="P381" s="221"/>
      <c r="Q381" s="221"/>
      <c r="R381" s="221"/>
      <c r="S381" s="221"/>
      <c r="T381" s="221"/>
      <c r="U381" s="221"/>
      <c r="V381" s="221"/>
      <c r="W381" s="221"/>
      <c r="X381" s="221"/>
      <c r="Y381" s="68"/>
      <c r="Z381" s="68"/>
      <c r="AA381" s="68"/>
    </row>
    <row r="382">
      <c r="A382" s="134"/>
      <c r="B382" s="134"/>
      <c r="C382" s="68"/>
      <c r="D382" s="68"/>
      <c r="E382" s="68"/>
      <c r="F382" s="68"/>
      <c r="G382" s="68"/>
      <c r="H382" s="68"/>
      <c r="I382" s="221"/>
      <c r="J382" s="221"/>
      <c r="K382" s="221"/>
      <c r="L382" s="221"/>
      <c r="M382" s="221"/>
      <c r="N382" s="221"/>
      <c r="O382" s="221"/>
      <c r="P382" s="221"/>
      <c r="Q382" s="221"/>
      <c r="R382" s="221"/>
      <c r="S382" s="221"/>
      <c r="T382" s="221"/>
      <c r="U382" s="221"/>
      <c r="V382" s="221"/>
      <c r="W382" s="221"/>
      <c r="X382" s="221"/>
      <c r="Y382" s="68"/>
      <c r="Z382" s="68"/>
      <c r="AA382" s="68"/>
    </row>
    <row r="383">
      <c r="A383" s="134"/>
      <c r="B383" s="134"/>
      <c r="C383" s="68"/>
      <c r="D383" s="68"/>
      <c r="E383" s="68"/>
      <c r="F383" s="68"/>
      <c r="G383" s="68"/>
      <c r="H383" s="68"/>
      <c r="I383" s="221"/>
      <c r="J383" s="221"/>
      <c r="K383" s="221"/>
      <c r="L383" s="221"/>
      <c r="M383" s="221"/>
      <c r="N383" s="221"/>
      <c r="O383" s="221"/>
      <c r="P383" s="221"/>
      <c r="Q383" s="221"/>
      <c r="R383" s="221"/>
      <c r="S383" s="221"/>
      <c r="T383" s="221"/>
      <c r="U383" s="221"/>
      <c r="V383" s="221"/>
      <c r="W383" s="221"/>
      <c r="X383" s="221"/>
      <c r="Y383" s="68"/>
      <c r="Z383" s="68"/>
      <c r="AA383" s="68"/>
    </row>
    <row r="384">
      <c r="A384" s="134"/>
      <c r="B384" s="134"/>
      <c r="C384" s="68"/>
      <c r="D384" s="68"/>
      <c r="E384" s="68"/>
      <c r="F384" s="68"/>
      <c r="G384" s="68"/>
      <c r="H384" s="68"/>
      <c r="I384" s="221"/>
      <c r="J384" s="221"/>
      <c r="K384" s="221"/>
      <c r="L384" s="221"/>
      <c r="M384" s="221"/>
      <c r="N384" s="221"/>
      <c r="O384" s="221"/>
      <c r="P384" s="221"/>
      <c r="Q384" s="221"/>
      <c r="R384" s="221"/>
      <c r="S384" s="221"/>
      <c r="T384" s="221"/>
      <c r="U384" s="221"/>
      <c r="V384" s="221"/>
      <c r="W384" s="221"/>
      <c r="X384" s="221"/>
      <c r="Y384" s="68"/>
      <c r="Z384" s="68"/>
      <c r="AA384" s="68"/>
    </row>
    <row r="385">
      <c r="A385" s="134"/>
      <c r="B385" s="134"/>
      <c r="C385" s="68"/>
      <c r="D385" s="68"/>
      <c r="E385" s="68"/>
      <c r="F385" s="68"/>
      <c r="G385" s="68"/>
      <c r="H385" s="68"/>
      <c r="I385" s="221"/>
      <c r="J385" s="221"/>
      <c r="K385" s="221"/>
      <c r="L385" s="221"/>
      <c r="M385" s="221"/>
      <c r="N385" s="221"/>
      <c r="O385" s="221"/>
      <c r="P385" s="221"/>
      <c r="Q385" s="221"/>
      <c r="R385" s="221"/>
      <c r="S385" s="221"/>
      <c r="T385" s="221"/>
      <c r="U385" s="221"/>
      <c r="V385" s="221"/>
      <c r="W385" s="221"/>
      <c r="X385" s="221"/>
      <c r="Y385" s="68"/>
      <c r="Z385" s="68"/>
      <c r="AA385" s="68"/>
    </row>
    <row r="386">
      <c r="A386" s="134"/>
      <c r="B386" s="134"/>
      <c r="C386" s="68"/>
      <c r="D386" s="68"/>
      <c r="E386" s="68"/>
      <c r="F386" s="68"/>
      <c r="G386" s="68"/>
      <c r="H386" s="68"/>
      <c r="I386" s="221"/>
      <c r="J386" s="221"/>
      <c r="K386" s="221"/>
      <c r="L386" s="221"/>
      <c r="M386" s="221"/>
      <c r="N386" s="221"/>
      <c r="O386" s="221"/>
      <c r="P386" s="221"/>
      <c r="Q386" s="221"/>
      <c r="R386" s="221"/>
      <c r="S386" s="221"/>
      <c r="T386" s="221"/>
      <c r="U386" s="221"/>
      <c r="V386" s="221"/>
      <c r="W386" s="221"/>
      <c r="X386" s="221"/>
      <c r="Y386" s="68"/>
      <c r="Z386" s="68"/>
      <c r="AA386" s="68"/>
    </row>
    <row r="387">
      <c r="A387" s="134"/>
      <c r="B387" s="134"/>
      <c r="C387" s="68"/>
      <c r="D387" s="68"/>
      <c r="E387" s="68"/>
      <c r="F387" s="68"/>
      <c r="G387" s="68"/>
      <c r="H387" s="68"/>
      <c r="I387" s="221"/>
      <c r="J387" s="221"/>
      <c r="K387" s="221"/>
      <c r="L387" s="221"/>
      <c r="M387" s="221"/>
      <c r="N387" s="221"/>
      <c r="O387" s="221"/>
      <c r="P387" s="221"/>
      <c r="Q387" s="221"/>
      <c r="R387" s="221"/>
      <c r="S387" s="221"/>
      <c r="T387" s="221"/>
      <c r="U387" s="221"/>
      <c r="V387" s="221"/>
      <c r="W387" s="221"/>
      <c r="X387" s="221"/>
      <c r="Y387" s="68"/>
      <c r="Z387" s="68"/>
      <c r="AA387" s="68"/>
    </row>
    <row r="388">
      <c r="A388" s="134"/>
      <c r="B388" s="134"/>
      <c r="C388" s="68"/>
      <c r="D388" s="68"/>
      <c r="E388" s="68"/>
      <c r="F388" s="68"/>
      <c r="G388" s="68"/>
      <c r="H388" s="68"/>
      <c r="I388" s="221"/>
      <c r="J388" s="221"/>
      <c r="K388" s="221"/>
      <c r="L388" s="221"/>
      <c r="M388" s="221"/>
      <c r="N388" s="221"/>
      <c r="O388" s="221"/>
      <c r="P388" s="221"/>
      <c r="Q388" s="221"/>
      <c r="R388" s="221"/>
      <c r="S388" s="221"/>
      <c r="T388" s="221"/>
      <c r="U388" s="221"/>
      <c r="V388" s="221"/>
      <c r="W388" s="221"/>
      <c r="X388" s="221"/>
      <c r="Y388" s="68"/>
      <c r="Z388" s="68"/>
      <c r="AA388" s="68"/>
    </row>
    <row r="389">
      <c r="A389" s="134"/>
      <c r="B389" s="134"/>
      <c r="C389" s="68"/>
      <c r="D389" s="68"/>
      <c r="E389" s="68"/>
      <c r="F389" s="68"/>
      <c r="G389" s="68"/>
      <c r="H389" s="68"/>
      <c r="I389" s="221"/>
      <c r="J389" s="221"/>
      <c r="K389" s="221"/>
      <c r="L389" s="221"/>
      <c r="M389" s="221"/>
      <c r="N389" s="221"/>
      <c r="O389" s="221"/>
      <c r="P389" s="221"/>
      <c r="Q389" s="221"/>
      <c r="R389" s="221"/>
      <c r="S389" s="221"/>
      <c r="T389" s="221"/>
      <c r="U389" s="221"/>
      <c r="V389" s="221"/>
      <c r="W389" s="221"/>
      <c r="X389" s="221"/>
      <c r="Y389" s="68"/>
      <c r="Z389" s="68"/>
      <c r="AA389" s="68"/>
    </row>
    <row r="390">
      <c r="A390" s="134"/>
      <c r="B390" s="134"/>
      <c r="C390" s="68"/>
      <c r="D390" s="68"/>
      <c r="E390" s="68"/>
      <c r="F390" s="68"/>
      <c r="G390" s="68"/>
      <c r="H390" s="68"/>
      <c r="I390" s="221"/>
      <c r="J390" s="221"/>
      <c r="K390" s="221"/>
      <c r="L390" s="221"/>
      <c r="M390" s="221"/>
      <c r="N390" s="221"/>
      <c r="O390" s="221"/>
      <c r="P390" s="221"/>
      <c r="Q390" s="221"/>
      <c r="R390" s="221"/>
      <c r="S390" s="221"/>
      <c r="T390" s="221"/>
      <c r="U390" s="221"/>
      <c r="V390" s="221"/>
      <c r="W390" s="221"/>
      <c r="X390" s="221"/>
      <c r="Y390" s="68"/>
      <c r="Z390" s="68"/>
      <c r="AA390" s="68"/>
    </row>
    <row r="391">
      <c r="A391" s="134"/>
      <c r="B391" s="134"/>
      <c r="C391" s="68"/>
      <c r="D391" s="68"/>
      <c r="E391" s="68"/>
      <c r="F391" s="68"/>
      <c r="G391" s="68"/>
      <c r="H391" s="68"/>
      <c r="I391" s="221"/>
      <c r="J391" s="221"/>
      <c r="K391" s="221"/>
      <c r="L391" s="221"/>
      <c r="M391" s="221"/>
      <c r="N391" s="221"/>
      <c r="O391" s="221"/>
      <c r="P391" s="221"/>
      <c r="Q391" s="221"/>
      <c r="R391" s="221"/>
      <c r="S391" s="221"/>
      <c r="T391" s="221"/>
      <c r="U391" s="221"/>
      <c r="V391" s="221"/>
      <c r="W391" s="221"/>
      <c r="X391" s="221"/>
      <c r="Y391" s="68"/>
      <c r="Z391" s="68"/>
      <c r="AA391" s="68"/>
    </row>
    <row r="392">
      <c r="A392" s="134"/>
      <c r="B392" s="134"/>
      <c r="C392" s="68"/>
      <c r="D392" s="68"/>
      <c r="E392" s="68"/>
      <c r="F392" s="68"/>
      <c r="G392" s="68"/>
      <c r="H392" s="68"/>
      <c r="I392" s="221"/>
      <c r="J392" s="221"/>
      <c r="K392" s="221"/>
      <c r="L392" s="221"/>
      <c r="M392" s="221"/>
      <c r="N392" s="221"/>
      <c r="O392" s="221"/>
      <c r="P392" s="221"/>
      <c r="Q392" s="221"/>
      <c r="R392" s="221"/>
      <c r="S392" s="221"/>
      <c r="T392" s="221"/>
      <c r="U392" s="221"/>
      <c r="V392" s="221"/>
      <c r="W392" s="221"/>
      <c r="X392" s="221"/>
      <c r="Y392" s="68"/>
      <c r="Z392" s="68"/>
      <c r="AA392" s="68"/>
    </row>
    <row r="393">
      <c r="A393" s="134"/>
      <c r="B393" s="134"/>
      <c r="C393" s="68"/>
      <c r="D393" s="68"/>
      <c r="E393" s="68"/>
      <c r="F393" s="68"/>
      <c r="G393" s="68"/>
      <c r="H393" s="68"/>
      <c r="I393" s="221"/>
      <c r="J393" s="221"/>
      <c r="K393" s="221"/>
      <c r="L393" s="221"/>
      <c r="M393" s="221"/>
      <c r="N393" s="221"/>
      <c r="O393" s="221"/>
      <c r="P393" s="221"/>
      <c r="Q393" s="221"/>
      <c r="R393" s="221"/>
      <c r="S393" s="221"/>
      <c r="T393" s="221"/>
      <c r="U393" s="221"/>
      <c r="V393" s="221"/>
      <c r="W393" s="221"/>
      <c r="X393" s="221"/>
      <c r="Y393" s="68"/>
      <c r="Z393" s="68"/>
      <c r="AA393" s="68"/>
    </row>
    <row r="394">
      <c r="A394" s="134"/>
      <c r="B394" s="134"/>
      <c r="C394" s="68"/>
      <c r="D394" s="68"/>
      <c r="E394" s="68"/>
      <c r="F394" s="68"/>
      <c r="G394" s="68"/>
      <c r="H394" s="68"/>
      <c r="I394" s="221"/>
      <c r="J394" s="221"/>
      <c r="K394" s="221"/>
      <c r="L394" s="221"/>
      <c r="M394" s="221"/>
      <c r="N394" s="221"/>
      <c r="O394" s="221"/>
      <c r="P394" s="221"/>
      <c r="Q394" s="221"/>
      <c r="R394" s="221"/>
      <c r="S394" s="221"/>
      <c r="T394" s="221"/>
      <c r="U394" s="221"/>
      <c r="V394" s="221"/>
      <c r="W394" s="221"/>
      <c r="X394" s="221"/>
      <c r="Y394" s="68"/>
      <c r="Z394" s="68"/>
      <c r="AA394" s="68"/>
    </row>
    <row r="395">
      <c r="A395" s="134"/>
      <c r="B395" s="134"/>
      <c r="C395" s="68"/>
      <c r="D395" s="68"/>
      <c r="E395" s="68"/>
      <c r="F395" s="68"/>
      <c r="G395" s="68"/>
      <c r="H395" s="68"/>
      <c r="I395" s="221"/>
      <c r="J395" s="221"/>
      <c r="K395" s="221"/>
      <c r="L395" s="221"/>
      <c r="M395" s="221"/>
      <c r="N395" s="221"/>
      <c r="O395" s="221"/>
      <c r="P395" s="221"/>
      <c r="Q395" s="221"/>
      <c r="R395" s="221"/>
      <c r="S395" s="221"/>
      <c r="T395" s="221"/>
      <c r="U395" s="221"/>
      <c r="V395" s="221"/>
      <c r="W395" s="221"/>
      <c r="X395" s="221"/>
      <c r="Y395" s="68"/>
      <c r="Z395" s="68"/>
      <c r="AA395" s="68"/>
    </row>
    <row r="396">
      <c r="A396" s="134"/>
      <c r="B396" s="134"/>
      <c r="C396" s="68"/>
      <c r="D396" s="68"/>
      <c r="E396" s="68"/>
      <c r="F396" s="68"/>
      <c r="G396" s="68"/>
      <c r="H396" s="68"/>
      <c r="I396" s="221"/>
      <c r="J396" s="221"/>
      <c r="K396" s="221"/>
      <c r="L396" s="221"/>
      <c r="M396" s="221"/>
      <c r="N396" s="221"/>
      <c r="O396" s="221"/>
      <c r="P396" s="221"/>
      <c r="Q396" s="221"/>
      <c r="R396" s="221"/>
      <c r="S396" s="221"/>
      <c r="T396" s="221"/>
      <c r="U396" s="221"/>
      <c r="V396" s="221"/>
      <c r="W396" s="221"/>
      <c r="X396" s="221"/>
      <c r="Y396" s="68"/>
      <c r="Z396" s="68"/>
      <c r="AA396" s="68"/>
    </row>
    <row r="397">
      <c r="A397" s="134"/>
      <c r="B397" s="134"/>
      <c r="C397" s="68"/>
      <c r="D397" s="68"/>
      <c r="E397" s="68"/>
      <c r="F397" s="68"/>
      <c r="G397" s="68"/>
      <c r="H397" s="68"/>
      <c r="I397" s="221"/>
      <c r="J397" s="221"/>
      <c r="K397" s="221"/>
      <c r="L397" s="221"/>
      <c r="M397" s="221"/>
      <c r="N397" s="221"/>
      <c r="O397" s="221"/>
      <c r="P397" s="221"/>
      <c r="Q397" s="221"/>
      <c r="R397" s="221"/>
      <c r="S397" s="221"/>
      <c r="T397" s="221"/>
      <c r="U397" s="221"/>
      <c r="V397" s="221"/>
      <c r="W397" s="221"/>
      <c r="X397" s="221"/>
      <c r="Y397" s="68"/>
      <c r="Z397" s="68"/>
      <c r="AA397" s="68"/>
    </row>
    <row r="398">
      <c r="A398" s="134"/>
      <c r="B398" s="134"/>
      <c r="C398" s="68"/>
      <c r="D398" s="68"/>
      <c r="E398" s="68"/>
      <c r="F398" s="68"/>
      <c r="G398" s="68"/>
      <c r="H398" s="68"/>
      <c r="I398" s="221"/>
      <c r="J398" s="221"/>
      <c r="K398" s="221"/>
      <c r="L398" s="221"/>
      <c r="M398" s="221"/>
      <c r="N398" s="221"/>
      <c r="O398" s="221"/>
      <c r="P398" s="221"/>
      <c r="Q398" s="221"/>
      <c r="R398" s="221"/>
      <c r="S398" s="221"/>
      <c r="T398" s="221"/>
      <c r="U398" s="221"/>
      <c r="V398" s="221"/>
      <c r="W398" s="221"/>
      <c r="X398" s="221"/>
      <c r="Y398" s="68"/>
      <c r="Z398" s="68"/>
      <c r="AA398" s="68"/>
    </row>
    <row r="399">
      <c r="A399" s="134"/>
      <c r="B399" s="134"/>
      <c r="C399" s="68"/>
      <c r="D399" s="68"/>
      <c r="E399" s="68"/>
      <c r="F399" s="68"/>
      <c r="G399" s="68"/>
      <c r="H399" s="68"/>
      <c r="I399" s="221"/>
      <c r="J399" s="221"/>
      <c r="K399" s="221"/>
      <c r="L399" s="221"/>
      <c r="M399" s="221"/>
      <c r="N399" s="221"/>
      <c r="O399" s="221"/>
      <c r="P399" s="221"/>
      <c r="Q399" s="221"/>
      <c r="R399" s="221"/>
      <c r="S399" s="221"/>
      <c r="T399" s="221"/>
      <c r="U399" s="221"/>
      <c r="V399" s="221"/>
      <c r="W399" s="221"/>
      <c r="X399" s="221"/>
      <c r="Y399" s="68"/>
      <c r="Z399" s="68"/>
      <c r="AA399" s="68"/>
    </row>
    <row r="400">
      <c r="A400" s="134"/>
      <c r="B400" s="134"/>
      <c r="C400" s="68"/>
      <c r="D400" s="68"/>
      <c r="E400" s="68"/>
      <c r="F400" s="68"/>
      <c r="G400" s="68"/>
      <c r="H400" s="68"/>
      <c r="I400" s="221"/>
      <c r="J400" s="221"/>
      <c r="K400" s="221"/>
      <c r="L400" s="221"/>
      <c r="M400" s="221"/>
      <c r="N400" s="221"/>
      <c r="O400" s="221"/>
      <c r="P400" s="221"/>
      <c r="Q400" s="221"/>
      <c r="R400" s="221"/>
      <c r="S400" s="221"/>
      <c r="T400" s="221"/>
      <c r="U400" s="221"/>
      <c r="V400" s="221"/>
      <c r="W400" s="221"/>
      <c r="X400" s="221"/>
      <c r="Y400" s="68"/>
      <c r="Z400" s="68"/>
      <c r="AA400" s="68"/>
    </row>
    <row r="401">
      <c r="A401" s="134"/>
      <c r="B401" s="134"/>
      <c r="C401" s="68"/>
      <c r="D401" s="68"/>
      <c r="E401" s="68"/>
      <c r="F401" s="68"/>
      <c r="G401" s="68"/>
      <c r="H401" s="68"/>
      <c r="I401" s="221"/>
      <c r="J401" s="221"/>
      <c r="K401" s="221"/>
      <c r="L401" s="221"/>
      <c r="M401" s="221"/>
      <c r="N401" s="221"/>
      <c r="O401" s="221"/>
      <c r="P401" s="221"/>
      <c r="Q401" s="221"/>
      <c r="R401" s="221"/>
      <c r="S401" s="221"/>
      <c r="T401" s="221"/>
      <c r="U401" s="221"/>
      <c r="V401" s="221"/>
      <c r="W401" s="221"/>
      <c r="X401" s="221"/>
      <c r="Y401" s="68"/>
      <c r="Z401" s="68"/>
      <c r="AA401" s="68"/>
    </row>
    <row r="402">
      <c r="A402" s="134"/>
      <c r="B402" s="134"/>
      <c r="C402" s="68"/>
      <c r="D402" s="68"/>
      <c r="E402" s="68"/>
      <c r="F402" s="68"/>
      <c r="G402" s="68"/>
      <c r="H402" s="68"/>
      <c r="I402" s="221"/>
      <c r="J402" s="221"/>
      <c r="K402" s="221"/>
      <c r="L402" s="221"/>
      <c r="M402" s="221"/>
      <c r="N402" s="221"/>
      <c r="O402" s="221"/>
      <c r="P402" s="221"/>
      <c r="Q402" s="221"/>
      <c r="R402" s="221"/>
      <c r="S402" s="221"/>
      <c r="T402" s="221"/>
      <c r="U402" s="221"/>
      <c r="V402" s="221"/>
      <c r="W402" s="221"/>
      <c r="X402" s="221"/>
      <c r="Y402" s="68"/>
      <c r="Z402" s="68"/>
      <c r="AA402" s="68"/>
    </row>
    <row r="403">
      <c r="A403" s="134"/>
      <c r="B403" s="134"/>
      <c r="C403" s="68"/>
      <c r="D403" s="68"/>
      <c r="E403" s="68"/>
      <c r="F403" s="68"/>
      <c r="G403" s="68"/>
      <c r="H403" s="68"/>
      <c r="I403" s="221"/>
      <c r="J403" s="221"/>
      <c r="K403" s="221"/>
      <c r="L403" s="221"/>
      <c r="M403" s="221"/>
      <c r="N403" s="221"/>
      <c r="O403" s="221"/>
      <c r="P403" s="221"/>
      <c r="Q403" s="221"/>
      <c r="R403" s="221"/>
      <c r="S403" s="221"/>
      <c r="T403" s="221"/>
      <c r="U403" s="221"/>
      <c r="V403" s="221"/>
      <c r="W403" s="221"/>
      <c r="X403" s="221"/>
      <c r="Y403" s="68"/>
      <c r="Z403" s="68"/>
      <c r="AA403" s="68"/>
    </row>
    <row r="404">
      <c r="A404" s="134"/>
      <c r="B404" s="134"/>
      <c r="C404" s="68"/>
      <c r="D404" s="68"/>
      <c r="E404" s="68"/>
      <c r="F404" s="68"/>
      <c r="G404" s="68"/>
      <c r="H404" s="68"/>
      <c r="I404" s="221"/>
      <c r="J404" s="221"/>
      <c r="K404" s="221"/>
      <c r="L404" s="221"/>
      <c r="M404" s="221"/>
      <c r="N404" s="221"/>
      <c r="O404" s="221"/>
      <c r="P404" s="221"/>
      <c r="Q404" s="221"/>
      <c r="R404" s="221"/>
      <c r="S404" s="221"/>
      <c r="T404" s="221"/>
      <c r="U404" s="221"/>
      <c r="V404" s="221"/>
      <c r="W404" s="221"/>
      <c r="X404" s="221"/>
      <c r="Y404" s="68"/>
      <c r="Z404" s="68"/>
      <c r="AA404" s="68"/>
    </row>
    <row r="405">
      <c r="A405" s="134"/>
      <c r="B405" s="134"/>
      <c r="C405" s="68"/>
      <c r="D405" s="68"/>
      <c r="E405" s="68"/>
      <c r="F405" s="68"/>
      <c r="G405" s="68"/>
      <c r="H405" s="68"/>
      <c r="I405" s="221"/>
      <c r="J405" s="221"/>
      <c r="K405" s="221"/>
      <c r="L405" s="221"/>
      <c r="M405" s="221"/>
      <c r="N405" s="221"/>
      <c r="O405" s="221"/>
      <c r="P405" s="221"/>
      <c r="Q405" s="221"/>
      <c r="R405" s="221"/>
      <c r="S405" s="221"/>
      <c r="T405" s="221"/>
      <c r="U405" s="221"/>
      <c r="V405" s="221"/>
      <c r="W405" s="221"/>
      <c r="X405" s="221"/>
      <c r="Y405" s="68"/>
      <c r="Z405" s="68"/>
      <c r="AA405" s="68"/>
    </row>
    <row r="406">
      <c r="A406" s="134"/>
      <c r="B406" s="134"/>
      <c r="C406" s="68"/>
      <c r="D406" s="68"/>
      <c r="E406" s="68"/>
      <c r="F406" s="68"/>
      <c r="G406" s="68"/>
      <c r="H406" s="68"/>
      <c r="I406" s="221"/>
      <c r="J406" s="221"/>
      <c r="K406" s="221"/>
      <c r="L406" s="221"/>
      <c r="M406" s="221"/>
      <c r="N406" s="221"/>
      <c r="O406" s="221"/>
      <c r="P406" s="221"/>
      <c r="Q406" s="221"/>
      <c r="R406" s="221"/>
      <c r="S406" s="221"/>
      <c r="T406" s="221"/>
      <c r="U406" s="221"/>
      <c r="V406" s="221"/>
      <c r="W406" s="221"/>
      <c r="X406" s="221"/>
      <c r="Y406" s="68"/>
      <c r="Z406" s="68"/>
      <c r="AA406" s="68"/>
    </row>
    <row r="407">
      <c r="A407" s="134"/>
      <c r="B407" s="134"/>
      <c r="C407" s="68"/>
      <c r="D407" s="68"/>
      <c r="E407" s="68"/>
      <c r="F407" s="68"/>
      <c r="G407" s="68"/>
      <c r="H407" s="68"/>
      <c r="I407" s="221"/>
      <c r="J407" s="221"/>
      <c r="K407" s="221"/>
      <c r="L407" s="221"/>
      <c r="M407" s="221"/>
      <c r="N407" s="221"/>
      <c r="O407" s="221"/>
      <c r="P407" s="221"/>
      <c r="Q407" s="221"/>
      <c r="R407" s="221"/>
      <c r="S407" s="221"/>
      <c r="T407" s="221"/>
      <c r="U407" s="221"/>
      <c r="V407" s="221"/>
      <c r="W407" s="221"/>
      <c r="X407" s="221"/>
      <c r="Y407" s="68"/>
      <c r="Z407" s="68"/>
      <c r="AA407" s="68"/>
    </row>
    <row r="408">
      <c r="A408" s="134"/>
      <c r="B408" s="134"/>
      <c r="C408" s="68"/>
      <c r="D408" s="68"/>
      <c r="E408" s="68"/>
      <c r="F408" s="68"/>
      <c r="G408" s="68"/>
      <c r="H408" s="68"/>
      <c r="I408" s="221"/>
      <c r="J408" s="221"/>
      <c r="K408" s="221"/>
      <c r="L408" s="221"/>
      <c r="M408" s="221"/>
      <c r="N408" s="221"/>
      <c r="O408" s="221"/>
      <c r="P408" s="221"/>
      <c r="Q408" s="221"/>
      <c r="R408" s="221"/>
      <c r="S408" s="221"/>
      <c r="T408" s="221"/>
      <c r="U408" s="221"/>
      <c r="V408" s="221"/>
      <c r="W408" s="221"/>
      <c r="X408" s="221"/>
      <c r="Y408" s="68"/>
      <c r="Z408" s="68"/>
      <c r="AA408" s="68"/>
    </row>
    <row r="409">
      <c r="A409" s="134"/>
      <c r="B409" s="134"/>
      <c r="C409" s="68"/>
      <c r="D409" s="68"/>
      <c r="E409" s="68"/>
      <c r="F409" s="68"/>
      <c r="G409" s="68"/>
      <c r="H409" s="68"/>
      <c r="I409" s="221"/>
      <c r="J409" s="221"/>
      <c r="K409" s="221"/>
      <c r="L409" s="221"/>
      <c r="M409" s="221"/>
      <c r="N409" s="221"/>
      <c r="O409" s="221"/>
      <c r="P409" s="221"/>
      <c r="Q409" s="221"/>
      <c r="R409" s="221"/>
      <c r="S409" s="221"/>
      <c r="T409" s="221"/>
      <c r="U409" s="221"/>
      <c r="V409" s="221"/>
      <c r="W409" s="221"/>
      <c r="X409" s="221"/>
      <c r="Y409" s="68"/>
      <c r="Z409" s="68"/>
      <c r="AA409" s="68"/>
    </row>
    <row r="410">
      <c r="A410" s="134"/>
      <c r="B410" s="134"/>
      <c r="C410" s="68"/>
      <c r="D410" s="68"/>
      <c r="E410" s="68"/>
      <c r="F410" s="68"/>
      <c r="G410" s="68"/>
      <c r="H410" s="68"/>
      <c r="I410" s="221"/>
      <c r="J410" s="221"/>
      <c r="K410" s="221"/>
      <c r="L410" s="221"/>
      <c r="M410" s="221"/>
      <c r="N410" s="221"/>
      <c r="O410" s="221"/>
      <c r="P410" s="221"/>
      <c r="Q410" s="221"/>
      <c r="R410" s="221"/>
      <c r="S410" s="221"/>
      <c r="T410" s="221"/>
      <c r="U410" s="221"/>
      <c r="V410" s="221"/>
      <c r="W410" s="221"/>
      <c r="X410" s="221"/>
      <c r="Y410" s="68"/>
      <c r="Z410" s="68"/>
      <c r="AA410" s="68"/>
    </row>
    <row r="411">
      <c r="A411" s="134"/>
      <c r="B411" s="134"/>
      <c r="C411" s="68"/>
      <c r="D411" s="68"/>
      <c r="E411" s="68"/>
      <c r="F411" s="68"/>
      <c r="G411" s="68"/>
      <c r="H411" s="68"/>
      <c r="I411" s="221"/>
      <c r="J411" s="221"/>
      <c r="K411" s="221"/>
      <c r="L411" s="221"/>
      <c r="M411" s="221"/>
      <c r="N411" s="221"/>
      <c r="O411" s="221"/>
      <c r="P411" s="221"/>
      <c r="Q411" s="221"/>
      <c r="R411" s="221"/>
      <c r="S411" s="221"/>
      <c r="T411" s="221"/>
      <c r="U411" s="221"/>
      <c r="V411" s="221"/>
      <c r="W411" s="221"/>
      <c r="X411" s="221"/>
      <c r="Y411" s="68"/>
      <c r="Z411" s="68"/>
      <c r="AA411" s="68"/>
    </row>
    <row r="412">
      <c r="A412" s="134"/>
      <c r="B412" s="134"/>
      <c r="C412" s="68"/>
      <c r="D412" s="68"/>
      <c r="E412" s="68"/>
      <c r="F412" s="68"/>
      <c r="G412" s="68"/>
      <c r="H412" s="68"/>
      <c r="I412" s="221"/>
      <c r="J412" s="221"/>
      <c r="K412" s="221"/>
      <c r="L412" s="221"/>
      <c r="M412" s="221"/>
      <c r="N412" s="221"/>
      <c r="O412" s="221"/>
      <c r="P412" s="221"/>
      <c r="Q412" s="221"/>
      <c r="R412" s="221"/>
      <c r="S412" s="221"/>
      <c r="T412" s="221"/>
      <c r="U412" s="221"/>
      <c r="V412" s="221"/>
      <c r="W412" s="221"/>
      <c r="X412" s="221"/>
      <c r="Y412" s="68"/>
      <c r="Z412" s="68"/>
      <c r="AA412" s="68"/>
    </row>
    <row r="413">
      <c r="A413" s="134"/>
      <c r="B413" s="134"/>
      <c r="C413" s="68"/>
      <c r="D413" s="68"/>
      <c r="E413" s="68"/>
      <c r="F413" s="68"/>
      <c r="G413" s="68"/>
      <c r="H413" s="68"/>
      <c r="I413" s="221"/>
      <c r="J413" s="221"/>
      <c r="K413" s="221"/>
      <c r="L413" s="221"/>
      <c r="M413" s="221"/>
      <c r="N413" s="221"/>
      <c r="O413" s="221"/>
      <c r="P413" s="221"/>
      <c r="Q413" s="221"/>
      <c r="R413" s="221"/>
      <c r="S413" s="221"/>
      <c r="T413" s="221"/>
      <c r="U413" s="221"/>
      <c r="V413" s="221"/>
      <c r="W413" s="221"/>
      <c r="X413" s="221"/>
      <c r="Y413" s="68"/>
      <c r="Z413" s="68"/>
      <c r="AA413" s="68"/>
    </row>
    <row r="414">
      <c r="A414" s="134"/>
      <c r="B414" s="134"/>
      <c r="C414" s="68"/>
      <c r="D414" s="68"/>
      <c r="E414" s="68"/>
      <c r="F414" s="68"/>
      <c r="G414" s="68"/>
      <c r="H414" s="68"/>
      <c r="I414" s="221"/>
      <c r="J414" s="221"/>
      <c r="K414" s="221"/>
      <c r="L414" s="221"/>
      <c r="M414" s="221"/>
      <c r="N414" s="221"/>
      <c r="O414" s="221"/>
      <c r="P414" s="221"/>
      <c r="Q414" s="221"/>
      <c r="R414" s="221"/>
      <c r="S414" s="221"/>
      <c r="T414" s="221"/>
      <c r="U414" s="221"/>
      <c r="V414" s="221"/>
      <c r="W414" s="221"/>
      <c r="X414" s="221"/>
      <c r="Y414" s="68"/>
      <c r="Z414" s="68"/>
      <c r="AA414" s="68"/>
    </row>
    <row r="415">
      <c r="A415" s="134"/>
      <c r="B415" s="134"/>
      <c r="C415" s="68"/>
      <c r="D415" s="68"/>
      <c r="E415" s="68"/>
      <c r="F415" s="68"/>
      <c r="G415" s="68"/>
      <c r="H415" s="68"/>
      <c r="I415" s="221"/>
      <c r="J415" s="221"/>
      <c r="K415" s="221"/>
      <c r="L415" s="221"/>
      <c r="M415" s="221"/>
      <c r="N415" s="221"/>
      <c r="O415" s="221"/>
      <c r="P415" s="221"/>
      <c r="Q415" s="221"/>
      <c r="R415" s="221"/>
      <c r="S415" s="221"/>
      <c r="T415" s="221"/>
      <c r="U415" s="221"/>
      <c r="V415" s="221"/>
      <c r="W415" s="221"/>
      <c r="X415" s="221"/>
      <c r="Y415" s="68"/>
      <c r="Z415" s="68"/>
      <c r="AA415" s="68"/>
    </row>
    <row r="416">
      <c r="A416" s="134"/>
      <c r="B416" s="134"/>
      <c r="C416" s="68"/>
      <c r="D416" s="68"/>
      <c r="E416" s="68"/>
      <c r="F416" s="68"/>
      <c r="G416" s="68"/>
      <c r="H416" s="68"/>
      <c r="I416" s="221"/>
      <c r="J416" s="221"/>
      <c r="K416" s="221"/>
      <c r="L416" s="221"/>
      <c r="M416" s="221"/>
      <c r="N416" s="221"/>
      <c r="O416" s="221"/>
      <c r="P416" s="221"/>
      <c r="Q416" s="221"/>
      <c r="R416" s="221"/>
      <c r="S416" s="221"/>
      <c r="T416" s="221"/>
      <c r="U416" s="221"/>
      <c r="V416" s="221"/>
      <c r="W416" s="221"/>
      <c r="X416" s="221"/>
      <c r="Y416" s="68"/>
      <c r="Z416" s="68"/>
      <c r="AA416" s="68"/>
    </row>
    <row r="417">
      <c r="A417" s="134"/>
      <c r="B417" s="134"/>
      <c r="C417" s="68"/>
      <c r="D417" s="68"/>
      <c r="E417" s="68"/>
      <c r="F417" s="68"/>
      <c r="G417" s="68"/>
      <c r="H417" s="68"/>
      <c r="I417" s="221"/>
      <c r="J417" s="221"/>
      <c r="K417" s="221"/>
      <c r="L417" s="221"/>
      <c r="M417" s="221"/>
      <c r="N417" s="221"/>
      <c r="O417" s="221"/>
      <c r="P417" s="221"/>
      <c r="Q417" s="221"/>
      <c r="R417" s="221"/>
      <c r="S417" s="221"/>
      <c r="T417" s="221"/>
      <c r="U417" s="221"/>
      <c r="V417" s="221"/>
      <c r="W417" s="221"/>
      <c r="X417" s="221"/>
      <c r="Y417" s="68"/>
      <c r="Z417" s="68"/>
      <c r="AA417" s="68"/>
    </row>
    <row r="418">
      <c r="A418" s="134"/>
      <c r="B418" s="134"/>
      <c r="C418" s="68"/>
      <c r="D418" s="68"/>
      <c r="E418" s="68"/>
      <c r="F418" s="68"/>
      <c r="G418" s="68"/>
      <c r="H418" s="68"/>
      <c r="I418" s="221"/>
      <c r="J418" s="221"/>
      <c r="K418" s="221"/>
      <c r="L418" s="221"/>
      <c r="M418" s="221"/>
      <c r="N418" s="221"/>
      <c r="O418" s="221"/>
      <c r="P418" s="221"/>
      <c r="Q418" s="221"/>
      <c r="R418" s="221"/>
      <c r="S418" s="221"/>
      <c r="T418" s="221"/>
      <c r="U418" s="221"/>
      <c r="V418" s="221"/>
      <c r="W418" s="221"/>
      <c r="X418" s="221"/>
      <c r="Y418" s="68"/>
      <c r="Z418" s="68"/>
      <c r="AA418" s="68"/>
    </row>
    <row r="419">
      <c r="A419" s="134"/>
      <c r="B419" s="134"/>
      <c r="C419" s="68"/>
      <c r="D419" s="68"/>
      <c r="E419" s="68"/>
      <c r="F419" s="68"/>
      <c r="G419" s="68"/>
      <c r="H419" s="68"/>
      <c r="I419" s="221"/>
      <c r="J419" s="221"/>
      <c r="K419" s="221"/>
      <c r="L419" s="221"/>
      <c r="M419" s="221"/>
      <c r="N419" s="221"/>
      <c r="O419" s="221"/>
      <c r="P419" s="221"/>
      <c r="Q419" s="221"/>
      <c r="R419" s="221"/>
      <c r="S419" s="221"/>
      <c r="T419" s="221"/>
      <c r="U419" s="221"/>
      <c r="V419" s="221"/>
      <c r="W419" s="221"/>
      <c r="X419" s="221"/>
      <c r="Y419" s="68"/>
      <c r="Z419" s="68"/>
      <c r="AA419" s="68"/>
    </row>
    <row r="420">
      <c r="A420" s="134"/>
      <c r="B420" s="134"/>
      <c r="C420" s="68"/>
      <c r="D420" s="68"/>
      <c r="E420" s="68"/>
      <c r="F420" s="68"/>
      <c r="G420" s="68"/>
      <c r="H420" s="68"/>
      <c r="I420" s="221"/>
      <c r="J420" s="221"/>
      <c r="K420" s="221"/>
      <c r="L420" s="221"/>
      <c r="M420" s="221"/>
      <c r="N420" s="221"/>
      <c r="O420" s="221"/>
      <c r="P420" s="221"/>
      <c r="Q420" s="221"/>
      <c r="R420" s="221"/>
      <c r="S420" s="221"/>
      <c r="T420" s="221"/>
      <c r="U420" s="221"/>
      <c r="V420" s="221"/>
      <c r="W420" s="221"/>
      <c r="X420" s="221"/>
      <c r="Y420" s="68"/>
      <c r="Z420" s="68"/>
      <c r="AA420" s="68"/>
    </row>
    <row r="421">
      <c r="A421" s="134"/>
      <c r="B421" s="134"/>
      <c r="C421" s="68"/>
      <c r="D421" s="68"/>
      <c r="E421" s="68"/>
      <c r="F421" s="68"/>
      <c r="G421" s="68"/>
      <c r="H421" s="68"/>
      <c r="I421" s="221"/>
      <c r="J421" s="221"/>
      <c r="K421" s="221"/>
      <c r="L421" s="221"/>
      <c r="M421" s="221"/>
      <c r="N421" s="221"/>
      <c r="O421" s="221"/>
      <c r="P421" s="221"/>
      <c r="Q421" s="221"/>
      <c r="R421" s="221"/>
      <c r="S421" s="221"/>
      <c r="T421" s="221"/>
      <c r="U421" s="221"/>
      <c r="V421" s="221"/>
      <c r="W421" s="221"/>
      <c r="X421" s="221"/>
      <c r="Y421" s="68"/>
      <c r="Z421" s="68"/>
      <c r="AA421" s="68"/>
    </row>
    <row r="422">
      <c r="A422" s="134"/>
      <c r="B422" s="134"/>
      <c r="C422" s="68"/>
      <c r="D422" s="68"/>
      <c r="E422" s="68"/>
      <c r="F422" s="68"/>
      <c r="G422" s="68"/>
      <c r="H422" s="68"/>
      <c r="I422" s="221"/>
      <c r="J422" s="221"/>
      <c r="K422" s="221"/>
      <c r="L422" s="221"/>
      <c r="M422" s="221"/>
      <c r="N422" s="221"/>
      <c r="O422" s="221"/>
      <c r="P422" s="221"/>
      <c r="Q422" s="221"/>
      <c r="R422" s="221"/>
      <c r="S422" s="221"/>
      <c r="T422" s="221"/>
      <c r="U422" s="221"/>
      <c r="V422" s="221"/>
      <c r="W422" s="221"/>
      <c r="X422" s="221"/>
      <c r="Y422" s="68"/>
      <c r="Z422" s="68"/>
      <c r="AA422" s="68"/>
    </row>
    <row r="423">
      <c r="A423" s="134"/>
      <c r="B423" s="134"/>
      <c r="C423" s="68"/>
      <c r="D423" s="68"/>
      <c r="E423" s="68"/>
      <c r="F423" s="68"/>
      <c r="G423" s="68"/>
      <c r="H423" s="68"/>
      <c r="I423" s="221"/>
      <c r="J423" s="221"/>
      <c r="K423" s="221"/>
      <c r="L423" s="221"/>
      <c r="M423" s="221"/>
      <c r="N423" s="221"/>
      <c r="O423" s="221"/>
      <c r="P423" s="221"/>
      <c r="Q423" s="221"/>
      <c r="R423" s="221"/>
      <c r="S423" s="221"/>
      <c r="T423" s="221"/>
      <c r="U423" s="221"/>
      <c r="V423" s="221"/>
      <c r="W423" s="221"/>
      <c r="X423" s="221"/>
      <c r="Y423" s="68"/>
      <c r="Z423" s="68"/>
      <c r="AA423" s="68"/>
    </row>
    <row r="424">
      <c r="A424" s="134"/>
      <c r="B424" s="134"/>
      <c r="C424" s="68"/>
      <c r="D424" s="68"/>
      <c r="E424" s="68"/>
      <c r="F424" s="68"/>
      <c r="G424" s="68"/>
      <c r="H424" s="68"/>
      <c r="I424" s="221"/>
      <c r="J424" s="221"/>
      <c r="K424" s="221"/>
      <c r="L424" s="221"/>
      <c r="M424" s="221"/>
      <c r="N424" s="221"/>
      <c r="O424" s="221"/>
      <c r="P424" s="221"/>
      <c r="Q424" s="221"/>
      <c r="R424" s="221"/>
      <c r="S424" s="221"/>
      <c r="T424" s="221"/>
      <c r="U424" s="221"/>
      <c r="V424" s="221"/>
      <c r="W424" s="221"/>
      <c r="X424" s="221"/>
      <c r="Y424" s="68"/>
      <c r="Z424" s="68"/>
      <c r="AA424" s="68"/>
    </row>
    <row r="425">
      <c r="A425" s="134"/>
      <c r="B425" s="134"/>
      <c r="C425" s="68"/>
      <c r="D425" s="68"/>
      <c r="E425" s="68"/>
      <c r="F425" s="68"/>
      <c r="G425" s="68"/>
      <c r="H425" s="68"/>
      <c r="I425" s="221"/>
      <c r="J425" s="221"/>
      <c r="K425" s="221"/>
      <c r="L425" s="221"/>
      <c r="M425" s="221"/>
      <c r="N425" s="221"/>
      <c r="O425" s="221"/>
      <c r="P425" s="221"/>
      <c r="Q425" s="221"/>
      <c r="R425" s="221"/>
      <c r="S425" s="221"/>
      <c r="T425" s="221"/>
      <c r="U425" s="221"/>
      <c r="V425" s="221"/>
      <c r="W425" s="221"/>
      <c r="X425" s="221"/>
      <c r="Y425" s="68"/>
      <c r="Z425" s="68"/>
      <c r="AA425" s="68"/>
    </row>
    <row r="426">
      <c r="A426" s="134"/>
      <c r="B426" s="134"/>
      <c r="C426" s="68"/>
      <c r="D426" s="68"/>
      <c r="E426" s="68"/>
      <c r="F426" s="68"/>
      <c r="G426" s="68"/>
      <c r="H426" s="68"/>
      <c r="I426" s="221"/>
      <c r="J426" s="221"/>
      <c r="K426" s="221"/>
      <c r="L426" s="221"/>
      <c r="M426" s="221"/>
      <c r="N426" s="221"/>
      <c r="O426" s="221"/>
      <c r="P426" s="221"/>
      <c r="Q426" s="221"/>
      <c r="R426" s="221"/>
      <c r="S426" s="221"/>
      <c r="T426" s="221"/>
      <c r="U426" s="221"/>
      <c r="V426" s="221"/>
      <c r="W426" s="221"/>
      <c r="X426" s="221"/>
      <c r="Y426" s="68"/>
      <c r="Z426" s="68"/>
      <c r="AA426" s="68"/>
    </row>
    <row r="427">
      <c r="A427" s="134"/>
      <c r="B427" s="134"/>
      <c r="C427" s="68"/>
      <c r="D427" s="68"/>
      <c r="E427" s="68"/>
      <c r="F427" s="68"/>
      <c r="G427" s="68"/>
      <c r="H427" s="68"/>
      <c r="I427" s="221"/>
      <c r="J427" s="221"/>
      <c r="K427" s="221"/>
      <c r="L427" s="221"/>
      <c r="M427" s="221"/>
      <c r="N427" s="221"/>
      <c r="O427" s="221"/>
      <c r="P427" s="221"/>
      <c r="Q427" s="221"/>
      <c r="R427" s="221"/>
      <c r="S427" s="221"/>
      <c r="T427" s="221"/>
      <c r="U427" s="221"/>
      <c r="V427" s="221"/>
      <c r="W427" s="221"/>
      <c r="X427" s="221"/>
      <c r="Y427" s="68"/>
      <c r="Z427" s="68"/>
      <c r="AA427" s="68"/>
    </row>
    <row r="428">
      <c r="A428" s="134"/>
      <c r="B428" s="134"/>
      <c r="C428" s="68"/>
      <c r="D428" s="68"/>
      <c r="E428" s="68"/>
      <c r="F428" s="68"/>
      <c r="G428" s="68"/>
      <c r="H428" s="68"/>
      <c r="I428" s="221"/>
      <c r="J428" s="221"/>
      <c r="K428" s="221"/>
      <c r="L428" s="221"/>
      <c r="M428" s="221"/>
      <c r="N428" s="221"/>
      <c r="O428" s="221"/>
      <c r="P428" s="221"/>
      <c r="Q428" s="221"/>
      <c r="R428" s="221"/>
      <c r="S428" s="221"/>
      <c r="T428" s="221"/>
      <c r="U428" s="221"/>
      <c r="V428" s="221"/>
      <c r="W428" s="221"/>
      <c r="X428" s="221"/>
      <c r="Y428" s="68"/>
      <c r="Z428" s="68"/>
      <c r="AA428" s="68"/>
    </row>
    <row r="429">
      <c r="A429" s="134"/>
      <c r="B429" s="134"/>
      <c r="C429" s="68"/>
      <c r="D429" s="68"/>
      <c r="E429" s="68"/>
      <c r="F429" s="68"/>
      <c r="G429" s="68"/>
      <c r="H429" s="68"/>
      <c r="I429" s="221"/>
      <c r="J429" s="221"/>
      <c r="K429" s="221"/>
      <c r="L429" s="221"/>
      <c r="M429" s="221"/>
      <c r="N429" s="221"/>
      <c r="O429" s="221"/>
      <c r="P429" s="221"/>
      <c r="Q429" s="221"/>
      <c r="R429" s="221"/>
      <c r="S429" s="221"/>
      <c r="T429" s="221"/>
      <c r="U429" s="221"/>
      <c r="V429" s="221"/>
      <c r="W429" s="221"/>
      <c r="X429" s="221"/>
      <c r="Y429" s="68"/>
      <c r="Z429" s="68"/>
      <c r="AA429" s="68"/>
    </row>
    <row r="430">
      <c r="A430" s="134"/>
      <c r="B430" s="134"/>
      <c r="C430" s="68"/>
      <c r="D430" s="68"/>
      <c r="E430" s="68"/>
      <c r="F430" s="68"/>
      <c r="G430" s="68"/>
      <c r="H430" s="68"/>
      <c r="I430" s="221"/>
      <c r="J430" s="221"/>
      <c r="K430" s="221"/>
      <c r="L430" s="221"/>
      <c r="M430" s="221"/>
      <c r="N430" s="221"/>
      <c r="O430" s="221"/>
      <c r="P430" s="221"/>
      <c r="Q430" s="221"/>
      <c r="R430" s="221"/>
      <c r="S430" s="221"/>
      <c r="T430" s="221"/>
      <c r="U430" s="221"/>
      <c r="V430" s="221"/>
      <c r="W430" s="221"/>
      <c r="X430" s="221"/>
      <c r="Y430" s="68"/>
      <c r="Z430" s="68"/>
      <c r="AA430" s="68"/>
    </row>
    <row r="431">
      <c r="A431" s="134"/>
      <c r="B431" s="134"/>
      <c r="C431" s="68"/>
      <c r="D431" s="68"/>
      <c r="E431" s="68"/>
      <c r="F431" s="68"/>
      <c r="G431" s="68"/>
      <c r="H431" s="68"/>
      <c r="I431" s="221"/>
      <c r="J431" s="221"/>
      <c r="K431" s="221"/>
      <c r="L431" s="221"/>
      <c r="M431" s="221"/>
      <c r="N431" s="221"/>
      <c r="O431" s="221"/>
      <c r="P431" s="221"/>
      <c r="Q431" s="221"/>
      <c r="R431" s="221"/>
      <c r="S431" s="221"/>
      <c r="T431" s="221"/>
      <c r="U431" s="221"/>
      <c r="V431" s="221"/>
      <c r="W431" s="221"/>
      <c r="X431" s="221"/>
      <c r="Y431" s="68"/>
      <c r="Z431" s="68"/>
      <c r="AA431" s="68"/>
    </row>
    <row r="432">
      <c r="A432" s="134"/>
      <c r="B432" s="134"/>
      <c r="C432" s="68"/>
      <c r="D432" s="68"/>
      <c r="E432" s="68"/>
      <c r="F432" s="68"/>
      <c r="G432" s="68"/>
      <c r="H432" s="68"/>
      <c r="I432" s="221"/>
      <c r="J432" s="221"/>
      <c r="K432" s="221"/>
      <c r="L432" s="221"/>
      <c r="M432" s="221"/>
      <c r="N432" s="221"/>
      <c r="O432" s="221"/>
      <c r="P432" s="221"/>
      <c r="Q432" s="221"/>
      <c r="R432" s="221"/>
      <c r="S432" s="221"/>
      <c r="T432" s="221"/>
      <c r="U432" s="221"/>
      <c r="V432" s="221"/>
      <c r="W432" s="221"/>
      <c r="X432" s="221"/>
      <c r="Y432" s="68"/>
      <c r="Z432" s="68"/>
      <c r="AA432" s="68"/>
    </row>
    <row r="433">
      <c r="A433" s="134"/>
      <c r="B433" s="134"/>
      <c r="C433" s="68"/>
      <c r="D433" s="68"/>
      <c r="E433" s="68"/>
      <c r="F433" s="68"/>
      <c r="G433" s="68"/>
      <c r="H433" s="68"/>
      <c r="I433" s="221"/>
      <c r="J433" s="221"/>
      <c r="K433" s="221"/>
      <c r="L433" s="221"/>
      <c r="M433" s="221"/>
      <c r="N433" s="221"/>
      <c r="O433" s="221"/>
      <c r="P433" s="221"/>
      <c r="Q433" s="221"/>
      <c r="R433" s="221"/>
      <c r="S433" s="221"/>
      <c r="T433" s="221"/>
      <c r="U433" s="221"/>
      <c r="V433" s="221"/>
      <c r="W433" s="221"/>
      <c r="X433" s="221"/>
      <c r="Y433" s="68"/>
      <c r="Z433" s="68"/>
      <c r="AA433" s="68"/>
    </row>
    <row r="434">
      <c r="A434" s="134"/>
      <c r="B434" s="134"/>
      <c r="C434" s="68"/>
      <c r="D434" s="68"/>
      <c r="E434" s="68"/>
      <c r="F434" s="68"/>
      <c r="G434" s="68"/>
      <c r="H434" s="68"/>
      <c r="I434" s="221"/>
      <c r="J434" s="221"/>
      <c r="K434" s="221"/>
      <c r="L434" s="221"/>
      <c r="M434" s="221"/>
      <c r="N434" s="221"/>
      <c r="O434" s="221"/>
      <c r="P434" s="221"/>
      <c r="Q434" s="221"/>
      <c r="R434" s="221"/>
      <c r="S434" s="221"/>
      <c r="T434" s="221"/>
      <c r="U434" s="221"/>
      <c r="V434" s="221"/>
      <c r="W434" s="221"/>
      <c r="X434" s="221"/>
      <c r="Y434" s="68"/>
      <c r="Z434" s="68"/>
      <c r="AA434" s="68"/>
    </row>
    <row r="435">
      <c r="A435" s="134"/>
      <c r="B435" s="134"/>
      <c r="C435" s="68"/>
      <c r="D435" s="68"/>
      <c r="E435" s="68"/>
      <c r="F435" s="68"/>
      <c r="G435" s="68"/>
      <c r="H435" s="68"/>
      <c r="I435" s="221"/>
      <c r="J435" s="221"/>
      <c r="K435" s="221"/>
      <c r="L435" s="221"/>
      <c r="M435" s="221"/>
      <c r="N435" s="221"/>
      <c r="O435" s="221"/>
      <c r="P435" s="221"/>
      <c r="Q435" s="221"/>
      <c r="R435" s="221"/>
      <c r="S435" s="221"/>
      <c r="T435" s="221"/>
      <c r="U435" s="221"/>
      <c r="V435" s="221"/>
      <c r="W435" s="221"/>
      <c r="X435" s="221"/>
      <c r="Y435" s="68"/>
      <c r="Z435" s="68"/>
      <c r="AA435" s="68"/>
    </row>
    <row r="436">
      <c r="A436" s="134"/>
      <c r="B436" s="134"/>
      <c r="C436" s="68"/>
      <c r="D436" s="68"/>
      <c r="E436" s="68"/>
      <c r="F436" s="68"/>
      <c r="G436" s="68"/>
      <c r="H436" s="68"/>
      <c r="I436" s="221"/>
      <c r="J436" s="221"/>
      <c r="K436" s="221"/>
      <c r="L436" s="221"/>
      <c r="M436" s="221"/>
      <c r="N436" s="221"/>
      <c r="O436" s="221"/>
      <c r="P436" s="221"/>
      <c r="Q436" s="221"/>
      <c r="R436" s="221"/>
      <c r="S436" s="221"/>
      <c r="T436" s="221"/>
      <c r="U436" s="221"/>
      <c r="V436" s="221"/>
      <c r="W436" s="221"/>
      <c r="X436" s="221"/>
      <c r="Y436" s="68"/>
      <c r="Z436" s="68"/>
      <c r="AA436" s="68"/>
    </row>
    <row r="437">
      <c r="A437" s="134"/>
      <c r="B437" s="134"/>
      <c r="C437" s="68"/>
      <c r="D437" s="68"/>
      <c r="E437" s="68"/>
      <c r="F437" s="68"/>
      <c r="G437" s="68"/>
      <c r="H437" s="68"/>
      <c r="I437" s="221"/>
      <c r="J437" s="221"/>
      <c r="K437" s="221"/>
      <c r="L437" s="221"/>
      <c r="M437" s="221"/>
      <c r="N437" s="221"/>
      <c r="O437" s="221"/>
      <c r="P437" s="221"/>
      <c r="Q437" s="221"/>
      <c r="R437" s="221"/>
      <c r="S437" s="221"/>
      <c r="T437" s="221"/>
      <c r="U437" s="221"/>
      <c r="V437" s="221"/>
      <c r="W437" s="221"/>
      <c r="X437" s="221"/>
      <c r="Y437" s="68"/>
      <c r="Z437" s="68"/>
      <c r="AA437" s="68"/>
    </row>
    <row r="438">
      <c r="A438" s="134"/>
      <c r="B438" s="134"/>
      <c r="C438" s="68"/>
      <c r="D438" s="68"/>
      <c r="E438" s="68"/>
      <c r="F438" s="68"/>
      <c r="G438" s="68"/>
      <c r="H438" s="68"/>
      <c r="I438" s="221"/>
      <c r="J438" s="221"/>
      <c r="K438" s="221"/>
      <c r="L438" s="221"/>
      <c r="M438" s="221"/>
      <c r="N438" s="221"/>
      <c r="O438" s="221"/>
      <c r="P438" s="221"/>
      <c r="Q438" s="221"/>
      <c r="R438" s="221"/>
      <c r="S438" s="221"/>
      <c r="T438" s="221"/>
      <c r="U438" s="221"/>
      <c r="V438" s="221"/>
      <c r="W438" s="221"/>
      <c r="X438" s="221"/>
      <c r="Y438" s="68"/>
      <c r="Z438" s="68"/>
      <c r="AA438" s="68"/>
    </row>
    <row r="439">
      <c r="A439" s="134"/>
      <c r="B439" s="134"/>
      <c r="C439" s="68"/>
      <c r="D439" s="68"/>
      <c r="E439" s="68"/>
      <c r="F439" s="68"/>
      <c r="G439" s="68"/>
      <c r="H439" s="68"/>
      <c r="I439" s="221"/>
      <c r="J439" s="221"/>
      <c r="K439" s="221"/>
      <c r="L439" s="221"/>
      <c r="M439" s="221"/>
      <c r="N439" s="221"/>
      <c r="O439" s="221"/>
      <c r="P439" s="221"/>
      <c r="Q439" s="221"/>
      <c r="R439" s="221"/>
      <c r="S439" s="221"/>
      <c r="T439" s="221"/>
      <c r="U439" s="221"/>
      <c r="V439" s="221"/>
      <c r="W439" s="221"/>
      <c r="X439" s="221"/>
      <c r="Y439" s="68"/>
      <c r="Z439" s="68"/>
      <c r="AA439" s="68"/>
    </row>
    <row r="440">
      <c r="A440" s="134"/>
      <c r="B440" s="134"/>
      <c r="C440" s="68"/>
      <c r="D440" s="68"/>
      <c r="E440" s="68"/>
      <c r="F440" s="68"/>
      <c r="G440" s="68"/>
      <c r="H440" s="68"/>
      <c r="I440" s="221"/>
      <c r="J440" s="221"/>
      <c r="K440" s="221"/>
      <c r="L440" s="221"/>
      <c r="M440" s="221"/>
      <c r="N440" s="221"/>
      <c r="O440" s="221"/>
      <c r="P440" s="221"/>
      <c r="Q440" s="221"/>
      <c r="R440" s="221"/>
      <c r="S440" s="221"/>
      <c r="T440" s="221"/>
      <c r="U440" s="221"/>
      <c r="V440" s="221"/>
      <c r="W440" s="221"/>
      <c r="X440" s="221"/>
      <c r="Y440" s="68"/>
      <c r="Z440" s="68"/>
      <c r="AA440" s="68"/>
    </row>
    <row r="441">
      <c r="A441" s="134"/>
      <c r="B441" s="134"/>
      <c r="C441" s="68"/>
      <c r="D441" s="68"/>
      <c r="E441" s="68"/>
      <c r="F441" s="68"/>
      <c r="G441" s="68"/>
      <c r="H441" s="68"/>
      <c r="I441" s="221"/>
      <c r="J441" s="221"/>
      <c r="K441" s="221"/>
      <c r="L441" s="221"/>
      <c r="M441" s="221"/>
      <c r="N441" s="221"/>
      <c r="O441" s="221"/>
      <c r="P441" s="221"/>
      <c r="Q441" s="221"/>
      <c r="R441" s="221"/>
      <c r="S441" s="221"/>
      <c r="T441" s="221"/>
      <c r="U441" s="221"/>
      <c r="V441" s="221"/>
      <c r="W441" s="221"/>
      <c r="X441" s="221"/>
      <c r="Y441" s="68"/>
      <c r="Z441" s="68"/>
      <c r="AA441" s="68"/>
    </row>
    <row r="442">
      <c r="A442" s="134"/>
      <c r="B442" s="134"/>
      <c r="C442" s="68"/>
      <c r="D442" s="68"/>
      <c r="E442" s="68"/>
      <c r="F442" s="68"/>
      <c r="G442" s="68"/>
      <c r="H442" s="68"/>
      <c r="I442" s="221"/>
      <c r="J442" s="221"/>
      <c r="K442" s="221"/>
      <c r="L442" s="221"/>
      <c r="M442" s="221"/>
      <c r="N442" s="221"/>
      <c r="O442" s="221"/>
      <c r="P442" s="221"/>
      <c r="Q442" s="221"/>
      <c r="R442" s="221"/>
      <c r="S442" s="221"/>
      <c r="T442" s="221"/>
      <c r="U442" s="221"/>
      <c r="V442" s="221"/>
      <c r="W442" s="221"/>
      <c r="X442" s="221"/>
      <c r="Y442" s="68"/>
      <c r="Z442" s="68"/>
      <c r="AA442" s="68"/>
    </row>
    <row r="443">
      <c r="A443" s="134"/>
      <c r="B443" s="134"/>
      <c r="C443" s="68"/>
      <c r="D443" s="68"/>
      <c r="E443" s="68"/>
      <c r="F443" s="68"/>
      <c r="G443" s="68"/>
      <c r="H443" s="68"/>
      <c r="I443" s="221"/>
      <c r="J443" s="221"/>
      <c r="K443" s="221"/>
      <c r="L443" s="221"/>
      <c r="M443" s="221"/>
      <c r="N443" s="221"/>
      <c r="O443" s="221"/>
      <c r="P443" s="221"/>
      <c r="Q443" s="221"/>
      <c r="R443" s="221"/>
      <c r="S443" s="221"/>
      <c r="T443" s="221"/>
      <c r="U443" s="221"/>
      <c r="V443" s="221"/>
      <c r="W443" s="221"/>
      <c r="X443" s="221"/>
      <c r="Y443" s="68"/>
      <c r="Z443" s="68"/>
      <c r="AA443" s="68"/>
    </row>
    <row r="444">
      <c r="A444" s="134"/>
      <c r="B444" s="134"/>
      <c r="C444" s="68"/>
      <c r="D444" s="68"/>
      <c r="E444" s="68"/>
      <c r="F444" s="68"/>
      <c r="G444" s="68"/>
      <c r="H444" s="68"/>
      <c r="I444" s="221"/>
      <c r="J444" s="221"/>
      <c r="K444" s="221"/>
      <c r="L444" s="221"/>
      <c r="M444" s="221"/>
      <c r="N444" s="221"/>
      <c r="O444" s="221"/>
      <c r="P444" s="221"/>
      <c r="Q444" s="221"/>
      <c r="R444" s="221"/>
      <c r="S444" s="221"/>
      <c r="T444" s="221"/>
      <c r="U444" s="221"/>
      <c r="V444" s="221"/>
      <c r="W444" s="221"/>
      <c r="X444" s="221"/>
      <c r="Y444" s="68"/>
      <c r="Z444" s="68"/>
      <c r="AA444" s="68"/>
    </row>
    <row r="445">
      <c r="A445" s="134"/>
      <c r="B445" s="134"/>
      <c r="C445" s="68"/>
      <c r="D445" s="68"/>
      <c r="E445" s="68"/>
      <c r="F445" s="68"/>
      <c r="G445" s="68"/>
      <c r="H445" s="68"/>
      <c r="I445" s="221"/>
      <c r="J445" s="221"/>
      <c r="K445" s="221"/>
      <c r="L445" s="221"/>
      <c r="M445" s="221"/>
      <c r="N445" s="221"/>
      <c r="O445" s="221"/>
      <c r="P445" s="221"/>
      <c r="Q445" s="221"/>
      <c r="R445" s="221"/>
      <c r="S445" s="221"/>
      <c r="T445" s="221"/>
      <c r="U445" s="221"/>
      <c r="V445" s="221"/>
      <c r="W445" s="221"/>
      <c r="X445" s="221"/>
      <c r="Y445" s="68"/>
      <c r="Z445" s="68"/>
      <c r="AA445" s="68"/>
    </row>
    <row r="446">
      <c r="A446" s="134"/>
      <c r="B446" s="134"/>
      <c r="C446" s="68"/>
      <c r="D446" s="68"/>
      <c r="E446" s="68"/>
      <c r="F446" s="68"/>
      <c r="G446" s="68"/>
      <c r="H446" s="68"/>
      <c r="I446" s="221"/>
      <c r="J446" s="221"/>
      <c r="K446" s="221"/>
      <c r="L446" s="221"/>
      <c r="M446" s="221"/>
      <c r="N446" s="221"/>
      <c r="O446" s="221"/>
      <c r="P446" s="221"/>
      <c r="Q446" s="221"/>
      <c r="R446" s="221"/>
      <c r="S446" s="221"/>
      <c r="T446" s="221"/>
      <c r="U446" s="221"/>
      <c r="V446" s="221"/>
      <c r="W446" s="221"/>
      <c r="X446" s="221"/>
      <c r="Y446" s="68"/>
      <c r="Z446" s="68"/>
      <c r="AA446" s="68"/>
    </row>
    <row r="447">
      <c r="A447" s="134"/>
      <c r="B447" s="134"/>
      <c r="C447" s="68"/>
      <c r="D447" s="68"/>
      <c r="E447" s="68"/>
      <c r="F447" s="68"/>
      <c r="G447" s="68"/>
      <c r="H447" s="68"/>
      <c r="I447" s="221"/>
      <c r="J447" s="221"/>
      <c r="K447" s="221"/>
      <c r="L447" s="221"/>
      <c r="M447" s="221"/>
      <c r="N447" s="221"/>
      <c r="O447" s="221"/>
      <c r="P447" s="221"/>
      <c r="Q447" s="221"/>
      <c r="R447" s="221"/>
      <c r="S447" s="221"/>
      <c r="T447" s="221"/>
      <c r="U447" s="221"/>
      <c r="V447" s="221"/>
      <c r="W447" s="221"/>
      <c r="X447" s="221"/>
      <c r="Y447" s="68"/>
      <c r="Z447" s="68"/>
      <c r="AA447" s="68"/>
    </row>
    <row r="448">
      <c r="A448" s="134"/>
      <c r="B448" s="134"/>
      <c r="C448" s="68"/>
      <c r="D448" s="68"/>
      <c r="E448" s="68"/>
      <c r="F448" s="68"/>
      <c r="G448" s="68"/>
      <c r="H448" s="68"/>
      <c r="I448" s="221"/>
      <c r="J448" s="221"/>
      <c r="K448" s="221"/>
      <c r="L448" s="221"/>
      <c r="M448" s="221"/>
      <c r="N448" s="221"/>
      <c r="O448" s="221"/>
      <c r="P448" s="221"/>
      <c r="Q448" s="221"/>
      <c r="R448" s="221"/>
      <c r="S448" s="221"/>
      <c r="T448" s="221"/>
      <c r="U448" s="221"/>
      <c r="V448" s="221"/>
      <c r="W448" s="221"/>
      <c r="X448" s="221"/>
      <c r="Y448" s="68"/>
      <c r="Z448" s="68"/>
      <c r="AA448" s="68"/>
    </row>
    <row r="449">
      <c r="A449" s="134"/>
      <c r="B449" s="134"/>
      <c r="C449" s="68"/>
      <c r="D449" s="68"/>
      <c r="E449" s="68"/>
      <c r="F449" s="68"/>
      <c r="G449" s="68"/>
      <c r="H449" s="68"/>
      <c r="I449" s="221"/>
      <c r="J449" s="221"/>
      <c r="K449" s="221"/>
      <c r="L449" s="221"/>
      <c r="M449" s="221"/>
      <c r="N449" s="221"/>
      <c r="O449" s="221"/>
      <c r="P449" s="221"/>
      <c r="Q449" s="221"/>
      <c r="R449" s="221"/>
      <c r="S449" s="221"/>
      <c r="T449" s="221"/>
      <c r="U449" s="221"/>
      <c r="V449" s="221"/>
      <c r="W449" s="221"/>
      <c r="X449" s="221"/>
      <c r="Y449" s="68"/>
      <c r="Z449" s="68"/>
      <c r="AA449" s="68"/>
    </row>
    <row r="450">
      <c r="A450" s="134"/>
      <c r="B450" s="134"/>
      <c r="C450" s="68"/>
      <c r="D450" s="68"/>
      <c r="E450" s="68"/>
      <c r="F450" s="68"/>
      <c r="G450" s="68"/>
      <c r="H450" s="68"/>
      <c r="I450" s="221"/>
      <c r="J450" s="221"/>
      <c r="K450" s="221"/>
      <c r="L450" s="221"/>
      <c r="M450" s="221"/>
      <c r="N450" s="221"/>
      <c r="O450" s="221"/>
      <c r="P450" s="221"/>
      <c r="Q450" s="221"/>
      <c r="R450" s="221"/>
      <c r="S450" s="221"/>
      <c r="T450" s="221"/>
      <c r="U450" s="221"/>
      <c r="V450" s="221"/>
      <c r="W450" s="221"/>
      <c r="X450" s="221"/>
      <c r="Y450" s="68"/>
      <c r="Z450" s="68"/>
      <c r="AA450" s="68"/>
    </row>
    <row r="451">
      <c r="A451" s="134"/>
      <c r="B451" s="134"/>
      <c r="C451" s="68"/>
      <c r="D451" s="68"/>
      <c r="E451" s="68"/>
      <c r="F451" s="68"/>
      <c r="G451" s="68"/>
      <c r="H451" s="68"/>
      <c r="I451" s="221"/>
      <c r="J451" s="221"/>
      <c r="K451" s="221"/>
      <c r="L451" s="221"/>
      <c r="M451" s="221"/>
      <c r="N451" s="221"/>
      <c r="O451" s="221"/>
      <c r="P451" s="221"/>
      <c r="Q451" s="221"/>
      <c r="R451" s="221"/>
      <c r="S451" s="221"/>
      <c r="T451" s="221"/>
      <c r="U451" s="221"/>
      <c r="V451" s="221"/>
      <c r="W451" s="221"/>
      <c r="X451" s="221"/>
      <c r="Y451" s="68"/>
      <c r="Z451" s="68"/>
      <c r="AA451" s="68"/>
    </row>
    <row r="452">
      <c r="A452" s="134"/>
      <c r="B452" s="134"/>
      <c r="C452" s="68"/>
      <c r="D452" s="68"/>
      <c r="E452" s="68"/>
      <c r="F452" s="68"/>
      <c r="G452" s="68"/>
      <c r="H452" s="68"/>
      <c r="I452" s="221"/>
      <c r="J452" s="221"/>
      <c r="K452" s="221"/>
      <c r="L452" s="221"/>
      <c r="M452" s="221"/>
      <c r="N452" s="221"/>
      <c r="O452" s="221"/>
      <c r="P452" s="221"/>
      <c r="Q452" s="221"/>
      <c r="R452" s="221"/>
      <c r="S452" s="221"/>
      <c r="T452" s="221"/>
      <c r="U452" s="221"/>
      <c r="V452" s="221"/>
      <c r="W452" s="221"/>
      <c r="X452" s="221"/>
      <c r="Y452" s="68"/>
      <c r="Z452" s="68"/>
      <c r="AA452" s="68"/>
    </row>
    <row r="453">
      <c r="A453" s="134"/>
      <c r="B453" s="134"/>
      <c r="C453" s="68"/>
      <c r="D453" s="68"/>
      <c r="E453" s="68"/>
      <c r="F453" s="68"/>
      <c r="G453" s="68"/>
      <c r="H453" s="68"/>
      <c r="I453" s="221"/>
      <c r="J453" s="221"/>
      <c r="K453" s="221"/>
      <c r="L453" s="221"/>
      <c r="M453" s="221"/>
      <c r="N453" s="221"/>
      <c r="O453" s="221"/>
      <c r="P453" s="221"/>
      <c r="Q453" s="221"/>
      <c r="R453" s="221"/>
      <c r="S453" s="221"/>
      <c r="T453" s="221"/>
      <c r="U453" s="221"/>
      <c r="V453" s="221"/>
      <c r="W453" s="221"/>
      <c r="X453" s="221"/>
      <c r="Y453" s="68"/>
      <c r="Z453" s="68"/>
      <c r="AA453" s="68"/>
    </row>
    <row r="454">
      <c r="A454" s="134"/>
      <c r="B454" s="134"/>
      <c r="C454" s="68"/>
      <c r="D454" s="68"/>
      <c r="E454" s="68"/>
      <c r="F454" s="68"/>
      <c r="G454" s="68"/>
      <c r="H454" s="68"/>
      <c r="I454" s="221"/>
      <c r="J454" s="221"/>
      <c r="K454" s="221"/>
      <c r="L454" s="221"/>
      <c r="M454" s="221"/>
      <c r="N454" s="221"/>
      <c r="O454" s="221"/>
      <c r="P454" s="221"/>
      <c r="Q454" s="221"/>
      <c r="R454" s="221"/>
      <c r="S454" s="221"/>
      <c r="T454" s="221"/>
      <c r="U454" s="221"/>
      <c r="V454" s="221"/>
      <c r="W454" s="221"/>
      <c r="X454" s="221"/>
      <c r="Y454" s="68"/>
      <c r="Z454" s="68"/>
      <c r="AA454" s="68"/>
    </row>
    <row r="455">
      <c r="A455" s="134"/>
      <c r="B455" s="134"/>
      <c r="C455" s="68"/>
      <c r="D455" s="68"/>
      <c r="E455" s="68"/>
      <c r="F455" s="68"/>
      <c r="G455" s="68"/>
      <c r="H455" s="68"/>
      <c r="I455" s="221"/>
      <c r="J455" s="221"/>
      <c r="K455" s="221"/>
      <c r="L455" s="221"/>
      <c r="M455" s="221"/>
      <c r="N455" s="221"/>
      <c r="O455" s="221"/>
      <c r="P455" s="221"/>
      <c r="Q455" s="221"/>
      <c r="R455" s="221"/>
      <c r="S455" s="221"/>
      <c r="T455" s="221"/>
      <c r="U455" s="221"/>
      <c r="V455" s="221"/>
      <c r="W455" s="221"/>
      <c r="X455" s="221"/>
      <c r="Y455" s="68"/>
      <c r="Z455" s="68"/>
      <c r="AA455" s="68"/>
    </row>
    <row r="456">
      <c r="A456" s="134"/>
      <c r="B456" s="134"/>
      <c r="C456" s="68"/>
      <c r="D456" s="68"/>
      <c r="E456" s="68"/>
      <c r="F456" s="68"/>
      <c r="G456" s="68"/>
      <c r="H456" s="68"/>
      <c r="I456" s="221"/>
      <c r="J456" s="221"/>
      <c r="K456" s="221"/>
      <c r="L456" s="221"/>
      <c r="M456" s="221"/>
      <c r="N456" s="221"/>
      <c r="O456" s="221"/>
      <c r="P456" s="221"/>
      <c r="Q456" s="221"/>
      <c r="R456" s="221"/>
      <c r="S456" s="221"/>
      <c r="T456" s="221"/>
      <c r="U456" s="221"/>
      <c r="V456" s="221"/>
      <c r="W456" s="221"/>
      <c r="X456" s="221"/>
      <c r="Y456" s="68"/>
      <c r="Z456" s="68"/>
      <c r="AA456" s="68"/>
    </row>
    <row r="457">
      <c r="A457" s="134"/>
      <c r="B457" s="134"/>
      <c r="C457" s="68"/>
      <c r="D457" s="68"/>
      <c r="E457" s="68"/>
      <c r="F457" s="68"/>
      <c r="G457" s="68"/>
      <c r="H457" s="68"/>
      <c r="I457" s="221"/>
      <c r="J457" s="221"/>
      <c r="K457" s="221"/>
      <c r="L457" s="221"/>
      <c r="M457" s="221"/>
      <c r="N457" s="221"/>
      <c r="O457" s="221"/>
      <c r="P457" s="221"/>
      <c r="Q457" s="221"/>
      <c r="R457" s="221"/>
      <c r="S457" s="221"/>
      <c r="T457" s="221"/>
      <c r="U457" s="221"/>
      <c r="V457" s="221"/>
      <c r="W457" s="221"/>
      <c r="X457" s="221"/>
      <c r="Y457" s="68"/>
      <c r="Z457" s="68"/>
      <c r="AA457" s="68"/>
    </row>
    <row r="458">
      <c r="A458" s="134"/>
      <c r="B458" s="134"/>
      <c r="C458" s="68"/>
      <c r="D458" s="68"/>
      <c r="E458" s="68"/>
      <c r="F458" s="68"/>
      <c r="G458" s="68"/>
      <c r="H458" s="68"/>
      <c r="I458" s="221"/>
      <c r="J458" s="221"/>
      <c r="K458" s="221"/>
      <c r="L458" s="221"/>
      <c r="M458" s="221"/>
      <c r="N458" s="221"/>
      <c r="O458" s="221"/>
      <c r="P458" s="221"/>
      <c r="Q458" s="221"/>
      <c r="R458" s="221"/>
      <c r="S458" s="221"/>
      <c r="T458" s="221"/>
      <c r="U458" s="221"/>
      <c r="V458" s="221"/>
      <c r="W458" s="221"/>
      <c r="X458" s="221"/>
      <c r="Y458" s="68"/>
      <c r="Z458" s="68"/>
      <c r="AA458" s="68"/>
    </row>
    <row r="459">
      <c r="A459" s="134"/>
      <c r="B459" s="134"/>
      <c r="C459" s="68"/>
      <c r="D459" s="68"/>
      <c r="E459" s="68"/>
      <c r="F459" s="68"/>
      <c r="G459" s="68"/>
      <c r="H459" s="68"/>
      <c r="I459" s="221"/>
      <c r="J459" s="221"/>
      <c r="K459" s="221"/>
      <c r="L459" s="221"/>
      <c r="M459" s="221"/>
      <c r="N459" s="221"/>
      <c r="O459" s="221"/>
      <c r="P459" s="221"/>
      <c r="Q459" s="221"/>
      <c r="R459" s="221"/>
      <c r="S459" s="221"/>
      <c r="T459" s="221"/>
      <c r="U459" s="221"/>
      <c r="V459" s="221"/>
      <c r="W459" s="221"/>
      <c r="X459" s="221"/>
      <c r="Y459" s="68"/>
      <c r="Z459" s="68"/>
      <c r="AA459" s="68"/>
    </row>
    <row r="460">
      <c r="A460" s="134"/>
      <c r="B460" s="134"/>
      <c r="C460" s="68"/>
      <c r="D460" s="68"/>
      <c r="E460" s="68"/>
      <c r="F460" s="68"/>
      <c r="G460" s="68"/>
      <c r="H460" s="68"/>
      <c r="I460" s="221"/>
      <c r="J460" s="221"/>
      <c r="K460" s="221"/>
      <c r="L460" s="221"/>
      <c r="M460" s="221"/>
      <c r="N460" s="221"/>
      <c r="O460" s="221"/>
      <c r="P460" s="221"/>
      <c r="Q460" s="221"/>
      <c r="R460" s="221"/>
      <c r="S460" s="221"/>
      <c r="T460" s="221"/>
      <c r="U460" s="221"/>
      <c r="V460" s="221"/>
      <c r="W460" s="221"/>
      <c r="X460" s="221"/>
      <c r="Y460" s="68"/>
      <c r="Z460" s="68"/>
      <c r="AA460" s="68"/>
    </row>
    <row r="461">
      <c r="A461" s="134"/>
      <c r="B461" s="134"/>
      <c r="C461" s="68"/>
      <c r="D461" s="68"/>
      <c r="E461" s="68"/>
      <c r="F461" s="68"/>
      <c r="G461" s="68"/>
      <c r="H461" s="68"/>
      <c r="I461" s="221"/>
      <c r="J461" s="221"/>
      <c r="K461" s="221"/>
      <c r="L461" s="221"/>
      <c r="M461" s="221"/>
      <c r="N461" s="221"/>
      <c r="O461" s="221"/>
      <c r="P461" s="221"/>
      <c r="Q461" s="221"/>
      <c r="R461" s="221"/>
      <c r="S461" s="221"/>
      <c r="T461" s="221"/>
      <c r="U461" s="221"/>
      <c r="V461" s="221"/>
      <c r="W461" s="221"/>
      <c r="X461" s="221"/>
      <c r="Y461" s="68"/>
      <c r="Z461" s="68"/>
      <c r="AA461" s="68"/>
    </row>
    <row r="462">
      <c r="A462" s="134"/>
      <c r="B462" s="134"/>
      <c r="C462" s="68"/>
      <c r="D462" s="68"/>
      <c r="E462" s="68"/>
      <c r="F462" s="68"/>
      <c r="G462" s="68"/>
      <c r="H462" s="68"/>
      <c r="I462" s="221"/>
      <c r="J462" s="221"/>
      <c r="K462" s="221"/>
      <c r="L462" s="221"/>
      <c r="M462" s="221"/>
      <c r="N462" s="221"/>
      <c r="O462" s="221"/>
      <c r="P462" s="221"/>
      <c r="Q462" s="221"/>
      <c r="R462" s="221"/>
      <c r="S462" s="221"/>
      <c r="T462" s="221"/>
      <c r="U462" s="221"/>
      <c r="V462" s="221"/>
      <c r="W462" s="221"/>
      <c r="X462" s="221"/>
      <c r="Y462" s="68"/>
      <c r="Z462" s="68"/>
      <c r="AA462" s="68"/>
    </row>
    <row r="463">
      <c r="A463" s="134"/>
      <c r="B463" s="134"/>
      <c r="C463" s="68"/>
      <c r="D463" s="68"/>
      <c r="E463" s="68"/>
      <c r="F463" s="68"/>
      <c r="G463" s="68"/>
      <c r="H463" s="68"/>
      <c r="I463" s="221"/>
      <c r="J463" s="221"/>
      <c r="K463" s="221"/>
      <c r="L463" s="221"/>
      <c r="M463" s="221"/>
      <c r="N463" s="221"/>
      <c r="O463" s="221"/>
      <c r="P463" s="221"/>
      <c r="Q463" s="221"/>
      <c r="R463" s="221"/>
      <c r="S463" s="221"/>
      <c r="T463" s="221"/>
      <c r="U463" s="221"/>
      <c r="V463" s="221"/>
      <c r="W463" s="221"/>
      <c r="X463" s="221"/>
      <c r="Y463" s="68"/>
      <c r="Z463" s="68"/>
      <c r="AA463" s="68"/>
    </row>
    <row r="464">
      <c r="A464" s="134"/>
      <c r="B464" s="134"/>
      <c r="C464" s="68"/>
      <c r="D464" s="68"/>
      <c r="E464" s="68"/>
      <c r="F464" s="68"/>
      <c r="G464" s="68"/>
      <c r="H464" s="68"/>
      <c r="I464" s="221"/>
      <c r="J464" s="221"/>
      <c r="K464" s="221"/>
      <c r="L464" s="221"/>
      <c r="M464" s="221"/>
      <c r="N464" s="221"/>
      <c r="O464" s="221"/>
      <c r="P464" s="221"/>
      <c r="Q464" s="221"/>
      <c r="R464" s="221"/>
      <c r="S464" s="221"/>
      <c r="T464" s="221"/>
      <c r="U464" s="221"/>
      <c r="V464" s="221"/>
      <c r="W464" s="221"/>
      <c r="X464" s="221"/>
      <c r="Y464" s="68"/>
      <c r="Z464" s="68"/>
      <c r="AA464" s="68"/>
    </row>
    <row r="465">
      <c r="A465" s="134"/>
      <c r="B465" s="134"/>
      <c r="C465" s="68"/>
      <c r="D465" s="68"/>
      <c r="E465" s="68"/>
      <c r="F465" s="68"/>
      <c r="G465" s="68"/>
      <c r="H465" s="68"/>
      <c r="I465" s="221"/>
      <c r="J465" s="221"/>
      <c r="K465" s="221"/>
      <c r="L465" s="221"/>
      <c r="M465" s="221"/>
      <c r="N465" s="221"/>
      <c r="O465" s="221"/>
      <c r="P465" s="221"/>
      <c r="Q465" s="221"/>
      <c r="R465" s="221"/>
      <c r="S465" s="221"/>
      <c r="T465" s="221"/>
      <c r="U465" s="221"/>
      <c r="V465" s="221"/>
      <c r="W465" s="221"/>
      <c r="X465" s="221"/>
      <c r="Y465" s="68"/>
      <c r="Z465" s="68"/>
      <c r="AA465" s="68"/>
    </row>
    <row r="466">
      <c r="A466" s="134"/>
      <c r="B466" s="134"/>
      <c r="C466" s="68"/>
      <c r="D466" s="68"/>
      <c r="E466" s="68"/>
      <c r="F466" s="68"/>
      <c r="G466" s="68"/>
      <c r="H466" s="68"/>
      <c r="I466" s="221"/>
      <c r="J466" s="221"/>
      <c r="K466" s="221"/>
      <c r="L466" s="221"/>
      <c r="M466" s="221"/>
      <c r="N466" s="221"/>
      <c r="O466" s="221"/>
      <c r="P466" s="221"/>
      <c r="Q466" s="221"/>
      <c r="R466" s="221"/>
      <c r="S466" s="221"/>
      <c r="T466" s="221"/>
      <c r="U466" s="221"/>
      <c r="V466" s="221"/>
      <c r="W466" s="221"/>
      <c r="X466" s="221"/>
      <c r="Y466" s="68"/>
      <c r="Z466" s="68"/>
      <c r="AA466" s="68"/>
    </row>
    <row r="467">
      <c r="A467" s="134"/>
      <c r="B467" s="134"/>
      <c r="C467" s="68"/>
      <c r="D467" s="68"/>
      <c r="E467" s="68"/>
      <c r="F467" s="68"/>
      <c r="G467" s="68"/>
      <c r="H467" s="68"/>
      <c r="I467" s="221"/>
      <c r="J467" s="221"/>
      <c r="K467" s="221"/>
      <c r="L467" s="221"/>
      <c r="M467" s="221"/>
      <c r="N467" s="221"/>
      <c r="O467" s="221"/>
      <c r="P467" s="221"/>
      <c r="Q467" s="221"/>
      <c r="R467" s="221"/>
      <c r="S467" s="221"/>
      <c r="T467" s="221"/>
      <c r="U467" s="221"/>
      <c r="V467" s="221"/>
      <c r="W467" s="221"/>
      <c r="X467" s="221"/>
      <c r="Y467" s="68"/>
      <c r="Z467" s="68"/>
      <c r="AA467" s="68"/>
    </row>
    <row r="468">
      <c r="A468" s="134"/>
      <c r="B468" s="134"/>
      <c r="C468" s="68"/>
      <c r="D468" s="68"/>
      <c r="E468" s="68"/>
      <c r="F468" s="68"/>
      <c r="G468" s="68"/>
      <c r="H468" s="68"/>
      <c r="I468" s="221"/>
      <c r="J468" s="221"/>
      <c r="K468" s="221"/>
      <c r="L468" s="221"/>
      <c r="M468" s="221"/>
      <c r="N468" s="221"/>
      <c r="O468" s="221"/>
      <c r="P468" s="221"/>
      <c r="Q468" s="221"/>
      <c r="R468" s="221"/>
      <c r="S468" s="221"/>
      <c r="T468" s="221"/>
      <c r="U468" s="221"/>
      <c r="V468" s="221"/>
      <c r="W468" s="221"/>
      <c r="X468" s="221"/>
      <c r="Y468" s="68"/>
      <c r="Z468" s="68"/>
      <c r="AA468" s="68"/>
    </row>
    <row r="469">
      <c r="A469" s="134"/>
      <c r="B469" s="134"/>
      <c r="C469" s="68"/>
      <c r="D469" s="68"/>
      <c r="E469" s="68"/>
      <c r="F469" s="68"/>
      <c r="G469" s="68"/>
      <c r="H469" s="68"/>
      <c r="I469" s="221"/>
      <c r="J469" s="221"/>
      <c r="K469" s="221"/>
      <c r="L469" s="221"/>
      <c r="M469" s="221"/>
      <c r="N469" s="221"/>
      <c r="O469" s="221"/>
      <c r="P469" s="221"/>
      <c r="Q469" s="221"/>
      <c r="R469" s="221"/>
      <c r="S469" s="221"/>
      <c r="T469" s="221"/>
      <c r="U469" s="221"/>
      <c r="V469" s="221"/>
      <c r="W469" s="221"/>
      <c r="X469" s="221"/>
      <c r="Y469" s="68"/>
      <c r="Z469" s="68"/>
      <c r="AA469" s="68"/>
    </row>
    <row r="470">
      <c r="A470" s="134"/>
      <c r="B470" s="134"/>
      <c r="C470" s="68"/>
      <c r="D470" s="68"/>
      <c r="E470" s="68"/>
      <c r="F470" s="68"/>
      <c r="G470" s="68"/>
      <c r="H470" s="68"/>
      <c r="I470" s="221"/>
      <c r="J470" s="221"/>
      <c r="K470" s="221"/>
      <c r="L470" s="221"/>
      <c r="M470" s="221"/>
      <c r="N470" s="221"/>
      <c r="O470" s="221"/>
      <c r="P470" s="221"/>
      <c r="Q470" s="221"/>
      <c r="R470" s="221"/>
      <c r="S470" s="221"/>
      <c r="T470" s="221"/>
      <c r="U470" s="221"/>
      <c r="V470" s="221"/>
      <c r="W470" s="221"/>
      <c r="X470" s="221"/>
      <c r="Y470" s="68"/>
      <c r="Z470" s="68"/>
      <c r="AA470" s="68"/>
    </row>
    <row r="471">
      <c r="A471" s="134"/>
      <c r="B471" s="134"/>
      <c r="C471" s="68"/>
      <c r="D471" s="68"/>
      <c r="E471" s="68"/>
      <c r="F471" s="68"/>
      <c r="G471" s="68"/>
      <c r="H471" s="68"/>
      <c r="I471" s="221"/>
      <c r="J471" s="221"/>
      <c r="K471" s="221"/>
      <c r="L471" s="221"/>
      <c r="M471" s="221"/>
      <c r="N471" s="221"/>
      <c r="O471" s="221"/>
      <c r="P471" s="221"/>
      <c r="Q471" s="221"/>
      <c r="R471" s="221"/>
      <c r="S471" s="221"/>
      <c r="T471" s="221"/>
      <c r="U471" s="221"/>
      <c r="V471" s="221"/>
      <c r="W471" s="221"/>
      <c r="X471" s="221"/>
      <c r="Y471" s="68"/>
      <c r="Z471" s="68"/>
      <c r="AA471" s="68"/>
    </row>
    <row r="472">
      <c r="A472" s="134"/>
      <c r="B472" s="134"/>
      <c r="C472" s="68"/>
      <c r="D472" s="68"/>
      <c r="E472" s="68"/>
      <c r="F472" s="68"/>
      <c r="G472" s="68"/>
      <c r="H472" s="68"/>
      <c r="I472" s="221"/>
      <c r="J472" s="221"/>
      <c r="K472" s="221"/>
      <c r="L472" s="221"/>
      <c r="M472" s="221"/>
      <c r="N472" s="221"/>
      <c r="O472" s="221"/>
      <c r="P472" s="221"/>
      <c r="Q472" s="221"/>
      <c r="R472" s="221"/>
      <c r="S472" s="221"/>
      <c r="T472" s="221"/>
      <c r="U472" s="221"/>
      <c r="V472" s="221"/>
      <c r="W472" s="221"/>
      <c r="X472" s="221"/>
      <c r="Y472" s="68"/>
      <c r="Z472" s="68"/>
      <c r="AA472" s="68"/>
    </row>
    <row r="473">
      <c r="A473" s="134"/>
      <c r="B473" s="134"/>
      <c r="C473" s="68"/>
      <c r="D473" s="68"/>
      <c r="E473" s="68"/>
      <c r="F473" s="68"/>
      <c r="G473" s="68"/>
      <c r="H473" s="68"/>
      <c r="I473" s="221"/>
      <c r="J473" s="221"/>
      <c r="K473" s="221"/>
      <c r="L473" s="221"/>
      <c r="M473" s="221"/>
      <c r="N473" s="221"/>
      <c r="O473" s="221"/>
      <c r="P473" s="221"/>
      <c r="Q473" s="221"/>
      <c r="R473" s="221"/>
      <c r="S473" s="221"/>
      <c r="T473" s="221"/>
      <c r="U473" s="221"/>
      <c r="V473" s="221"/>
      <c r="W473" s="221"/>
      <c r="X473" s="221"/>
      <c r="Y473" s="68"/>
      <c r="Z473" s="68"/>
      <c r="AA473" s="68"/>
    </row>
    <row r="474">
      <c r="A474" s="134"/>
      <c r="B474" s="134"/>
      <c r="C474" s="68"/>
      <c r="D474" s="68"/>
      <c r="E474" s="68"/>
      <c r="F474" s="68"/>
      <c r="G474" s="68"/>
      <c r="H474" s="68"/>
      <c r="I474" s="221"/>
      <c r="J474" s="221"/>
      <c r="K474" s="221"/>
      <c r="L474" s="221"/>
      <c r="M474" s="221"/>
      <c r="N474" s="221"/>
      <c r="O474" s="221"/>
      <c r="P474" s="221"/>
      <c r="Q474" s="221"/>
      <c r="R474" s="221"/>
      <c r="S474" s="221"/>
      <c r="T474" s="221"/>
      <c r="U474" s="221"/>
      <c r="V474" s="221"/>
      <c r="W474" s="221"/>
      <c r="X474" s="221"/>
      <c r="Y474" s="68"/>
      <c r="Z474" s="68"/>
      <c r="AA474" s="68"/>
    </row>
    <row r="475">
      <c r="A475" s="134"/>
      <c r="B475" s="134"/>
      <c r="C475" s="68"/>
      <c r="D475" s="68"/>
      <c r="E475" s="68"/>
      <c r="F475" s="68"/>
      <c r="G475" s="68"/>
      <c r="H475" s="68"/>
      <c r="I475" s="221"/>
      <c r="J475" s="221"/>
      <c r="K475" s="221"/>
      <c r="L475" s="221"/>
      <c r="M475" s="221"/>
      <c r="N475" s="221"/>
      <c r="O475" s="221"/>
      <c r="P475" s="221"/>
      <c r="Q475" s="221"/>
      <c r="R475" s="221"/>
      <c r="S475" s="221"/>
      <c r="T475" s="221"/>
      <c r="U475" s="221"/>
      <c r="V475" s="221"/>
      <c r="W475" s="221"/>
      <c r="X475" s="221"/>
      <c r="Y475" s="68"/>
      <c r="Z475" s="68"/>
      <c r="AA475" s="68"/>
    </row>
    <row r="476">
      <c r="A476" s="134"/>
      <c r="B476" s="134"/>
      <c r="C476" s="68"/>
      <c r="D476" s="68"/>
      <c r="E476" s="68"/>
      <c r="F476" s="68"/>
      <c r="G476" s="68"/>
      <c r="H476" s="68"/>
      <c r="I476" s="221"/>
      <c r="J476" s="221"/>
      <c r="K476" s="221"/>
      <c r="L476" s="221"/>
      <c r="M476" s="221"/>
      <c r="N476" s="221"/>
      <c r="O476" s="221"/>
      <c r="P476" s="221"/>
      <c r="Q476" s="221"/>
      <c r="R476" s="221"/>
      <c r="S476" s="221"/>
      <c r="T476" s="221"/>
      <c r="U476" s="221"/>
      <c r="V476" s="221"/>
      <c r="W476" s="221"/>
      <c r="X476" s="221"/>
      <c r="Y476" s="68"/>
      <c r="Z476" s="68"/>
      <c r="AA476" s="68"/>
    </row>
    <row r="477">
      <c r="A477" s="134"/>
      <c r="B477" s="134"/>
      <c r="C477" s="68"/>
      <c r="D477" s="68"/>
      <c r="E477" s="68"/>
      <c r="F477" s="68"/>
      <c r="G477" s="68"/>
      <c r="H477" s="68"/>
      <c r="I477" s="221"/>
      <c r="J477" s="221"/>
      <c r="K477" s="221"/>
      <c r="L477" s="221"/>
      <c r="M477" s="221"/>
      <c r="N477" s="221"/>
      <c r="O477" s="221"/>
      <c r="P477" s="221"/>
      <c r="Q477" s="221"/>
      <c r="R477" s="221"/>
      <c r="S477" s="221"/>
      <c r="T477" s="221"/>
      <c r="U477" s="221"/>
      <c r="V477" s="221"/>
      <c r="W477" s="221"/>
      <c r="X477" s="221"/>
      <c r="Y477" s="68"/>
      <c r="Z477" s="68"/>
      <c r="AA477" s="68"/>
    </row>
    <row r="478">
      <c r="A478" s="134"/>
      <c r="B478" s="134"/>
      <c r="C478" s="68"/>
      <c r="D478" s="68"/>
      <c r="E478" s="68"/>
      <c r="F478" s="68"/>
      <c r="G478" s="68"/>
      <c r="H478" s="68"/>
      <c r="I478" s="221"/>
      <c r="J478" s="221"/>
      <c r="K478" s="221"/>
      <c r="L478" s="221"/>
      <c r="M478" s="221"/>
      <c r="N478" s="221"/>
      <c r="O478" s="221"/>
      <c r="P478" s="221"/>
      <c r="Q478" s="221"/>
      <c r="R478" s="221"/>
      <c r="S478" s="221"/>
      <c r="T478" s="221"/>
      <c r="U478" s="221"/>
      <c r="V478" s="221"/>
      <c r="W478" s="221"/>
      <c r="X478" s="221"/>
      <c r="Y478" s="68"/>
      <c r="Z478" s="68"/>
      <c r="AA478" s="68"/>
    </row>
    <row r="479">
      <c r="A479" s="134"/>
      <c r="B479" s="134"/>
      <c r="C479" s="68"/>
      <c r="D479" s="68"/>
      <c r="E479" s="68"/>
      <c r="F479" s="68"/>
      <c r="G479" s="68"/>
      <c r="H479" s="68"/>
      <c r="I479" s="221"/>
      <c r="J479" s="221"/>
      <c r="K479" s="221"/>
      <c r="L479" s="221"/>
      <c r="M479" s="221"/>
      <c r="N479" s="221"/>
      <c r="O479" s="221"/>
      <c r="P479" s="221"/>
      <c r="Q479" s="221"/>
      <c r="R479" s="221"/>
      <c r="S479" s="221"/>
      <c r="T479" s="221"/>
      <c r="U479" s="221"/>
      <c r="V479" s="221"/>
      <c r="W479" s="221"/>
      <c r="X479" s="221"/>
      <c r="Y479" s="68"/>
      <c r="Z479" s="68"/>
      <c r="AA479" s="68"/>
    </row>
    <row r="480">
      <c r="A480" s="134"/>
      <c r="B480" s="134"/>
      <c r="C480" s="68"/>
      <c r="D480" s="68"/>
      <c r="E480" s="68"/>
      <c r="F480" s="68"/>
      <c r="G480" s="68"/>
      <c r="H480" s="68"/>
      <c r="I480" s="221"/>
      <c r="J480" s="221"/>
      <c r="K480" s="221"/>
      <c r="L480" s="221"/>
      <c r="M480" s="221"/>
      <c r="N480" s="221"/>
      <c r="O480" s="221"/>
      <c r="P480" s="221"/>
      <c r="Q480" s="221"/>
      <c r="R480" s="221"/>
      <c r="S480" s="221"/>
      <c r="T480" s="221"/>
      <c r="U480" s="221"/>
      <c r="V480" s="221"/>
      <c r="W480" s="221"/>
      <c r="X480" s="221"/>
      <c r="Y480" s="68"/>
      <c r="Z480" s="68"/>
      <c r="AA480" s="68"/>
    </row>
    <row r="481">
      <c r="A481" s="134"/>
      <c r="B481" s="134"/>
      <c r="C481" s="68"/>
      <c r="D481" s="68"/>
      <c r="E481" s="68"/>
      <c r="F481" s="68"/>
      <c r="G481" s="68"/>
      <c r="H481" s="68"/>
      <c r="I481" s="221"/>
      <c r="J481" s="221"/>
      <c r="K481" s="221"/>
      <c r="L481" s="221"/>
      <c r="M481" s="221"/>
      <c r="N481" s="221"/>
      <c r="O481" s="221"/>
      <c r="P481" s="221"/>
      <c r="Q481" s="221"/>
      <c r="R481" s="221"/>
      <c r="S481" s="221"/>
      <c r="T481" s="221"/>
      <c r="U481" s="221"/>
      <c r="V481" s="221"/>
      <c r="W481" s="221"/>
      <c r="X481" s="221"/>
      <c r="Y481" s="68"/>
      <c r="Z481" s="68"/>
      <c r="AA481" s="68"/>
    </row>
    <row r="482">
      <c r="A482" s="134"/>
      <c r="B482" s="134"/>
      <c r="C482" s="68"/>
      <c r="D482" s="68"/>
      <c r="E482" s="68"/>
      <c r="F482" s="68"/>
      <c r="G482" s="68"/>
      <c r="H482" s="68"/>
      <c r="I482" s="221"/>
      <c r="J482" s="221"/>
      <c r="K482" s="221"/>
      <c r="L482" s="221"/>
      <c r="M482" s="221"/>
      <c r="N482" s="221"/>
      <c r="O482" s="221"/>
      <c r="P482" s="221"/>
      <c r="Q482" s="221"/>
      <c r="R482" s="221"/>
      <c r="S482" s="221"/>
      <c r="T482" s="221"/>
      <c r="U482" s="221"/>
      <c r="V482" s="221"/>
      <c r="W482" s="221"/>
      <c r="X482" s="221"/>
      <c r="Y482" s="68"/>
      <c r="Z482" s="68"/>
      <c r="AA482" s="68"/>
    </row>
    <row r="483">
      <c r="A483" s="134"/>
      <c r="B483" s="134"/>
      <c r="C483" s="68"/>
      <c r="D483" s="68"/>
      <c r="E483" s="68"/>
      <c r="F483" s="68"/>
      <c r="G483" s="68"/>
      <c r="H483" s="68"/>
      <c r="I483" s="221"/>
      <c r="J483" s="221"/>
      <c r="K483" s="221"/>
      <c r="L483" s="221"/>
      <c r="M483" s="221"/>
      <c r="N483" s="221"/>
      <c r="O483" s="221"/>
      <c r="P483" s="221"/>
      <c r="Q483" s="221"/>
      <c r="R483" s="221"/>
      <c r="S483" s="221"/>
      <c r="T483" s="221"/>
      <c r="U483" s="221"/>
      <c r="V483" s="221"/>
      <c r="W483" s="221"/>
      <c r="X483" s="221"/>
      <c r="Y483" s="68"/>
      <c r="Z483" s="68"/>
      <c r="AA483" s="68"/>
    </row>
    <row r="484">
      <c r="A484" s="134"/>
      <c r="B484" s="134"/>
      <c r="C484" s="68"/>
      <c r="D484" s="68"/>
      <c r="E484" s="68"/>
      <c r="F484" s="68"/>
      <c r="G484" s="68"/>
      <c r="H484" s="68"/>
      <c r="I484" s="221"/>
      <c r="J484" s="221"/>
      <c r="K484" s="221"/>
      <c r="L484" s="221"/>
      <c r="M484" s="221"/>
      <c r="N484" s="221"/>
      <c r="O484" s="221"/>
      <c r="P484" s="221"/>
      <c r="Q484" s="221"/>
      <c r="R484" s="221"/>
      <c r="S484" s="221"/>
      <c r="T484" s="221"/>
      <c r="U484" s="221"/>
      <c r="V484" s="221"/>
      <c r="W484" s="221"/>
      <c r="X484" s="221"/>
      <c r="Y484" s="68"/>
      <c r="Z484" s="68"/>
      <c r="AA484" s="68"/>
    </row>
    <row r="485">
      <c r="A485" s="134"/>
      <c r="B485" s="134"/>
      <c r="C485" s="68"/>
      <c r="D485" s="68"/>
      <c r="E485" s="68"/>
      <c r="F485" s="68"/>
      <c r="G485" s="68"/>
      <c r="H485" s="68"/>
      <c r="I485" s="221"/>
      <c r="J485" s="221"/>
      <c r="K485" s="221"/>
      <c r="L485" s="221"/>
      <c r="M485" s="221"/>
      <c r="N485" s="221"/>
      <c r="O485" s="221"/>
      <c r="P485" s="221"/>
      <c r="Q485" s="221"/>
      <c r="R485" s="221"/>
      <c r="S485" s="221"/>
      <c r="T485" s="221"/>
      <c r="U485" s="221"/>
      <c r="V485" s="221"/>
      <c r="W485" s="221"/>
      <c r="X485" s="221"/>
      <c r="Y485" s="68"/>
      <c r="Z485" s="68"/>
      <c r="AA485" s="68"/>
    </row>
    <row r="486">
      <c r="A486" s="134"/>
      <c r="B486" s="134"/>
      <c r="C486" s="68"/>
      <c r="D486" s="68"/>
      <c r="E486" s="68"/>
      <c r="F486" s="68"/>
      <c r="G486" s="68"/>
      <c r="H486" s="68"/>
      <c r="I486" s="221"/>
      <c r="J486" s="221"/>
      <c r="K486" s="221"/>
      <c r="L486" s="221"/>
      <c r="M486" s="221"/>
      <c r="N486" s="221"/>
      <c r="O486" s="221"/>
      <c r="P486" s="221"/>
      <c r="Q486" s="221"/>
      <c r="R486" s="221"/>
      <c r="S486" s="221"/>
      <c r="T486" s="221"/>
      <c r="U486" s="221"/>
      <c r="V486" s="221"/>
      <c r="W486" s="221"/>
      <c r="X486" s="221"/>
      <c r="Y486" s="68"/>
      <c r="Z486" s="68"/>
      <c r="AA486" s="68"/>
    </row>
    <row r="487">
      <c r="A487" s="134"/>
      <c r="B487" s="134"/>
      <c r="C487" s="68"/>
      <c r="D487" s="68"/>
      <c r="E487" s="68"/>
      <c r="F487" s="68"/>
      <c r="G487" s="68"/>
      <c r="H487" s="68"/>
      <c r="I487" s="221"/>
      <c r="J487" s="221"/>
      <c r="K487" s="221"/>
      <c r="L487" s="221"/>
      <c r="M487" s="221"/>
      <c r="N487" s="221"/>
      <c r="O487" s="221"/>
      <c r="P487" s="221"/>
      <c r="Q487" s="221"/>
      <c r="R487" s="221"/>
      <c r="S487" s="221"/>
      <c r="T487" s="221"/>
      <c r="U487" s="221"/>
      <c r="V487" s="221"/>
      <c r="W487" s="221"/>
      <c r="X487" s="221"/>
      <c r="Y487" s="68"/>
      <c r="Z487" s="68"/>
      <c r="AA487" s="68"/>
    </row>
    <row r="488">
      <c r="A488" s="134"/>
      <c r="B488" s="134"/>
      <c r="C488" s="68"/>
      <c r="D488" s="68"/>
      <c r="E488" s="68"/>
      <c r="F488" s="68"/>
      <c r="G488" s="68"/>
      <c r="H488" s="68"/>
      <c r="I488" s="221"/>
      <c r="J488" s="221"/>
      <c r="K488" s="221"/>
      <c r="L488" s="221"/>
      <c r="M488" s="221"/>
      <c r="N488" s="221"/>
      <c r="O488" s="221"/>
      <c r="P488" s="221"/>
      <c r="Q488" s="221"/>
      <c r="R488" s="221"/>
      <c r="S488" s="221"/>
      <c r="T488" s="221"/>
      <c r="U488" s="221"/>
      <c r="V488" s="221"/>
      <c r="W488" s="221"/>
      <c r="X488" s="221"/>
      <c r="Y488" s="68"/>
      <c r="Z488" s="68"/>
      <c r="AA488" s="68"/>
    </row>
    <row r="489">
      <c r="A489" s="134"/>
      <c r="B489" s="134"/>
      <c r="C489" s="68"/>
      <c r="D489" s="68"/>
      <c r="E489" s="68"/>
      <c r="F489" s="68"/>
      <c r="G489" s="68"/>
      <c r="H489" s="68"/>
      <c r="I489" s="221"/>
      <c r="J489" s="221"/>
      <c r="K489" s="221"/>
      <c r="L489" s="221"/>
      <c r="M489" s="221"/>
      <c r="N489" s="221"/>
      <c r="O489" s="221"/>
      <c r="P489" s="221"/>
      <c r="Q489" s="221"/>
      <c r="R489" s="221"/>
      <c r="S489" s="221"/>
      <c r="T489" s="221"/>
      <c r="U489" s="221"/>
      <c r="V489" s="221"/>
      <c r="W489" s="221"/>
      <c r="X489" s="221"/>
      <c r="Y489" s="68"/>
      <c r="Z489" s="68"/>
      <c r="AA489" s="68"/>
    </row>
    <row r="490">
      <c r="A490" s="134"/>
      <c r="B490" s="134"/>
      <c r="C490" s="68"/>
      <c r="D490" s="68"/>
      <c r="E490" s="68"/>
      <c r="F490" s="68"/>
      <c r="G490" s="68"/>
      <c r="H490" s="68"/>
      <c r="I490" s="221"/>
      <c r="J490" s="221"/>
      <c r="K490" s="221"/>
      <c r="L490" s="221"/>
      <c r="M490" s="221"/>
      <c r="N490" s="221"/>
      <c r="O490" s="221"/>
      <c r="P490" s="221"/>
      <c r="Q490" s="221"/>
      <c r="R490" s="221"/>
      <c r="S490" s="221"/>
      <c r="T490" s="221"/>
      <c r="U490" s="221"/>
      <c r="V490" s="221"/>
      <c r="W490" s="221"/>
      <c r="X490" s="221"/>
      <c r="Y490" s="68"/>
      <c r="Z490" s="68"/>
      <c r="AA490" s="68"/>
    </row>
    <row r="491">
      <c r="A491" s="134"/>
      <c r="B491" s="134"/>
      <c r="C491" s="68"/>
      <c r="D491" s="68"/>
      <c r="E491" s="68"/>
      <c r="F491" s="68"/>
      <c r="G491" s="68"/>
      <c r="H491" s="68"/>
      <c r="I491" s="221"/>
      <c r="J491" s="221"/>
      <c r="K491" s="221"/>
      <c r="L491" s="221"/>
      <c r="M491" s="221"/>
      <c r="N491" s="221"/>
      <c r="O491" s="221"/>
      <c r="P491" s="221"/>
      <c r="Q491" s="221"/>
      <c r="R491" s="221"/>
      <c r="S491" s="221"/>
      <c r="T491" s="221"/>
      <c r="U491" s="221"/>
      <c r="V491" s="221"/>
      <c r="W491" s="221"/>
      <c r="X491" s="221"/>
      <c r="Y491" s="68"/>
      <c r="Z491" s="68"/>
      <c r="AA491" s="68"/>
    </row>
    <row r="492">
      <c r="A492" s="134"/>
      <c r="B492" s="134"/>
      <c r="C492" s="68"/>
      <c r="D492" s="68"/>
      <c r="E492" s="68"/>
      <c r="F492" s="68"/>
      <c r="G492" s="68"/>
      <c r="H492" s="68"/>
      <c r="I492" s="221"/>
      <c r="J492" s="221"/>
      <c r="K492" s="221"/>
      <c r="L492" s="221"/>
      <c r="M492" s="221"/>
      <c r="N492" s="221"/>
      <c r="O492" s="221"/>
      <c r="P492" s="221"/>
      <c r="Q492" s="221"/>
      <c r="R492" s="221"/>
      <c r="S492" s="221"/>
      <c r="T492" s="221"/>
      <c r="U492" s="221"/>
      <c r="V492" s="221"/>
      <c r="W492" s="221"/>
      <c r="X492" s="221"/>
      <c r="Y492" s="68"/>
      <c r="Z492" s="68"/>
      <c r="AA492" s="68"/>
    </row>
    <row r="493">
      <c r="A493" s="134"/>
      <c r="B493" s="134"/>
      <c r="C493" s="68"/>
      <c r="D493" s="68"/>
      <c r="E493" s="68"/>
      <c r="F493" s="68"/>
      <c r="G493" s="68"/>
      <c r="H493" s="68"/>
      <c r="I493" s="221"/>
      <c r="J493" s="221"/>
      <c r="K493" s="221"/>
      <c r="L493" s="221"/>
      <c r="M493" s="221"/>
      <c r="N493" s="221"/>
      <c r="O493" s="221"/>
      <c r="P493" s="221"/>
      <c r="Q493" s="221"/>
      <c r="R493" s="221"/>
      <c r="S493" s="221"/>
      <c r="T493" s="221"/>
      <c r="U493" s="221"/>
      <c r="V493" s="221"/>
      <c r="W493" s="221"/>
      <c r="X493" s="221"/>
      <c r="Y493" s="68"/>
      <c r="Z493" s="68"/>
      <c r="AA493" s="68"/>
    </row>
    <row r="494">
      <c r="A494" s="134"/>
      <c r="B494" s="134"/>
      <c r="C494" s="68"/>
      <c r="D494" s="68"/>
      <c r="E494" s="68"/>
      <c r="F494" s="68"/>
      <c r="G494" s="68"/>
      <c r="H494" s="68"/>
      <c r="I494" s="221"/>
      <c r="J494" s="221"/>
      <c r="K494" s="221"/>
      <c r="L494" s="221"/>
      <c r="M494" s="221"/>
      <c r="N494" s="221"/>
      <c r="O494" s="221"/>
      <c r="P494" s="221"/>
      <c r="Q494" s="221"/>
      <c r="R494" s="221"/>
      <c r="S494" s="221"/>
      <c r="T494" s="221"/>
      <c r="U494" s="221"/>
      <c r="V494" s="221"/>
      <c r="W494" s="221"/>
      <c r="X494" s="221"/>
      <c r="Y494" s="68"/>
      <c r="Z494" s="68"/>
      <c r="AA494" s="68"/>
    </row>
    <row r="495">
      <c r="A495" s="134"/>
      <c r="B495" s="134"/>
      <c r="C495" s="68"/>
      <c r="D495" s="68"/>
      <c r="E495" s="68"/>
      <c r="F495" s="68"/>
      <c r="G495" s="68"/>
      <c r="H495" s="68"/>
      <c r="I495" s="221"/>
      <c r="J495" s="221"/>
      <c r="K495" s="221"/>
      <c r="L495" s="221"/>
      <c r="M495" s="221"/>
      <c r="N495" s="221"/>
      <c r="O495" s="221"/>
      <c r="P495" s="221"/>
      <c r="Q495" s="221"/>
      <c r="R495" s="221"/>
      <c r="S495" s="221"/>
      <c r="T495" s="221"/>
      <c r="U495" s="221"/>
      <c r="V495" s="221"/>
      <c r="W495" s="221"/>
      <c r="X495" s="221"/>
      <c r="Y495" s="68"/>
      <c r="Z495" s="68"/>
      <c r="AA495" s="68"/>
    </row>
    <row r="496">
      <c r="A496" s="134"/>
      <c r="B496" s="134"/>
      <c r="C496" s="68"/>
      <c r="D496" s="68"/>
      <c r="E496" s="68"/>
      <c r="F496" s="68"/>
      <c r="G496" s="68"/>
      <c r="H496" s="68"/>
      <c r="I496" s="221"/>
      <c r="J496" s="221"/>
      <c r="K496" s="221"/>
      <c r="L496" s="221"/>
      <c r="M496" s="221"/>
      <c r="N496" s="221"/>
      <c r="O496" s="221"/>
      <c r="P496" s="221"/>
      <c r="Q496" s="221"/>
      <c r="R496" s="221"/>
      <c r="S496" s="221"/>
      <c r="T496" s="221"/>
      <c r="U496" s="221"/>
      <c r="V496" s="221"/>
      <c r="W496" s="221"/>
      <c r="X496" s="221"/>
      <c r="Y496" s="68"/>
      <c r="Z496" s="68"/>
      <c r="AA496" s="68"/>
    </row>
    <row r="497">
      <c r="A497" s="134"/>
      <c r="B497" s="134"/>
      <c r="C497" s="68"/>
      <c r="D497" s="68"/>
      <c r="E497" s="68"/>
      <c r="F497" s="68"/>
      <c r="G497" s="68"/>
      <c r="H497" s="68"/>
      <c r="I497" s="221"/>
      <c r="J497" s="221"/>
      <c r="K497" s="221"/>
      <c r="L497" s="221"/>
      <c r="M497" s="221"/>
      <c r="N497" s="221"/>
      <c r="O497" s="221"/>
      <c r="P497" s="221"/>
      <c r="Q497" s="221"/>
      <c r="R497" s="221"/>
      <c r="S497" s="221"/>
      <c r="T497" s="221"/>
      <c r="U497" s="221"/>
      <c r="V497" s="221"/>
      <c r="W497" s="221"/>
      <c r="X497" s="221"/>
      <c r="Y497" s="68"/>
      <c r="Z497" s="68"/>
      <c r="AA497" s="68"/>
    </row>
    <row r="498">
      <c r="A498" s="134"/>
      <c r="B498" s="134"/>
      <c r="C498" s="68"/>
      <c r="D498" s="68"/>
      <c r="E498" s="68"/>
      <c r="F498" s="68"/>
      <c r="G498" s="68"/>
      <c r="H498" s="68"/>
      <c r="I498" s="221"/>
      <c r="J498" s="221"/>
      <c r="K498" s="221"/>
      <c r="L498" s="221"/>
      <c r="M498" s="221"/>
      <c r="N498" s="221"/>
      <c r="O498" s="221"/>
      <c r="P498" s="221"/>
      <c r="Q498" s="221"/>
      <c r="R498" s="221"/>
      <c r="S498" s="221"/>
      <c r="T498" s="221"/>
      <c r="U498" s="221"/>
      <c r="V498" s="221"/>
      <c r="W498" s="221"/>
      <c r="X498" s="221"/>
      <c r="Y498" s="68"/>
      <c r="Z498" s="68"/>
      <c r="AA498" s="68"/>
    </row>
    <row r="499">
      <c r="A499" s="134"/>
      <c r="B499" s="134"/>
      <c r="C499" s="68"/>
      <c r="D499" s="68"/>
      <c r="E499" s="68"/>
      <c r="F499" s="68"/>
      <c r="G499" s="68"/>
      <c r="H499" s="68"/>
      <c r="I499" s="221"/>
      <c r="J499" s="221"/>
      <c r="K499" s="221"/>
      <c r="L499" s="221"/>
      <c r="M499" s="221"/>
      <c r="N499" s="221"/>
      <c r="O499" s="221"/>
      <c r="P499" s="221"/>
      <c r="Q499" s="221"/>
      <c r="R499" s="221"/>
      <c r="S499" s="221"/>
      <c r="T499" s="221"/>
      <c r="U499" s="221"/>
      <c r="V499" s="221"/>
      <c r="W499" s="221"/>
      <c r="X499" s="221"/>
      <c r="Y499" s="68"/>
      <c r="Z499" s="68"/>
      <c r="AA499" s="68"/>
    </row>
    <row r="500">
      <c r="A500" s="134"/>
      <c r="B500" s="134"/>
      <c r="C500" s="68"/>
      <c r="D500" s="68"/>
      <c r="E500" s="68"/>
      <c r="F500" s="68"/>
      <c r="G500" s="68"/>
      <c r="H500" s="68"/>
      <c r="I500" s="221"/>
      <c r="J500" s="221"/>
      <c r="K500" s="221"/>
      <c r="L500" s="221"/>
      <c r="M500" s="221"/>
      <c r="N500" s="221"/>
      <c r="O500" s="221"/>
      <c r="P500" s="221"/>
      <c r="Q500" s="221"/>
      <c r="R500" s="221"/>
      <c r="S500" s="221"/>
      <c r="T500" s="221"/>
      <c r="U500" s="221"/>
      <c r="V500" s="221"/>
      <c r="W500" s="221"/>
      <c r="X500" s="221"/>
      <c r="Y500" s="68"/>
      <c r="Z500" s="68"/>
      <c r="AA500" s="68"/>
    </row>
    <row r="501">
      <c r="A501" s="134"/>
      <c r="B501" s="134"/>
      <c r="C501" s="68"/>
      <c r="D501" s="68"/>
      <c r="E501" s="68"/>
      <c r="F501" s="68"/>
      <c r="G501" s="68"/>
      <c r="H501" s="68"/>
      <c r="I501" s="221"/>
      <c r="J501" s="221"/>
      <c r="K501" s="221"/>
      <c r="L501" s="221"/>
      <c r="M501" s="221"/>
      <c r="N501" s="221"/>
      <c r="O501" s="221"/>
      <c r="P501" s="221"/>
      <c r="Q501" s="221"/>
      <c r="R501" s="221"/>
      <c r="S501" s="221"/>
      <c r="T501" s="221"/>
      <c r="U501" s="221"/>
      <c r="V501" s="221"/>
      <c r="W501" s="221"/>
      <c r="X501" s="221"/>
      <c r="Y501" s="68"/>
      <c r="Z501" s="68"/>
      <c r="AA501" s="68"/>
    </row>
    <row r="502">
      <c r="A502" s="134"/>
      <c r="B502" s="134"/>
      <c r="C502" s="68"/>
      <c r="D502" s="68"/>
      <c r="E502" s="68"/>
      <c r="F502" s="68"/>
      <c r="G502" s="68"/>
      <c r="H502" s="68"/>
      <c r="I502" s="221"/>
      <c r="J502" s="221"/>
      <c r="K502" s="221"/>
      <c r="L502" s="221"/>
      <c r="M502" s="221"/>
      <c r="N502" s="221"/>
      <c r="O502" s="221"/>
      <c r="P502" s="221"/>
      <c r="Q502" s="221"/>
      <c r="R502" s="221"/>
      <c r="S502" s="221"/>
      <c r="T502" s="221"/>
      <c r="U502" s="221"/>
      <c r="V502" s="221"/>
      <c r="W502" s="221"/>
      <c r="X502" s="221"/>
      <c r="Y502" s="68"/>
      <c r="Z502" s="68"/>
      <c r="AA502" s="68"/>
    </row>
    <row r="503">
      <c r="A503" s="134"/>
      <c r="B503" s="134"/>
      <c r="C503" s="68"/>
      <c r="D503" s="68"/>
      <c r="E503" s="68"/>
      <c r="F503" s="68"/>
      <c r="G503" s="68"/>
      <c r="H503" s="68"/>
      <c r="I503" s="221"/>
      <c r="J503" s="221"/>
      <c r="K503" s="221"/>
      <c r="L503" s="221"/>
      <c r="M503" s="221"/>
      <c r="N503" s="221"/>
      <c r="O503" s="221"/>
      <c r="P503" s="221"/>
      <c r="Q503" s="221"/>
      <c r="R503" s="221"/>
      <c r="S503" s="221"/>
      <c r="T503" s="221"/>
      <c r="U503" s="221"/>
      <c r="V503" s="221"/>
      <c r="W503" s="221"/>
      <c r="X503" s="221"/>
      <c r="Y503" s="68"/>
      <c r="Z503" s="68"/>
      <c r="AA503" s="68"/>
    </row>
    <row r="504">
      <c r="A504" s="134"/>
      <c r="B504" s="134"/>
      <c r="C504" s="68"/>
      <c r="D504" s="68"/>
      <c r="E504" s="68"/>
      <c r="F504" s="68"/>
      <c r="G504" s="68"/>
      <c r="H504" s="68"/>
      <c r="I504" s="221"/>
      <c r="J504" s="221"/>
      <c r="K504" s="221"/>
      <c r="L504" s="221"/>
      <c r="M504" s="221"/>
      <c r="N504" s="221"/>
      <c r="O504" s="221"/>
      <c r="P504" s="221"/>
      <c r="Q504" s="221"/>
      <c r="R504" s="221"/>
      <c r="S504" s="221"/>
      <c r="T504" s="221"/>
      <c r="U504" s="221"/>
      <c r="V504" s="221"/>
      <c r="W504" s="221"/>
      <c r="X504" s="221"/>
      <c r="Y504" s="68"/>
      <c r="Z504" s="68"/>
      <c r="AA504" s="68"/>
    </row>
    <row r="505">
      <c r="A505" s="134"/>
      <c r="B505" s="134"/>
      <c r="C505" s="68"/>
      <c r="D505" s="68"/>
      <c r="E505" s="68"/>
      <c r="F505" s="68"/>
      <c r="G505" s="68"/>
      <c r="H505" s="68"/>
      <c r="I505" s="221"/>
      <c r="J505" s="221"/>
      <c r="K505" s="221"/>
      <c r="L505" s="221"/>
      <c r="M505" s="221"/>
      <c r="N505" s="221"/>
      <c r="O505" s="221"/>
      <c r="P505" s="221"/>
      <c r="Q505" s="221"/>
      <c r="R505" s="221"/>
      <c r="S505" s="221"/>
      <c r="T505" s="221"/>
      <c r="U505" s="221"/>
      <c r="V505" s="221"/>
      <c r="W505" s="221"/>
      <c r="X505" s="221"/>
      <c r="Y505" s="68"/>
      <c r="Z505" s="68"/>
      <c r="AA505" s="68"/>
    </row>
    <row r="506">
      <c r="A506" s="134"/>
      <c r="B506" s="134"/>
      <c r="C506" s="68"/>
      <c r="D506" s="68"/>
      <c r="E506" s="68"/>
      <c r="F506" s="68"/>
      <c r="G506" s="68"/>
      <c r="H506" s="68"/>
      <c r="I506" s="221"/>
      <c r="J506" s="221"/>
      <c r="K506" s="221"/>
      <c r="L506" s="221"/>
      <c r="M506" s="221"/>
      <c r="N506" s="221"/>
      <c r="O506" s="221"/>
      <c r="P506" s="221"/>
      <c r="Q506" s="221"/>
      <c r="R506" s="221"/>
      <c r="S506" s="221"/>
      <c r="T506" s="221"/>
      <c r="U506" s="221"/>
      <c r="V506" s="221"/>
      <c r="W506" s="221"/>
      <c r="X506" s="221"/>
      <c r="Y506" s="68"/>
      <c r="Z506" s="68"/>
      <c r="AA506" s="68"/>
    </row>
    <row r="507">
      <c r="A507" s="134"/>
      <c r="B507" s="134"/>
      <c r="C507" s="68"/>
      <c r="D507" s="68"/>
      <c r="E507" s="68"/>
      <c r="F507" s="68"/>
      <c r="G507" s="68"/>
      <c r="H507" s="68"/>
      <c r="I507" s="221"/>
      <c r="J507" s="221"/>
      <c r="K507" s="221"/>
      <c r="L507" s="221"/>
      <c r="M507" s="221"/>
      <c r="N507" s="221"/>
      <c r="O507" s="221"/>
      <c r="P507" s="221"/>
      <c r="Q507" s="221"/>
      <c r="R507" s="221"/>
      <c r="S507" s="221"/>
      <c r="T507" s="221"/>
      <c r="U507" s="221"/>
      <c r="V507" s="221"/>
      <c r="W507" s="221"/>
      <c r="X507" s="221"/>
      <c r="Y507" s="68"/>
      <c r="Z507" s="68"/>
      <c r="AA507" s="68"/>
    </row>
    <row r="508">
      <c r="A508" s="134"/>
      <c r="B508" s="134"/>
      <c r="C508" s="68"/>
      <c r="D508" s="68"/>
      <c r="E508" s="68"/>
      <c r="F508" s="68"/>
      <c r="G508" s="68"/>
      <c r="H508" s="68"/>
      <c r="I508" s="221"/>
      <c r="J508" s="221"/>
      <c r="K508" s="221"/>
      <c r="L508" s="221"/>
      <c r="M508" s="221"/>
      <c r="N508" s="221"/>
      <c r="O508" s="221"/>
      <c r="P508" s="221"/>
      <c r="Q508" s="221"/>
      <c r="R508" s="221"/>
      <c r="S508" s="221"/>
      <c r="T508" s="221"/>
      <c r="U508" s="221"/>
      <c r="V508" s="221"/>
      <c r="W508" s="221"/>
      <c r="X508" s="221"/>
      <c r="Y508" s="68"/>
      <c r="Z508" s="68"/>
      <c r="AA508" s="68"/>
    </row>
    <row r="509">
      <c r="A509" s="134"/>
      <c r="B509" s="134"/>
      <c r="C509" s="68"/>
      <c r="D509" s="68"/>
      <c r="E509" s="68"/>
      <c r="F509" s="68"/>
      <c r="G509" s="68"/>
      <c r="H509" s="68"/>
      <c r="I509" s="221"/>
      <c r="J509" s="221"/>
      <c r="K509" s="221"/>
      <c r="L509" s="221"/>
      <c r="M509" s="221"/>
      <c r="N509" s="221"/>
      <c r="O509" s="221"/>
      <c r="P509" s="221"/>
      <c r="Q509" s="221"/>
      <c r="R509" s="221"/>
      <c r="S509" s="221"/>
      <c r="T509" s="221"/>
      <c r="U509" s="221"/>
      <c r="V509" s="221"/>
      <c r="W509" s="221"/>
      <c r="X509" s="221"/>
      <c r="Y509" s="68"/>
      <c r="Z509" s="68"/>
      <c r="AA509" s="68"/>
    </row>
    <row r="510">
      <c r="A510" s="134"/>
      <c r="B510" s="134"/>
      <c r="C510" s="68"/>
      <c r="D510" s="68"/>
      <c r="E510" s="68"/>
      <c r="F510" s="68"/>
      <c r="G510" s="68"/>
      <c r="H510" s="68"/>
      <c r="I510" s="221"/>
      <c r="J510" s="221"/>
      <c r="K510" s="221"/>
      <c r="L510" s="221"/>
      <c r="M510" s="221"/>
      <c r="N510" s="221"/>
      <c r="O510" s="221"/>
      <c r="P510" s="221"/>
      <c r="Q510" s="221"/>
      <c r="R510" s="221"/>
      <c r="S510" s="221"/>
      <c r="T510" s="221"/>
      <c r="U510" s="221"/>
      <c r="V510" s="221"/>
      <c r="W510" s="221"/>
      <c r="X510" s="221"/>
      <c r="Y510" s="68"/>
      <c r="Z510" s="68"/>
      <c r="AA510" s="68"/>
    </row>
    <row r="511">
      <c r="A511" s="134"/>
      <c r="B511" s="134"/>
      <c r="C511" s="68"/>
      <c r="D511" s="68"/>
      <c r="E511" s="68"/>
      <c r="F511" s="68"/>
      <c r="G511" s="68"/>
      <c r="H511" s="68"/>
      <c r="I511" s="221"/>
      <c r="J511" s="221"/>
      <c r="K511" s="221"/>
      <c r="L511" s="221"/>
      <c r="M511" s="221"/>
      <c r="N511" s="221"/>
      <c r="O511" s="221"/>
      <c r="P511" s="221"/>
      <c r="Q511" s="221"/>
      <c r="R511" s="221"/>
      <c r="S511" s="221"/>
      <c r="T511" s="221"/>
      <c r="U511" s="221"/>
      <c r="V511" s="221"/>
      <c r="W511" s="221"/>
      <c r="X511" s="221"/>
      <c r="Y511" s="68"/>
      <c r="Z511" s="68"/>
      <c r="AA511" s="68"/>
    </row>
    <row r="512">
      <c r="A512" s="134"/>
      <c r="B512" s="134"/>
      <c r="C512" s="68"/>
      <c r="D512" s="68"/>
      <c r="E512" s="68"/>
      <c r="F512" s="68"/>
      <c r="G512" s="68"/>
      <c r="H512" s="68"/>
      <c r="I512" s="221"/>
      <c r="J512" s="221"/>
      <c r="K512" s="221"/>
      <c r="L512" s="221"/>
      <c r="M512" s="221"/>
      <c r="N512" s="221"/>
      <c r="O512" s="221"/>
      <c r="P512" s="221"/>
      <c r="Q512" s="221"/>
      <c r="R512" s="221"/>
      <c r="S512" s="221"/>
      <c r="T512" s="221"/>
      <c r="U512" s="221"/>
      <c r="V512" s="221"/>
      <c r="W512" s="221"/>
      <c r="X512" s="221"/>
      <c r="Y512" s="68"/>
      <c r="Z512" s="68"/>
      <c r="AA512" s="68"/>
    </row>
    <row r="513">
      <c r="A513" s="134"/>
      <c r="B513" s="134"/>
      <c r="C513" s="68"/>
      <c r="D513" s="68"/>
      <c r="E513" s="68"/>
      <c r="F513" s="68"/>
      <c r="G513" s="68"/>
      <c r="H513" s="68"/>
      <c r="I513" s="221"/>
      <c r="J513" s="221"/>
      <c r="K513" s="221"/>
      <c r="L513" s="221"/>
      <c r="M513" s="221"/>
      <c r="N513" s="221"/>
      <c r="O513" s="221"/>
      <c r="P513" s="221"/>
      <c r="Q513" s="221"/>
      <c r="R513" s="221"/>
      <c r="S513" s="221"/>
      <c r="T513" s="221"/>
      <c r="U513" s="221"/>
      <c r="V513" s="221"/>
      <c r="W513" s="221"/>
      <c r="X513" s="221"/>
      <c r="Y513" s="68"/>
      <c r="Z513" s="68"/>
      <c r="AA513" s="68"/>
    </row>
    <row r="514">
      <c r="A514" s="134"/>
      <c r="B514" s="134"/>
      <c r="C514" s="68"/>
      <c r="D514" s="68"/>
      <c r="E514" s="68"/>
      <c r="F514" s="68"/>
      <c r="G514" s="68"/>
      <c r="H514" s="68"/>
      <c r="I514" s="221"/>
      <c r="J514" s="221"/>
      <c r="K514" s="221"/>
      <c r="L514" s="221"/>
      <c r="M514" s="221"/>
      <c r="N514" s="221"/>
      <c r="O514" s="221"/>
      <c r="P514" s="221"/>
      <c r="Q514" s="221"/>
      <c r="R514" s="221"/>
      <c r="S514" s="221"/>
      <c r="T514" s="221"/>
      <c r="U514" s="221"/>
      <c r="V514" s="221"/>
      <c r="W514" s="221"/>
      <c r="X514" s="221"/>
      <c r="Y514" s="68"/>
      <c r="Z514" s="68"/>
      <c r="AA514" s="68"/>
    </row>
    <row r="515">
      <c r="A515" s="134"/>
      <c r="B515" s="134"/>
      <c r="C515" s="68"/>
      <c r="D515" s="68"/>
      <c r="E515" s="68"/>
      <c r="F515" s="68"/>
      <c r="G515" s="68"/>
      <c r="H515" s="68"/>
      <c r="I515" s="221"/>
      <c r="J515" s="221"/>
      <c r="K515" s="221"/>
      <c r="L515" s="221"/>
      <c r="M515" s="221"/>
      <c r="N515" s="221"/>
      <c r="O515" s="221"/>
      <c r="P515" s="221"/>
      <c r="Q515" s="221"/>
      <c r="R515" s="221"/>
      <c r="S515" s="221"/>
      <c r="T515" s="221"/>
      <c r="U515" s="221"/>
      <c r="V515" s="221"/>
      <c r="W515" s="221"/>
      <c r="X515" s="221"/>
      <c r="Y515" s="68"/>
      <c r="Z515" s="68"/>
      <c r="AA515" s="68"/>
    </row>
    <row r="516">
      <c r="A516" s="134"/>
      <c r="B516" s="134"/>
      <c r="C516" s="68"/>
      <c r="D516" s="68"/>
      <c r="E516" s="68"/>
      <c r="F516" s="68"/>
      <c r="G516" s="68"/>
      <c r="H516" s="68"/>
      <c r="I516" s="221"/>
      <c r="J516" s="221"/>
      <c r="K516" s="221"/>
      <c r="L516" s="221"/>
      <c r="M516" s="221"/>
      <c r="N516" s="221"/>
      <c r="O516" s="221"/>
      <c r="P516" s="221"/>
      <c r="Q516" s="221"/>
      <c r="R516" s="221"/>
      <c r="S516" s="221"/>
      <c r="T516" s="221"/>
      <c r="U516" s="221"/>
      <c r="V516" s="221"/>
      <c r="W516" s="221"/>
      <c r="X516" s="221"/>
      <c r="Y516" s="68"/>
      <c r="Z516" s="68"/>
      <c r="AA516" s="68"/>
    </row>
    <row r="517">
      <c r="A517" s="134"/>
      <c r="B517" s="134"/>
      <c r="C517" s="68"/>
      <c r="D517" s="68"/>
      <c r="E517" s="68"/>
      <c r="F517" s="68"/>
      <c r="G517" s="68"/>
      <c r="H517" s="68"/>
      <c r="I517" s="221"/>
      <c r="J517" s="221"/>
      <c r="K517" s="221"/>
      <c r="L517" s="221"/>
      <c r="M517" s="221"/>
      <c r="N517" s="221"/>
      <c r="O517" s="221"/>
      <c r="P517" s="221"/>
      <c r="Q517" s="221"/>
      <c r="R517" s="221"/>
      <c r="S517" s="221"/>
      <c r="T517" s="221"/>
      <c r="U517" s="221"/>
      <c r="V517" s="221"/>
      <c r="W517" s="221"/>
      <c r="X517" s="221"/>
      <c r="Y517" s="68"/>
      <c r="Z517" s="68"/>
      <c r="AA517" s="68"/>
    </row>
    <row r="518">
      <c r="A518" s="134"/>
      <c r="B518" s="134"/>
      <c r="C518" s="68"/>
      <c r="D518" s="68"/>
      <c r="E518" s="68"/>
      <c r="F518" s="68"/>
      <c r="G518" s="68"/>
      <c r="H518" s="68"/>
      <c r="I518" s="221"/>
      <c r="J518" s="221"/>
      <c r="K518" s="221"/>
      <c r="L518" s="221"/>
      <c r="M518" s="221"/>
      <c r="N518" s="221"/>
      <c r="O518" s="221"/>
      <c r="P518" s="221"/>
      <c r="Q518" s="221"/>
      <c r="R518" s="221"/>
      <c r="S518" s="221"/>
      <c r="T518" s="221"/>
      <c r="U518" s="221"/>
      <c r="V518" s="221"/>
      <c r="W518" s="221"/>
      <c r="X518" s="221"/>
      <c r="Y518" s="68"/>
      <c r="Z518" s="68"/>
      <c r="AA518" s="68"/>
    </row>
    <row r="519">
      <c r="A519" s="134"/>
      <c r="B519" s="134"/>
      <c r="C519" s="68"/>
      <c r="D519" s="68"/>
      <c r="E519" s="68"/>
      <c r="F519" s="68"/>
      <c r="G519" s="68"/>
      <c r="H519" s="68"/>
      <c r="I519" s="221"/>
      <c r="J519" s="221"/>
      <c r="K519" s="221"/>
      <c r="L519" s="221"/>
      <c r="M519" s="221"/>
      <c r="N519" s="221"/>
      <c r="O519" s="221"/>
      <c r="P519" s="221"/>
      <c r="Q519" s="221"/>
      <c r="R519" s="221"/>
      <c r="S519" s="221"/>
      <c r="T519" s="221"/>
      <c r="U519" s="221"/>
      <c r="V519" s="221"/>
      <c r="W519" s="221"/>
      <c r="X519" s="221"/>
      <c r="Y519" s="68"/>
      <c r="Z519" s="68"/>
      <c r="AA519" s="68"/>
    </row>
    <row r="520">
      <c r="A520" s="134"/>
      <c r="B520" s="134"/>
      <c r="C520" s="68"/>
      <c r="D520" s="68"/>
      <c r="E520" s="68"/>
      <c r="F520" s="68"/>
      <c r="G520" s="68"/>
      <c r="H520" s="68"/>
      <c r="I520" s="221"/>
      <c r="J520" s="221"/>
      <c r="K520" s="221"/>
      <c r="L520" s="221"/>
      <c r="M520" s="221"/>
      <c r="N520" s="221"/>
      <c r="O520" s="221"/>
      <c r="P520" s="221"/>
      <c r="Q520" s="221"/>
      <c r="R520" s="221"/>
      <c r="S520" s="221"/>
      <c r="T520" s="221"/>
      <c r="U520" s="221"/>
      <c r="V520" s="221"/>
      <c r="W520" s="221"/>
      <c r="X520" s="221"/>
      <c r="Y520" s="68"/>
      <c r="Z520" s="68"/>
      <c r="AA520" s="68"/>
    </row>
    <row r="521">
      <c r="A521" s="134"/>
      <c r="B521" s="134"/>
      <c r="C521" s="68"/>
      <c r="D521" s="68"/>
      <c r="E521" s="68"/>
      <c r="F521" s="68"/>
      <c r="G521" s="68"/>
      <c r="H521" s="68"/>
      <c r="I521" s="221"/>
      <c r="J521" s="221"/>
      <c r="K521" s="221"/>
      <c r="L521" s="221"/>
      <c r="M521" s="221"/>
      <c r="N521" s="221"/>
      <c r="O521" s="221"/>
      <c r="P521" s="221"/>
      <c r="Q521" s="221"/>
      <c r="R521" s="221"/>
      <c r="S521" s="221"/>
      <c r="T521" s="221"/>
      <c r="U521" s="221"/>
      <c r="V521" s="221"/>
      <c r="W521" s="221"/>
      <c r="X521" s="221"/>
      <c r="Y521" s="68"/>
      <c r="Z521" s="68"/>
      <c r="AA521" s="68"/>
    </row>
    <row r="522">
      <c r="A522" s="134"/>
      <c r="B522" s="134"/>
      <c r="C522" s="68"/>
      <c r="D522" s="68"/>
      <c r="E522" s="68"/>
      <c r="F522" s="68"/>
      <c r="G522" s="68"/>
      <c r="H522" s="68"/>
      <c r="I522" s="221"/>
      <c r="J522" s="221"/>
      <c r="K522" s="221"/>
      <c r="L522" s="221"/>
      <c r="M522" s="221"/>
      <c r="N522" s="221"/>
      <c r="O522" s="221"/>
      <c r="P522" s="221"/>
      <c r="Q522" s="221"/>
      <c r="R522" s="221"/>
      <c r="S522" s="221"/>
      <c r="T522" s="221"/>
      <c r="U522" s="221"/>
      <c r="V522" s="221"/>
      <c r="W522" s="221"/>
      <c r="X522" s="221"/>
      <c r="Y522" s="68"/>
      <c r="Z522" s="68"/>
      <c r="AA522" s="68"/>
    </row>
    <row r="523">
      <c r="A523" s="134"/>
      <c r="B523" s="134"/>
      <c r="C523" s="68"/>
      <c r="D523" s="68"/>
      <c r="E523" s="68"/>
      <c r="F523" s="68"/>
      <c r="G523" s="68"/>
      <c r="H523" s="68"/>
      <c r="I523" s="221"/>
      <c r="J523" s="221"/>
      <c r="K523" s="221"/>
      <c r="L523" s="221"/>
      <c r="M523" s="221"/>
      <c r="N523" s="221"/>
      <c r="O523" s="221"/>
      <c r="P523" s="221"/>
      <c r="Q523" s="221"/>
      <c r="R523" s="221"/>
      <c r="S523" s="221"/>
      <c r="T523" s="221"/>
      <c r="U523" s="221"/>
      <c r="V523" s="221"/>
      <c r="W523" s="221"/>
      <c r="X523" s="221"/>
      <c r="Y523" s="68"/>
      <c r="Z523" s="68"/>
      <c r="AA523" s="68"/>
    </row>
    <row r="524">
      <c r="A524" s="134"/>
      <c r="B524" s="134"/>
      <c r="C524" s="68"/>
      <c r="D524" s="68"/>
      <c r="E524" s="68"/>
      <c r="F524" s="68"/>
      <c r="G524" s="68"/>
      <c r="H524" s="68"/>
      <c r="I524" s="221"/>
      <c r="J524" s="221"/>
      <c r="K524" s="221"/>
      <c r="L524" s="221"/>
      <c r="M524" s="221"/>
      <c r="N524" s="221"/>
      <c r="O524" s="221"/>
      <c r="P524" s="221"/>
      <c r="Q524" s="221"/>
      <c r="R524" s="221"/>
      <c r="S524" s="221"/>
      <c r="T524" s="221"/>
      <c r="U524" s="221"/>
      <c r="V524" s="221"/>
      <c r="W524" s="221"/>
      <c r="X524" s="221"/>
      <c r="Y524" s="68"/>
      <c r="Z524" s="68"/>
      <c r="AA524" s="68"/>
    </row>
    <row r="525">
      <c r="A525" s="134"/>
      <c r="B525" s="134"/>
      <c r="C525" s="68"/>
      <c r="D525" s="68"/>
      <c r="E525" s="68"/>
      <c r="F525" s="68"/>
      <c r="G525" s="68"/>
      <c r="H525" s="68"/>
      <c r="I525" s="221"/>
      <c r="J525" s="221"/>
      <c r="K525" s="221"/>
      <c r="L525" s="221"/>
      <c r="M525" s="221"/>
      <c r="N525" s="221"/>
      <c r="O525" s="221"/>
      <c r="P525" s="221"/>
      <c r="Q525" s="221"/>
      <c r="R525" s="221"/>
      <c r="S525" s="221"/>
      <c r="T525" s="221"/>
      <c r="U525" s="221"/>
      <c r="V525" s="221"/>
      <c r="W525" s="221"/>
      <c r="X525" s="221"/>
      <c r="Y525" s="68"/>
      <c r="Z525" s="68"/>
      <c r="AA525" s="68"/>
    </row>
    <row r="526">
      <c r="A526" s="134"/>
      <c r="B526" s="134"/>
      <c r="C526" s="68"/>
      <c r="D526" s="68"/>
      <c r="E526" s="68"/>
      <c r="F526" s="68"/>
      <c r="G526" s="68"/>
      <c r="H526" s="68"/>
      <c r="I526" s="221"/>
      <c r="J526" s="221"/>
      <c r="K526" s="221"/>
      <c r="L526" s="221"/>
      <c r="M526" s="221"/>
      <c r="N526" s="221"/>
      <c r="O526" s="221"/>
      <c r="P526" s="221"/>
      <c r="Q526" s="221"/>
      <c r="R526" s="221"/>
      <c r="S526" s="221"/>
      <c r="T526" s="221"/>
      <c r="U526" s="221"/>
      <c r="V526" s="221"/>
      <c r="W526" s="221"/>
      <c r="X526" s="221"/>
      <c r="Y526" s="68"/>
      <c r="Z526" s="68"/>
      <c r="AA526" s="68"/>
    </row>
    <row r="527">
      <c r="A527" s="134"/>
      <c r="B527" s="134"/>
      <c r="C527" s="68"/>
      <c r="D527" s="68"/>
      <c r="E527" s="68"/>
      <c r="F527" s="68"/>
      <c r="G527" s="68"/>
      <c r="H527" s="68"/>
      <c r="I527" s="221"/>
      <c r="J527" s="221"/>
      <c r="K527" s="221"/>
      <c r="L527" s="221"/>
      <c r="M527" s="221"/>
      <c r="N527" s="221"/>
      <c r="O527" s="221"/>
      <c r="P527" s="221"/>
      <c r="Q527" s="221"/>
      <c r="R527" s="221"/>
      <c r="S527" s="221"/>
      <c r="T527" s="221"/>
      <c r="U527" s="221"/>
      <c r="V527" s="221"/>
      <c r="W527" s="221"/>
      <c r="X527" s="221"/>
      <c r="Y527" s="68"/>
      <c r="Z527" s="68"/>
      <c r="AA527" s="68"/>
    </row>
    <row r="528">
      <c r="A528" s="134"/>
      <c r="B528" s="134"/>
      <c r="C528" s="68"/>
      <c r="D528" s="68"/>
      <c r="E528" s="68"/>
      <c r="F528" s="68"/>
      <c r="G528" s="68"/>
      <c r="H528" s="68"/>
      <c r="I528" s="221"/>
      <c r="J528" s="221"/>
      <c r="K528" s="221"/>
      <c r="L528" s="221"/>
      <c r="M528" s="221"/>
      <c r="N528" s="221"/>
      <c r="O528" s="221"/>
      <c r="P528" s="221"/>
      <c r="Q528" s="221"/>
      <c r="R528" s="221"/>
      <c r="S528" s="221"/>
      <c r="T528" s="221"/>
      <c r="U528" s="221"/>
      <c r="V528" s="221"/>
      <c r="W528" s="221"/>
      <c r="X528" s="221"/>
      <c r="Y528" s="68"/>
      <c r="Z528" s="68"/>
      <c r="AA528" s="68"/>
    </row>
    <row r="529">
      <c r="A529" s="134"/>
      <c r="B529" s="134"/>
      <c r="C529" s="68"/>
      <c r="D529" s="68"/>
      <c r="E529" s="68"/>
      <c r="F529" s="68"/>
      <c r="G529" s="68"/>
      <c r="H529" s="68"/>
      <c r="I529" s="221"/>
      <c r="J529" s="221"/>
      <c r="K529" s="221"/>
      <c r="L529" s="221"/>
      <c r="M529" s="221"/>
      <c r="N529" s="221"/>
      <c r="O529" s="221"/>
      <c r="P529" s="221"/>
      <c r="Q529" s="221"/>
      <c r="R529" s="221"/>
      <c r="S529" s="221"/>
      <c r="T529" s="221"/>
      <c r="U529" s="221"/>
      <c r="V529" s="221"/>
      <c r="W529" s="221"/>
      <c r="X529" s="221"/>
      <c r="Y529" s="68"/>
      <c r="Z529" s="68"/>
      <c r="AA529" s="68"/>
    </row>
    <row r="530">
      <c r="A530" s="134"/>
      <c r="B530" s="134"/>
      <c r="C530" s="68"/>
      <c r="D530" s="68"/>
      <c r="E530" s="68"/>
      <c r="F530" s="68"/>
      <c r="G530" s="68"/>
      <c r="H530" s="68"/>
      <c r="I530" s="221"/>
      <c r="J530" s="221"/>
      <c r="K530" s="221"/>
      <c r="L530" s="221"/>
      <c r="M530" s="221"/>
      <c r="N530" s="221"/>
      <c r="O530" s="221"/>
      <c r="P530" s="221"/>
      <c r="Q530" s="221"/>
      <c r="R530" s="221"/>
      <c r="S530" s="221"/>
      <c r="T530" s="221"/>
      <c r="U530" s="221"/>
      <c r="V530" s="221"/>
      <c r="W530" s="221"/>
      <c r="X530" s="221"/>
      <c r="Y530" s="68"/>
      <c r="Z530" s="68"/>
      <c r="AA530" s="68"/>
    </row>
    <row r="531">
      <c r="A531" s="134"/>
      <c r="B531" s="134"/>
      <c r="C531" s="68"/>
      <c r="D531" s="68"/>
      <c r="E531" s="68"/>
      <c r="F531" s="68"/>
      <c r="G531" s="68"/>
      <c r="H531" s="68"/>
      <c r="I531" s="221"/>
      <c r="J531" s="221"/>
      <c r="K531" s="221"/>
      <c r="L531" s="221"/>
      <c r="M531" s="221"/>
      <c r="N531" s="221"/>
      <c r="O531" s="221"/>
      <c r="P531" s="221"/>
      <c r="Q531" s="221"/>
      <c r="R531" s="221"/>
      <c r="S531" s="221"/>
      <c r="T531" s="221"/>
      <c r="U531" s="221"/>
      <c r="V531" s="221"/>
      <c r="W531" s="221"/>
      <c r="X531" s="221"/>
      <c r="Y531" s="68"/>
      <c r="Z531" s="68"/>
      <c r="AA531" s="68"/>
    </row>
    <row r="532">
      <c r="A532" s="134"/>
      <c r="B532" s="134"/>
      <c r="C532" s="68"/>
      <c r="D532" s="68"/>
      <c r="E532" s="68"/>
      <c r="F532" s="68"/>
      <c r="G532" s="68"/>
      <c r="H532" s="68"/>
      <c r="I532" s="221"/>
      <c r="J532" s="221"/>
      <c r="K532" s="221"/>
      <c r="L532" s="221"/>
      <c r="M532" s="221"/>
      <c r="N532" s="221"/>
      <c r="O532" s="221"/>
      <c r="P532" s="221"/>
      <c r="Q532" s="221"/>
      <c r="R532" s="221"/>
      <c r="S532" s="221"/>
      <c r="T532" s="221"/>
      <c r="U532" s="221"/>
      <c r="V532" s="221"/>
      <c r="W532" s="221"/>
      <c r="X532" s="221"/>
      <c r="Y532" s="68"/>
      <c r="Z532" s="68"/>
      <c r="AA532" s="68"/>
    </row>
    <row r="533">
      <c r="A533" s="134"/>
      <c r="B533" s="134"/>
      <c r="C533" s="68"/>
      <c r="D533" s="68"/>
      <c r="E533" s="68"/>
      <c r="F533" s="68"/>
      <c r="G533" s="68"/>
      <c r="H533" s="68"/>
      <c r="I533" s="221"/>
      <c r="J533" s="221"/>
      <c r="K533" s="221"/>
      <c r="L533" s="221"/>
      <c r="M533" s="221"/>
      <c r="N533" s="221"/>
      <c r="O533" s="221"/>
      <c r="P533" s="221"/>
      <c r="Q533" s="221"/>
      <c r="R533" s="221"/>
      <c r="S533" s="221"/>
      <c r="T533" s="221"/>
      <c r="U533" s="221"/>
      <c r="V533" s="221"/>
      <c r="W533" s="221"/>
      <c r="X533" s="221"/>
      <c r="Y533" s="68"/>
      <c r="Z533" s="68"/>
      <c r="AA533" s="68"/>
    </row>
    <row r="534">
      <c r="A534" s="134"/>
      <c r="B534" s="134"/>
      <c r="C534" s="68"/>
      <c r="D534" s="68"/>
      <c r="E534" s="68"/>
      <c r="F534" s="68"/>
      <c r="G534" s="68"/>
      <c r="H534" s="68"/>
      <c r="I534" s="221"/>
      <c r="J534" s="221"/>
      <c r="K534" s="221"/>
      <c r="L534" s="221"/>
      <c r="M534" s="221"/>
      <c r="N534" s="221"/>
      <c r="O534" s="221"/>
      <c r="P534" s="221"/>
      <c r="Q534" s="221"/>
      <c r="R534" s="221"/>
      <c r="S534" s="221"/>
      <c r="T534" s="221"/>
      <c r="U534" s="221"/>
      <c r="V534" s="221"/>
      <c r="W534" s="221"/>
      <c r="X534" s="221"/>
      <c r="Y534" s="68"/>
      <c r="Z534" s="68"/>
      <c r="AA534" s="68"/>
    </row>
    <row r="535">
      <c r="A535" s="134"/>
      <c r="B535" s="134"/>
      <c r="C535" s="68"/>
      <c r="D535" s="68"/>
      <c r="E535" s="68"/>
      <c r="F535" s="68"/>
      <c r="G535" s="68"/>
      <c r="H535" s="68"/>
      <c r="I535" s="221"/>
      <c r="J535" s="221"/>
      <c r="K535" s="221"/>
      <c r="L535" s="221"/>
      <c r="M535" s="221"/>
      <c r="N535" s="221"/>
      <c r="O535" s="221"/>
      <c r="P535" s="221"/>
      <c r="Q535" s="221"/>
      <c r="R535" s="221"/>
      <c r="S535" s="221"/>
      <c r="T535" s="221"/>
      <c r="U535" s="221"/>
      <c r="V535" s="221"/>
      <c r="W535" s="221"/>
      <c r="X535" s="221"/>
      <c r="Y535" s="68"/>
      <c r="Z535" s="68"/>
      <c r="AA535" s="68"/>
    </row>
    <row r="536">
      <c r="A536" s="134"/>
      <c r="B536" s="134"/>
      <c r="C536" s="68"/>
      <c r="D536" s="68"/>
      <c r="E536" s="68"/>
      <c r="F536" s="68"/>
      <c r="G536" s="68"/>
      <c r="H536" s="68"/>
      <c r="I536" s="221"/>
      <c r="J536" s="221"/>
      <c r="K536" s="221"/>
      <c r="L536" s="221"/>
      <c r="M536" s="221"/>
      <c r="N536" s="221"/>
      <c r="O536" s="221"/>
      <c r="P536" s="221"/>
      <c r="Q536" s="221"/>
      <c r="R536" s="221"/>
      <c r="S536" s="221"/>
      <c r="T536" s="221"/>
      <c r="U536" s="221"/>
      <c r="V536" s="221"/>
      <c r="W536" s="221"/>
      <c r="X536" s="221"/>
      <c r="Y536" s="68"/>
      <c r="Z536" s="68"/>
      <c r="AA536" s="68"/>
    </row>
    <row r="537">
      <c r="A537" s="134"/>
      <c r="B537" s="134"/>
      <c r="C537" s="68"/>
      <c r="D537" s="68"/>
      <c r="E537" s="68"/>
      <c r="F537" s="68"/>
      <c r="G537" s="68"/>
      <c r="H537" s="68"/>
      <c r="I537" s="221"/>
      <c r="J537" s="221"/>
      <c r="K537" s="221"/>
      <c r="L537" s="221"/>
      <c r="M537" s="221"/>
      <c r="N537" s="221"/>
      <c r="O537" s="221"/>
      <c r="P537" s="221"/>
      <c r="Q537" s="221"/>
      <c r="R537" s="221"/>
      <c r="S537" s="221"/>
      <c r="T537" s="221"/>
      <c r="U537" s="221"/>
      <c r="V537" s="221"/>
      <c r="W537" s="221"/>
      <c r="X537" s="221"/>
      <c r="Y537" s="68"/>
      <c r="Z537" s="68"/>
      <c r="AA537" s="68"/>
    </row>
    <row r="538">
      <c r="A538" s="134"/>
      <c r="B538" s="134"/>
      <c r="C538" s="68"/>
      <c r="D538" s="68"/>
      <c r="E538" s="68"/>
      <c r="F538" s="68"/>
      <c r="G538" s="68"/>
      <c r="H538" s="68"/>
      <c r="I538" s="221"/>
      <c r="J538" s="221"/>
      <c r="K538" s="221"/>
      <c r="L538" s="221"/>
      <c r="M538" s="221"/>
      <c r="N538" s="221"/>
      <c r="O538" s="221"/>
      <c r="P538" s="221"/>
      <c r="Q538" s="221"/>
      <c r="R538" s="221"/>
      <c r="S538" s="221"/>
      <c r="T538" s="221"/>
      <c r="U538" s="221"/>
      <c r="V538" s="221"/>
      <c r="W538" s="221"/>
      <c r="X538" s="221"/>
      <c r="Y538" s="68"/>
      <c r="Z538" s="68"/>
      <c r="AA538" s="68"/>
    </row>
    <row r="539">
      <c r="A539" s="134"/>
      <c r="B539" s="134"/>
      <c r="C539" s="68"/>
      <c r="D539" s="68"/>
      <c r="E539" s="68"/>
      <c r="F539" s="68"/>
      <c r="G539" s="68"/>
      <c r="H539" s="68"/>
      <c r="I539" s="221"/>
      <c r="J539" s="221"/>
      <c r="K539" s="221"/>
      <c r="L539" s="221"/>
      <c r="M539" s="221"/>
      <c r="N539" s="221"/>
      <c r="O539" s="221"/>
      <c r="P539" s="221"/>
      <c r="Q539" s="221"/>
      <c r="R539" s="221"/>
      <c r="S539" s="221"/>
      <c r="T539" s="221"/>
      <c r="U539" s="221"/>
      <c r="V539" s="221"/>
      <c r="W539" s="221"/>
      <c r="X539" s="221"/>
      <c r="Y539" s="68"/>
      <c r="Z539" s="68"/>
      <c r="AA539" s="68"/>
    </row>
    <row r="540">
      <c r="A540" s="134"/>
      <c r="B540" s="134"/>
      <c r="C540" s="68"/>
      <c r="D540" s="68"/>
      <c r="E540" s="68"/>
      <c r="F540" s="68"/>
      <c r="G540" s="68"/>
      <c r="H540" s="68"/>
      <c r="I540" s="221"/>
      <c r="J540" s="221"/>
      <c r="K540" s="221"/>
      <c r="L540" s="221"/>
      <c r="M540" s="221"/>
      <c r="N540" s="221"/>
      <c r="O540" s="221"/>
      <c r="P540" s="221"/>
      <c r="Q540" s="221"/>
      <c r="R540" s="221"/>
      <c r="S540" s="221"/>
      <c r="T540" s="221"/>
      <c r="U540" s="221"/>
      <c r="V540" s="221"/>
      <c r="W540" s="221"/>
      <c r="X540" s="221"/>
      <c r="Y540" s="68"/>
      <c r="Z540" s="68"/>
      <c r="AA540" s="68"/>
    </row>
    <row r="541">
      <c r="A541" s="134"/>
      <c r="B541" s="134"/>
      <c r="C541" s="68"/>
      <c r="D541" s="68"/>
      <c r="E541" s="68"/>
      <c r="F541" s="68"/>
      <c r="G541" s="68"/>
      <c r="H541" s="68"/>
      <c r="I541" s="221"/>
      <c r="J541" s="221"/>
      <c r="K541" s="221"/>
      <c r="L541" s="221"/>
      <c r="M541" s="221"/>
      <c r="N541" s="221"/>
      <c r="O541" s="221"/>
      <c r="P541" s="221"/>
      <c r="Q541" s="221"/>
      <c r="R541" s="221"/>
      <c r="S541" s="221"/>
      <c r="T541" s="221"/>
      <c r="U541" s="221"/>
      <c r="V541" s="221"/>
      <c r="W541" s="221"/>
      <c r="X541" s="221"/>
      <c r="Y541" s="68"/>
      <c r="Z541" s="68"/>
      <c r="AA541" s="68"/>
    </row>
    <row r="542">
      <c r="A542" s="134"/>
      <c r="B542" s="134"/>
      <c r="C542" s="68"/>
      <c r="D542" s="68"/>
      <c r="E542" s="68"/>
      <c r="F542" s="68"/>
      <c r="G542" s="68"/>
      <c r="H542" s="68"/>
      <c r="I542" s="221"/>
      <c r="J542" s="221"/>
      <c r="K542" s="221"/>
      <c r="L542" s="221"/>
      <c r="M542" s="221"/>
      <c r="N542" s="221"/>
      <c r="O542" s="221"/>
      <c r="P542" s="221"/>
      <c r="Q542" s="221"/>
      <c r="R542" s="221"/>
      <c r="S542" s="221"/>
      <c r="T542" s="221"/>
      <c r="U542" s="221"/>
      <c r="V542" s="221"/>
      <c r="W542" s="221"/>
      <c r="X542" s="221"/>
      <c r="Y542" s="68"/>
      <c r="Z542" s="68"/>
      <c r="AA542" s="68"/>
    </row>
    <row r="543">
      <c r="A543" s="134"/>
      <c r="B543" s="134"/>
      <c r="C543" s="68"/>
      <c r="D543" s="68"/>
      <c r="E543" s="68"/>
      <c r="F543" s="68"/>
      <c r="G543" s="68"/>
      <c r="H543" s="68"/>
      <c r="I543" s="221"/>
      <c r="J543" s="221"/>
      <c r="K543" s="221"/>
      <c r="L543" s="221"/>
      <c r="M543" s="221"/>
      <c r="N543" s="221"/>
      <c r="O543" s="221"/>
      <c r="P543" s="221"/>
      <c r="Q543" s="221"/>
      <c r="R543" s="221"/>
      <c r="S543" s="221"/>
      <c r="T543" s="221"/>
      <c r="U543" s="221"/>
      <c r="V543" s="221"/>
      <c r="W543" s="221"/>
      <c r="X543" s="221"/>
      <c r="Y543" s="68"/>
      <c r="Z543" s="68"/>
      <c r="AA543" s="68"/>
    </row>
    <row r="544">
      <c r="A544" s="134"/>
      <c r="B544" s="134"/>
      <c r="C544" s="68"/>
      <c r="D544" s="68"/>
      <c r="E544" s="68"/>
      <c r="F544" s="68"/>
      <c r="G544" s="68"/>
      <c r="H544" s="68"/>
      <c r="I544" s="221"/>
      <c r="J544" s="221"/>
      <c r="K544" s="221"/>
      <c r="L544" s="221"/>
      <c r="M544" s="221"/>
      <c r="N544" s="221"/>
      <c r="O544" s="221"/>
      <c r="P544" s="221"/>
      <c r="Q544" s="221"/>
      <c r="R544" s="221"/>
      <c r="S544" s="221"/>
      <c r="T544" s="221"/>
      <c r="U544" s="221"/>
      <c r="V544" s="221"/>
      <c r="W544" s="221"/>
      <c r="X544" s="221"/>
      <c r="Y544" s="68"/>
      <c r="Z544" s="68"/>
      <c r="AA544" s="68"/>
    </row>
    <row r="545">
      <c r="A545" s="134"/>
      <c r="B545" s="134"/>
      <c r="C545" s="68"/>
      <c r="D545" s="68"/>
      <c r="E545" s="68"/>
      <c r="F545" s="68"/>
      <c r="G545" s="68"/>
      <c r="H545" s="68"/>
      <c r="I545" s="221"/>
      <c r="J545" s="221"/>
      <c r="K545" s="221"/>
      <c r="L545" s="221"/>
      <c r="M545" s="221"/>
      <c r="N545" s="221"/>
      <c r="O545" s="221"/>
      <c r="P545" s="221"/>
      <c r="Q545" s="221"/>
      <c r="R545" s="221"/>
      <c r="S545" s="221"/>
      <c r="T545" s="221"/>
      <c r="U545" s="221"/>
      <c r="V545" s="221"/>
      <c r="W545" s="221"/>
      <c r="X545" s="221"/>
      <c r="Y545" s="68"/>
      <c r="Z545" s="68"/>
      <c r="AA545" s="68"/>
    </row>
    <row r="546">
      <c r="A546" s="134"/>
      <c r="B546" s="134"/>
      <c r="C546" s="68"/>
      <c r="D546" s="68"/>
      <c r="E546" s="68"/>
      <c r="F546" s="68"/>
      <c r="G546" s="68"/>
      <c r="H546" s="68"/>
      <c r="I546" s="221"/>
      <c r="J546" s="221"/>
      <c r="K546" s="221"/>
      <c r="L546" s="221"/>
      <c r="M546" s="221"/>
      <c r="N546" s="221"/>
      <c r="O546" s="221"/>
      <c r="P546" s="221"/>
      <c r="Q546" s="221"/>
      <c r="R546" s="221"/>
      <c r="S546" s="221"/>
      <c r="T546" s="221"/>
      <c r="U546" s="221"/>
      <c r="V546" s="221"/>
      <c r="W546" s="221"/>
      <c r="X546" s="221"/>
      <c r="Y546" s="68"/>
      <c r="Z546" s="68"/>
      <c r="AA546" s="68"/>
    </row>
    <row r="547">
      <c r="A547" s="134"/>
      <c r="B547" s="134"/>
      <c r="C547" s="68"/>
      <c r="D547" s="68"/>
      <c r="E547" s="68"/>
      <c r="F547" s="68"/>
      <c r="G547" s="68"/>
      <c r="H547" s="68"/>
      <c r="I547" s="221"/>
      <c r="J547" s="221"/>
      <c r="K547" s="221"/>
      <c r="L547" s="221"/>
      <c r="M547" s="221"/>
      <c r="N547" s="221"/>
      <c r="O547" s="221"/>
      <c r="P547" s="221"/>
      <c r="Q547" s="221"/>
      <c r="R547" s="221"/>
      <c r="S547" s="221"/>
      <c r="T547" s="221"/>
      <c r="U547" s="221"/>
      <c r="V547" s="221"/>
      <c r="W547" s="221"/>
      <c r="X547" s="221"/>
      <c r="Y547" s="68"/>
      <c r="Z547" s="68"/>
      <c r="AA547" s="68"/>
    </row>
    <row r="548">
      <c r="A548" s="134"/>
      <c r="B548" s="134"/>
      <c r="C548" s="68"/>
      <c r="D548" s="68"/>
      <c r="E548" s="68"/>
      <c r="F548" s="68"/>
      <c r="G548" s="68"/>
      <c r="H548" s="68"/>
      <c r="I548" s="221"/>
      <c r="J548" s="221"/>
      <c r="K548" s="221"/>
      <c r="L548" s="221"/>
      <c r="M548" s="221"/>
      <c r="N548" s="221"/>
      <c r="O548" s="221"/>
      <c r="P548" s="221"/>
      <c r="Q548" s="221"/>
      <c r="R548" s="221"/>
      <c r="S548" s="221"/>
      <c r="T548" s="221"/>
      <c r="U548" s="221"/>
      <c r="V548" s="221"/>
      <c r="W548" s="221"/>
      <c r="X548" s="221"/>
      <c r="Y548" s="68"/>
      <c r="Z548" s="68"/>
      <c r="AA548" s="68"/>
    </row>
    <row r="549">
      <c r="A549" s="134"/>
      <c r="B549" s="134"/>
      <c r="C549" s="68"/>
      <c r="D549" s="68"/>
      <c r="E549" s="68"/>
      <c r="F549" s="68"/>
      <c r="G549" s="68"/>
      <c r="H549" s="68"/>
      <c r="I549" s="221"/>
      <c r="J549" s="221"/>
      <c r="K549" s="221"/>
      <c r="L549" s="221"/>
      <c r="M549" s="221"/>
      <c r="N549" s="221"/>
      <c r="O549" s="221"/>
      <c r="P549" s="221"/>
      <c r="Q549" s="221"/>
      <c r="R549" s="221"/>
      <c r="S549" s="221"/>
      <c r="T549" s="221"/>
      <c r="U549" s="221"/>
      <c r="V549" s="221"/>
      <c r="W549" s="221"/>
      <c r="X549" s="221"/>
      <c r="Y549" s="68"/>
      <c r="Z549" s="68"/>
      <c r="AA549" s="68"/>
    </row>
    <row r="550">
      <c r="A550" s="134"/>
      <c r="B550" s="134"/>
      <c r="C550" s="68"/>
      <c r="D550" s="68"/>
      <c r="E550" s="68"/>
      <c r="F550" s="68"/>
      <c r="G550" s="68"/>
      <c r="H550" s="68"/>
      <c r="I550" s="221"/>
      <c r="J550" s="221"/>
      <c r="K550" s="221"/>
      <c r="L550" s="221"/>
      <c r="M550" s="221"/>
      <c r="N550" s="221"/>
      <c r="O550" s="221"/>
      <c r="P550" s="221"/>
      <c r="Q550" s="221"/>
      <c r="R550" s="221"/>
      <c r="S550" s="221"/>
      <c r="T550" s="221"/>
      <c r="U550" s="221"/>
      <c r="V550" s="221"/>
      <c r="W550" s="221"/>
      <c r="X550" s="221"/>
      <c r="Y550" s="68"/>
      <c r="Z550" s="68"/>
      <c r="AA550" s="68"/>
    </row>
    <row r="551">
      <c r="A551" s="134"/>
      <c r="B551" s="134"/>
      <c r="C551" s="68"/>
      <c r="D551" s="68"/>
      <c r="E551" s="68"/>
      <c r="F551" s="68"/>
      <c r="G551" s="68"/>
      <c r="H551" s="68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68"/>
      <c r="Z551" s="68"/>
      <c r="AA551" s="68"/>
    </row>
    <row r="552">
      <c r="A552" s="134"/>
      <c r="B552" s="134"/>
      <c r="C552" s="68"/>
      <c r="D552" s="68"/>
      <c r="E552" s="68"/>
      <c r="F552" s="68"/>
      <c r="G552" s="68"/>
      <c r="H552" s="68"/>
      <c r="I552" s="221"/>
      <c r="J552" s="221"/>
      <c r="K552" s="221"/>
      <c r="L552" s="221"/>
      <c r="M552" s="221"/>
      <c r="N552" s="221"/>
      <c r="O552" s="221"/>
      <c r="P552" s="221"/>
      <c r="Q552" s="221"/>
      <c r="R552" s="221"/>
      <c r="S552" s="221"/>
      <c r="T552" s="221"/>
      <c r="U552" s="221"/>
      <c r="V552" s="221"/>
      <c r="W552" s="221"/>
      <c r="X552" s="221"/>
      <c r="Y552" s="68"/>
      <c r="Z552" s="68"/>
      <c r="AA552" s="68"/>
    </row>
    <row r="553">
      <c r="A553" s="134"/>
      <c r="B553" s="134"/>
      <c r="C553" s="68"/>
      <c r="D553" s="68"/>
      <c r="E553" s="68"/>
      <c r="F553" s="68"/>
      <c r="G553" s="68"/>
      <c r="H553" s="68"/>
      <c r="I553" s="221"/>
      <c r="J553" s="221"/>
      <c r="K553" s="221"/>
      <c r="L553" s="221"/>
      <c r="M553" s="221"/>
      <c r="N553" s="221"/>
      <c r="O553" s="221"/>
      <c r="P553" s="221"/>
      <c r="Q553" s="221"/>
      <c r="R553" s="221"/>
      <c r="S553" s="221"/>
      <c r="T553" s="221"/>
      <c r="U553" s="221"/>
      <c r="V553" s="221"/>
      <c r="W553" s="221"/>
      <c r="X553" s="221"/>
      <c r="Y553" s="68"/>
      <c r="Z553" s="68"/>
      <c r="AA553" s="68"/>
    </row>
    <row r="554">
      <c r="A554" s="134"/>
      <c r="B554" s="134"/>
      <c r="C554" s="68"/>
      <c r="D554" s="68"/>
      <c r="E554" s="68"/>
      <c r="F554" s="68"/>
      <c r="G554" s="68"/>
      <c r="H554" s="68"/>
      <c r="I554" s="221"/>
      <c r="J554" s="221"/>
      <c r="K554" s="221"/>
      <c r="L554" s="221"/>
      <c r="M554" s="221"/>
      <c r="N554" s="221"/>
      <c r="O554" s="221"/>
      <c r="P554" s="221"/>
      <c r="Q554" s="221"/>
      <c r="R554" s="221"/>
      <c r="S554" s="221"/>
      <c r="T554" s="221"/>
      <c r="U554" s="221"/>
      <c r="V554" s="221"/>
      <c r="W554" s="221"/>
      <c r="X554" s="221"/>
      <c r="Y554" s="68"/>
      <c r="Z554" s="68"/>
      <c r="AA554" s="68"/>
    </row>
    <row r="555">
      <c r="A555" s="134"/>
      <c r="B555" s="134"/>
      <c r="C555" s="68"/>
      <c r="D555" s="68"/>
      <c r="E555" s="68"/>
      <c r="F555" s="68"/>
      <c r="G555" s="68"/>
      <c r="H555" s="68"/>
      <c r="I555" s="221"/>
      <c r="J555" s="221"/>
      <c r="K555" s="221"/>
      <c r="L555" s="221"/>
      <c r="M555" s="221"/>
      <c r="N555" s="221"/>
      <c r="O555" s="221"/>
      <c r="P555" s="221"/>
      <c r="Q555" s="221"/>
      <c r="R555" s="221"/>
      <c r="S555" s="221"/>
      <c r="T555" s="221"/>
      <c r="U555" s="221"/>
      <c r="V555" s="221"/>
      <c r="W555" s="221"/>
      <c r="X555" s="221"/>
      <c r="Y555" s="68"/>
      <c r="Z555" s="68"/>
      <c r="AA555" s="68"/>
    </row>
    <row r="556">
      <c r="A556" s="134"/>
      <c r="B556" s="134"/>
      <c r="C556" s="68"/>
      <c r="D556" s="68"/>
      <c r="E556" s="68"/>
      <c r="F556" s="68"/>
      <c r="G556" s="68"/>
      <c r="H556" s="68"/>
      <c r="I556" s="221"/>
      <c r="J556" s="221"/>
      <c r="K556" s="221"/>
      <c r="L556" s="221"/>
      <c r="M556" s="221"/>
      <c r="N556" s="221"/>
      <c r="O556" s="221"/>
      <c r="P556" s="221"/>
      <c r="Q556" s="221"/>
      <c r="R556" s="221"/>
      <c r="S556" s="221"/>
      <c r="T556" s="221"/>
      <c r="U556" s="221"/>
      <c r="V556" s="221"/>
      <c r="W556" s="221"/>
      <c r="X556" s="221"/>
      <c r="Y556" s="68"/>
      <c r="Z556" s="68"/>
      <c r="AA556" s="68"/>
    </row>
    <row r="557">
      <c r="A557" s="134"/>
      <c r="B557" s="134"/>
      <c r="C557" s="68"/>
      <c r="D557" s="68"/>
      <c r="E557" s="68"/>
      <c r="F557" s="68"/>
      <c r="G557" s="68"/>
      <c r="H557" s="68"/>
      <c r="I557" s="221"/>
      <c r="J557" s="221"/>
      <c r="K557" s="221"/>
      <c r="L557" s="221"/>
      <c r="M557" s="221"/>
      <c r="N557" s="221"/>
      <c r="O557" s="221"/>
      <c r="P557" s="221"/>
      <c r="Q557" s="221"/>
      <c r="R557" s="221"/>
      <c r="S557" s="221"/>
      <c r="T557" s="221"/>
      <c r="U557" s="221"/>
      <c r="V557" s="221"/>
      <c r="W557" s="221"/>
      <c r="X557" s="221"/>
      <c r="Y557" s="68"/>
      <c r="Z557" s="68"/>
      <c r="AA557" s="68"/>
    </row>
    <row r="558">
      <c r="A558" s="134"/>
      <c r="B558" s="134"/>
      <c r="C558" s="68"/>
      <c r="D558" s="68"/>
      <c r="E558" s="68"/>
      <c r="F558" s="68"/>
      <c r="G558" s="68"/>
      <c r="H558" s="68"/>
      <c r="I558" s="221"/>
      <c r="J558" s="221"/>
      <c r="K558" s="221"/>
      <c r="L558" s="221"/>
      <c r="M558" s="221"/>
      <c r="N558" s="221"/>
      <c r="O558" s="221"/>
      <c r="P558" s="221"/>
      <c r="Q558" s="221"/>
      <c r="R558" s="221"/>
      <c r="S558" s="221"/>
      <c r="T558" s="221"/>
      <c r="U558" s="221"/>
      <c r="V558" s="221"/>
      <c r="W558" s="221"/>
      <c r="X558" s="221"/>
      <c r="Y558" s="68"/>
      <c r="Z558" s="68"/>
      <c r="AA558" s="68"/>
    </row>
    <row r="559">
      <c r="A559" s="134"/>
      <c r="B559" s="134"/>
      <c r="C559" s="68"/>
      <c r="D559" s="68"/>
      <c r="E559" s="68"/>
      <c r="F559" s="68"/>
      <c r="G559" s="68"/>
      <c r="H559" s="68"/>
      <c r="I559" s="221"/>
      <c r="J559" s="221"/>
      <c r="K559" s="221"/>
      <c r="L559" s="221"/>
      <c r="M559" s="221"/>
      <c r="N559" s="221"/>
      <c r="O559" s="221"/>
      <c r="P559" s="221"/>
      <c r="Q559" s="221"/>
      <c r="R559" s="221"/>
      <c r="S559" s="221"/>
      <c r="T559" s="221"/>
      <c r="U559" s="221"/>
      <c r="V559" s="221"/>
      <c r="W559" s="221"/>
      <c r="X559" s="221"/>
      <c r="Y559" s="68"/>
      <c r="Z559" s="68"/>
      <c r="AA559" s="68"/>
    </row>
    <row r="560">
      <c r="A560" s="134"/>
      <c r="B560" s="134"/>
      <c r="C560" s="68"/>
      <c r="D560" s="68"/>
      <c r="E560" s="68"/>
      <c r="F560" s="68"/>
      <c r="G560" s="68"/>
      <c r="H560" s="68"/>
      <c r="I560" s="221"/>
      <c r="J560" s="221"/>
      <c r="K560" s="221"/>
      <c r="L560" s="221"/>
      <c r="M560" s="221"/>
      <c r="N560" s="221"/>
      <c r="O560" s="221"/>
      <c r="P560" s="221"/>
      <c r="Q560" s="221"/>
      <c r="R560" s="221"/>
      <c r="S560" s="221"/>
      <c r="T560" s="221"/>
      <c r="U560" s="221"/>
      <c r="V560" s="221"/>
      <c r="W560" s="221"/>
      <c r="X560" s="221"/>
      <c r="Y560" s="68"/>
      <c r="Z560" s="68"/>
      <c r="AA560" s="68"/>
    </row>
    <row r="561">
      <c r="A561" s="134"/>
      <c r="B561" s="134"/>
      <c r="C561" s="68"/>
      <c r="D561" s="68"/>
      <c r="E561" s="68"/>
      <c r="F561" s="68"/>
      <c r="G561" s="68"/>
      <c r="H561" s="68"/>
      <c r="I561" s="221"/>
      <c r="J561" s="221"/>
      <c r="K561" s="221"/>
      <c r="L561" s="221"/>
      <c r="M561" s="221"/>
      <c r="N561" s="221"/>
      <c r="O561" s="221"/>
      <c r="P561" s="221"/>
      <c r="Q561" s="221"/>
      <c r="R561" s="221"/>
      <c r="S561" s="221"/>
      <c r="T561" s="221"/>
      <c r="U561" s="221"/>
      <c r="V561" s="221"/>
      <c r="W561" s="221"/>
      <c r="X561" s="221"/>
      <c r="Y561" s="68"/>
      <c r="Z561" s="68"/>
      <c r="AA561" s="68"/>
    </row>
    <row r="562">
      <c r="A562" s="134"/>
      <c r="B562" s="134"/>
      <c r="C562" s="68"/>
      <c r="D562" s="68"/>
      <c r="E562" s="68"/>
      <c r="F562" s="68"/>
      <c r="G562" s="68"/>
      <c r="H562" s="68"/>
      <c r="I562" s="221"/>
      <c r="J562" s="221"/>
      <c r="K562" s="221"/>
      <c r="L562" s="221"/>
      <c r="M562" s="221"/>
      <c r="N562" s="221"/>
      <c r="O562" s="221"/>
      <c r="P562" s="221"/>
      <c r="Q562" s="221"/>
      <c r="R562" s="221"/>
      <c r="S562" s="221"/>
      <c r="T562" s="221"/>
      <c r="U562" s="221"/>
      <c r="V562" s="221"/>
      <c r="W562" s="221"/>
      <c r="X562" s="221"/>
      <c r="Y562" s="68"/>
      <c r="Z562" s="68"/>
      <c r="AA562" s="68"/>
    </row>
    <row r="563">
      <c r="A563" s="134"/>
      <c r="B563" s="134"/>
      <c r="C563" s="68"/>
      <c r="D563" s="68"/>
      <c r="E563" s="68"/>
      <c r="F563" s="68"/>
      <c r="G563" s="68"/>
      <c r="H563" s="68"/>
      <c r="I563" s="221"/>
      <c r="J563" s="221"/>
      <c r="K563" s="221"/>
      <c r="L563" s="221"/>
      <c r="M563" s="221"/>
      <c r="N563" s="221"/>
      <c r="O563" s="221"/>
      <c r="P563" s="221"/>
      <c r="Q563" s="221"/>
      <c r="R563" s="221"/>
      <c r="S563" s="221"/>
      <c r="T563" s="221"/>
      <c r="U563" s="221"/>
      <c r="V563" s="221"/>
      <c r="W563" s="221"/>
      <c r="X563" s="221"/>
      <c r="Y563" s="68"/>
      <c r="Z563" s="68"/>
      <c r="AA563" s="68"/>
    </row>
    <row r="564">
      <c r="A564" s="134"/>
      <c r="B564" s="134"/>
      <c r="C564" s="68"/>
      <c r="D564" s="68"/>
      <c r="E564" s="68"/>
      <c r="F564" s="68"/>
      <c r="G564" s="68"/>
      <c r="H564" s="68"/>
      <c r="I564" s="221"/>
      <c r="J564" s="221"/>
      <c r="K564" s="221"/>
      <c r="L564" s="221"/>
      <c r="M564" s="221"/>
      <c r="N564" s="221"/>
      <c r="O564" s="221"/>
      <c r="P564" s="221"/>
      <c r="Q564" s="221"/>
      <c r="R564" s="221"/>
      <c r="S564" s="221"/>
      <c r="T564" s="221"/>
      <c r="U564" s="221"/>
      <c r="V564" s="221"/>
      <c r="W564" s="221"/>
      <c r="X564" s="221"/>
      <c r="Y564" s="68"/>
      <c r="Z564" s="68"/>
      <c r="AA564" s="68"/>
    </row>
    <row r="565">
      <c r="A565" s="134"/>
      <c r="B565" s="134"/>
      <c r="C565" s="68"/>
      <c r="D565" s="68"/>
      <c r="E565" s="68"/>
      <c r="F565" s="68"/>
      <c r="G565" s="68"/>
      <c r="H565" s="68"/>
      <c r="I565" s="221"/>
      <c r="J565" s="221"/>
      <c r="K565" s="221"/>
      <c r="L565" s="221"/>
      <c r="M565" s="221"/>
      <c r="N565" s="221"/>
      <c r="O565" s="221"/>
      <c r="P565" s="221"/>
      <c r="Q565" s="221"/>
      <c r="R565" s="221"/>
      <c r="S565" s="221"/>
      <c r="T565" s="221"/>
      <c r="U565" s="221"/>
      <c r="V565" s="221"/>
      <c r="W565" s="221"/>
      <c r="X565" s="221"/>
      <c r="Y565" s="68"/>
      <c r="Z565" s="68"/>
      <c r="AA565" s="68"/>
    </row>
    <row r="566">
      <c r="A566" s="134"/>
      <c r="B566" s="134"/>
      <c r="C566" s="68"/>
      <c r="D566" s="68"/>
      <c r="E566" s="68"/>
      <c r="F566" s="68"/>
      <c r="G566" s="68"/>
      <c r="H566" s="68"/>
      <c r="I566" s="221"/>
      <c r="J566" s="221"/>
      <c r="K566" s="221"/>
      <c r="L566" s="221"/>
      <c r="M566" s="221"/>
      <c r="N566" s="221"/>
      <c r="O566" s="221"/>
      <c r="P566" s="221"/>
      <c r="Q566" s="221"/>
      <c r="R566" s="221"/>
      <c r="S566" s="221"/>
      <c r="T566" s="221"/>
      <c r="U566" s="221"/>
      <c r="V566" s="221"/>
      <c r="W566" s="221"/>
      <c r="X566" s="221"/>
      <c r="Y566" s="68"/>
      <c r="Z566" s="68"/>
      <c r="AA566" s="68"/>
    </row>
    <row r="567">
      <c r="A567" s="134"/>
      <c r="B567" s="134"/>
      <c r="C567" s="68"/>
      <c r="D567" s="68"/>
      <c r="E567" s="68"/>
      <c r="F567" s="68"/>
      <c r="G567" s="68"/>
      <c r="H567" s="68"/>
      <c r="I567" s="221"/>
      <c r="J567" s="221"/>
      <c r="K567" s="221"/>
      <c r="L567" s="221"/>
      <c r="M567" s="221"/>
      <c r="N567" s="221"/>
      <c r="O567" s="221"/>
      <c r="P567" s="221"/>
      <c r="Q567" s="221"/>
      <c r="R567" s="221"/>
      <c r="S567" s="221"/>
      <c r="T567" s="221"/>
      <c r="U567" s="221"/>
      <c r="V567" s="221"/>
      <c r="W567" s="221"/>
      <c r="X567" s="221"/>
      <c r="Y567" s="68"/>
      <c r="Z567" s="68"/>
      <c r="AA567" s="68"/>
    </row>
    <row r="568">
      <c r="A568" s="134"/>
      <c r="B568" s="134"/>
      <c r="C568" s="68"/>
      <c r="D568" s="68"/>
      <c r="E568" s="68"/>
      <c r="F568" s="68"/>
      <c r="G568" s="68"/>
      <c r="H568" s="68"/>
      <c r="I568" s="221"/>
      <c r="J568" s="221"/>
      <c r="K568" s="221"/>
      <c r="L568" s="221"/>
      <c r="M568" s="221"/>
      <c r="N568" s="221"/>
      <c r="O568" s="221"/>
      <c r="P568" s="221"/>
      <c r="Q568" s="221"/>
      <c r="R568" s="221"/>
      <c r="S568" s="221"/>
      <c r="T568" s="221"/>
      <c r="U568" s="221"/>
      <c r="V568" s="221"/>
      <c r="W568" s="221"/>
      <c r="X568" s="221"/>
      <c r="Y568" s="68"/>
      <c r="Z568" s="68"/>
      <c r="AA568" s="68"/>
    </row>
    <row r="569">
      <c r="A569" s="134"/>
      <c r="B569" s="134"/>
      <c r="C569" s="68"/>
      <c r="D569" s="68"/>
      <c r="E569" s="68"/>
      <c r="F569" s="68"/>
      <c r="G569" s="68"/>
      <c r="H569" s="68"/>
      <c r="I569" s="221"/>
      <c r="J569" s="221"/>
      <c r="K569" s="221"/>
      <c r="L569" s="221"/>
      <c r="M569" s="221"/>
      <c r="N569" s="221"/>
      <c r="O569" s="221"/>
      <c r="P569" s="221"/>
      <c r="Q569" s="221"/>
      <c r="R569" s="221"/>
      <c r="S569" s="221"/>
      <c r="T569" s="221"/>
      <c r="U569" s="221"/>
      <c r="V569" s="221"/>
      <c r="W569" s="221"/>
      <c r="X569" s="221"/>
      <c r="Y569" s="68"/>
      <c r="Z569" s="68"/>
      <c r="AA569" s="68"/>
    </row>
    <row r="570">
      <c r="A570" s="134"/>
      <c r="B570" s="134"/>
      <c r="C570" s="68"/>
      <c r="D570" s="68"/>
      <c r="E570" s="68"/>
      <c r="F570" s="68"/>
      <c r="G570" s="68"/>
      <c r="H570" s="68"/>
      <c r="I570" s="221"/>
      <c r="J570" s="221"/>
      <c r="K570" s="221"/>
      <c r="L570" s="221"/>
      <c r="M570" s="221"/>
      <c r="N570" s="221"/>
      <c r="O570" s="221"/>
      <c r="P570" s="221"/>
      <c r="Q570" s="221"/>
      <c r="R570" s="221"/>
      <c r="S570" s="221"/>
      <c r="T570" s="221"/>
      <c r="U570" s="221"/>
      <c r="V570" s="221"/>
      <c r="W570" s="221"/>
      <c r="X570" s="221"/>
      <c r="Y570" s="68"/>
      <c r="Z570" s="68"/>
      <c r="AA570" s="68"/>
    </row>
    <row r="571">
      <c r="A571" s="134"/>
      <c r="B571" s="134"/>
      <c r="C571" s="68"/>
      <c r="D571" s="68"/>
      <c r="E571" s="68"/>
      <c r="F571" s="68"/>
      <c r="G571" s="68"/>
      <c r="H571" s="68"/>
      <c r="I571" s="221"/>
      <c r="J571" s="221"/>
      <c r="K571" s="221"/>
      <c r="L571" s="221"/>
      <c r="M571" s="221"/>
      <c r="N571" s="221"/>
      <c r="O571" s="221"/>
      <c r="P571" s="221"/>
      <c r="Q571" s="221"/>
      <c r="R571" s="221"/>
      <c r="S571" s="221"/>
      <c r="T571" s="221"/>
      <c r="U571" s="221"/>
      <c r="V571" s="221"/>
      <c r="W571" s="221"/>
      <c r="X571" s="221"/>
      <c r="Y571" s="68"/>
      <c r="Z571" s="68"/>
      <c r="AA571" s="68"/>
    </row>
    <row r="572">
      <c r="A572" s="134"/>
      <c r="B572" s="134"/>
      <c r="C572" s="68"/>
      <c r="D572" s="68"/>
      <c r="E572" s="68"/>
      <c r="F572" s="68"/>
      <c r="G572" s="68"/>
      <c r="H572" s="68"/>
      <c r="I572" s="221"/>
      <c r="J572" s="221"/>
      <c r="K572" s="221"/>
      <c r="L572" s="221"/>
      <c r="M572" s="221"/>
      <c r="N572" s="221"/>
      <c r="O572" s="221"/>
      <c r="P572" s="221"/>
      <c r="Q572" s="221"/>
      <c r="R572" s="221"/>
      <c r="S572" s="221"/>
      <c r="T572" s="221"/>
      <c r="U572" s="221"/>
      <c r="V572" s="221"/>
      <c r="W572" s="221"/>
      <c r="X572" s="221"/>
      <c r="Y572" s="68"/>
      <c r="Z572" s="68"/>
      <c r="AA572" s="68"/>
    </row>
    <row r="573">
      <c r="A573" s="134"/>
      <c r="B573" s="134"/>
      <c r="C573" s="68"/>
      <c r="D573" s="68"/>
      <c r="E573" s="68"/>
      <c r="F573" s="68"/>
      <c r="G573" s="68"/>
      <c r="H573" s="68"/>
      <c r="I573" s="221"/>
      <c r="J573" s="221"/>
      <c r="K573" s="221"/>
      <c r="L573" s="221"/>
      <c r="M573" s="221"/>
      <c r="N573" s="221"/>
      <c r="O573" s="221"/>
      <c r="P573" s="221"/>
      <c r="Q573" s="221"/>
      <c r="R573" s="221"/>
      <c r="S573" s="221"/>
      <c r="T573" s="221"/>
      <c r="U573" s="221"/>
      <c r="V573" s="221"/>
      <c r="W573" s="221"/>
      <c r="X573" s="221"/>
      <c r="Y573" s="68"/>
      <c r="Z573" s="68"/>
      <c r="AA573" s="68"/>
    </row>
    <row r="574">
      <c r="A574" s="134"/>
      <c r="B574" s="134"/>
      <c r="C574" s="68"/>
      <c r="D574" s="68"/>
      <c r="E574" s="68"/>
      <c r="F574" s="68"/>
      <c r="G574" s="68"/>
      <c r="H574" s="68"/>
      <c r="I574" s="221"/>
      <c r="J574" s="221"/>
      <c r="K574" s="221"/>
      <c r="L574" s="221"/>
      <c r="M574" s="221"/>
      <c r="N574" s="221"/>
      <c r="O574" s="221"/>
      <c r="P574" s="221"/>
      <c r="Q574" s="221"/>
      <c r="R574" s="221"/>
      <c r="S574" s="221"/>
      <c r="T574" s="221"/>
      <c r="U574" s="221"/>
      <c r="V574" s="221"/>
      <c r="W574" s="221"/>
      <c r="X574" s="221"/>
      <c r="Y574" s="68"/>
      <c r="Z574" s="68"/>
      <c r="AA574" s="68"/>
    </row>
    <row r="575">
      <c r="A575" s="134"/>
      <c r="B575" s="134"/>
      <c r="C575" s="68"/>
      <c r="D575" s="68"/>
      <c r="E575" s="68"/>
      <c r="F575" s="68"/>
      <c r="G575" s="68"/>
      <c r="H575" s="68"/>
      <c r="I575" s="221"/>
      <c r="J575" s="221"/>
      <c r="K575" s="221"/>
      <c r="L575" s="221"/>
      <c r="M575" s="221"/>
      <c r="N575" s="221"/>
      <c r="O575" s="221"/>
      <c r="P575" s="221"/>
      <c r="Q575" s="221"/>
      <c r="R575" s="221"/>
      <c r="S575" s="221"/>
      <c r="T575" s="221"/>
      <c r="U575" s="221"/>
      <c r="V575" s="221"/>
      <c r="W575" s="221"/>
      <c r="X575" s="221"/>
      <c r="Y575" s="68"/>
      <c r="Z575" s="68"/>
      <c r="AA575" s="68"/>
    </row>
    <row r="576">
      <c r="A576" s="134"/>
      <c r="B576" s="134"/>
      <c r="C576" s="68"/>
      <c r="D576" s="68"/>
      <c r="E576" s="68"/>
      <c r="F576" s="68"/>
      <c r="G576" s="68"/>
      <c r="H576" s="68"/>
      <c r="I576" s="221"/>
      <c r="J576" s="221"/>
      <c r="K576" s="221"/>
      <c r="L576" s="221"/>
      <c r="M576" s="221"/>
      <c r="N576" s="221"/>
      <c r="O576" s="221"/>
      <c r="P576" s="221"/>
      <c r="Q576" s="221"/>
      <c r="R576" s="221"/>
      <c r="S576" s="221"/>
      <c r="T576" s="221"/>
      <c r="U576" s="221"/>
      <c r="V576" s="221"/>
      <c r="W576" s="221"/>
      <c r="X576" s="221"/>
      <c r="Y576" s="68"/>
      <c r="Z576" s="68"/>
      <c r="AA576" s="68"/>
    </row>
    <row r="577">
      <c r="A577" s="134"/>
      <c r="B577" s="134"/>
      <c r="C577" s="68"/>
      <c r="D577" s="68"/>
      <c r="E577" s="68"/>
      <c r="F577" s="68"/>
      <c r="G577" s="68"/>
      <c r="H577" s="68"/>
      <c r="I577" s="221"/>
      <c r="J577" s="221"/>
      <c r="K577" s="221"/>
      <c r="L577" s="221"/>
      <c r="M577" s="221"/>
      <c r="N577" s="221"/>
      <c r="O577" s="221"/>
      <c r="P577" s="221"/>
      <c r="Q577" s="221"/>
      <c r="R577" s="221"/>
      <c r="S577" s="221"/>
      <c r="T577" s="221"/>
      <c r="U577" s="221"/>
      <c r="V577" s="221"/>
      <c r="W577" s="221"/>
      <c r="X577" s="221"/>
      <c r="Y577" s="68"/>
      <c r="Z577" s="68"/>
      <c r="AA577" s="68"/>
    </row>
    <row r="578">
      <c r="A578" s="134"/>
      <c r="B578" s="134"/>
      <c r="C578" s="68"/>
      <c r="D578" s="68"/>
      <c r="E578" s="68"/>
      <c r="F578" s="68"/>
      <c r="G578" s="68"/>
      <c r="H578" s="68"/>
      <c r="I578" s="221"/>
      <c r="J578" s="221"/>
      <c r="K578" s="221"/>
      <c r="L578" s="221"/>
      <c r="M578" s="221"/>
      <c r="N578" s="221"/>
      <c r="O578" s="221"/>
      <c r="P578" s="221"/>
      <c r="Q578" s="221"/>
      <c r="R578" s="221"/>
      <c r="S578" s="221"/>
      <c r="T578" s="221"/>
      <c r="U578" s="221"/>
      <c r="V578" s="221"/>
      <c r="W578" s="221"/>
      <c r="X578" s="221"/>
      <c r="Y578" s="68"/>
      <c r="Z578" s="68"/>
      <c r="AA578" s="68"/>
    </row>
    <row r="579">
      <c r="A579" s="134"/>
      <c r="B579" s="134"/>
      <c r="C579" s="68"/>
      <c r="D579" s="68"/>
      <c r="E579" s="68"/>
      <c r="F579" s="68"/>
      <c r="G579" s="68"/>
      <c r="H579" s="68"/>
      <c r="I579" s="221"/>
      <c r="J579" s="221"/>
      <c r="K579" s="221"/>
      <c r="L579" s="221"/>
      <c r="M579" s="221"/>
      <c r="N579" s="221"/>
      <c r="O579" s="221"/>
      <c r="P579" s="221"/>
      <c r="Q579" s="221"/>
      <c r="R579" s="221"/>
      <c r="S579" s="221"/>
      <c r="T579" s="221"/>
      <c r="U579" s="221"/>
      <c r="V579" s="221"/>
      <c r="W579" s="221"/>
      <c r="X579" s="221"/>
      <c r="Y579" s="68"/>
      <c r="Z579" s="68"/>
      <c r="AA579" s="68"/>
    </row>
    <row r="580">
      <c r="A580" s="134"/>
      <c r="B580" s="134"/>
      <c r="C580" s="68"/>
      <c r="D580" s="68"/>
      <c r="E580" s="68"/>
      <c r="F580" s="68"/>
      <c r="G580" s="68"/>
      <c r="H580" s="68"/>
      <c r="I580" s="221"/>
      <c r="J580" s="221"/>
      <c r="K580" s="221"/>
      <c r="L580" s="221"/>
      <c r="M580" s="221"/>
      <c r="N580" s="221"/>
      <c r="O580" s="221"/>
      <c r="P580" s="221"/>
      <c r="Q580" s="221"/>
      <c r="R580" s="221"/>
      <c r="S580" s="221"/>
      <c r="T580" s="221"/>
      <c r="U580" s="221"/>
      <c r="V580" s="221"/>
      <c r="W580" s="221"/>
      <c r="X580" s="221"/>
      <c r="Y580" s="68"/>
      <c r="Z580" s="68"/>
      <c r="AA580" s="68"/>
    </row>
    <row r="581">
      <c r="A581" s="134"/>
      <c r="B581" s="134"/>
      <c r="C581" s="68"/>
      <c r="D581" s="68"/>
      <c r="E581" s="68"/>
      <c r="F581" s="68"/>
      <c r="G581" s="68"/>
      <c r="H581" s="68"/>
      <c r="I581" s="221"/>
      <c r="J581" s="221"/>
      <c r="K581" s="221"/>
      <c r="L581" s="221"/>
      <c r="M581" s="221"/>
      <c r="N581" s="221"/>
      <c r="O581" s="221"/>
      <c r="P581" s="221"/>
      <c r="Q581" s="221"/>
      <c r="R581" s="221"/>
      <c r="S581" s="221"/>
      <c r="T581" s="221"/>
      <c r="U581" s="221"/>
      <c r="V581" s="221"/>
      <c r="W581" s="221"/>
      <c r="X581" s="221"/>
      <c r="Y581" s="68"/>
      <c r="Z581" s="68"/>
      <c r="AA581" s="68"/>
    </row>
    <row r="582">
      <c r="A582" s="134"/>
      <c r="B582" s="134"/>
      <c r="C582" s="68"/>
      <c r="D582" s="68"/>
      <c r="E582" s="68"/>
      <c r="F582" s="68"/>
      <c r="G582" s="68"/>
      <c r="H582" s="68"/>
      <c r="I582" s="221"/>
      <c r="J582" s="221"/>
      <c r="K582" s="221"/>
      <c r="L582" s="221"/>
      <c r="M582" s="221"/>
      <c r="N582" s="221"/>
      <c r="O582" s="221"/>
      <c r="P582" s="221"/>
      <c r="Q582" s="221"/>
      <c r="R582" s="221"/>
      <c r="S582" s="221"/>
      <c r="T582" s="221"/>
      <c r="U582" s="221"/>
      <c r="V582" s="221"/>
      <c r="W582" s="221"/>
      <c r="X582" s="221"/>
      <c r="Y582" s="68"/>
      <c r="Z582" s="68"/>
      <c r="AA582" s="68"/>
    </row>
    <row r="583">
      <c r="A583" s="134"/>
      <c r="B583" s="134"/>
      <c r="C583" s="68"/>
      <c r="D583" s="68"/>
      <c r="E583" s="68"/>
      <c r="F583" s="68"/>
      <c r="G583" s="68"/>
      <c r="H583" s="68"/>
      <c r="I583" s="221"/>
      <c r="J583" s="221"/>
      <c r="K583" s="221"/>
      <c r="L583" s="221"/>
      <c r="M583" s="221"/>
      <c r="N583" s="221"/>
      <c r="O583" s="221"/>
      <c r="P583" s="221"/>
      <c r="Q583" s="221"/>
      <c r="R583" s="221"/>
      <c r="S583" s="221"/>
      <c r="T583" s="221"/>
      <c r="U583" s="221"/>
      <c r="V583" s="221"/>
      <c r="W583" s="221"/>
      <c r="X583" s="221"/>
      <c r="Y583" s="68"/>
      <c r="Z583" s="68"/>
      <c r="AA583" s="68"/>
    </row>
    <row r="584">
      <c r="A584" s="134"/>
      <c r="B584" s="134"/>
      <c r="C584" s="68"/>
      <c r="D584" s="68"/>
      <c r="E584" s="68"/>
      <c r="F584" s="68"/>
      <c r="G584" s="68"/>
      <c r="H584" s="68"/>
      <c r="I584" s="221"/>
      <c r="J584" s="221"/>
      <c r="K584" s="221"/>
      <c r="L584" s="221"/>
      <c r="M584" s="221"/>
      <c r="N584" s="221"/>
      <c r="O584" s="221"/>
      <c r="P584" s="221"/>
      <c r="Q584" s="221"/>
      <c r="R584" s="221"/>
      <c r="S584" s="221"/>
      <c r="T584" s="221"/>
      <c r="U584" s="221"/>
      <c r="V584" s="221"/>
      <c r="W584" s="221"/>
      <c r="X584" s="221"/>
      <c r="Y584" s="68"/>
      <c r="Z584" s="68"/>
      <c r="AA584" s="68"/>
    </row>
    <row r="585">
      <c r="A585" s="134"/>
      <c r="B585" s="134"/>
      <c r="C585" s="68"/>
      <c r="D585" s="68"/>
      <c r="E585" s="68"/>
      <c r="F585" s="68"/>
      <c r="G585" s="68"/>
      <c r="H585" s="68"/>
      <c r="I585" s="221"/>
      <c r="J585" s="221"/>
      <c r="K585" s="221"/>
      <c r="L585" s="221"/>
      <c r="M585" s="221"/>
      <c r="N585" s="221"/>
      <c r="O585" s="221"/>
      <c r="P585" s="221"/>
      <c r="Q585" s="221"/>
      <c r="R585" s="221"/>
      <c r="S585" s="221"/>
      <c r="T585" s="221"/>
      <c r="U585" s="221"/>
      <c r="V585" s="221"/>
      <c r="W585" s="221"/>
      <c r="X585" s="221"/>
      <c r="Y585" s="68"/>
      <c r="Z585" s="68"/>
      <c r="AA585" s="68"/>
    </row>
    <row r="586">
      <c r="A586" s="134"/>
      <c r="B586" s="134"/>
      <c r="C586" s="68"/>
      <c r="D586" s="68"/>
      <c r="E586" s="68"/>
      <c r="F586" s="68"/>
      <c r="G586" s="68"/>
      <c r="H586" s="68"/>
      <c r="I586" s="221"/>
      <c r="J586" s="221"/>
      <c r="K586" s="221"/>
      <c r="L586" s="221"/>
      <c r="M586" s="221"/>
      <c r="N586" s="221"/>
      <c r="O586" s="221"/>
      <c r="P586" s="221"/>
      <c r="Q586" s="221"/>
      <c r="R586" s="221"/>
      <c r="S586" s="221"/>
      <c r="T586" s="221"/>
      <c r="U586" s="221"/>
      <c r="V586" s="221"/>
      <c r="W586" s="221"/>
      <c r="X586" s="221"/>
      <c r="Y586" s="68"/>
      <c r="Z586" s="68"/>
      <c r="AA586" s="68"/>
    </row>
    <row r="587">
      <c r="A587" s="134"/>
      <c r="B587" s="134"/>
      <c r="C587" s="68"/>
      <c r="D587" s="68"/>
      <c r="E587" s="68"/>
      <c r="F587" s="68"/>
      <c r="G587" s="68"/>
      <c r="H587" s="68"/>
      <c r="I587" s="221"/>
      <c r="J587" s="221"/>
      <c r="K587" s="221"/>
      <c r="L587" s="221"/>
      <c r="M587" s="221"/>
      <c r="N587" s="221"/>
      <c r="O587" s="221"/>
      <c r="P587" s="221"/>
      <c r="Q587" s="221"/>
      <c r="R587" s="221"/>
      <c r="S587" s="221"/>
      <c r="T587" s="221"/>
      <c r="U587" s="221"/>
      <c r="V587" s="221"/>
      <c r="W587" s="221"/>
      <c r="X587" s="221"/>
      <c r="Y587" s="68"/>
      <c r="Z587" s="68"/>
      <c r="AA587" s="68"/>
    </row>
    <row r="588">
      <c r="A588" s="134"/>
      <c r="B588" s="134"/>
      <c r="C588" s="68"/>
      <c r="D588" s="68"/>
      <c r="E588" s="68"/>
      <c r="F588" s="68"/>
      <c r="G588" s="68"/>
      <c r="H588" s="68"/>
      <c r="I588" s="221"/>
      <c r="J588" s="221"/>
      <c r="K588" s="221"/>
      <c r="L588" s="221"/>
      <c r="M588" s="221"/>
      <c r="N588" s="221"/>
      <c r="O588" s="221"/>
      <c r="P588" s="221"/>
      <c r="Q588" s="221"/>
      <c r="R588" s="221"/>
      <c r="S588" s="221"/>
      <c r="T588" s="221"/>
      <c r="U588" s="221"/>
      <c r="V588" s="221"/>
      <c r="W588" s="221"/>
      <c r="X588" s="221"/>
      <c r="Y588" s="68"/>
      <c r="Z588" s="68"/>
      <c r="AA588" s="68"/>
    </row>
    <row r="589">
      <c r="A589" s="134"/>
      <c r="B589" s="134"/>
      <c r="C589" s="68"/>
      <c r="D589" s="68"/>
      <c r="E589" s="68"/>
      <c r="F589" s="68"/>
      <c r="G589" s="68"/>
      <c r="H589" s="68"/>
      <c r="I589" s="221"/>
      <c r="J589" s="221"/>
      <c r="K589" s="221"/>
      <c r="L589" s="221"/>
      <c r="M589" s="221"/>
      <c r="N589" s="221"/>
      <c r="O589" s="221"/>
      <c r="P589" s="221"/>
      <c r="Q589" s="221"/>
      <c r="R589" s="221"/>
      <c r="S589" s="221"/>
      <c r="T589" s="221"/>
      <c r="U589" s="221"/>
      <c r="V589" s="221"/>
      <c r="W589" s="221"/>
      <c r="X589" s="221"/>
      <c r="Y589" s="68"/>
      <c r="Z589" s="68"/>
      <c r="AA589" s="68"/>
    </row>
    <row r="590">
      <c r="A590" s="134"/>
      <c r="B590" s="134"/>
      <c r="C590" s="68"/>
      <c r="D590" s="68"/>
      <c r="E590" s="68"/>
      <c r="F590" s="68"/>
      <c r="G590" s="68"/>
      <c r="H590" s="68"/>
      <c r="I590" s="221"/>
      <c r="J590" s="221"/>
      <c r="K590" s="221"/>
      <c r="L590" s="221"/>
      <c r="M590" s="221"/>
      <c r="N590" s="221"/>
      <c r="O590" s="221"/>
      <c r="P590" s="221"/>
      <c r="Q590" s="221"/>
      <c r="R590" s="221"/>
      <c r="S590" s="221"/>
      <c r="T590" s="221"/>
      <c r="U590" s="221"/>
      <c r="V590" s="221"/>
      <c r="W590" s="221"/>
      <c r="X590" s="221"/>
      <c r="Y590" s="68"/>
      <c r="Z590" s="68"/>
      <c r="AA590" s="68"/>
    </row>
    <row r="591">
      <c r="A591" s="134"/>
      <c r="B591" s="134"/>
      <c r="C591" s="68"/>
      <c r="D591" s="68"/>
      <c r="E591" s="68"/>
      <c r="F591" s="68"/>
      <c r="G591" s="68"/>
      <c r="H591" s="68"/>
      <c r="I591" s="221"/>
      <c r="J591" s="221"/>
      <c r="K591" s="221"/>
      <c r="L591" s="221"/>
      <c r="M591" s="221"/>
      <c r="N591" s="221"/>
      <c r="O591" s="221"/>
      <c r="P591" s="221"/>
      <c r="Q591" s="221"/>
      <c r="R591" s="221"/>
      <c r="S591" s="221"/>
      <c r="T591" s="221"/>
      <c r="U591" s="221"/>
      <c r="V591" s="221"/>
      <c r="W591" s="221"/>
      <c r="X591" s="221"/>
      <c r="Y591" s="68"/>
      <c r="Z591" s="68"/>
      <c r="AA591" s="68"/>
    </row>
    <row r="592">
      <c r="A592" s="134"/>
      <c r="B592" s="134"/>
      <c r="C592" s="68"/>
      <c r="D592" s="68"/>
      <c r="E592" s="68"/>
      <c r="F592" s="68"/>
      <c r="G592" s="68"/>
      <c r="H592" s="68"/>
      <c r="I592" s="221"/>
      <c r="J592" s="221"/>
      <c r="K592" s="221"/>
      <c r="L592" s="221"/>
      <c r="M592" s="221"/>
      <c r="N592" s="221"/>
      <c r="O592" s="221"/>
      <c r="P592" s="221"/>
      <c r="Q592" s="221"/>
      <c r="R592" s="221"/>
      <c r="S592" s="221"/>
      <c r="T592" s="221"/>
      <c r="U592" s="221"/>
      <c r="V592" s="221"/>
      <c r="W592" s="221"/>
      <c r="X592" s="221"/>
      <c r="Y592" s="68"/>
      <c r="Z592" s="68"/>
      <c r="AA592" s="68"/>
    </row>
    <row r="593">
      <c r="A593" s="134"/>
      <c r="B593" s="134"/>
      <c r="C593" s="68"/>
      <c r="D593" s="68"/>
      <c r="E593" s="68"/>
      <c r="F593" s="68"/>
      <c r="G593" s="68"/>
      <c r="H593" s="68"/>
      <c r="I593" s="221"/>
      <c r="J593" s="221"/>
      <c r="K593" s="221"/>
      <c r="L593" s="221"/>
      <c r="M593" s="221"/>
      <c r="N593" s="221"/>
      <c r="O593" s="221"/>
      <c r="P593" s="221"/>
      <c r="Q593" s="221"/>
      <c r="R593" s="221"/>
      <c r="S593" s="221"/>
      <c r="T593" s="221"/>
      <c r="U593" s="221"/>
      <c r="V593" s="221"/>
      <c r="W593" s="221"/>
      <c r="X593" s="221"/>
      <c r="Y593" s="68"/>
      <c r="Z593" s="68"/>
      <c r="AA593" s="68"/>
    </row>
    <row r="594">
      <c r="A594" s="134"/>
      <c r="B594" s="134"/>
      <c r="C594" s="68"/>
      <c r="D594" s="68"/>
      <c r="E594" s="68"/>
      <c r="F594" s="68"/>
      <c r="G594" s="68"/>
      <c r="H594" s="68"/>
      <c r="I594" s="221"/>
      <c r="J594" s="221"/>
      <c r="K594" s="221"/>
      <c r="L594" s="221"/>
      <c r="M594" s="221"/>
      <c r="N594" s="221"/>
      <c r="O594" s="221"/>
      <c r="P594" s="221"/>
      <c r="Q594" s="221"/>
      <c r="R594" s="221"/>
      <c r="S594" s="221"/>
      <c r="T594" s="221"/>
      <c r="U594" s="221"/>
      <c r="V594" s="221"/>
      <c r="W594" s="221"/>
      <c r="X594" s="221"/>
      <c r="Y594" s="68"/>
      <c r="Z594" s="68"/>
      <c r="AA594" s="68"/>
    </row>
    <row r="595">
      <c r="A595" s="134"/>
      <c r="B595" s="134"/>
      <c r="C595" s="68"/>
      <c r="D595" s="68"/>
      <c r="E595" s="68"/>
      <c r="F595" s="68"/>
      <c r="G595" s="68"/>
      <c r="H595" s="68"/>
      <c r="I595" s="221"/>
      <c r="J595" s="221"/>
      <c r="K595" s="221"/>
      <c r="L595" s="221"/>
      <c r="M595" s="221"/>
      <c r="N595" s="221"/>
      <c r="O595" s="221"/>
      <c r="P595" s="221"/>
      <c r="Q595" s="221"/>
      <c r="R595" s="221"/>
      <c r="S595" s="221"/>
      <c r="T595" s="221"/>
      <c r="U595" s="221"/>
      <c r="V595" s="221"/>
      <c r="W595" s="221"/>
      <c r="X595" s="221"/>
      <c r="Y595" s="68"/>
      <c r="Z595" s="68"/>
      <c r="AA595" s="68"/>
    </row>
    <row r="596">
      <c r="A596" s="134"/>
      <c r="B596" s="134"/>
      <c r="C596" s="68"/>
      <c r="D596" s="68"/>
      <c r="E596" s="68"/>
      <c r="F596" s="68"/>
      <c r="G596" s="68"/>
      <c r="H596" s="68"/>
      <c r="I596" s="221"/>
      <c r="J596" s="221"/>
      <c r="K596" s="221"/>
      <c r="L596" s="221"/>
      <c r="M596" s="221"/>
      <c r="N596" s="221"/>
      <c r="O596" s="221"/>
      <c r="P596" s="221"/>
      <c r="Q596" s="221"/>
      <c r="R596" s="221"/>
      <c r="S596" s="221"/>
      <c r="T596" s="221"/>
      <c r="U596" s="221"/>
      <c r="V596" s="221"/>
      <c r="W596" s="221"/>
      <c r="X596" s="221"/>
      <c r="Y596" s="68"/>
      <c r="Z596" s="68"/>
      <c r="AA596" s="68"/>
    </row>
    <row r="597">
      <c r="A597" s="134"/>
      <c r="B597" s="134"/>
      <c r="C597" s="68"/>
      <c r="D597" s="68"/>
      <c r="E597" s="68"/>
      <c r="F597" s="68"/>
      <c r="G597" s="68"/>
      <c r="H597" s="68"/>
      <c r="I597" s="221"/>
      <c r="J597" s="221"/>
      <c r="K597" s="221"/>
      <c r="L597" s="221"/>
      <c r="M597" s="221"/>
      <c r="N597" s="221"/>
      <c r="O597" s="221"/>
      <c r="P597" s="221"/>
      <c r="Q597" s="221"/>
      <c r="R597" s="221"/>
      <c r="S597" s="221"/>
      <c r="T597" s="221"/>
      <c r="U597" s="221"/>
      <c r="V597" s="221"/>
      <c r="W597" s="221"/>
      <c r="X597" s="221"/>
      <c r="Y597" s="68"/>
      <c r="Z597" s="68"/>
      <c r="AA597" s="68"/>
    </row>
    <row r="598">
      <c r="A598" s="134"/>
      <c r="B598" s="134"/>
      <c r="C598" s="68"/>
      <c r="D598" s="68"/>
      <c r="E598" s="68"/>
      <c r="F598" s="68"/>
      <c r="G598" s="68"/>
      <c r="H598" s="68"/>
      <c r="I598" s="221"/>
      <c r="J598" s="221"/>
      <c r="K598" s="221"/>
      <c r="L598" s="221"/>
      <c r="M598" s="221"/>
      <c r="N598" s="221"/>
      <c r="O598" s="221"/>
      <c r="P598" s="221"/>
      <c r="Q598" s="221"/>
      <c r="R598" s="221"/>
      <c r="S598" s="221"/>
      <c r="T598" s="221"/>
      <c r="U598" s="221"/>
      <c r="V598" s="221"/>
      <c r="W598" s="221"/>
      <c r="X598" s="221"/>
      <c r="Y598" s="68"/>
      <c r="Z598" s="68"/>
      <c r="AA598" s="68"/>
    </row>
    <row r="599">
      <c r="A599" s="134"/>
      <c r="B599" s="134"/>
      <c r="C599" s="68"/>
      <c r="D599" s="68"/>
      <c r="E599" s="68"/>
      <c r="F599" s="68"/>
      <c r="G599" s="68"/>
      <c r="H599" s="68"/>
      <c r="I599" s="221"/>
      <c r="J599" s="221"/>
      <c r="K599" s="221"/>
      <c r="L599" s="221"/>
      <c r="M599" s="221"/>
      <c r="N599" s="221"/>
      <c r="O599" s="221"/>
      <c r="P599" s="221"/>
      <c r="Q599" s="221"/>
      <c r="R599" s="221"/>
      <c r="S599" s="221"/>
      <c r="T599" s="221"/>
      <c r="U599" s="221"/>
      <c r="V599" s="221"/>
      <c r="W599" s="221"/>
      <c r="X599" s="221"/>
      <c r="Y599" s="68"/>
      <c r="Z599" s="68"/>
      <c r="AA599" s="68"/>
    </row>
    <row r="600">
      <c r="A600" s="134"/>
      <c r="B600" s="134"/>
      <c r="C600" s="68"/>
      <c r="D600" s="68"/>
      <c r="E600" s="68"/>
      <c r="F600" s="68"/>
      <c r="G600" s="68"/>
      <c r="H600" s="68"/>
      <c r="I600" s="221"/>
      <c r="J600" s="221"/>
      <c r="K600" s="221"/>
      <c r="L600" s="221"/>
      <c r="M600" s="221"/>
      <c r="N600" s="221"/>
      <c r="O600" s="221"/>
      <c r="P600" s="221"/>
      <c r="Q600" s="221"/>
      <c r="R600" s="221"/>
      <c r="S600" s="221"/>
      <c r="T600" s="221"/>
      <c r="U600" s="221"/>
      <c r="V600" s="221"/>
      <c r="W600" s="221"/>
      <c r="X600" s="221"/>
      <c r="Y600" s="68"/>
      <c r="Z600" s="68"/>
      <c r="AA600" s="68"/>
    </row>
    <row r="601">
      <c r="A601" s="134"/>
      <c r="B601" s="134"/>
      <c r="C601" s="68"/>
      <c r="D601" s="68"/>
      <c r="E601" s="68"/>
      <c r="F601" s="68"/>
      <c r="G601" s="68"/>
      <c r="H601" s="68"/>
      <c r="I601" s="221"/>
      <c r="J601" s="221"/>
      <c r="K601" s="221"/>
      <c r="L601" s="221"/>
      <c r="M601" s="221"/>
      <c r="N601" s="221"/>
      <c r="O601" s="221"/>
      <c r="P601" s="221"/>
      <c r="Q601" s="221"/>
      <c r="R601" s="221"/>
      <c r="S601" s="221"/>
      <c r="T601" s="221"/>
      <c r="U601" s="221"/>
      <c r="V601" s="221"/>
      <c r="W601" s="221"/>
      <c r="X601" s="221"/>
      <c r="Y601" s="68"/>
      <c r="Z601" s="68"/>
      <c r="AA601" s="68"/>
    </row>
    <row r="602">
      <c r="A602" s="134"/>
      <c r="B602" s="134"/>
      <c r="C602" s="68"/>
      <c r="D602" s="68"/>
      <c r="E602" s="68"/>
      <c r="F602" s="68"/>
      <c r="G602" s="68"/>
      <c r="H602" s="68"/>
      <c r="I602" s="221"/>
      <c r="J602" s="221"/>
      <c r="K602" s="221"/>
      <c r="L602" s="221"/>
      <c r="M602" s="221"/>
      <c r="N602" s="221"/>
      <c r="O602" s="221"/>
      <c r="P602" s="221"/>
      <c r="Q602" s="221"/>
      <c r="R602" s="221"/>
      <c r="S602" s="221"/>
      <c r="T602" s="221"/>
      <c r="U602" s="221"/>
      <c r="V602" s="221"/>
      <c r="W602" s="221"/>
      <c r="X602" s="221"/>
      <c r="Y602" s="68"/>
      <c r="Z602" s="68"/>
      <c r="AA602" s="68"/>
    </row>
    <row r="603">
      <c r="A603" s="134"/>
      <c r="B603" s="134"/>
      <c r="C603" s="68"/>
      <c r="D603" s="68"/>
      <c r="E603" s="68"/>
      <c r="F603" s="68"/>
      <c r="G603" s="68"/>
      <c r="H603" s="68"/>
      <c r="I603" s="221"/>
      <c r="J603" s="221"/>
      <c r="K603" s="221"/>
      <c r="L603" s="221"/>
      <c r="M603" s="221"/>
      <c r="N603" s="221"/>
      <c r="O603" s="221"/>
      <c r="P603" s="221"/>
      <c r="Q603" s="221"/>
      <c r="R603" s="221"/>
      <c r="S603" s="221"/>
      <c r="T603" s="221"/>
      <c r="U603" s="221"/>
      <c r="V603" s="221"/>
      <c r="W603" s="221"/>
      <c r="X603" s="221"/>
      <c r="Y603" s="68"/>
      <c r="Z603" s="68"/>
      <c r="AA603" s="68"/>
    </row>
    <row r="604">
      <c r="A604" s="134"/>
      <c r="B604" s="134"/>
      <c r="C604" s="68"/>
      <c r="D604" s="68"/>
      <c r="E604" s="68"/>
      <c r="F604" s="68"/>
      <c r="G604" s="68"/>
      <c r="H604" s="68"/>
      <c r="I604" s="221"/>
      <c r="J604" s="221"/>
      <c r="K604" s="221"/>
      <c r="L604" s="221"/>
      <c r="M604" s="221"/>
      <c r="N604" s="221"/>
      <c r="O604" s="221"/>
      <c r="P604" s="221"/>
      <c r="Q604" s="221"/>
      <c r="R604" s="221"/>
      <c r="S604" s="221"/>
      <c r="T604" s="221"/>
      <c r="U604" s="221"/>
      <c r="V604" s="221"/>
      <c r="W604" s="221"/>
      <c r="X604" s="221"/>
      <c r="Y604" s="68"/>
      <c r="Z604" s="68"/>
      <c r="AA604" s="68"/>
    </row>
    <row r="605">
      <c r="A605" s="134"/>
      <c r="B605" s="134"/>
      <c r="C605" s="68"/>
      <c r="D605" s="68"/>
      <c r="E605" s="68"/>
      <c r="F605" s="68"/>
      <c r="G605" s="68"/>
      <c r="H605" s="68"/>
      <c r="I605" s="221"/>
      <c r="J605" s="221"/>
      <c r="K605" s="221"/>
      <c r="L605" s="221"/>
      <c r="M605" s="221"/>
      <c r="N605" s="221"/>
      <c r="O605" s="221"/>
      <c r="P605" s="221"/>
      <c r="Q605" s="221"/>
      <c r="R605" s="221"/>
      <c r="S605" s="221"/>
      <c r="T605" s="221"/>
      <c r="U605" s="221"/>
      <c r="V605" s="221"/>
      <c r="W605" s="221"/>
      <c r="X605" s="221"/>
      <c r="Y605" s="68"/>
      <c r="Z605" s="68"/>
      <c r="AA605" s="68"/>
    </row>
    <row r="606">
      <c r="A606" s="134"/>
      <c r="B606" s="134"/>
      <c r="C606" s="68"/>
      <c r="D606" s="68"/>
      <c r="E606" s="68"/>
      <c r="F606" s="68"/>
      <c r="G606" s="68"/>
      <c r="H606" s="68"/>
      <c r="I606" s="221"/>
      <c r="J606" s="221"/>
      <c r="K606" s="221"/>
      <c r="L606" s="221"/>
      <c r="M606" s="221"/>
      <c r="N606" s="221"/>
      <c r="O606" s="221"/>
      <c r="P606" s="221"/>
      <c r="Q606" s="221"/>
      <c r="R606" s="221"/>
      <c r="S606" s="221"/>
      <c r="T606" s="221"/>
      <c r="U606" s="221"/>
      <c r="V606" s="221"/>
      <c r="W606" s="221"/>
      <c r="X606" s="221"/>
      <c r="Y606" s="68"/>
      <c r="Z606" s="68"/>
      <c r="AA606" s="68"/>
    </row>
    <row r="607">
      <c r="A607" s="134"/>
      <c r="B607" s="134"/>
      <c r="C607" s="68"/>
      <c r="D607" s="68"/>
      <c r="E607" s="68"/>
      <c r="F607" s="68"/>
      <c r="G607" s="68"/>
      <c r="H607" s="68"/>
      <c r="I607" s="221"/>
      <c r="J607" s="221"/>
      <c r="K607" s="221"/>
      <c r="L607" s="221"/>
      <c r="M607" s="221"/>
      <c r="N607" s="221"/>
      <c r="O607" s="221"/>
      <c r="P607" s="221"/>
      <c r="Q607" s="221"/>
      <c r="R607" s="221"/>
      <c r="S607" s="221"/>
      <c r="T607" s="221"/>
      <c r="U607" s="221"/>
      <c r="V607" s="221"/>
      <c r="W607" s="221"/>
      <c r="X607" s="221"/>
      <c r="Y607" s="68"/>
      <c r="Z607" s="68"/>
      <c r="AA607" s="68"/>
    </row>
    <row r="608">
      <c r="A608" s="134"/>
      <c r="B608" s="134"/>
      <c r="C608" s="68"/>
      <c r="D608" s="68"/>
      <c r="E608" s="68"/>
      <c r="F608" s="68"/>
      <c r="G608" s="68"/>
      <c r="H608" s="68"/>
      <c r="I608" s="221"/>
      <c r="J608" s="221"/>
      <c r="K608" s="221"/>
      <c r="L608" s="221"/>
      <c r="M608" s="221"/>
      <c r="N608" s="221"/>
      <c r="O608" s="221"/>
      <c r="P608" s="221"/>
      <c r="Q608" s="221"/>
      <c r="R608" s="221"/>
      <c r="S608" s="221"/>
      <c r="T608" s="221"/>
      <c r="U608" s="221"/>
      <c r="V608" s="221"/>
      <c r="W608" s="221"/>
      <c r="X608" s="221"/>
      <c r="Y608" s="68"/>
      <c r="Z608" s="68"/>
      <c r="AA608" s="68"/>
    </row>
    <row r="609">
      <c r="A609" s="134"/>
      <c r="B609" s="134"/>
      <c r="C609" s="68"/>
      <c r="D609" s="68"/>
      <c r="E609" s="68"/>
      <c r="F609" s="68"/>
      <c r="G609" s="68"/>
      <c r="H609" s="68"/>
      <c r="I609" s="221"/>
      <c r="J609" s="221"/>
      <c r="K609" s="221"/>
      <c r="L609" s="221"/>
      <c r="M609" s="221"/>
      <c r="N609" s="221"/>
      <c r="O609" s="221"/>
      <c r="P609" s="221"/>
      <c r="Q609" s="221"/>
      <c r="R609" s="221"/>
      <c r="S609" s="221"/>
      <c r="T609" s="221"/>
      <c r="U609" s="221"/>
      <c r="V609" s="221"/>
      <c r="W609" s="221"/>
      <c r="X609" s="221"/>
      <c r="Y609" s="68"/>
      <c r="Z609" s="68"/>
      <c r="AA609" s="68"/>
    </row>
    <row r="610">
      <c r="A610" s="134"/>
      <c r="B610" s="134"/>
      <c r="C610" s="68"/>
      <c r="D610" s="68"/>
      <c r="E610" s="68"/>
      <c r="F610" s="68"/>
      <c r="G610" s="68"/>
      <c r="H610" s="68"/>
      <c r="I610" s="221"/>
      <c r="J610" s="221"/>
      <c r="K610" s="221"/>
      <c r="L610" s="221"/>
      <c r="M610" s="221"/>
      <c r="N610" s="221"/>
      <c r="O610" s="221"/>
      <c r="P610" s="221"/>
      <c r="Q610" s="221"/>
      <c r="R610" s="221"/>
      <c r="S610" s="221"/>
      <c r="T610" s="221"/>
      <c r="U610" s="221"/>
      <c r="V610" s="221"/>
      <c r="W610" s="221"/>
      <c r="X610" s="221"/>
      <c r="Y610" s="68"/>
      <c r="Z610" s="68"/>
      <c r="AA610" s="68"/>
    </row>
    <row r="611">
      <c r="A611" s="134"/>
      <c r="B611" s="134"/>
      <c r="C611" s="68"/>
      <c r="D611" s="68"/>
      <c r="E611" s="68"/>
      <c r="F611" s="68"/>
      <c r="G611" s="68"/>
      <c r="H611" s="68"/>
      <c r="I611" s="221"/>
      <c r="J611" s="221"/>
      <c r="K611" s="221"/>
      <c r="L611" s="221"/>
      <c r="M611" s="221"/>
      <c r="N611" s="221"/>
      <c r="O611" s="221"/>
      <c r="P611" s="221"/>
      <c r="Q611" s="221"/>
      <c r="R611" s="221"/>
      <c r="S611" s="221"/>
      <c r="T611" s="221"/>
      <c r="U611" s="221"/>
      <c r="V611" s="221"/>
      <c r="W611" s="221"/>
      <c r="X611" s="221"/>
      <c r="Y611" s="68"/>
      <c r="Z611" s="68"/>
      <c r="AA611" s="68"/>
    </row>
    <row r="612">
      <c r="A612" s="134"/>
      <c r="B612" s="134"/>
      <c r="C612" s="68"/>
      <c r="D612" s="68"/>
      <c r="E612" s="68"/>
      <c r="F612" s="68"/>
      <c r="G612" s="68"/>
      <c r="H612" s="68"/>
      <c r="I612" s="221"/>
      <c r="J612" s="221"/>
      <c r="K612" s="221"/>
      <c r="L612" s="221"/>
      <c r="M612" s="221"/>
      <c r="N612" s="221"/>
      <c r="O612" s="221"/>
      <c r="P612" s="221"/>
      <c r="Q612" s="221"/>
      <c r="R612" s="221"/>
      <c r="S612" s="221"/>
      <c r="T612" s="221"/>
      <c r="U612" s="221"/>
      <c r="V612" s="221"/>
      <c r="W612" s="221"/>
      <c r="X612" s="221"/>
      <c r="Y612" s="68"/>
      <c r="Z612" s="68"/>
      <c r="AA612" s="68"/>
    </row>
    <row r="613">
      <c r="A613" s="134"/>
      <c r="B613" s="134"/>
      <c r="C613" s="68"/>
      <c r="D613" s="68"/>
      <c r="E613" s="68"/>
      <c r="F613" s="68"/>
      <c r="G613" s="68"/>
      <c r="H613" s="68"/>
      <c r="I613" s="221"/>
      <c r="J613" s="221"/>
      <c r="K613" s="221"/>
      <c r="L613" s="221"/>
      <c r="M613" s="221"/>
      <c r="N613" s="221"/>
      <c r="O613" s="221"/>
      <c r="P613" s="221"/>
      <c r="Q613" s="221"/>
      <c r="R613" s="221"/>
      <c r="S613" s="221"/>
      <c r="T613" s="221"/>
      <c r="U613" s="221"/>
      <c r="V613" s="221"/>
      <c r="W613" s="221"/>
      <c r="X613" s="221"/>
      <c r="Y613" s="68"/>
      <c r="Z613" s="68"/>
      <c r="AA613" s="68"/>
    </row>
    <row r="614">
      <c r="A614" s="134"/>
      <c r="B614" s="134"/>
      <c r="C614" s="68"/>
      <c r="D614" s="68"/>
      <c r="E614" s="68"/>
      <c r="F614" s="68"/>
      <c r="G614" s="68"/>
      <c r="H614" s="68"/>
      <c r="I614" s="221"/>
      <c r="J614" s="221"/>
      <c r="K614" s="221"/>
      <c r="L614" s="221"/>
      <c r="M614" s="221"/>
      <c r="N614" s="221"/>
      <c r="O614" s="221"/>
      <c r="P614" s="221"/>
      <c r="Q614" s="221"/>
      <c r="R614" s="221"/>
      <c r="S614" s="221"/>
      <c r="T614" s="221"/>
      <c r="U614" s="221"/>
      <c r="V614" s="221"/>
      <c r="W614" s="221"/>
      <c r="X614" s="221"/>
      <c r="Y614" s="68"/>
      <c r="Z614" s="68"/>
      <c r="AA614" s="68"/>
    </row>
    <row r="615">
      <c r="A615" s="134"/>
      <c r="B615" s="134"/>
      <c r="C615" s="68"/>
      <c r="D615" s="68"/>
      <c r="E615" s="68"/>
      <c r="F615" s="68"/>
      <c r="G615" s="68"/>
      <c r="H615" s="68"/>
      <c r="I615" s="221"/>
      <c r="J615" s="221"/>
      <c r="K615" s="221"/>
      <c r="L615" s="221"/>
      <c r="M615" s="221"/>
      <c r="N615" s="221"/>
      <c r="O615" s="221"/>
      <c r="P615" s="221"/>
      <c r="Q615" s="221"/>
      <c r="R615" s="221"/>
      <c r="S615" s="221"/>
      <c r="T615" s="221"/>
      <c r="U615" s="221"/>
      <c r="V615" s="221"/>
      <c r="W615" s="221"/>
      <c r="X615" s="221"/>
      <c r="Y615" s="68"/>
      <c r="Z615" s="68"/>
      <c r="AA615" s="68"/>
    </row>
    <row r="616">
      <c r="A616" s="134"/>
      <c r="B616" s="134"/>
      <c r="C616" s="68"/>
      <c r="D616" s="68"/>
      <c r="E616" s="68"/>
      <c r="F616" s="68"/>
      <c r="G616" s="68"/>
      <c r="H616" s="68"/>
      <c r="I616" s="221"/>
      <c r="J616" s="221"/>
      <c r="K616" s="221"/>
      <c r="L616" s="221"/>
      <c r="M616" s="221"/>
      <c r="N616" s="221"/>
      <c r="O616" s="221"/>
      <c r="P616" s="221"/>
      <c r="Q616" s="221"/>
      <c r="R616" s="221"/>
      <c r="S616" s="221"/>
      <c r="T616" s="221"/>
      <c r="U616" s="221"/>
      <c r="V616" s="221"/>
      <c r="W616" s="221"/>
      <c r="X616" s="221"/>
      <c r="Y616" s="68"/>
      <c r="Z616" s="68"/>
      <c r="AA616" s="68"/>
    </row>
    <row r="617">
      <c r="A617" s="134"/>
      <c r="B617" s="134"/>
      <c r="C617" s="68"/>
      <c r="D617" s="68"/>
      <c r="E617" s="68"/>
      <c r="F617" s="68"/>
      <c r="G617" s="68"/>
      <c r="H617" s="68"/>
      <c r="I617" s="221"/>
      <c r="J617" s="221"/>
      <c r="K617" s="221"/>
      <c r="L617" s="221"/>
      <c r="M617" s="221"/>
      <c r="N617" s="221"/>
      <c r="O617" s="221"/>
      <c r="P617" s="221"/>
      <c r="Q617" s="221"/>
      <c r="R617" s="221"/>
      <c r="S617" s="221"/>
      <c r="T617" s="221"/>
      <c r="U617" s="221"/>
      <c r="V617" s="221"/>
      <c r="W617" s="221"/>
      <c r="X617" s="221"/>
      <c r="Y617" s="68"/>
      <c r="Z617" s="68"/>
      <c r="AA617" s="68"/>
    </row>
    <row r="618">
      <c r="A618" s="134"/>
      <c r="B618" s="134"/>
      <c r="C618" s="68"/>
      <c r="D618" s="68"/>
      <c r="E618" s="68"/>
      <c r="F618" s="68"/>
      <c r="G618" s="68"/>
      <c r="H618" s="68"/>
      <c r="I618" s="221"/>
      <c r="J618" s="221"/>
      <c r="K618" s="221"/>
      <c r="L618" s="221"/>
      <c r="M618" s="221"/>
      <c r="N618" s="221"/>
      <c r="O618" s="221"/>
      <c r="P618" s="221"/>
      <c r="Q618" s="221"/>
      <c r="R618" s="221"/>
      <c r="S618" s="221"/>
      <c r="T618" s="221"/>
      <c r="U618" s="221"/>
      <c r="V618" s="221"/>
      <c r="W618" s="221"/>
      <c r="X618" s="221"/>
      <c r="Y618" s="68"/>
      <c r="Z618" s="68"/>
      <c r="AA618" s="68"/>
    </row>
    <row r="619">
      <c r="A619" s="134"/>
      <c r="B619" s="134"/>
      <c r="C619" s="68"/>
      <c r="D619" s="68"/>
      <c r="E619" s="68"/>
      <c r="F619" s="68"/>
      <c r="G619" s="68"/>
      <c r="H619" s="68"/>
      <c r="I619" s="221"/>
      <c r="J619" s="221"/>
      <c r="K619" s="221"/>
      <c r="L619" s="221"/>
      <c r="M619" s="221"/>
      <c r="N619" s="221"/>
      <c r="O619" s="221"/>
      <c r="P619" s="221"/>
      <c r="Q619" s="221"/>
      <c r="R619" s="221"/>
      <c r="S619" s="221"/>
      <c r="T619" s="221"/>
      <c r="U619" s="221"/>
      <c r="V619" s="221"/>
      <c r="W619" s="221"/>
      <c r="X619" s="221"/>
      <c r="Y619" s="68"/>
      <c r="Z619" s="68"/>
      <c r="AA619" s="68"/>
    </row>
    <row r="620">
      <c r="A620" s="134"/>
      <c r="B620" s="134"/>
      <c r="C620" s="68"/>
      <c r="D620" s="68"/>
      <c r="E620" s="68"/>
      <c r="F620" s="68"/>
      <c r="G620" s="68"/>
      <c r="H620" s="68"/>
      <c r="I620" s="221"/>
      <c r="J620" s="221"/>
      <c r="K620" s="221"/>
      <c r="L620" s="221"/>
      <c r="M620" s="221"/>
      <c r="N620" s="221"/>
      <c r="O620" s="221"/>
      <c r="P620" s="221"/>
      <c r="Q620" s="221"/>
      <c r="R620" s="221"/>
      <c r="S620" s="221"/>
      <c r="T620" s="221"/>
      <c r="U620" s="221"/>
      <c r="V620" s="221"/>
      <c r="W620" s="221"/>
      <c r="X620" s="221"/>
      <c r="Y620" s="68"/>
      <c r="Z620" s="68"/>
      <c r="AA620" s="68"/>
    </row>
    <row r="621">
      <c r="A621" s="134"/>
      <c r="B621" s="134"/>
      <c r="C621" s="68"/>
      <c r="D621" s="68"/>
      <c r="E621" s="68"/>
      <c r="F621" s="68"/>
      <c r="G621" s="68"/>
      <c r="H621" s="68"/>
      <c r="I621" s="221"/>
      <c r="J621" s="221"/>
      <c r="K621" s="221"/>
      <c r="L621" s="221"/>
      <c r="M621" s="221"/>
      <c r="N621" s="221"/>
      <c r="O621" s="221"/>
      <c r="P621" s="221"/>
      <c r="Q621" s="221"/>
      <c r="R621" s="221"/>
      <c r="S621" s="221"/>
      <c r="T621" s="221"/>
      <c r="U621" s="221"/>
      <c r="V621" s="221"/>
      <c r="W621" s="221"/>
      <c r="X621" s="221"/>
      <c r="Y621" s="68"/>
      <c r="Z621" s="68"/>
      <c r="AA621" s="68"/>
    </row>
    <row r="622">
      <c r="A622" s="134"/>
      <c r="B622" s="134"/>
      <c r="C622" s="68"/>
      <c r="D622" s="68"/>
      <c r="E622" s="68"/>
      <c r="F622" s="68"/>
      <c r="G622" s="68"/>
      <c r="H622" s="68"/>
      <c r="I622" s="221"/>
      <c r="J622" s="221"/>
      <c r="K622" s="221"/>
      <c r="L622" s="221"/>
      <c r="M622" s="221"/>
      <c r="N622" s="221"/>
      <c r="O622" s="221"/>
      <c r="P622" s="221"/>
      <c r="Q622" s="221"/>
      <c r="R622" s="221"/>
      <c r="S622" s="221"/>
      <c r="T622" s="221"/>
      <c r="U622" s="221"/>
      <c r="V622" s="221"/>
      <c r="W622" s="221"/>
      <c r="X622" s="221"/>
      <c r="Y622" s="68"/>
      <c r="Z622" s="68"/>
      <c r="AA622" s="68"/>
    </row>
    <row r="623">
      <c r="A623" s="134"/>
      <c r="B623" s="134"/>
      <c r="C623" s="68"/>
      <c r="D623" s="68"/>
      <c r="E623" s="68"/>
      <c r="F623" s="68"/>
      <c r="G623" s="68"/>
      <c r="H623" s="68"/>
      <c r="I623" s="221"/>
      <c r="J623" s="221"/>
      <c r="K623" s="221"/>
      <c r="L623" s="221"/>
      <c r="M623" s="221"/>
      <c r="N623" s="221"/>
      <c r="O623" s="221"/>
      <c r="P623" s="221"/>
      <c r="Q623" s="221"/>
      <c r="R623" s="221"/>
      <c r="S623" s="221"/>
      <c r="T623" s="221"/>
      <c r="U623" s="221"/>
      <c r="V623" s="221"/>
      <c r="W623" s="221"/>
      <c r="X623" s="221"/>
      <c r="Y623" s="68"/>
      <c r="Z623" s="68"/>
      <c r="AA623" s="68"/>
    </row>
    <row r="624">
      <c r="A624" s="134"/>
      <c r="B624" s="134"/>
      <c r="C624" s="68"/>
      <c r="D624" s="68"/>
      <c r="E624" s="68"/>
      <c r="F624" s="68"/>
      <c r="G624" s="68"/>
      <c r="H624" s="68"/>
      <c r="I624" s="221"/>
      <c r="J624" s="221"/>
      <c r="K624" s="221"/>
      <c r="L624" s="221"/>
      <c r="M624" s="221"/>
      <c r="N624" s="221"/>
      <c r="O624" s="221"/>
      <c r="P624" s="221"/>
      <c r="Q624" s="221"/>
      <c r="R624" s="221"/>
      <c r="S624" s="221"/>
      <c r="T624" s="221"/>
      <c r="U624" s="221"/>
      <c r="V624" s="221"/>
      <c r="W624" s="221"/>
      <c r="X624" s="221"/>
      <c r="Y624" s="68"/>
      <c r="Z624" s="68"/>
      <c r="AA624" s="68"/>
    </row>
    <row r="625">
      <c r="A625" s="134"/>
      <c r="B625" s="134"/>
      <c r="C625" s="68"/>
      <c r="D625" s="68"/>
      <c r="E625" s="68"/>
      <c r="F625" s="68"/>
      <c r="G625" s="68"/>
      <c r="H625" s="68"/>
      <c r="I625" s="221"/>
      <c r="J625" s="221"/>
      <c r="K625" s="221"/>
      <c r="L625" s="221"/>
      <c r="M625" s="221"/>
      <c r="N625" s="221"/>
      <c r="O625" s="221"/>
      <c r="P625" s="221"/>
      <c r="Q625" s="221"/>
      <c r="R625" s="221"/>
      <c r="S625" s="221"/>
      <c r="T625" s="221"/>
      <c r="U625" s="221"/>
      <c r="V625" s="221"/>
      <c r="W625" s="221"/>
      <c r="X625" s="221"/>
      <c r="Y625" s="68"/>
      <c r="Z625" s="68"/>
      <c r="AA625" s="68"/>
    </row>
    <row r="626">
      <c r="A626" s="134"/>
      <c r="B626" s="134"/>
      <c r="C626" s="68"/>
      <c r="D626" s="68"/>
      <c r="E626" s="68"/>
      <c r="F626" s="68"/>
      <c r="G626" s="68"/>
      <c r="H626" s="68"/>
      <c r="I626" s="221"/>
      <c r="J626" s="221"/>
      <c r="K626" s="221"/>
      <c r="L626" s="221"/>
      <c r="M626" s="221"/>
      <c r="N626" s="221"/>
      <c r="O626" s="221"/>
      <c r="P626" s="221"/>
      <c r="Q626" s="221"/>
      <c r="R626" s="221"/>
      <c r="S626" s="221"/>
      <c r="T626" s="221"/>
      <c r="U626" s="221"/>
      <c r="V626" s="221"/>
      <c r="W626" s="221"/>
      <c r="X626" s="221"/>
      <c r="Y626" s="68"/>
      <c r="Z626" s="68"/>
      <c r="AA626" s="68"/>
    </row>
    <row r="627">
      <c r="A627" s="134"/>
      <c r="B627" s="134"/>
      <c r="C627" s="68"/>
      <c r="D627" s="68"/>
      <c r="E627" s="68"/>
      <c r="F627" s="68"/>
      <c r="G627" s="68"/>
      <c r="H627" s="68"/>
      <c r="I627" s="221"/>
      <c r="J627" s="221"/>
      <c r="K627" s="221"/>
      <c r="L627" s="221"/>
      <c r="M627" s="221"/>
      <c r="N627" s="221"/>
      <c r="O627" s="221"/>
      <c r="P627" s="221"/>
      <c r="Q627" s="221"/>
      <c r="R627" s="221"/>
      <c r="S627" s="221"/>
      <c r="T627" s="221"/>
      <c r="U627" s="221"/>
      <c r="V627" s="221"/>
      <c r="W627" s="221"/>
      <c r="X627" s="221"/>
      <c r="Y627" s="68"/>
      <c r="Z627" s="68"/>
      <c r="AA627" s="68"/>
    </row>
    <row r="628">
      <c r="A628" s="134"/>
      <c r="B628" s="134"/>
      <c r="C628" s="68"/>
      <c r="D628" s="68"/>
      <c r="E628" s="68"/>
      <c r="F628" s="68"/>
      <c r="G628" s="68"/>
      <c r="H628" s="68"/>
      <c r="I628" s="221"/>
      <c r="J628" s="221"/>
      <c r="K628" s="221"/>
      <c r="L628" s="221"/>
      <c r="M628" s="221"/>
      <c r="N628" s="221"/>
      <c r="O628" s="221"/>
      <c r="P628" s="221"/>
      <c r="Q628" s="221"/>
      <c r="R628" s="221"/>
      <c r="S628" s="221"/>
      <c r="T628" s="221"/>
      <c r="U628" s="221"/>
      <c r="V628" s="221"/>
      <c r="W628" s="221"/>
      <c r="X628" s="221"/>
      <c r="Y628" s="68"/>
      <c r="Z628" s="68"/>
      <c r="AA628" s="68"/>
    </row>
    <row r="629">
      <c r="A629" s="134"/>
      <c r="B629" s="134"/>
      <c r="C629" s="68"/>
      <c r="D629" s="68"/>
      <c r="E629" s="68"/>
      <c r="F629" s="68"/>
      <c r="G629" s="68"/>
      <c r="H629" s="68"/>
      <c r="I629" s="221"/>
      <c r="J629" s="221"/>
      <c r="K629" s="221"/>
      <c r="L629" s="221"/>
      <c r="M629" s="221"/>
      <c r="N629" s="221"/>
      <c r="O629" s="221"/>
      <c r="P629" s="221"/>
      <c r="Q629" s="221"/>
      <c r="R629" s="221"/>
      <c r="S629" s="221"/>
      <c r="T629" s="221"/>
      <c r="U629" s="221"/>
      <c r="V629" s="221"/>
      <c r="W629" s="221"/>
      <c r="X629" s="221"/>
      <c r="Y629" s="68"/>
      <c r="Z629" s="68"/>
      <c r="AA629" s="68"/>
    </row>
    <row r="630">
      <c r="A630" s="134"/>
      <c r="B630" s="134"/>
      <c r="C630" s="68"/>
      <c r="D630" s="68"/>
      <c r="E630" s="68"/>
      <c r="F630" s="68"/>
      <c r="G630" s="68"/>
      <c r="H630" s="68"/>
      <c r="I630" s="221"/>
      <c r="J630" s="221"/>
      <c r="K630" s="221"/>
      <c r="L630" s="221"/>
      <c r="M630" s="221"/>
      <c r="N630" s="221"/>
      <c r="O630" s="221"/>
      <c r="P630" s="221"/>
      <c r="Q630" s="221"/>
      <c r="R630" s="221"/>
      <c r="S630" s="221"/>
      <c r="T630" s="221"/>
      <c r="U630" s="221"/>
      <c r="V630" s="221"/>
      <c r="W630" s="221"/>
      <c r="X630" s="221"/>
      <c r="Y630" s="68"/>
      <c r="Z630" s="68"/>
      <c r="AA630" s="68"/>
    </row>
    <row r="631">
      <c r="A631" s="134"/>
      <c r="B631" s="134"/>
      <c r="C631" s="68"/>
      <c r="D631" s="68"/>
      <c r="E631" s="68"/>
      <c r="F631" s="68"/>
      <c r="G631" s="68"/>
      <c r="H631" s="68"/>
      <c r="I631" s="221"/>
      <c r="J631" s="221"/>
      <c r="K631" s="221"/>
      <c r="L631" s="221"/>
      <c r="M631" s="221"/>
      <c r="N631" s="221"/>
      <c r="O631" s="221"/>
      <c r="P631" s="221"/>
      <c r="Q631" s="221"/>
      <c r="R631" s="221"/>
      <c r="S631" s="221"/>
      <c r="T631" s="221"/>
      <c r="U631" s="221"/>
      <c r="V631" s="221"/>
      <c r="W631" s="221"/>
      <c r="X631" s="221"/>
      <c r="Y631" s="68"/>
      <c r="Z631" s="68"/>
      <c r="AA631" s="68"/>
    </row>
    <row r="632">
      <c r="A632" s="134"/>
      <c r="B632" s="134"/>
      <c r="C632" s="68"/>
      <c r="D632" s="68"/>
      <c r="E632" s="68"/>
      <c r="F632" s="68"/>
      <c r="G632" s="68"/>
      <c r="H632" s="68"/>
      <c r="I632" s="221"/>
      <c r="J632" s="221"/>
      <c r="K632" s="221"/>
      <c r="L632" s="221"/>
      <c r="M632" s="221"/>
      <c r="N632" s="221"/>
      <c r="O632" s="221"/>
      <c r="P632" s="221"/>
      <c r="Q632" s="221"/>
      <c r="R632" s="221"/>
      <c r="S632" s="221"/>
      <c r="T632" s="221"/>
      <c r="U632" s="221"/>
      <c r="V632" s="221"/>
      <c r="W632" s="221"/>
      <c r="X632" s="221"/>
      <c r="Y632" s="68"/>
      <c r="Z632" s="68"/>
      <c r="AA632" s="68"/>
    </row>
    <row r="633">
      <c r="A633" s="134"/>
      <c r="B633" s="134"/>
      <c r="C633" s="68"/>
      <c r="D633" s="68"/>
      <c r="E633" s="68"/>
      <c r="F633" s="68"/>
      <c r="G633" s="68"/>
      <c r="H633" s="68"/>
      <c r="I633" s="221"/>
      <c r="J633" s="221"/>
      <c r="K633" s="221"/>
      <c r="L633" s="221"/>
      <c r="M633" s="221"/>
      <c r="N633" s="221"/>
      <c r="O633" s="221"/>
      <c r="P633" s="221"/>
      <c r="Q633" s="221"/>
      <c r="R633" s="221"/>
      <c r="S633" s="221"/>
      <c r="T633" s="221"/>
      <c r="U633" s="221"/>
      <c r="V633" s="221"/>
      <c r="W633" s="221"/>
      <c r="X633" s="221"/>
      <c r="Y633" s="68"/>
      <c r="Z633" s="68"/>
      <c r="AA633" s="68"/>
    </row>
    <row r="634">
      <c r="A634" s="134"/>
      <c r="B634" s="134"/>
      <c r="C634" s="68"/>
      <c r="D634" s="68"/>
      <c r="E634" s="68"/>
      <c r="F634" s="68"/>
      <c r="G634" s="68"/>
      <c r="H634" s="68"/>
      <c r="I634" s="221"/>
      <c r="J634" s="221"/>
      <c r="K634" s="221"/>
      <c r="L634" s="221"/>
      <c r="M634" s="221"/>
      <c r="N634" s="221"/>
      <c r="O634" s="221"/>
      <c r="P634" s="221"/>
      <c r="Q634" s="221"/>
      <c r="R634" s="221"/>
      <c r="S634" s="221"/>
      <c r="T634" s="221"/>
      <c r="U634" s="221"/>
      <c r="V634" s="221"/>
      <c r="W634" s="221"/>
      <c r="X634" s="221"/>
      <c r="Y634" s="68"/>
      <c r="Z634" s="68"/>
      <c r="AA634" s="68"/>
    </row>
    <row r="635">
      <c r="A635" s="134"/>
      <c r="B635" s="134"/>
      <c r="C635" s="68"/>
      <c r="D635" s="68"/>
      <c r="E635" s="68"/>
      <c r="F635" s="68"/>
      <c r="G635" s="68"/>
      <c r="H635" s="68"/>
      <c r="I635" s="221"/>
      <c r="J635" s="221"/>
      <c r="K635" s="221"/>
      <c r="L635" s="221"/>
      <c r="M635" s="221"/>
      <c r="N635" s="221"/>
      <c r="O635" s="221"/>
      <c r="P635" s="221"/>
      <c r="Q635" s="221"/>
      <c r="R635" s="221"/>
      <c r="S635" s="221"/>
      <c r="T635" s="221"/>
      <c r="U635" s="221"/>
      <c r="V635" s="221"/>
      <c r="W635" s="221"/>
      <c r="X635" s="221"/>
      <c r="Y635" s="68"/>
      <c r="Z635" s="68"/>
      <c r="AA635" s="68"/>
    </row>
    <row r="636">
      <c r="A636" s="134"/>
      <c r="B636" s="134"/>
      <c r="C636" s="68"/>
      <c r="D636" s="68"/>
      <c r="E636" s="68"/>
      <c r="F636" s="68"/>
      <c r="G636" s="68"/>
      <c r="H636" s="68"/>
      <c r="I636" s="221"/>
      <c r="J636" s="221"/>
      <c r="K636" s="221"/>
      <c r="L636" s="221"/>
      <c r="M636" s="221"/>
      <c r="N636" s="221"/>
      <c r="O636" s="221"/>
      <c r="P636" s="221"/>
      <c r="Q636" s="221"/>
      <c r="R636" s="221"/>
      <c r="S636" s="221"/>
      <c r="T636" s="221"/>
      <c r="U636" s="221"/>
      <c r="V636" s="221"/>
      <c r="W636" s="221"/>
      <c r="X636" s="221"/>
      <c r="Y636" s="68"/>
      <c r="Z636" s="68"/>
      <c r="AA636" s="68"/>
    </row>
    <row r="637">
      <c r="A637" s="134"/>
      <c r="B637" s="134"/>
      <c r="C637" s="68"/>
      <c r="D637" s="68"/>
      <c r="E637" s="68"/>
      <c r="F637" s="68"/>
      <c r="G637" s="68"/>
      <c r="H637" s="68"/>
      <c r="I637" s="221"/>
      <c r="J637" s="221"/>
      <c r="K637" s="221"/>
      <c r="L637" s="221"/>
      <c r="M637" s="221"/>
      <c r="N637" s="221"/>
      <c r="O637" s="221"/>
      <c r="P637" s="221"/>
      <c r="Q637" s="221"/>
      <c r="R637" s="221"/>
      <c r="S637" s="221"/>
      <c r="T637" s="221"/>
      <c r="U637" s="221"/>
      <c r="V637" s="221"/>
      <c r="W637" s="221"/>
      <c r="X637" s="221"/>
      <c r="Y637" s="68"/>
      <c r="Z637" s="68"/>
      <c r="AA637" s="68"/>
    </row>
    <row r="638">
      <c r="A638" s="134"/>
      <c r="B638" s="134"/>
      <c r="C638" s="68"/>
      <c r="D638" s="68"/>
      <c r="E638" s="68"/>
      <c r="F638" s="68"/>
      <c r="G638" s="68"/>
      <c r="H638" s="68"/>
      <c r="I638" s="221"/>
      <c r="J638" s="221"/>
      <c r="K638" s="221"/>
      <c r="L638" s="221"/>
      <c r="M638" s="221"/>
      <c r="N638" s="221"/>
      <c r="O638" s="221"/>
      <c r="P638" s="221"/>
      <c r="Q638" s="221"/>
      <c r="R638" s="221"/>
      <c r="S638" s="221"/>
      <c r="T638" s="221"/>
      <c r="U638" s="221"/>
      <c r="V638" s="221"/>
      <c r="W638" s="221"/>
      <c r="X638" s="221"/>
      <c r="Y638" s="68"/>
      <c r="Z638" s="68"/>
      <c r="AA638" s="68"/>
    </row>
    <row r="639">
      <c r="A639" s="134"/>
      <c r="B639" s="134"/>
      <c r="C639" s="68"/>
      <c r="D639" s="68"/>
      <c r="E639" s="68"/>
      <c r="F639" s="68"/>
      <c r="G639" s="68"/>
      <c r="H639" s="68"/>
      <c r="I639" s="221"/>
      <c r="J639" s="221"/>
      <c r="K639" s="221"/>
      <c r="L639" s="221"/>
      <c r="M639" s="221"/>
      <c r="N639" s="221"/>
      <c r="O639" s="221"/>
      <c r="P639" s="221"/>
      <c r="Q639" s="221"/>
      <c r="R639" s="221"/>
      <c r="S639" s="221"/>
      <c r="T639" s="221"/>
      <c r="U639" s="221"/>
      <c r="V639" s="221"/>
      <c r="W639" s="221"/>
      <c r="X639" s="221"/>
      <c r="Y639" s="68"/>
      <c r="Z639" s="68"/>
      <c r="AA639" s="68"/>
    </row>
    <row r="640">
      <c r="A640" s="134"/>
      <c r="B640" s="134"/>
      <c r="C640" s="68"/>
      <c r="D640" s="68"/>
      <c r="E640" s="68"/>
      <c r="F640" s="68"/>
      <c r="G640" s="68"/>
      <c r="H640" s="68"/>
      <c r="I640" s="221"/>
      <c r="J640" s="221"/>
      <c r="K640" s="221"/>
      <c r="L640" s="221"/>
      <c r="M640" s="221"/>
      <c r="N640" s="221"/>
      <c r="O640" s="221"/>
      <c r="P640" s="221"/>
      <c r="Q640" s="221"/>
      <c r="R640" s="221"/>
      <c r="S640" s="221"/>
      <c r="T640" s="221"/>
      <c r="U640" s="221"/>
      <c r="V640" s="221"/>
      <c r="W640" s="221"/>
      <c r="X640" s="221"/>
      <c r="Y640" s="68"/>
      <c r="Z640" s="68"/>
      <c r="AA640" s="68"/>
    </row>
    <row r="641">
      <c r="A641" s="134"/>
      <c r="B641" s="134"/>
      <c r="C641" s="68"/>
      <c r="D641" s="68"/>
      <c r="E641" s="68"/>
      <c r="F641" s="68"/>
      <c r="G641" s="68"/>
      <c r="H641" s="68"/>
      <c r="I641" s="221"/>
      <c r="J641" s="221"/>
      <c r="K641" s="221"/>
      <c r="L641" s="221"/>
      <c r="M641" s="221"/>
      <c r="N641" s="221"/>
      <c r="O641" s="221"/>
      <c r="P641" s="221"/>
      <c r="Q641" s="221"/>
      <c r="R641" s="221"/>
      <c r="S641" s="221"/>
      <c r="T641" s="221"/>
      <c r="U641" s="221"/>
      <c r="V641" s="221"/>
      <c r="W641" s="221"/>
      <c r="X641" s="221"/>
      <c r="Y641" s="68"/>
      <c r="Z641" s="68"/>
      <c r="AA641" s="68"/>
    </row>
    <row r="642">
      <c r="A642" s="134"/>
      <c r="B642" s="134"/>
      <c r="C642" s="68"/>
      <c r="D642" s="68"/>
      <c r="E642" s="68"/>
      <c r="F642" s="68"/>
      <c r="G642" s="68"/>
      <c r="H642" s="68"/>
      <c r="I642" s="221"/>
      <c r="J642" s="221"/>
      <c r="K642" s="221"/>
      <c r="L642" s="221"/>
      <c r="M642" s="221"/>
      <c r="N642" s="221"/>
      <c r="O642" s="221"/>
      <c r="P642" s="221"/>
      <c r="Q642" s="221"/>
      <c r="R642" s="221"/>
      <c r="S642" s="221"/>
      <c r="T642" s="221"/>
      <c r="U642" s="221"/>
      <c r="V642" s="221"/>
      <c r="W642" s="221"/>
      <c r="X642" s="221"/>
      <c r="Y642" s="68"/>
      <c r="Z642" s="68"/>
      <c r="AA642" s="68"/>
    </row>
    <row r="643">
      <c r="A643" s="134"/>
      <c r="B643" s="134"/>
      <c r="C643" s="68"/>
      <c r="D643" s="68"/>
      <c r="E643" s="68"/>
      <c r="F643" s="68"/>
      <c r="G643" s="68"/>
      <c r="H643" s="68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68"/>
      <c r="Z643" s="68"/>
      <c r="AA643" s="68"/>
    </row>
    <row r="644">
      <c r="A644" s="134"/>
      <c r="B644" s="134"/>
      <c r="C644" s="68"/>
      <c r="D644" s="68"/>
      <c r="E644" s="68"/>
      <c r="F644" s="68"/>
      <c r="G644" s="68"/>
      <c r="H644" s="68"/>
      <c r="I644" s="221"/>
      <c r="J644" s="221"/>
      <c r="K644" s="221"/>
      <c r="L644" s="221"/>
      <c r="M644" s="221"/>
      <c r="N644" s="221"/>
      <c r="O644" s="221"/>
      <c r="P644" s="221"/>
      <c r="Q644" s="221"/>
      <c r="R644" s="221"/>
      <c r="S644" s="221"/>
      <c r="T644" s="221"/>
      <c r="U644" s="221"/>
      <c r="V644" s="221"/>
      <c r="W644" s="221"/>
      <c r="X644" s="221"/>
      <c r="Y644" s="68"/>
      <c r="Z644" s="68"/>
      <c r="AA644" s="68"/>
    </row>
    <row r="645">
      <c r="A645" s="134"/>
      <c r="B645" s="134"/>
      <c r="C645" s="68"/>
      <c r="D645" s="68"/>
      <c r="E645" s="68"/>
      <c r="F645" s="68"/>
      <c r="G645" s="68"/>
      <c r="H645" s="68"/>
      <c r="I645" s="221"/>
      <c r="J645" s="221"/>
      <c r="K645" s="221"/>
      <c r="L645" s="221"/>
      <c r="M645" s="221"/>
      <c r="N645" s="221"/>
      <c r="O645" s="221"/>
      <c r="P645" s="221"/>
      <c r="Q645" s="221"/>
      <c r="R645" s="221"/>
      <c r="S645" s="221"/>
      <c r="T645" s="221"/>
      <c r="U645" s="221"/>
      <c r="V645" s="221"/>
      <c r="W645" s="221"/>
      <c r="X645" s="221"/>
      <c r="Y645" s="68"/>
      <c r="Z645" s="68"/>
      <c r="AA645" s="68"/>
    </row>
    <row r="646">
      <c r="A646" s="134"/>
      <c r="B646" s="134"/>
      <c r="C646" s="68"/>
      <c r="D646" s="68"/>
      <c r="E646" s="68"/>
      <c r="F646" s="68"/>
      <c r="G646" s="68"/>
      <c r="H646" s="68"/>
      <c r="I646" s="221"/>
      <c r="J646" s="221"/>
      <c r="K646" s="221"/>
      <c r="L646" s="221"/>
      <c r="M646" s="221"/>
      <c r="N646" s="221"/>
      <c r="O646" s="221"/>
      <c r="P646" s="221"/>
      <c r="Q646" s="221"/>
      <c r="R646" s="221"/>
      <c r="S646" s="221"/>
      <c r="T646" s="221"/>
      <c r="U646" s="221"/>
      <c r="V646" s="221"/>
      <c r="W646" s="221"/>
      <c r="X646" s="221"/>
      <c r="Y646" s="68"/>
      <c r="Z646" s="68"/>
      <c r="AA646" s="68"/>
    </row>
    <row r="647">
      <c r="A647" s="134"/>
      <c r="B647" s="134"/>
      <c r="C647" s="68"/>
      <c r="D647" s="68"/>
      <c r="E647" s="68"/>
      <c r="F647" s="68"/>
      <c r="G647" s="68"/>
      <c r="H647" s="68"/>
      <c r="I647" s="221"/>
      <c r="J647" s="221"/>
      <c r="K647" s="221"/>
      <c r="L647" s="221"/>
      <c r="M647" s="221"/>
      <c r="N647" s="221"/>
      <c r="O647" s="221"/>
      <c r="P647" s="221"/>
      <c r="Q647" s="221"/>
      <c r="R647" s="221"/>
      <c r="S647" s="221"/>
      <c r="T647" s="221"/>
      <c r="U647" s="221"/>
      <c r="V647" s="221"/>
      <c r="W647" s="221"/>
      <c r="X647" s="221"/>
      <c r="Y647" s="68"/>
      <c r="Z647" s="68"/>
      <c r="AA647" s="68"/>
    </row>
    <row r="648">
      <c r="A648" s="134"/>
      <c r="B648" s="134"/>
      <c r="C648" s="68"/>
      <c r="D648" s="68"/>
      <c r="E648" s="68"/>
      <c r="F648" s="68"/>
      <c r="G648" s="68"/>
      <c r="H648" s="68"/>
      <c r="I648" s="221"/>
      <c r="J648" s="221"/>
      <c r="K648" s="221"/>
      <c r="L648" s="221"/>
      <c r="M648" s="221"/>
      <c r="N648" s="221"/>
      <c r="O648" s="221"/>
      <c r="P648" s="221"/>
      <c r="Q648" s="221"/>
      <c r="R648" s="221"/>
      <c r="S648" s="221"/>
      <c r="T648" s="221"/>
      <c r="U648" s="221"/>
      <c r="V648" s="221"/>
      <c r="W648" s="221"/>
      <c r="X648" s="221"/>
      <c r="Y648" s="68"/>
      <c r="Z648" s="68"/>
      <c r="AA648" s="68"/>
    </row>
    <row r="649">
      <c r="A649" s="134"/>
      <c r="B649" s="134"/>
      <c r="C649" s="68"/>
      <c r="D649" s="68"/>
      <c r="E649" s="68"/>
      <c r="F649" s="68"/>
      <c r="G649" s="68"/>
      <c r="H649" s="68"/>
      <c r="I649" s="221"/>
      <c r="J649" s="221"/>
      <c r="K649" s="221"/>
      <c r="L649" s="221"/>
      <c r="M649" s="221"/>
      <c r="N649" s="221"/>
      <c r="O649" s="221"/>
      <c r="P649" s="221"/>
      <c r="Q649" s="221"/>
      <c r="R649" s="221"/>
      <c r="S649" s="221"/>
      <c r="T649" s="221"/>
      <c r="U649" s="221"/>
      <c r="V649" s="221"/>
      <c r="W649" s="221"/>
      <c r="X649" s="221"/>
      <c r="Y649" s="68"/>
      <c r="Z649" s="68"/>
      <c r="AA649" s="68"/>
    </row>
    <row r="650">
      <c r="A650" s="134"/>
      <c r="B650" s="134"/>
      <c r="C650" s="68"/>
      <c r="D650" s="68"/>
      <c r="E650" s="68"/>
      <c r="F650" s="68"/>
      <c r="G650" s="68"/>
      <c r="H650" s="68"/>
      <c r="I650" s="221"/>
      <c r="J650" s="221"/>
      <c r="K650" s="221"/>
      <c r="L650" s="221"/>
      <c r="M650" s="221"/>
      <c r="N650" s="221"/>
      <c r="O650" s="221"/>
      <c r="P650" s="221"/>
      <c r="Q650" s="221"/>
      <c r="R650" s="221"/>
      <c r="S650" s="221"/>
      <c r="T650" s="221"/>
      <c r="U650" s="221"/>
      <c r="V650" s="221"/>
      <c r="W650" s="221"/>
      <c r="X650" s="221"/>
      <c r="Y650" s="68"/>
      <c r="Z650" s="68"/>
      <c r="AA650" s="68"/>
    </row>
    <row r="651">
      <c r="A651" s="134"/>
      <c r="B651" s="134"/>
      <c r="C651" s="68"/>
      <c r="D651" s="68"/>
      <c r="E651" s="68"/>
      <c r="F651" s="68"/>
      <c r="G651" s="68"/>
      <c r="H651" s="68"/>
      <c r="I651" s="221"/>
      <c r="J651" s="221"/>
      <c r="K651" s="221"/>
      <c r="L651" s="221"/>
      <c r="M651" s="221"/>
      <c r="N651" s="221"/>
      <c r="O651" s="221"/>
      <c r="P651" s="221"/>
      <c r="Q651" s="221"/>
      <c r="R651" s="221"/>
      <c r="S651" s="221"/>
      <c r="T651" s="221"/>
      <c r="U651" s="221"/>
      <c r="V651" s="221"/>
      <c r="W651" s="221"/>
      <c r="X651" s="221"/>
      <c r="Y651" s="68"/>
      <c r="Z651" s="68"/>
      <c r="AA651" s="68"/>
    </row>
    <row r="652">
      <c r="A652" s="134"/>
      <c r="B652" s="134"/>
      <c r="C652" s="68"/>
      <c r="D652" s="68"/>
      <c r="E652" s="68"/>
      <c r="F652" s="68"/>
      <c r="G652" s="68"/>
      <c r="H652" s="68"/>
      <c r="I652" s="221"/>
      <c r="J652" s="221"/>
      <c r="K652" s="221"/>
      <c r="L652" s="221"/>
      <c r="M652" s="221"/>
      <c r="N652" s="221"/>
      <c r="O652" s="221"/>
      <c r="P652" s="221"/>
      <c r="Q652" s="221"/>
      <c r="R652" s="221"/>
      <c r="S652" s="221"/>
      <c r="T652" s="221"/>
      <c r="U652" s="221"/>
      <c r="V652" s="221"/>
      <c r="W652" s="221"/>
      <c r="X652" s="221"/>
      <c r="Y652" s="68"/>
      <c r="Z652" s="68"/>
      <c r="AA652" s="68"/>
    </row>
    <row r="653">
      <c r="A653" s="134"/>
      <c r="B653" s="134"/>
      <c r="C653" s="68"/>
      <c r="D653" s="68"/>
      <c r="E653" s="68"/>
      <c r="F653" s="68"/>
      <c r="G653" s="68"/>
      <c r="H653" s="68"/>
      <c r="I653" s="221"/>
      <c r="J653" s="221"/>
      <c r="K653" s="221"/>
      <c r="L653" s="221"/>
      <c r="M653" s="221"/>
      <c r="N653" s="221"/>
      <c r="O653" s="221"/>
      <c r="P653" s="221"/>
      <c r="Q653" s="221"/>
      <c r="R653" s="221"/>
      <c r="S653" s="221"/>
      <c r="T653" s="221"/>
      <c r="U653" s="221"/>
      <c r="V653" s="221"/>
      <c r="W653" s="221"/>
      <c r="X653" s="221"/>
      <c r="Y653" s="68"/>
      <c r="Z653" s="68"/>
      <c r="AA653" s="68"/>
    </row>
    <row r="654">
      <c r="A654" s="134"/>
      <c r="B654" s="134"/>
      <c r="C654" s="68"/>
      <c r="D654" s="68"/>
      <c r="E654" s="68"/>
      <c r="F654" s="68"/>
      <c r="G654" s="68"/>
      <c r="H654" s="68"/>
      <c r="I654" s="221"/>
      <c r="J654" s="221"/>
      <c r="K654" s="221"/>
      <c r="L654" s="221"/>
      <c r="M654" s="221"/>
      <c r="N654" s="221"/>
      <c r="O654" s="221"/>
      <c r="P654" s="221"/>
      <c r="Q654" s="221"/>
      <c r="R654" s="221"/>
      <c r="S654" s="221"/>
      <c r="T654" s="221"/>
      <c r="U654" s="221"/>
      <c r="V654" s="221"/>
      <c r="W654" s="221"/>
      <c r="X654" s="221"/>
      <c r="Y654" s="68"/>
      <c r="Z654" s="68"/>
      <c r="AA654" s="68"/>
    </row>
    <row r="655">
      <c r="A655" s="134"/>
      <c r="B655" s="134"/>
      <c r="C655" s="68"/>
      <c r="D655" s="68"/>
      <c r="E655" s="68"/>
      <c r="F655" s="68"/>
      <c r="G655" s="68"/>
      <c r="H655" s="68"/>
      <c r="I655" s="221"/>
      <c r="J655" s="221"/>
      <c r="K655" s="221"/>
      <c r="L655" s="221"/>
      <c r="M655" s="221"/>
      <c r="N655" s="221"/>
      <c r="O655" s="221"/>
      <c r="P655" s="221"/>
      <c r="Q655" s="221"/>
      <c r="R655" s="221"/>
      <c r="S655" s="221"/>
      <c r="T655" s="221"/>
      <c r="U655" s="221"/>
      <c r="V655" s="221"/>
      <c r="W655" s="221"/>
      <c r="X655" s="221"/>
      <c r="Y655" s="68"/>
      <c r="Z655" s="68"/>
      <c r="AA655" s="68"/>
    </row>
    <row r="656">
      <c r="A656" s="134"/>
      <c r="B656" s="134"/>
      <c r="C656" s="68"/>
      <c r="D656" s="68"/>
      <c r="E656" s="68"/>
      <c r="F656" s="68"/>
      <c r="G656" s="68"/>
      <c r="H656" s="68"/>
      <c r="I656" s="221"/>
      <c r="J656" s="221"/>
      <c r="K656" s="221"/>
      <c r="L656" s="221"/>
      <c r="M656" s="221"/>
      <c r="N656" s="221"/>
      <c r="O656" s="221"/>
      <c r="P656" s="221"/>
      <c r="Q656" s="221"/>
      <c r="R656" s="221"/>
      <c r="S656" s="221"/>
      <c r="T656" s="221"/>
      <c r="U656" s="221"/>
      <c r="V656" s="221"/>
      <c r="W656" s="221"/>
      <c r="X656" s="221"/>
      <c r="Y656" s="68"/>
      <c r="Z656" s="68"/>
      <c r="AA656" s="68"/>
    </row>
    <row r="657">
      <c r="A657" s="134"/>
      <c r="B657" s="134"/>
      <c r="C657" s="68"/>
      <c r="D657" s="68"/>
      <c r="E657" s="68"/>
      <c r="F657" s="68"/>
      <c r="G657" s="68"/>
      <c r="H657" s="68"/>
      <c r="I657" s="221"/>
      <c r="J657" s="221"/>
      <c r="K657" s="221"/>
      <c r="L657" s="221"/>
      <c r="M657" s="221"/>
      <c r="N657" s="221"/>
      <c r="O657" s="221"/>
      <c r="P657" s="221"/>
      <c r="Q657" s="221"/>
      <c r="R657" s="221"/>
      <c r="S657" s="221"/>
      <c r="T657" s="221"/>
      <c r="U657" s="221"/>
      <c r="V657" s="221"/>
      <c r="W657" s="221"/>
      <c r="X657" s="221"/>
      <c r="Y657" s="68"/>
      <c r="Z657" s="68"/>
      <c r="AA657" s="68"/>
    </row>
    <row r="658">
      <c r="A658" s="134"/>
      <c r="B658" s="134"/>
      <c r="C658" s="68"/>
      <c r="D658" s="68"/>
      <c r="E658" s="68"/>
      <c r="F658" s="68"/>
      <c r="G658" s="68"/>
      <c r="H658" s="68"/>
      <c r="I658" s="221"/>
      <c r="J658" s="221"/>
      <c r="K658" s="221"/>
      <c r="L658" s="221"/>
      <c r="M658" s="221"/>
      <c r="N658" s="221"/>
      <c r="O658" s="221"/>
      <c r="P658" s="221"/>
      <c r="Q658" s="221"/>
      <c r="R658" s="221"/>
      <c r="S658" s="221"/>
      <c r="T658" s="221"/>
      <c r="U658" s="221"/>
      <c r="V658" s="221"/>
      <c r="W658" s="221"/>
      <c r="X658" s="221"/>
      <c r="Y658" s="68"/>
      <c r="Z658" s="68"/>
      <c r="AA658" s="68"/>
    </row>
    <row r="659">
      <c r="A659" s="134"/>
      <c r="B659" s="134"/>
      <c r="C659" s="68"/>
      <c r="D659" s="68"/>
      <c r="E659" s="68"/>
      <c r="F659" s="68"/>
      <c r="G659" s="68"/>
      <c r="H659" s="68"/>
      <c r="I659" s="221"/>
      <c r="J659" s="221"/>
      <c r="K659" s="221"/>
      <c r="L659" s="221"/>
      <c r="M659" s="221"/>
      <c r="N659" s="221"/>
      <c r="O659" s="221"/>
      <c r="P659" s="221"/>
      <c r="Q659" s="221"/>
      <c r="R659" s="221"/>
      <c r="S659" s="221"/>
      <c r="T659" s="221"/>
      <c r="U659" s="221"/>
      <c r="V659" s="221"/>
      <c r="W659" s="221"/>
      <c r="X659" s="221"/>
      <c r="Y659" s="68"/>
      <c r="Z659" s="68"/>
      <c r="AA659" s="68"/>
    </row>
    <row r="660">
      <c r="A660" s="134"/>
      <c r="B660" s="134"/>
      <c r="C660" s="68"/>
      <c r="D660" s="68"/>
      <c r="E660" s="68"/>
      <c r="F660" s="68"/>
      <c r="G660" s="68"/>
      <c r="H660" s="68"/>
      <c r="I660" s="221"/>
      <c r="J660" s="221"/>
      <c r="K660" s="221"/>
      <c r="L660" s="221"/>
      <c r="M660" s="221"/>
      <c r="N660" s="221"/>
      <c r="O660" s="221"/>
      <c r="P660" s="221"/>
      <c r="Q660" s="221"/>
      <c r="R660" s="221"/>
      <c r="S660" s="221"/>
      <c r="T660" s="221"/>
      <c r="U660" s="221"/>
      <c r="V660" s="221"/>
      <c r="W660" s="221"/>
      <c r="X660" s="221"/>
      <c r="Y660" s="68"/>
      <c r="Z660" s="68"/>
      <c r="AA660" s="68"/>
    </row>
    <row r="661">
      <c r="A661" s="134"/>
      <c r="B661" s="134"/>
      <c r="C661" s="68"/>
      <c r="D661" s="68"/>
      <c r="E661" s="68"/>
      <c r="F661" s="68"/>
      <c r="G661" s="68"/>
      <c r="H661" s="68"/>
      <c r="I661" s="221"/>
      <c r="J661" s="221"/>
      <c r="K661" s="221"/>
      <c r="L661" s="221"/>
      <c r="M661" s="221"/>
      <c r="N661" s="221"/>
      <c r="O661" s="221"/>
      <c r="P661" s="221"/>
      <c r="Q661" s="221"/>
      <c r="R661" s="221"/>
      <c r="S661" s="221"/>
      <c r="T661" s="221"/>
      <c r="U661" s="221"/>
      <c r="V661" s="221"/>
      <c r="W661" s="221"/>
      <c r="X661" s="221"/>
      <c r="Y661" s="68"/>
      <c r="Z661" s="68"/>
      <c r="AA661" s="68"/>
    </row>
    <row r="662">
      <c r="A662" s="134"/>
      <c r="B662" s="134"/>
      <c r="C662" s="68"/>
      <c r="D662" s="68"/>
      <c r="E662" s="68"/>
      <c r="F662" s="68"/>
      <c r="G662" s="68"/>
      <c r="H662" s="68"/>
      <c r="I662" s="221"/>
      <c r="J662" s="221"/>
      <c r="K662" s="221"/>
      <c r="L662" s="221"/>
      <c r="M662" s="221"/>
      <c r="N662" s="221"/>
      <c r="O662" s="221"/>
      <c r="P662" s="221"/>
      <c r="Q662" s="221"/>
      <c r="R662" s="221"/>
      <c r="S662" s="221"/>
      <c r="T662" s="221"/>
      <c r="U662" s="221"/>
      <c r="V662" s="221"/>
      <c r="W662" s="221"/>
      <c r="X662" s="221"/>
      <c r="Y662" s="68"/>
      <c r="Z662" s="68"/>
      <c r="AA662" s="68"/>
    </row>
    <row r="663">
      <c r="A663" s="134"/>
      <c r="B663" s="134"/>
      <c r="C663" s="68"/>
      <c r="D663" s="68"/>
      <c r="E663" s="68"/>
      <c r="F663" s="68"/>
      <c r="G663" s="68"/>
      <c r="H663" s="68"/>
      <c r="I663" s="221"/>
      <c r="J663" s="221"/>
      <c r="K663" s="221"/>
      <c r="L663" s="221"/>
      <c r="M663" s="221"/>
      <c r="N663" s="221"/>
      <c r="O663" s="221"/>
      <c r="P663" s="221"/>
      <c r="Q663" s="221"/>
      <c r="R663" s="221"/>
      <c r="S663" s="221"/>
      <c r="T663" s="221"/>
      <c r="U663" s="221"/>
      <c r="V663" s="221"/>
      <c r="W663" s="221"/>
      <c r="X663" s="221"/>
      <c r="Y663" s="68"/>
      <c r="Z663" s="68"/>
      <c r="AA663" s="68"/>
    </row>
    <row r="664">
      <c r="A664" s="134"/>
      <c r="B664" s="134"/>
      <c r="C664" s="68"/>
      <c r="D664" s="68"/>
      <c r="E664" s="68"/>
      <c r="F664" s="68"/>
      <c r="G664" s="68"/>
      <c r="H664" s="68"/>
      <c r="I664" s="221"/>
      <c r="J664" s="221"/>
      <c r="K664" s="221"/>
      <c r="L664" s="221"/>
      <c r="M664" s="221"/>
      <c r="N664" s="221"/>
      <c r="O664" s="221"/>
      <c r="P664" s="221"/>
      <c r="Q664" s="221"/>
      <c r="R664" s="221"/>
      <c r="S664" s="221"/>
      <c r="T664" s="221"/>
      <c r="U664" s="221"/>
      <c r="V664" s="221"/>
      <c r="W664" s="221"/>
      <c r="X664" s="221"/>
      <c r="Y664" s="68"/>
      <c r="Z664" s="68"/>
      <c r="AA664" s="68"/>
    </row>
    <row r="665">
      <c r="A665" s="134"/>
      <c r="B665" s="134"/>
      <c r="C665" s="68"/>
      <c r="D665" s="68"/>
      <c r="E665" s="68"/>
      <c r="F665" s="68"/>
      <c r="G665" s="68"/>
      <c r="H665" s="68"/>
      <c r="I665" s="221"/>
      <c r="J665" s="221"/>
      <c r="K665" s="221"/>
      <c r="L665" s="221"/>
      <c r="M665" s="221"/>
      <c r="N665" s="221"/>
      <c r="O665" s="221"/>
      <c r="P665" s="221"/>
      <c r="Q665" s="221"/>
      <c r="R665" s="221"/>
      <c r="S665" s="221"/>
      <c r="T665" s="221"/>
      <c r="U665" s="221"/>
      <c r="V665" s="221"/>
      <c r="W665" s="221"/>
      <c r="X665" s="221"/>
      <c r="Y665" s="68"/>
      <c r="Z665" s="68"/>
      <c r="AA665" s="68"/>
    </row>
    <row r="666">
      <c r="A666" s="134"/>
      <c r="B666" s="134"/>
      <c r="C666" s="68"/>
      <c r="D666" s="68"/>
      <c r="E666" s="68"/>
      <c r="F666" s="68"/>
      <c r="G666" s="68"/>
      <c r="H666" s="68"/>
      <c r="I666" s="221"/>
      <c r="J666" s="221"/>
      <c r="K666" s="221"/>
      <c r="L666" s="221"/>
      <c r="M666" s="221"/>
      <c r="N666" s="221"/>
      <c r="O666" s="221"/>
      <c r="P666" s="221"/>
      <c r="Q666" s="221"/>
      <c r="R666" s="221"/>
      <c r="S666" s="221"/>
      <c r="T666" s="221"/>
      <c r="U666" s="221"/>
      <c r="V666" s="221"/>
      <c r="W666" s="221"/>
      <c r="X666" s="221"/>
      <c r="Y666" s="68"/>
      <c r="Z666" s="68"/>
      <c r="AA666" s="68"/>
    </row>
    <row r="667">
      <c r="A667" s="134"/>
      <c r="B667" s="134"/>
      <c r="C667" s="68"/>
      <c r="D667" s="68"/>
      <c r="E667" s="68"/>
      <c r="F667" s="68"/>
      <c r="G667" s="68"/>
      <c r="H667" s="68"/>
      <c r="I667" s="221"/>
      <c r="J667" s="221"/>
      <c r="K667" s="221"/>
      <c r="L667" s="221"/>
      <c r="M667" s="221"/>
      <c r="N667" s="221"/>
      <c r="O667" s="221"/>
      <c r="P667" s="221"/>
      <c r="Q667" s="221"/>
      <c r="R667" s="221"/>
      <c r="S667" s="221"/>
      <c r="T667" s="221"/>
      <c r="U667" s="221"/>
      <c r="V667" s="221"/>
      <c r="W667" s="221"/>
      <c r="X667" s="221"/>
      <c r="Y667" s="68"/>
      <c r="Z667" s="68"/>
      <c r="AA667" s="68"/>
    </row>
    <row r="668">
      <c r="A668" s="134"/>
      <c r="B668" s="134"/>
      <c r="C668" s="68"/>
      <c r="D668" s="68"/>
      <c r="E668" s="68"/>
      <c r="F668" s="68"/>
      <c r="G668" s="68"/>
      <c r="H668" s="68"/>
      <c r="I668" s="221"/>
      <c r="J668" s="221"/>
      <c r="K668" s="221"/>
      <c r="L668" s="221"/>
      <c r="M668" s="221"/>
      <c r="N668" s="221"/>
      <c r="O668" s="221"/>
      <c r="P668" s="221"/>
      <c r="Q668" s="221"/>
      <c r="R668" s="221"/>
      <c r="S668" s="221"/>
      <c r="T668" s="221"/>
      <c r="U668" s="221"/>
      <c r="V668" s="221"/>
      <c r="W668" s="221"/>
      <c r="X668" s="221"/>
      <c r="Y668" s="68"/>
      <c r="Z668" s="68"/>
      <c r="AA668" s="68"/>
    </row>
    <row r="669">
      <c r="A669" s="134"/>
      <c r="B669" s="134"/>
      <c r="C669" s="68"/>
      <c r="D669" s="68"/>
      <c r="E669" s="68"/>
      <c r="F669" s="68"/>
      <c r="G669" s="68"/>
      <c r="H669" s="68"/>
      <c r="I669" s="221"/>
      <c r="J669" s="221"/>
      <c r="K669" s="221"/>
      <c r="L669" s="221"/>
      <c r="M669" s="221"/>
      <c r="N669" s="221"/>
      <c r="O669" s="221"/>
      <c r="P669" s="221"/>
      <c r="Q669" s="221"/>
      <c r="R669" s="221"/>
      <c r="S669" s="221"/>
      <c r="T669" s="221"/>
      <c r="U669" s="221"/>
      <c r="V669" s="221"/>
      <c r="W669" s="221"/>
      <c r="X669" s="221"/>
      <c r="Y669" s="68"/>
      <c r="Z669" s="68"/>
      <c r="AA669" s="68"/>
    </row>
    <row r="670">
      <c r="A670" s="134"/>
      <c r="B670" s="134"/>
      <c r="C670" s="68"/>
      <c r="D670" s="68"/>
      <c r="E670" s="68"/>
      <c r="F670" s="68"/>
      <c r="G670" s="68"/>
      <c r="H670" s="68"/>
      <c r="I670" s="221"/>
      <c r="J670" s="221"/>
      <c r="K670" s="221"/>
      <c r="L670" s="221"/>
      <c r="M670" s="221"/>
      <c r="N670" s="221"/>
      <c r="O670" s="221"/>
      <c r="P670" s="221"/>
      <c r="Q670" s="221"/>
      <c r="R670" s="221"/>
      <c r="S670" s="221"/>
      <c r="T670" s="221"/>
      <c r="U670" s="221"/>
      <c r="V670" s="221"/>
      <c r="W670" s="221"/>
      <c r="X670" s="221"/>
      <c r="Y670" s="68"/>
      <c r="Z670" s="68"/>
      <c r="AA670" s="68"/>
    </row>
    <row r="671">
      <c r="A671" s="134"/>
      <c r="B671" s="134"/>
      <c r="C671" s="68"/>
      <c r="D671" s="68"/>
      <c r="E671" s="68"/>
      <c r="F671" s="68"/>
      <c r="G671" s="68"/>
      <c r="H671" s="68"/>
      <c r="I671" s="221"/>
      <c r="J671" s="221"/>
      <c r="K671" s="221"/>
      <c r="L671" s="221"/>
      <c r="M671" s="221"/>
      <c r="N671" s="221"/>
      <c r="O671" s="221"/>
      <c r="P671" s="221"/>
      <c r="Q671" s="221"/>
      <c r="R671" s="221"/>
      <c r="S671" s="221"/>
      <c r="T671" s="221"/>
      <c r="U671" s="221"/>
      <c r="V671" s="221"/>
      <c r="W671" s="221"/>
      <c r="X671" s="221"/>
      <c r="Y671" s="68"/>
      <c r="Z671" s="68"/>
      <c r="AA671" s="68"/>
    </row>
    <row r="672">
      <c r="A672" s="134"/>
      <c r="B672" s="134"/>
      <c r="C672" s="68"/>
      <c r="D672" s="68"/>
      <c r="E672" s="68"/>
      <c r="F672" s="68"/>
      <c r="G672" s="68"/>
      <c r="H672" s="68"/>
      <c r="I672" s="221"/>
      <c r="J672" s="221"/>
      <c r="K672" s="221"/>
      <c r="L672" s="221"/>
      <c r="M672" s="221"/>
      <c r="N672" s="221"/>
      <c r="O672" s="221"/>
      <c r="P672" s="221"/>
      <c r="Q672" s="221"/>
      <c r="R672" s="221"/>
      <c r="S672" s="221"/>
      <c r="T672" s="221"/>
      <c r="U672" s="221"/>
      <c r="V672" s="221"/>
      <c r="W672" s="221"/>
      <c r="X672" s="221"/>
      <c r="Y672" s="68"/>
      <c r="Z672" s="68"/>
      <c r="AA672" s="68"/>
    </row>
    <row r="673">
      <c r="A673" s="134"/>
      <c r="B673" s="134"/>
      <c r="C673" s="68"/>
      <c r="D673" s="68"/>
      <c r="E673" s="68"/>
      <c r="F673" s="68"/>
      <c r="G673" s="68"/>
      <c r="H673" s="68"/>
      <c r="I673" s="221"/>
      <c r="J673" s="221"/>
      <c r="K673" s="221"/>
      <c r="L673" s="221"/>
      <c r="M673" s="221"/>
      <c r="N673" s="221"/>
      <c r="O673" s="221"/>
      <c r="P673" s="221"/>
      <c r="Q673" s="221"/>
      <c r="R673" s="221"/>
      <c r="S673" s="221"/>
      <c r="T673" s="221"/>
      <c r="U673" s="221"/>
      <c r="V673" s="221"/>
      <c r="W673" s="221"/>
      <c r="X673" s="221"/>
      <c r="Y673" s="68"/>
      <c r="Z673" s="68"/>
      <c r="AA673" s="68"/>
    </row>
    <row r="674">
      <c r="A674" s="134"/>
      <c r="B674" s="134"/>
      <c r="C674" s="68"/>
      <c r="D674" s="68"/>
      <c r="E674" s="68"/>
      <c r="F674" s="68"/>
      <c r="G674" s="68"/>
      <c r="H674" s="68"/>
      <c r="I674" s="221"/>
      <c r="J674" s="221"/>
      <c r="K674" s="221"/>
      <c r="L674" s="221"/>
      <c r="M674" s="221"/>
      <c r="N674" s="221"/>
      <c r="O674" s="221"/>
      <c r="P674" s="221"/>
      <c r="Q674" s="221"/>
      <c r="R674" s="221"/>
      <c r="S674" s="221"/>
      <c r="T674" s="221"/>
      <c r="U674" s="221"/>
      <c r="V674" s="221"/>
      <c r="W674" s="221"/>
      <c r="X674" s="221"/>
      <c r="Y674" s="68"/>
      <c r="Z674" s="68"/>
      <c r="AA674" s="68"/>
    </row>
    <row r="675">
      <c r="A675" s="134"/>
      <c r="B675" s="134"/>
      <c r="C675" s="68"/>
      <c r="D675" s="68"/>
      <c r="E675" s="68"/>
      <c r="F675" s="68"/>
      <c r="G675" s="68"/>
      <c r="H675" s="68"/>
      <c r="I675" s="221"/>
      <c r="J675" s="221"/>
      <c r="K675" s="221"/>
      <c r="L675" s="221"/>
      <c r="M675" s="221"/>
      <c r="N675" s="221"/>
      <c r="O675" s="221"/>
      <c r="P675" s="221"/>
      <c r="Q675" s="221"/>
      <c r="R675" s="221"/>
      <c r="S675" s="221"/>
      <c r="T675" s="221"/>
      <c r="U675" s="221"/>
      <c r="V675" s="221"/>
      <c r="W675" s="221"/>
      <c r="X675" s="221"/>
      <c r="Y675" s="68"/>
      <c r="Z675" s="68"/>
      <c r="AA675" s="68"/>
    </row>
    <row r="676">
      <c r="A676" s="134"/>
      <c r="B676" s="134"/>
      <c r="C676" s="68"/>
      <c r="D676" s="68"/>
      <c r="E676" s="68"/>
      <c r="F676" s="68"/>
      <c r="G676" s="68"/>
      <c r="H676" s="68"/>
      <c r="I676" s="221"/>
      <c r="J676" s="221"/>
      <c r="K676" s="221"/>
      <c r="L676" s="221"/>
      <c r="M676" s="221"/>
      <c r="N676" s="221"/>
      <c r="O676" s="221"/>
      <c r="P676" s="221"/>
      <c r="Q676" s="221"/>
      <c r="R676" s="221"/>
      <c r="S676" s="221"/>
      <c r="T676" s="221"/>
      <c r="U676" s="221"/>
      <c r="V676" s="221"/>
      <c r="W676" s="221"/>
      <c r="X676" s="221"/>
      <c r="Y676" s="68"/>
      <c r="Z676" s="68"/>
      <c r="AA676" s="68"/>
    </row>
    <row r="677">
      <c r="A677" s="134"/>
      <c r="B677" s="134"/>
      <c r="C677" s="68"/>
      <c r="D677" s="68"/>
      <c r="E677" s="68"/>
      <c r="F677" s="68"/>
      <c r="G677" s="68"/>
      <c r="H677" s="68"/>
      <c r="I677" s="221"/>
      <c r="J677" s="221"/>
      <c r="K677" s="221"/>
      <c r="L677" s="221"/>
      <c r="M677" s="221"/>
      <c r="N677" s="221"/>
      <c r="O677" s="221"/>
      <c r="P677" s="221"/>
      <c r="Q677" s="221"/>
      <c r="R677" s="221"/>
      <c r="S677" s="221"/>
      <c r="T677" s="221"/>
      <c r="U677" s="221"/>
      <c r="V677" s="221"/>
      <c r="W677" s="221"/>
      <c r="X677" s="221"/>
      <c r="Y677" s="68"/>
      <c r="Z677" s="68"/>
      <c r="AA677" s="68"/>
    </row>
    <row r="678">
      <c r="A678" s="134"/>
      <c r="B678" s="134"/>
      <c r="C678" s="68"/>
      <c r="D678" s="68"/>
      <c r="E678" s="68"/>
      <c r="F678" s="68"/>
      <c r="G678" s="68"/>
      <c r="H678" s="68"/>
      <c r="I678" s="221"/>
      <c r="J678" s="221"/>
      <c r="K678" s="221"/>
      <c r="L678" s="221"/>
      <c r="M678" s="221"/>
      <c r="N678" s="221"/>
      <c r="O678" s="221"/>
      <c r="P678" s="221"/>
      <c r="Q678" s="221"/>
      <c r="R678" s="221"/>
      <c r="S678" s="221"/>
      <c r="T678" s="221"/>
      <c r="U678" s="221"/>
      <c r="V678" s="221"/>
      <c r="W678" s="221"/>
      <c r="X678" s="221"/>
      <c r="Y678" s="68"/>
      <c r="Z678" s="68"/>
      <c r="AA678" s="68"/>
    </row>
    <row r="679">
      <c r="A679" s="134"/>
      <c r="B679" s="134"/>
      <c r="C679" s="68"/>
      <c r="D679" s="68"/>
      <c r="E679" s="68"/>
      <c r="F679" s="68"/>
      <c r="G679" s="68"/>
      <c r="H679" s="68"/>
      <c r="I679" s="221"/>
      <c r="J679" s="221"/>
      <c r="K679" s="221"/>
      <c r="L679" s="221"/>
      <c r="M679" s="221"/>
      <c r="N679" s="221"/>
      <c r="O679" s="221"/>
      <c r="P679" s="221"/>
      <c r="Q679" s="221"/>
      <c r="R679" s="221"/>
      <c r="S679" s="221"/>
      <c r="T679" s="221"/>
      <c r="U679" s="221"/>
      <c r="V679" s="221"/>
      <c r="W679" s="221"/>
      <c r="X679" s="221"/>
      <c r="Y679" s="68"/>
      <c r="Z679" s="68"/>
      <c r="AA679" s="68"/>
    </row>
    <row r="680">
      <c r="A680" s="134"/>
      <c r="B680" s="134"/>
      <c r="C680" s="68"/>
      <c r="D680" s="68"/>
      <c r="E680" s="68"/>
      <c r="F680" s="68"/>
      <c r="G680" s="68"/>
      <c r="H680" s="68"/>
      <c r="I680" s="221"/>
      <c r="J680" s="221"/>
      <c r="K680" s="221"/>
      <c r="L680" s="221"/>
      <c r="M680" s="221"/>
      <c r="N680" s="221"/>
      <c r="O680" s="221"/>
      <c r="P680" s="221"/>
      <c r="Q680" s="221"/>
      <c r="R680" s="221"/>
      <c r="S680" s="221"/>
      <c r="T680" s="221"/>
      <c r="U680" s="221"/>
      <c r="V680" s="221"/>
      <c r="W680" s="221"/>
      <c r="X680" s="221"/>
      <c r="Y680" s="68"/>
      <c r="Z680" s="68"/>
      <c r="AA680" s="68"/>
    </row>
    <row r="681">
      <c r="A681" s="134"/>
      <c r="B681" s="134"/>
      <c r="C681" s="68"/>
      <c r="D681" s="68"/>
      <c r="E681" s="68"/>
      <c r="F681" s="68"/>
      <c r="G681" s="68"/>
      <c r="H681" s="68"/>
      <c r="I681" s="221"/>
      <c r="J681" s="221"/>
      <c r="K681" s="221"/>
      <c r="L681" s="221"/>
      <c r="M681" s="221"/>
      <c r="N681" s="221"/>
      <c r="O681" s="221"/>
      <c r="P681" s="221"/>
      <c r="Q681" s="221"/>
      <c r="R681" s="221"/>
      <c r="S681" s="221"/>
      <c r="T681" s="221"/>
      <c r="U681" s="221"/>
      <c r="V681" s="221"/>
      <c r="W681" s="221"/>
      <c r="X681" s="221"/>
      <c r="Y681" s="68"/>
      <c r="Z681" s="68"/>
      <c r="AA681" s="68"/>
    </row>
    <row r="682">
      <c r="A682" s="134"/>
      <c r="B682" s="134"/>
      <c r="C682" s="68"/>
      <c r="D682" s="68"/>
      <c r="E682" s="68"/>
      <c r="F682" s="68"/>
      <c r="G682" s="68"/>
      <c r="H682" s="68"/>
      <c r="I682" s="221"/>
      <c r="J682" s="221"/>
      <c r="K682" s="221"/>
      <c r="L682" s="221"/>
      <c r="M682" s="221"/>
      <c r="N682" s="221"/>
      <c r="O682" s="221"/>
      <c r="P682" s="221"/>
      <c r="Q682" s="221"/>
      <c r="R682" s="221"/>
      <c r="S682" s="221"/>
      <c r="T682" s="221"/>
      <c r="U682" s="221"/>
      <c r="V682" s="221"/>
      <c r="W682" s="221"/>
      <c r="X682" s="221"/>
      <c r="Y682" s="68"/>
      <c r="Z682" s="68"/>
      <c r="AA682" s="68"/>
    </row>
    <row r="683">
      <c r="A683" s="134"/>
      <c r="B683" s="134"/>
      <c r="C683" s="68"/>
      <c r="D683" s="68"/>
      <c r="E683" s="68"/>
      <c r="F683" s="68"/>
      <c r="G683" s="68"/>
      <c r="H683" s="68"/>
      <c r="I683" s="221"/>
      <c r="J683" s="221"/>
      <c r="K683" s="221"/>
      <c r="L683" s="221"/>
      <c r="M683" s="221"/>
      <c r="N683" s="221"/>
      <c r="O683" s="221"/>
      <c r="P683" s="221"/>
      <c r="Q683" s="221"/>
      <c r="R683" s="221"/>
      <c r="S683" s="221"/>
      <c r="T683" s="221"/>
      <c r="U683" s="221"/>
      <c r="V683" s="221"/>
      <c r="W683" s="221"/>
      <c r="X683" s="221"/>
      <c r="Y683" s="68"/>
      <c r="Z683" s="68"/>
      <c r="AA683" s="68"/>
    </row>
    <row r="684">
      <c r="A684" s="134"/>
      <c r="B684" s="134"/>
      <c r="C684" s="68"/>
      <c r="D684" s="68"/>
      <c r="E684" s="68"/>
      <c r="F684" s="68"/>
      <c r="G684" s="68"/>
      <c r="H684" s="68"/>
      <c r="I684" s="221"/>
      <c r="J684" s="221"/>
      <c r="K684" s="221"/>
      <c r="L684" s="221"/>
      <c r="M684" s="221"/>
      <c r="N684" s="221"/>
      <c r="O684" s="221"/>
      <c r="P684" s="221"/>
      <c r="Q684" s="221"/>
      <c r="R684" s="221"/>
      <c r="S684" s="221"/>
      <c r="T684" s="221"/>
      <c r="U684" s="221"/>
      <c r="V684" s="221"/>
      <c r="W684" s="221"/>
      <c r="X684" s="221"/>
      <c r="Y684" s="68"/>
      <c r="Z684" s="68"/>
      <c r="AA684" s="68"/>
    </row>
    <row r="685">
      <c r="A685" s="134"/>
      <c r="B685" s="134"/>
      <c r="C685" s="68"/>
      <c r="D685" s="68"/>
      <c r="E685" s="68"/>
      <c r="F685" s="68"/>
      <c r="G685" s="68"/>
      <c r="H685" s="68"/>
      <c r="I685" s="221"/>
      <c r="J685" s="221"/>
      <c r="K685" s="221"/>
      <c r="L685" s="221"/>
      <c r="M685" s="221"/>
      <c r="N685" s="221"/>
      <c r="O685" s="221"/>
      <c r="P685" s="221"/>
      <c r="Q685" s="221"/>
      <c r="R685" s="221"/>
      <c r="S685" s="221"/>
      <c r="T685" s="221"/>
      <c r="U685" s="221"/>
      <c r="V685" s="221"/>
      <c r="W685" s="221"/>
      <c r="X685" s="221"/>
      <c r="Y685" s="68"/>
      <c r="Z685" s="68"/>
      <c r="AA685" s="68"/>
    </row>
    <row r="686">
      <c r="A686" s="134"/>
      <c r="B686" s="134"/>
      <c r="C686" s="68"/>
      <c r="D686" s="68"/>
      <c r="E686" s="68"/>
      <c r="F686" s="68"/>
      <c r="G686" s="68"/>
      <c r="H686" s="68"/>
      <c r="I686" s="221"/>
      <c r="J686" s="221"/>
      <c r="K686" s="221"/>
      <c r="L686" s="221"/>
      <c r="M686" s="221"/>
      <c r="N686" s="221"/>
      <c r="O686" s="221"/>
      <c r="P686" s="221"/>
      <c r="Q686" s="221"/>
      <c r="R686" s="221"/>
      <c r="S686" s="221"/>
      <c r="T686" s="221"/>
      <c r="U686" s="221"/>
      <c r="V686" s="221"/>
      <c r="W686" s="221"/>
      <c r="X686" s="221"/>
      <c r="Y686" s="68"/>
      <c r="Z686" s="68"/>
      <c r="AA686" s="68"/>
    </row>
    <row r="687">
      <c r="A687" s="134"/>
      <c r="B687" s="134"/>
      <c r="C687" s="68"/>
      <c r="D687" s="68"/>
      <c r="E687" s="68"/>
      <c r="F687" s="68"/>
      <c r="G687" s="68"/>
      <c r="H687" s="68"/>
      <c r="I687" s="221"/>
      <c r="J687" s="221"/>
      <c r="K687" s="221"/>
      <c r="L687" s="221"/>
      <c r="M687" s="221"/>
      <c r="N687" s="221"/>
      <c r="O687" s="221"/>
      <c r="P687" s="221"/>
      <c r="Q687" s="221"/>
      <c r="R687" s="221"/>
      <c r="S687" s="221"/>
      <c r="T687" s="221"/>
      <c r="U687" s="221"/>
      <c r="V687" s="221"/>
      <c r="W687" s="221"/>
      <c r="X687" s="221"/>
      <c r="Y687" s="68"/>
      <c r="Z687" s="68"/>
      <c r="AA687" s="68"/>
    </row>
    <row r="688">
      <c r="A688" s="134"/>
      <c r="B688" s="134"/>
      <c r="C688" s="68"/>
      <c r="D688" s="68"/>
      <c r="E688" s="68"/>
      <c r="F688" s="68"/>
      <c r="G688" s="68"/>
      <c r="H688" s="68"/>
      <c r="I688" s="221"/>
      <c r="J688" s="221"/>
      <c r="K688" s="221"/>
      <c r="L688" s="221"/>
      <c r="M688" s="221"/>
      <c r="N688" s="221"/>
      <c r="O688" s="221"/>
      <c r="P688" s="221"/>
      <c r="Q688" s="221"/>
      <c r="R688" s="221"/>
      <c r="S688" s="221"/>
      <c r="T688" s="221"/>
      <c r="U688" s="221"/>
      <c r="V688" s="221"/>
      <c r="W688" s="221"/>
      <c r="X688" s="221"/>
      <c r="Y688" s="68"/>
      <c r="Z688" s="68"/>
      <c r="AA688" s="68"/>
    </row>
    <row r="689">
      <c r="A689" s="134"/>
      <c r="B689" s="134"/>
      <c r="C689" s="68"/>
      <c r="D689" s="68"/>
      <c r="E689" s="68"/>
      <c r="F689" s="68"/>
      <c r="G689" s="68"/>
      <c r="H689" s="68"/>
      <c r="I689" s="221"/>
      <c r="J689" s="221"/>
      <c r="K689" s="221"/>
      <c r="L689" s="221"/>
      <c r="M689" s="221"/>
      <c r="N689" s="221"/>
      <c r="O689" s="221"/>
      <c r="P689" s="221"/>
      <c r="Q689" s="221"/>
      <c r="R689" s="221"/>
      <c r="S689" s="221"/>
      <c r="T689" s="221"/>
      <c r="U689" s="221"/>
      <c r="V689" s="221"/>
      <c r="W689" s="221"/>
      <c r="X689" s="221"/>
      <c r="Y689" s="68"/>
      <c r="Z689" s="68"/>
      <c r="AA689" s="68"/>
    </row>
    <row r="690">
      <c r="A690" s="134"/>
      <c r="B690" s="134"/>
      <c r="C690" s="68"/>
      <c r="D690" s="68"/>
      <c r="E690" s="68"/>
      <c r="F690" s="68"/>
      <c r="G690" s="68"/>
      <c r="H690" s="68"/>
      <c r="I690" s="221"/>
      <c r="J690" s="221"/>
      <c r="K690" s="221"/>
      <c r="L690" s="221"/>
      <c r="M690" s="221"/>
      <c r="N690" s="221"/>
      <c r="O690" s="221"/>
      <c r="P690" s="221"/>
      <c r="Q690" s="221"/>
      <c r="R690" s="221"/>
      <c r="S690" s="221"/>
      <c r="T690" s="221"/>
      <c r="U690" s="221"/>
      <c r="V690" s="221"/>
      <c r="W690" s="221"/>
      <c r="X690" s="221"/>
      <c r="Y690" s="68"/>
      <c r="Z690" s="68"/>
      <c r="AA690" s="68"/>
    </row>
    <row r="691">
      <c r="A691" s="134"/>
      <c r="B691" s="134"/>
      <c r="C691" s="68"/>
      <c r="D691" s="68"/>
      <c r="E691" s="68"/>
      <c r="F691" s="68"/>
      <c r="G691" s="68"/>
      <c r="H691" s="68"/>
      <c r="I691" s="221"/>
      <c r="J691" s="221"/>
      <c r="K691" s="221"/>
      <c r="L691" s="221"/>
      <c r="M691" s="221"/>
      <c r="N691" s="221"/>
      <c r="O691" s="221"/>
      <c r="P691" s="221"/>
      <c r="Q691" s="221"/>
      <c r="R691" s="221"/>
      <c r="S691" s="221"/>
      <c r="T691" s="221"/>
      <c r="U691" s="221"/>
      <c r="V691" s="221"/>
      <c r="W691" s="221"/>
      <c r="X691" s="221"/>
      <c r="Y691" s="68"/>
      <c r="Z691" s="68"/>
      <c r="AA691" s="68"/>
    </row>
    <row r="692">
      <c r="A692" s="134"/>
      <c r="B692" s="134"/>
      <c r="C692" s="68"/>
      <c r="D692" s="68"/>
      <c r="E692" s="68"/>
      <c r="F692" s="68"/>
      <c r="G692" s="68"/>
      <c r="H692" s="68"/>
      <c r="I692" s="221"/>
      <c r="J692" s="221"/>
      <c r="K692" s="221"/>
      <c r="L692" s="221"/>
      <c r="M692" s="221"/>
      <c r="N692" s="221"/>
      <c r="O692" s="221"/>
      <c r="P692" s="221"/>
      <c r="Q692" s="221"/>
      <c r="R692" s="221"/>
      <c r="S692" s="221"/>
      <c r="T692" s="221"/>
      <c r="U692" s="221"/>
      <c r="V692" s="221"/>
      <c r="W692" s="221"/>
      <c r="X692" s="221"/>
      <c r="Y692" s="68"/>
      <c r="Z692" s="68"/>
      <c r="AA692" s="68"/>
    </row>
    <row r="693">
      <c r="A693" s="134"/>
      <c r="B693" s="134"/>
      <c r="C693" s="68"/>
      <c r="D693" s="68"/>
      <c r="E693" s="68"/>
      <c r="F693" s="68"/>
      <c r="G693" s="68"/>
      <c r="H693" s="68"/>
      <c r="I693" s="221"/>
      <c r="J693" s="221"/>
      <c r="K693" s="221"/>
      <c r="L693" s="221"/>
      <c r="M693" s="221"/>
      <c r="N693" s="221"/>
      <c r="O693" s="221"/>
      <c r="P693" s="221"/>
      <c r="Q693" s="221"/>
      <c r="R693" s="221"/>
      <c r="S693" s="221"/>
      <c r="T693" s="221"/>
      <c r="U693" s="221"/>
      <c r="V693" s="221"/>
      <c r="W693" s="221"/>
      <c r="X693" s="221"/>
      <c r="Y693" s="68"/>
      <c r="Z693" s="68"/>
      <c r="AA693" s="68"/>
    </row>
    <row r="694">
      <c r="A694" s="134"/>
      <c r="B694" s="134"/>
      <c r="C694" s="68"/>
      <c r="D694" s="68"/>
      <c r="E694" s="68"/>
      <c r="F694" s="68"/>
      <c r="G694" s="68"/>
      <c r="H694" s="68"/>
      <c r="I694" s="221"/>
      <c r="J694" s="221"/>
      <c r="K694" s="221"/>
      <c r="L694" s="221"/>
      <c r="M694" s="221"/>
      <c r="N694" s="221"/>
      <c r="O694" s="221"/>
      <c r="P694" s="221"/>
      <c r="Q694" s="221"/>
      <c r="R694" s="221"/>
      <c r="S694" s="221"/>
      <c r="T694" s="221"/>
      <c r="U694" s="221"/>
      <c r="V694" s="221"/>
      <c r="W694" s="221"/>
      <c r="X694" s="221"/>
      <c r="Y694" s="68"/>
      <c r="Z694" s="68"/>
      <c r="AA694" s="68"/>
    </row>
    <row r="695">
      <c r="A695" s="134"/>
      <c r="B695" s="134"/>
      <c r="C695" s="68"/>
      <c r="D695" s="68"/>
      <c r="E695" s="68"/>
      <c r="F695" s="68"/>
      <c r="G695" s="68"/>
      <c r="H695" s="68"/>
      <c r="I695" s="221"/>
      <c r="J695" s="221"/>
      <c r="K695" s="221"/>
      <c r="L695" s="221"/>
      <c r="M695" s="221"/>
      <c r="N695" s="221"/>
      <c r="O695" s="221"/>
      <c r="P695" s="221"/>
      <c r="Q695" s="221"/>
      <c r="R695" s="221"/>
      <c r="S695" s="221"/>
      <c r="T695" s="221"/>
      <c r="U695" s="221"/>
      <c r="V695" s="221"/>
      <c r="W695" s="221"/>
      <c r="X695" s="221"/>
      <c r="Y695" s="68"/>
      <c r="Z695" s="68"/>
      <c r="AA695" s="68"/>
    </row>
    <row r="696">
      <c r="A696" s="134"/>
      <c r="B696" s="134"/>
      <c r="C696" s="68"/>
      <c r="D696" s="68"/>
      <c r="E696" s="68"/>
      <c r="F696" s="68"/>
      <c r="G696" s="68"/>
      <c r="H696" s="68"/>
      <c r="I696" s="221"/>
      <c r="J696" s="221"/>
      <c r="K696" s="221"/>
      <c r="L696" s="221"/>
      <c r="M696" s="221"/>
      <c r="N696" s="221"/>
      <c r="O696" s="221"/>
      <c r="P696" s="221"/>
      <c r="Q696" s="221"/>
      <c r="R696" s="221"/>
      <c r="S696" s="221"/>
      <c r="T696" s="221"/>
      <c r="U696" s="221"/>
      <c r="V696" s="221"/>
      <c r="W696" s="221"/>
      <c r="X696" s="221"/>
      <c r="Y696" s="68"/>
      <c r="Z696" s="68"/>
      <c r="AA696" s="68"/>
    </row>
    <row r="697">
      <c r="A697" s="134"/>
      <c r="B697" s="134"/>
      <c r="C697" s="68"/>
      <c r="D697" s="68"/>
      <c r="E697" s="68"/>
      <c r="F697" s="68"/>
      <c r="G697" s="68"/>
      <c r="H697" s="68"/>
      <c r="I697" s="221"/>
      <c r="J697" s="221"/>
      <c r="K697" s="221"/>
      <c r="L697" s="221"/>
      <c r="M697" s="221"/>
      <c r="N697" s="221"/>
      <c r="O697" s="221"/>
      <c r="P697" s="221"/>
      <c r="Q697" s="221"/>
      <c r="R697" s="221"/>
      <c r="S697" s="221"/>
      <c r="T697" s="221"/>
      <c r="U697" s="221"/>
      <c r="V697" s="221"/>
      <c r="W697" s="221"/>
      <c r="X697" s="221"/>
      <c r="Y697" s="68"/>
      <c r="Z697" s="68"/>
      <c r="AA697" s="68"/>
    </row>
    <row r="698">
      <c r="A698" s="134"/>
      <c r="B698" s="134"/>
      <c r="C698" s="68"/>
      <c r="D698" s="68"/>
      <c r="E698" s="68"/>
      <c r="F698" s="68"/>
      <c r="G698" s="68"/>
      <c r="H698" s="68"/>
      <c r="I698" s="221"/>
      <c r="J698" s="221"/>
      <c r="K698" s="221"/>
      <c r="L698" s="221"/>
      <c r="M698" s="221"/>
      <c r="N698" s="221"/>
      <c r="O698" s="221"/>
      <c r="P698" s="221"/>
      <c r="Q698" s="221"/>
      <c r="R698" s="221"/>
      <c r="S698" s="221"/>
      <c r="T698" s="221"/>
      <c r="U698" s="221"/>
      <c r="V698" s="221"/>
      <c r="W698" s="221"/>
      <c r="X698" s="221"/>
      <c r="Y698" s="68"/>
      <c r="Z698" s="68"/>
      <c r="AA698" s="68"/>
    </row>
    <row r="699">
      <c r="A699" s="134"/>
      <c r="B699" s="134"/>
      <c r="C699" s="68"/>
      <c r="D699" s="68"/>
      <c r="E699" s="68"/>
      <c r="F699" s="68"/>
      <c r="G699" s="68"/>
      <c r="H699" s="68"/>
      <c r="I699" s="221"/>
      <c r="J699" s="221"/>
      <c r="K699" s="221"/>
      <c r="L699" s="221"/>
      <c r="M699" s="221"/>
      <c r="N699" s="221"/>
      <c r="O699" s="221"/>
      <c r="P699" s="221"/>
      <c r="Q699" s="221"/>
      <c r="R699" s="221"/>
      <c r="S699" s="221"/>
      <c r="T699" s="221"/>
      <c r="U699" s="221"/>
      <c r="V699" s="221"/>
      <c r="W699" s="221"/>
      <c r="X699" s="221"/>
      <c r="Y699" s="68"/>
      <c r="Z699" s="68"/>
      <c r="AA699" s="68"/>
    </row>
    <row r="700">
      <c r="A700" s="134"/>
      <c r="B700" s="134"/>
      <c r="C700" s="68"/>
      <c r="D700" s="68"/>
      <c r="E700" s="68"/>
      <c r="F700" s="68"/>
      <c r="G700" s="68"/>
      <c r="H700" s="68"/>
      <c r="I700" s="221"/>
      <c r="J700" s="221"/>
      <c r="K700" s="221"/>
      <c r="L700" s="221"/>
      <c r="M700" s="221"/>
      <c r="N700" s="221"/>
      <c r="O700" s="221"/>
      <c r="P700" s="221"/>
      <c r="Q700" s="221"/>
      <c r="R700" s="221"/>
      <c r="S700" s="221"/>
      <c r="T700" s="221"/>
      <c r="U700" s="221"/>
      <c r="V700" s="221"/>
      <c r="W700" s="221"/>
      <c r="X700" s="221"/>
      <c r="Y700" s="68"/>
      <c r="Z700" s="68"/>
      <c r="AA700" s="68"/>
    </row>
    <row r="701">
      <c r="A701" s="134"/>
      <c r="B701" s="134"/>
      <c r="C701" s="68"/>
      <c r="D701" s="68"/>
      <c r="E701" s="68"/>
      <c r="F701" s="68"/>
      <c r="G701" s="68"/>
      <c r="H701" s="68"/>
      <c r="I701" s="221"/>
      <c r="J701" s="221"/>
      <c r="K701" s="221"/>
      <c r="L701" s="221"/>
      <c r="M701" s="221"/>
      <c r="N701" s="221"/>
      <c r="O701" s="221"/>
      <c r="P701" s="221"/>
      <c r="Q701" s="221"/>
      <c r="R701" s="221"/>
      <c r="S701" s="221"/>
      <c r="T701" s="221"/>
      <c r="U701" s="221"/>
      <c r="V701" s="221"/>
      <c r="W701" s="221"/>
      <c r="X701" s="221"/>
      <c r="Y701" s="68"/>
      <c r="Z701" s="68"/>
      <c r="AA701" s="68"/>
    </row>
    <row r="702">
      <c r="A702" s="134"/>
      <c r="B702" s="134"/>
      <c r="C702" s="68"/>
      <c r="D702" s="68"/>
      <c r="E702" s="68"/>
      <c r="F702" s="68"/>
      <c r="G702" s="68"/>
      <c r="H702" s="68"/>
      <c r="I702" s="221"/>
      <c r="J702" s="221"/>
      <c r="K702" s="221"/>
      <c r="L702" s="221"/>
      <c r="M702" s="221"/>
      <c r="N702" s="221"/>
      <c r="O702" s="221"/>
      <c r="P702" s="221"/>
      <c r="Q702" s="221"/>
      <c r="R702" s="221"/>
      <c r="S702" s="221"/>
      <c r="T702" s="221"/>
      <c r="U702" s="221"/>
      <c r="V702" s="221"/>
      <c r="W702" s="221"/>
      <c r="X702" s="221"/>
      <c r="Y702" s="68"/>
      <c r="Z702" s="68"/>
      <c r="AA702" s="68"/>
    </row>
    <row r="703">
      <c r="A703" s="134"/>
      <c r="B703" s="134"/>
      <c r="C703" s="68"/>
      <c r="D703" s="68"/>
      <c r="E703" s="68"/>
      <c r="F703" s="68"/>
      <c r="G703" s="68"/>
      <c r="H703" s="68"/>
      <c r="I703" s="221"/>
      <c r="J703" s="221"/>
      <c r="K703" s="221"/>
      <c r="L703" s="221"/>
      <c r="M703" s="221"/>
      <c r="N703" s="221"/>
      <c r="O703" s="221"/>
      <c r="P703" s="221"/>
      <c r="Q703" s="221"/>
      <c r="R703" s="221"/>
      <c r="S703" s="221"/>
      <c r="T703" s="221"/>
      <c r="U703" s="221"/>
      <c r="V703" s="221"/>
      <c r="W703" s="221"/>
      <c r="X703" s="221"/>
      <c r="Y703" s="68"/>
      <c r="Z703" s="68"/>
      <c r="AA703" s="68"/>
    </row>
    <row r="704">
      <c r="A704" s="134"/>
      <c r="B704" s="134"/>
      <c r="C704" s="68"/>
      <c r="D704" s="68"/>
      <c r="E704" s="68"/>
      <c r="F704" s="68"/>
      <c r="G704" s="68"/>
      <c r="H704" s="68"/>
      <c r="I704" s="221"/>
      <c r="J704" s="221"/>
      <c r="K704" s="221"/>
      <c r="L704" s="221"/>
      <c r="M704" s="221"/>
      <c r="N704" s="221"/>
      <c r="O704" s="221"/>
      <c r="P704" s="221"/>
      <c r="Q704" s="221"/>
      <c r="R704" s="221"/>
      <c r="S704" s="221"/>
      <c r="T704" s="221"/>
      <c r="U704" s="221"/>
      <c r="V704" s="221"/>
      <c r="W704" s="221"/>
      <c r="X704" s="221"/>
      <c r="Y704" s="68"/>
      <c r="Z704" s="68"/>
      <c r="AA704" s="68"/>
    </row>
    <row r="705">
      <c r="A705" s="134"/>
      <c r="B705" s="134"/>
      <c r="C705" s="68"/>
      <c r="D705" s="68"/>
      <c r="E705" s="68"/>
      <c r="F705" s="68"/>
      <c r="G705" s="68"/>
      <c r="H705" s="68"/>
      <c r="I705" s="221"/>
      <c r="J705" s="221"/>
      <c r="K705" s="221"/>
      <c r="L705" s="221"/>
      <c r="M705" s="221"/>
      <c r="N705" s="221"/>
      <c r="O705" s="221"/>
      <c r="P705" s="221"/>
      <c r="Q705" s="221"/>
      <c r="R705" s="221"/>
      <c r="S705" s="221"/>
      <c r="T705" s="221"/>
      <c r="U705" s="221"/>
      <c r="V705" s="221"/>
      <c r="W705" s="221"/>
      <c r="X705" s="221"/>
      <c r="Y705" s="68"/>
      <c r="Z705" s="68"/>
      <c r="AA705" s="68"/>
    </row>
    <row r="706">
      <c r="A706" s="134"/>
      <c r="B706" s="134"/>
      <c r="C706" s="68"/>
      <c r="D706" s="68"/>
      <c r="E706" s="68"/>
      <c r="F706" s="68"/>
      <c r="G706" s="68"/>
      <c r="H706" s="68"/>
      <c r="I706" s="221"/>
      <c r="J706" s="221"/>
      <c r="K706" s="221"/>
      <c r="L706" s="221"/>
      <c r="M706" s="221"/>
      <c r="N706" s="221"/>
      <c r="O706" s="221"/>
      <c r="P706" s="221"/>
      <c r="Q706" s="221"/>
      <c r="R706" s="221"/>
      <c r="S706" s="221"/>
      <c r="T706" s="221"/>
      <c r="U706" s="221"/>
      <c r="V706" s="221"/>
      <c r="W706" s="221"/>
      <c r="X706" s="221"/>
      <c r="Y706" s="68"/>
      <c r="Z706" s="68"/>
      <c r="AA706" s="68"/>
    </row>
    <row r="707">
      <c r="A707" s="134"/>
      <c r="B707" s="134"/>
      <c r="C707" s="68"/>
      <c r="D707" s="68"/>
      <c r="E707" s="68"/>
      <c r="F707" s="68"/>
      <c r="G707" s="68"/>
      <c r="H707" s="68"/>
      <c r="I707" s="221"/>
      <c r="J707" s="221"/>
      <c r="K707" s="221"/>
      <c r="L707" s="221"/>
      <c r="M707" s="221"/>
      <c r="N707" s="221"/>
      <c r="O707" s="221"/>
      <c r="P707" s="221"/>
      <c r="Q707" s="221"/>
      <c r="R707" s="221"/>
      <c r="S707" s="221"/>
      <c r="T707" s="221"/>
      <c r="U707" s="221"/>
      <c r="V707" s="221"/>
      <c r="W707" s="221"/>
      <c r="X707" s="221"/>
      <c r="Y707" s="68"/>
      <c r="Z707" s="68"/>
      <c r="AA707" s="68"/>
    </row>
    <row r="708">
      <c r="A708" s="134"/>
      <c r="B708" s="134"/>
      <c r="C708" s="68"/>
      <c r="D708" s="68"/>
      <c r="E708" s="68"/>
      <c r="F708" s="68"/>
      <c r="G708" s="68"/>
      <c r="H708" s="68"/>
      <c r="I708" s="221"/>
      <c r="J708" s="221"/>
      <c r="K708" s="221"/>
      <c r="L708" s="221"/>
      <c r="M708" s="221"/>
      <c r="N708" s="221"/>
      <c r="O708" s="221"/>
      <c r="P708" s="221"/>
      <c r="Q708" s="221"/>
      <c r="R708" s="221"/>
      <c r="S708" s="221"/>
      <c r="T708" s="221"/>
      <c r="U708" s="221"/>
      <c r="V708" s="221"/>
      <c r="W708" s="221"/>
      <c r="X708" s="221"/>
      <c r="Y708" s="68"/>
      <c r="Z708" s="68"/>
      <c r="AA708" s="68"/>
    </row>
    <row r="709">
      <c r="A709" s="134"/>
      <c r="B709" s="134"/>
      <c r="C709" s="68"/>
      <c r="D709" s="68"/>
      <c r="E709" s="68"/>
      <c r="F709" s="68"/>
      <c r="G709" s="68"/>
      <c r="H709" s="68"/>
      <c r="I709" s="221"/>
      <c r="J709" s="221"/>
      <c r="K709" s="221"/>
      <c r="L709" s="221"/>
      <c r="M709" s="221"/>
      <c r="N709" s="221"/>
      <c r="O709" s="221"/>
      <c r="P709" s="221"/>
      <c r="Q709" s="221"/>
      <c r="R709" s="221"/>
      <c r="S709" s="221"/>
      <c r="T709" s="221"/>
      <c r="U709" s="221"/>
      <c r="V709" s="221"/>
      <c r="W709" s="221"/>
      <c r="X709" s="221"/>
      <c r="Y709" s="68"/>
      <c r="Z709" s="68"/>
      <c r="AA709" s="68"/>
    </row>
    <row r="710">
      <c r="A710" s="134"/>
      <c r="B710" s="134"/>
      <c r="C710" s="68"/>
      <c r="D710" s="68"/>
      <c r="E710" s="68"/>
      <c r="F710" s="68"/>
      <c r="G710" s="68"/>
      <c r="H710" s="68"/>
      <c r="I710" s="221"/>
      <c r="J710" s="221"/>
      <c r="K710" s="221"/>
      <c r="L710" s="221"/>
      <c r="M710" s="221"/>
      <c r="N710" s="221"/>
      <c r="O710" s="221"/>
      <c r="P710" s="221"/>
      <c r="Q710" s="221"/>
      <c r="R710" s="221"/>
      <c r="S710" s="221"/>
      <c r="T710" s="221"/>
      <c r="U710" s="221"/>
      <c r="V710" s="221"/>
      <c r="W710" s="221"/>
      <c r="X710" s="221"/>
      <c r="Y710" s="68"/>
      <c r="Z710" s="68"/>
      <c r="AA710" s="68"/>
    </row>
    <row r="711">
      <c r="A711" s="134"/>
      <c r="B711" s="134"/>
      <c r="C711" s="68"/>
      <c r="D711" s="68"/>
      <c r="E711" s="68"/>
      <c r="F711" s="68"/>
      <c r="G711" s="68"/>
      <c r="H711" s="68"/>
      <c r="I711" s="221"/>
      <c r="J711" s="221"/>
      <c r="K711" s="221"/>
      <c r="L711" s="221"/>
      <c r="M711" s="221"/>
      <c r="N711" s="221"/>
      <c r="O711" s="221"/>
      <c r="P711" s="221"/>
      <c r="Q711" s="221"/>
      <c r="R711" s="221"/>
      <c r="S711" s="221"/>
      <c r="T711" s="221"/>
      <c r="U711" s="221"/>
      <c r="V711" s="221"/>
      <c r="W711" s="221"/>
      <c r="X711" s="221"/>
      <c r="Y711" s="68"/>
      <c r="Z711" s="68"/>
      <c r="AA711" s="68"/>
    </row>
    <row r="712">
      <c r="A712" s="134"/>
      <c r="B712" s="134"/>
      <c r="C712" s="68"/>
      <c r="D712" s="68"/>
      <c r="E712" s="68"/>
      <c r="F712" s="68"/>
      <c r="G712" s="68"/>
      <c r="H712" s="68"/>
      <c r="I712" s="221"/>
      <c r="J712" s="221"/>
      <c r="K712" s="221"/>
      <c r="L712" s="221"/>
      <c r="M712" s="221"/>
      <c r="N712" s="221"/>
      <c r="O712" s="221"/>
      <c r="P712" s="221"/>
      <c r="Q712" s="221"/>
      <c r="R712" s="221"/>
      <c r="S712" s="221"/>
      <c r="T712" s="221"/>
      <c r="U712" s="221"/>
      <c r="V712" s="221"/>
      <c r="W712" s="221"/>
      <c r="X712" s="221"/>
      <c r="Y712" s="68"/>
      <c r="Z712" s="68"/>
      <c r="AA712" s="68"/>
    </row>
    <row r="713">
      <c r="A713" s="134"/>
      <c r="B713" s="134"/>
      <c r="C713" s="68"/>
      <c r="D713" s="68"/>
      <c r="E713" s="68"/>
      <c r="F713" s="68"/>
      <c r="G713" s="68"/>
      <c r="H713" s="68"/>
      <c r="I713" s="221"/>
      <c r="J713" s="221"/>
      <c r="K713" s="221"/>
      <c r="L713" s="221"/>
      <c r="M713" s="221"/>
      <c r="N713" s="221"/>
      <c r="O713" s="221"/>
      <c r="P713" s="221"/>
      <c r="Q713" s="221"/>
      <c r="R713" s="221"/>
      <c r="S713" s="221"/>
      <c r="T713" s="221"/>
      <c r="U713" s="221"/>
      <c r="V713" s="221"/>
      <c r="W713" s="221"/>
      <c r="X713" s="221"/>
      <c r="Y713" s="68"/>
      <c r="Z713" s="68"/>
      <c r="AA713" s="68"/>
    </row>
    <row r="714">
      <c r="A714" s="134"/>
      <c r="B714" s="134"/>
      <c r="C714" s="68"/>
      <c r="D714" s="68"/>
      <c r="E714" s="68"/>
      <c r="F714" s="68"/>
      <c r="G714" s="68"/>
      <c r="H714" s="68"/>
      <c r="I714" s="221"/>
      <c r="J714" s="221"/>
      <c r="K714" s="221"/>
      <c r="L714" s="221"/>
      <c r="M714" s="221"/>
      <c r="N714" s="221"/>
      <c r="O714" s="221"/>
      <c r="P714" s="221"/>
      <c r="Q714" s="221"/>
      <c r="R714" s="221"/>
      <c r="S714" s="221"/>
      <c r="T714" s="221"/>
      <c r="U714" s="221"/>
      <c r="V714" s="221"/>
      <c r="W714" s="221"/>
      <c r="X714" s="221"/>
      <c r="Y714" s="68"/>
      <c r="Z714" s="68"/>
      <c r="AA714" s="68"/>
    </row>
    <row r="715">
      <c r="A715" s="134"/>
      <c r="B715" s="134"/>
      <c r="C715" s="68"/>
      <c r="D715" s="68"/>
      <c r="E715" s="68"/>
      <c r="F715" s="68"/>
      <c r="G715" s="68"/>
      <c r="H715" s="68"/>
      <c r="I715" s="221"/>
      <c r="J715" s="221"/>
      <c r="K715" s="221"/>
      <c r="L715" s="221"/>
      <c r="M715" s="221"/>
      <c r="N715" s="221"/>
      <c r="O715" s="221"/>
      <c r="P715" s="221"/>
      <c r="Q715" s="221"/>
      <c r="R715" s="221"/>
      <c r="S715" s="221"/>
      <c r="T715" s="221"/>
      <c r="U715" s="221"/>
      <c r="V715" s="221"/>
      <c r="W715" s="221"/>
      <c r="X715" s="221"/>
      <c r="Y715" s="68"/>
      <c r="Z715" s="68"/>
      <c r="AA715" s="68"/>
    </row>
    <row r="716">
      <c r="A716" s="134"/>
      <c r="B716" s="134"/>
      <c r="C716" s="68"/>
      <c r="D716" s="68"/>
      <c r="E716" s="68"/>
      <c r="F716" s="68"/>
      <c r="G716" s="68"/>
      <c r="H716" s="68"/>
      <c r="I716" s="221"/>
      <c r="J716" s="221"/>
      <c r="K716" s="221"/>
      <c r="L716" s="221"/>
      <c r="M716" s="221"/>
      <c r="N716" s="221"/>
      <c r="O716" s="221"/>
      <c r="P716" s="221"/>
      <c r="Q716" s="221"/>
      <c r="R716" s="221"/>
      <c r="S716" s="221"/>
      <c r="T716" s="221"/>
      <c r="U716" s="221"/>
      <c r="V716" s="221"/>
      <c r="W716" s="221"/>
      <c r="X716" s="221"/>
      <c r="Y716" s="68"/>
      <c r="Z716" s="68"/>
      <c r="AA716" s="68"/>
    </row>
    <row r="717">
      <c r="A717" s="134"/>
      <c r="B717" s="134"/>
      <c r="C717" s="68"/>
      <c r="D717" s="68"/>
      <c r="E717" s="68"/>
      <c r="F717" s="68"/>
      <c r="G717" s="68"/>
      <c r="H717" s="68"/>
      <c r="I717" s="221"/>
      <c r="J717" s="221"/>
      <c r="K717" s="221"/>
      <c r="L717" s="221"/>
      <c r="M717" s="221"/>
      <c r="N717" s="221"/>
      <c r="O717" s="221"/>
      <c r="P717" s="221"/>
      <c r="Q717" s="221"/>
      <c r="R717" s="221"/>
      <c r="S717" s="221"/>
      <c r="T717" s="221"/>
      <c r="U717" s="221"/>
      <c r="V717" s="221"/>
      <c r="W717" s="221"/>
      <c r="X717" s="221"/>
      <c r="Y717" s="68"/>
      <c r="Z717" s="68"/>
      <c r="AA717" s="68"/>
    </row>
    <row r="718">
      <c r="A718" s="134"/>
      <c r="B718" s="134"/>
      <c r="C718" s="68"/>
      <c r="D718" s="68"/>
      <c r="E718" s="68"/>
      <c r="F718" s="68"/>
      <c r="G718" s="68"/>
      <c r="H718" s="68"/>
      <c r="I718" s="221"/>
      <c r="J718" s="221"/>
      <c r="K718" s="221"/>
      <c r="L718" s="221"/>
      <c r="M718" s="221"/>
      <c r="N718" s="221"/>
      <c r="O718" s="221"/>
      <c r="P718" s="221"/>
      <c r="Q718" s="221"/>
      <c r="R718" s="221"/>
      <c r="S718" s="221"/>
      <c r="T718" s="221"/>
      <c r="U718" s="221"/>
      <c r="V718" s="221"/>
      <c r="W718" s="221"/>
      <c r="X718" s="221"/>
      <c r="Y718" s="68"/>
      <c r="Z718" s="68"/>
      <c r="AA718" s="68"/>
    </row>
    <row r="719">
      <c r="A719" s="134"/>
      <c r="B719" s="134"/>
      <c r="C719" s="68"/>
      <c r="D719" s="68"/>
      <c r="E719" s="68"/>
      <c r="F719" s="68"/>
      <c r="G719" s="68"/>
      <c r="H719" s="68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68"/>
      <c r="Z719" s="68"/>
      <c r="AA719" s="68"/>
    </row>
    <row r="720">
      <c r="A720" s="134"/>
      <c r="B720" s="134"/>
      <c r="C720" s="68"/>
      <c r="D720" s="68"/>
      <c r="E720" s="68"/>
      <c r="F720" s="68"/>
      <c r="G720" s="68"/>
      <c r="H720" s="68"/>
      <c r="I720" s="221"/>
      <c r="J720" s="221"/>
      <c r="K720" s="221"/>
      <c r="L720" s="221"/>
      <c r="M720" s="221"/>
      <c r="N720" s="221"/>
      <c r="O720" s="221"/>
      <c r="P720" s="221"/>
      <c r="Q720" s="221"/>
      <c r="R720" s="221"/>
      <c r="S720" s="221"/>
      <c r="T720" s="221"/>
      <c r="U720" s="221"/>
      <c r="V720" s="221"/>
      <c r="W720" s="221"/>
      <c r="X720" s="221"/>
      <c r="Y720" s="68"/>
      <c r="Z720" s="68"/>
      <c r="AA720" s="68"/>
    </row>
    <row r="721">
      <c r="A721" s="134"/>
      <c r="B721" s="134"/>
      <c r="C721" s="68"/>
      <c r="D721" s="68"/>
      <c r="E721" s="68"/>
      <c r="F721" s="68"/>
      <c r="G721" s="68"/>
      <c r="H721" s="68"/>
      <c r="I721" s="221"/>
      <c r="J721" s="221"/>
      <c r="K721" s="221"/>
      <c r="L721" s="221"/>
      <c r="M721" s="221"/>
      <c r="N721" s="221"/>
      <c r="O721" s="221"/>
      <c r="P721" s="221"/>
      <c r="Q721" s="221"/>
      <c r="R721" s="221"/>
      <c r="S721" s="221"/>
      <c r="T721" s="221"/>
      <c r="U721" s="221"/>
      <c r="V721" s="221"/>
      <c r="W721" s="221"/>
      <c r="X721" s="221"/>
      <c r="Y721" s="68"/>
      <c r="Z721" s="68"/>
      <c r="AA721" s="68"/>
    </row>
    <row r="722">
      <c r="A722" s="134"/>
      <c r="B722" s="134"/>
      <c r="C722" s="68"/>
      <c r="D722" s="68"/>
      <c r="E722" s="68"/>
      <c r="F722" s="68"/>
      <c r="G722" s="68"/>
      <c r="H722" s="68"/>
      <c r="I722" s="221"/>
      <c r="J722" s="221"/>
      <c r="K722" s="221"/>
      <c r="L722" s="221"/>
      <c r="M722" s="221"/>
      <c r="N722" s="221"/>
      <c r="O722" s="221"/>
      <c r="P722" s="221"/>
      <c r="Q722" s="221"/>
      <c r="R722" s="221"/>
      <c r="S722" s="221"/>
      <c r="T722" s="221"/>
      <c r="U722" s="221"/>
      <c r="V722" s="221"/>
      <c r="W722" s="221"/>
      <c r="X722" s="221"/>
      <c r="Y722" s="68"/>
      <c r="Z722" s="68"/>
      <c r="AA722" s="68"/>
    </row>
    <row r="723">
      <c r="A723" s="134"/>
      <c r="B723" s="134"/>
      <c r="C723" s="68"/>
      <c r="D723" s="68"/>
      <c r="E723" s="68"/>
      <c r="F723" s="68"/>
      <c r="G723" s="68"/>
      <c r="H723" s="68"/>
      <c r="I723" s="221"/>
      <c r="J723" s="221"/>
      <c r="K723" s="221"/>
      <c r="L723" s="221"/>
      <c r="M723" s="221"/>
      <c r="N723" s="221"/>
      <c r="O723" s="221"/>
      <c r="P723" s="221"/>
      <c r="Q723" s="221"/>
      <c r="R723" s="221"/>
      <c r="S723" s="221"/>
      <c r="T723" s="221"/>
      <c r="U723" s="221"/>
      <c r="V723" s="221"/>
      <c r="W723" s="221"/>
      <c r="X723" s="221"/>
      <c r="Y723" s="68"/>
      <c r="Z723" s="68"/>
      <c r="AA723" s="68"/>
    </row>
    <row r="724">
      <c r="A724" s="134"/>
      <c r="B724" s="134"/>
      <c r="C724" s="68"/>
      <c r="D724" s="68"/>
      <c r="E724" s="68"/>
      <c r="F724" s="68"/>
      <c r="G724" s="68"/>
      <c r="H724" s="68"/>
      <c r="I724" s="221"/>
      <c r="J724" s="221"/>
      <c r="K724" s="221"/>
      <c r="L724" s="221"/>
      <c r="M724" s="221"/>
      <c r="N724" s="221"/>
      <c r="O724" s="221"/>
      <c r="P724" s="221"/>
      <c r="Q724" s="221"/>
      <c r="R724" s="221"/>
      <c r="S724" s="221"/>
      <c r="T724" s="221"/>
      <c r="U724" s="221"/>
      <c r="V724" s="221"/>
      <c r="W724" s="221"/>
      <c r="X724" s="221"/>
      <c r="Y724" s="68"/>
      <c r="Z724" s="68"/>
      <c r="AA724" s="68"/>
    </row>
    <row r="725">
      <c r="A725" s="134"/>
      <c r="B725" s="134"/>
      <c r="C725" s="68"/>
      <c r="D725" s="68"/>
      <c r="E725" s="68"/>
      <c r="F725" s="68"/>
      <c r="G725" s="68"/>
      <c r="H725" s="68"/>
      <c r="I725" s="221"/>
      <c r="J725" s="221"/>
      <c r="K725" s="221"/>
      <c r="L725" s="221"/>
      <c r="M725" s="221"/>
      <c r="N725" s="221"/>
      <c r="O725" s="221"/>
      <c r="P725" s="221"/>
      <c r="Q725" s="221"/>
      <c r="R725" s="221"/>
      <c r="S725" s="221"/>
      <c r="T725" s="221"/>
      <c r="U725" s="221"/>
      <c r="V725" s="221"/>
      <c r="W725" s="221"/>
      <c r="X725" s="221"/>
      <c r="Y725" s="68"/>
      <c r="Z725" s="68"/>
      <c r="AA725" s="68"/>
    </row>
    <row r="726">
      <c r="A726" s="134"/>
      <c r="B726" s="134"/>
      <c r="C726" s="68"/>
      <c r="D726" s="68"/>
      <c r="E726" s="68"/>
      <c r="F726" s="68"/>
      <c r="G726" s="68"/>
      <c r="H726" s="68"/>
      <c r="I726" s="221"/>
      <c r="J726" s="221"/>
      <c r="K726" s="221"/>
      <c r="L726" s="221"/>
      <c r="M726" s="221"/>
      <c r="N726" s="221"/>
      <c r="O726" s="221"/>
      <c r="P726" s="221"/>
      <c r="Q726" s="221"/>
      <c r="R726" s="221"/>
      <c r="S726" s="221"/>
      <c r="T726" s="221"/>
      <c r="U726" s="221"/>
      <c r="V726" s="221"/>
      <c r="W726" s="221"/>
      <c r="X726" s="221"/>
      <c r="Y726" s="68"/>
      <c r="Z726" s="68"/>
      <c r="AA726" s="68"/>
    </row>
    <row r="727">
      <c r="A727" s="134"/>
      <c r="B727" s="134"/>
      <c r="C727" s="68"/>
      <c r="D727" s="68"/>
      <c r="E727" s="68"/>
      <c r="F727" s="68"/>
      <c r="G727" s="68"/>
      <c r="H727" s="68"/>
      <c r="I727" s="221"/>
      <c r="J727" s="221"/>
      <c r="K727" s="221"/>
      <c r="L727" s="221"/>
      <c r="M727" s="221"/>
      <c r="N727" s="221"/>
      <c r="O727" s="221"/>
      <c r="P727" s="221"/>
      <c r="Q727" s="221"/>
      <c r="R727" s="221"/>
      <c r="S727" s="221"/>
      <c r="T727" s="221"/>
      <c r="U727" s="221"/>
      <c r="V727" s="221"/>
      <c r="W727" s="221"/>
      <c r="X727" s="221"/>
      <c r="Y727" s="68"/>
      <c r="Z727" s="68"/>
      <c r="AA727" s="68"/>
    </row>
    <row r="728">
      <c r="A728" s="134"/>
      <c r="B728" s="134"/>
      <c r="C728" s="68"/>
      <c r="D728" s="68"/>
      <c r="E728" s="68"/>
      <c r="F728" s="68"/>
      <c r="G728" s="68"/>
      <c r="H728" s="68"/>
      <c r="I728" s="221"/>
      <c r="J728" s="221"/>
      <c r="K728" s="221"/>
      <c r="L728" s="221"/>
      <c r="M728" s="221"/>
      <c r="N728" s="221"/>
      <c r="O728" s="221"/>
      <c r="P728" s="221"/>
      <c r="Q728" s="221"/>
      <c r="R728" s="221"/>
      <c r="S728" s="221"/>
      <c r="T728" s="221"/>
      <c r="U728" s="221"/>
      <c r="V728" s="221"/>
      <c r="W728" s="221"/>
      <c r="X728" s="221"/>
      <c r="Y728" s="68"/>
      <c r="Z728" s="68"/>
      <c r="AA728" s="68"/>
    </row>
    <row r="729">
      <c r="A729" s="134"/>
      <c r="B729" s="134"/>
      <c r="C729" s="68"/>
      <c r="D729" s="68"/>
      <c r="E729" s="68"/>
      <c r="F729" s="68"/>
      <c r="G729" s="68"/>
      <c r="H729" s="68"/>
      <c r="I729" s="221"/>
      <c r="J729" s="221"/>
      <c r="K729" s="221"/>
      <c r="L729" s="221"/>
      <c r="M729" s="221"/>
      <c r="N729" s="221"/>
      <c r="O729" s="221"/>
      <c r="P729" s="221"/>
      <c r="Q729" s="221"/>
      <c r="R729" s="221"/>
      <c r="S729" s="221"/>
      <c r="T729" s="221"/>
      <c r="U729" s="221"/>
      <c r="V729" s="221"/>
      <c r="W729" s="221"/>
      <c r="X729" s="221"/>
      <c r="Y729" s="68"/>
      <c r="Z729" s="68"/>
      <c r="AA729" s="68"/>
    </row>
    <row r="730">
      <c r="A730" s="134"/>
      <c r="B730" s="134"/>
      <c r="C730" s="68"/>
      <c r="D730" s="68"/>
      <c r="E730" s="68"/>
      <c r="F730" s="68"/>
      <c r="G730" s="68"/>
      <c r="H730" s="68"/>
      <c r="I730" s="221"/>
      <c r="J730" s="221"/>
      <c r="K730" s="221"/>
      <c r="L730" s="221"/>
      <c r="M730" s="221"/>
      <c r="N730" s="221"/>
      <c r="O730" s="221"/>
      <c r="P730" s="221"/>
      <c r="Q730" s="221"/>
      <c r="R730" s="221"/>
      <c r="S730" s="221"/>
      <c r="T730" s="221"/>
      <c r="U730" s="221"/>
      <c r="V730" s="221"/>
      <c r="W730" s="221"/>
      <c r="X730" s="221"/>
      <c r="Y730" s="68"/>
      <c r="Z730" s="68"/>
      <c r="AA730" s="68"/>
    </row>
    <row r="731">
      <c r="A731" s="134"/>
      <c r="B731" s="134"/>
      <c r="C731" s="68"/>
      <c r="D731" s="68"/>
      <c r="E731" s="68"/>
      <c r="F731" s="68"/>
      <c r="G731" s="68"/>
      <c r="H731" s="68"/>
      <c r="I731" s="221"/>
      <c r="J731" s="221"/>
      <c r="K731" s="221"/>
      <c r="L731" s="221"/>
      <c r="M731" s="221"/>
      <c r="N731" s="221"/>
      <c r="O731" s="221"/>
      <c r="P731" s="221"/>
      <c r="Q731" s="221"/>
      <c r="R731" s="221"/>
      <c r="S731" s="221"/>
      <c r="T731" s="221"/>
      <c r="U731" s="221"/>
      <c r="V731" s="221"/>
      <c r="W731" s="221"/>
      <c r="X731" s="221"/>
      <c r="Y731" s="68"/>
      <c r="Z731" s="68"/>
      <c r="AA731" s="68"/>
    </row>
    <row r="732">
      <c r="A732" s="134"/>
      <c r="B732" s="134"/>
      <c r="C732" s="68"/>
      <c r="D732" s="68"/>
      <c r="E732" s="68"/>
      <c r="F732" s="68"/>
      <c r="G732" s="68"/>
      <c r="H732" s="68"/>
      <c r="I732" s="221"/>
      <c r="J732" s="221"/>
      <c r="K732" s="221"/>
      <c r="L732" s="221"/>
      <c r="M732" s="221"/>
      <c r="N732" s="221"/>
      <c r="O732" s="221"/>
      <c r="P732" s="221"/>
      <c r="Q732" s="221"/>
      <c r="R732" s="221"/>
      <c r="S732" s="221"/>
      <c r="T732" s="221"/>
      <c r="U732" s="221"/>
      <c r="V732" s="221"/>
      <c r="W732" s="221"/>
      <c r="X732" s="221"/>
      <c r="Y732" s="68"/>
      <c r="Z732" s="68"/>
      <c r="AA732" s="68"/>
    </row>
    <row r="733">
      <c r="A733" s="134"/>
      <c r="B733" s="134"/>
      <c r="C733" s="68"/>
      <c r="D733" s="68"/>
      <c r="E733" s="68"/>
      <c r="F733" s="68"/>
      <c r="G733" s="68"/>
      <c r="H733" s="68"/>
      <c r="I733" s="221"/>
      <c r="J733" s="221"/>
      <c r="K733" s="221"/>
      <c r="L733" s="221"/>
      <c r="M733" s="221"/>
      <c r="N733" s="221"/>
      <c r="O733" s="221"/>
      <c r="P733" s="221"/>
      <c r="Q733" s="221"/>
      <c r="R733" s="221"/>
      <c r="S733" s="221"/>
      <c r="T733" s="221"/>
      <c r="U733" s="221"/>
      <c r="V733" s="221"/>
      <c r="W733" s="221"/>
      <c r="X733" s="221"/>
      <c r="Y733" s="68"/>
      <c r="Z733" s="68"/>
      <c r="AA733" s="68"/>
    </row>
    <row r="734">
      <c r="A734" s="134"/>
      <c r="B734" s="134"/>
      <c r="C734" s="68"/>
      <c r="D734" s="68"/>
      <c r="E734" s="68"/>
      <c r="F734" s="68"/>
      <c r="G734" s="68"/>
      <c r="H734" s="68"/>
      <c r="I734" s="221"/>
      <c r="J734" s="221"/>
      <c r="K734" s="221"/>
      <c r="L734" s="221"/>
      <c r="M734" s="221"/>
      <c r="N734" s="221"/>
      <c r="O734" s="221"/>
      <c r="P734" s="221"/>
      <c r="Q734" s="221"/>
      <c r="R734" s="221"/>
      <c r="S734" s="221"/>
      <c r="T734" s="221"/>
      <c r="U734" s="221"/>
      <c r="V734" s="221"/>
      <c r="W734" s="221"/>
      <c r="X734" s="221"/>
      <c r="Y734" s="68"/>
      <c r="Z734" s="68"/>
      <c r="AA734" s="68"/>
    </row>
    <row r="735">
      <c r="A735" s="134"/>
      <c r="B735" s="134"/>
      <c r="C735" s="68"/>
      <c r="D735" s="68"/>
      <c r="E735" s="68"/>
      <c r="F735" s="68"/>
      <c r="G735" s="68"/>
      <c r="H735" s="68"/>
      <c r="I735" s="221"/>
      <c r="J735" s="221"/>
      <c r="K735" s="221"/>
      <c r="L735" s="221"/>
      <c r="M735" s="221"/>
      <c r="N735" s="221"/>
      <c r="O735" s="221"/>
      <c r="P735" s="221"/>
      <c r="Q735" s="221"/>
      <c r="R735" s="221"/>
      <c r="S735" s="221"/>
      <c r="T735" s="221"/>
      <c r="U735" s="221"/>
      <c r="V735" s="221"/>
      <c r="W735" s="221"/>
      <c r="X735" s="221"/>
      <c r="Y735" s="68"/>
      <c r="Z735" s="68"/>
      <c r="AA735" s="68"/>
    </row>
    <row r="736">
      <c r="A736" s="134"/>
      <c r="B736" s="134"/>
      <c r="C736" s="68"/>
      <c r="D736" s="68"/>
      <c r="E736" s="68"/>
      <c r="F736" s="68"/>
      <c r="G736" s="68"/>
      <c r="H736" s="68"/>
      <c r="I736" s="221"/>
      <c r="J736" s="221"/>
      <c r="K736" s="221"/>
      <c r="L736" s="221"/>
      <c r="M736" s="221"/>
      <c r="N736" s="221"/>
      <c r="O736" s="221"/>
      <c r="P736" s="221"/>
      <c r="Q736" s="221"/>
      <c r="R736" s="221"/>
      <c r="S736" s="221"/>
      <c r="T736" s="221"/>
      <c r="U736" s="221"/>
      <c r="V736" s="221"/>
      <c r="W736" s="221"/>
      <c r="X736" s="221"/>
      <c r="Y736" s="68"/>
      <c r="Z736" s="68"/>
      <c r="AA736" s="68"/>
    </row>
    <row r="737">
      <c r="A737" s="134"/>
      <c r="B737" s="134"/>
      <c r="C737" s="68"/>
      <c r="D737" s="68"/>
      <c r="E737" s="68"/>
      <c r="F737" s="68"/>
      <c r="G737" s="68"/>
      <c r="H737" s="68"/>
      <c r="I737" s="221"/>
      <c r="J737" s="221"/>
      <c r="K737" s="221"/>
      <c r="L737" s="221"/>
      <c r="M737" s="221"/>
      <c r="N737" s="221"/>
      <c r="O737" s="221"/>
      <c r="P737" s="221"/>
      <c r="Q737" s="221"/>
      <c r="R737" s="221"/>
      <c r="S737" s="221"/>
      <c r="T737" s="221"/>
      <c r="U737" s="221"/>
      <c r="V737" s="221"/>
      <c r="W737" s="221"/>
      <c r="X737" s="221"/>
      <c r="Y737" s="68"/>
      <c r="Z737" s="68"/>
      <c r="AA737" s="68"/>
    </row>
    <row r="738">
      <c r="A738" s="134"/>
      <c r="B738" s="134"/>
      <c r="C738" s="68"/>
      <c r="D738" s="68"/>
      <c r="E738" s="68"/>
      <c r="F738" s="68"/>
      <c r="G738" s="68"/>
      <c r="H738" s="68"/>
      <c r="I738" s="221"/>
      <c r="J738" s="221"/>
      <c r="K738" s="221"/>
      <c r="L738" s="221"/>
      <c r="M738" s="221"/>
      <c r="N738" s="221"/>
      <c r="O738" s="221"/>
      <c r="P738" s="221"/>
      <c r="Q738" s="221"/>
      <c r="R738" s="221"/>
      <c r="S738" s="221"/>
      <c r="T738" s="221"/>
      <c r="U738" s="221"/>
      <c r="V738" s="221"/>
      <c r="W738" s="221"/>
      <c r="X738" s="221"/>
      <c r="Y738" s="68"/>
      <c r="Z738" s="68"/>
      <c r="AA738" s="68"/>
    </row>
    <row r="739">
      <c r="A739" s="134"/>
      <c r="B739" s="134"/>
      <c r="C739" s="68"/>
      <c r="D739" s="68"/>
      <c r="E739" s="68"/>
      <c r="F739" s="68"/>
      <c r="G739" s="68"/>
      <c r="H739" s="68"/>
      <c r="I739" s="221"/>
      <c r="J739" s="221"/>
      <c r="K739" s="221"/>
      <c r="L739" s="221"/>
      <c r="M739" s="221"/>
      <c r="N739" s="221"/>
      <c r="O739" s="221"/>
      <c r="P739" s="221"/>
      <c r="Q739" s="221"/>
      <c r="R739" s="221"/>
      <c r="S739" s="221"/>
      <c r="T739" s="221"/>
      <c r="U739" s="221"/>
      <c r="V739" s="221"/>
      <c r="W739" s="221"/>
      <c r="X739" s="221"/>
      <c r="Y739" s="68"/>
      <c r="Z739" s="68"/>
      <c r="AA739" s="68"/>
    </row>
    <row r="740">
      <c r="A740" s="134"/>
      <c r="B740" s="134"/>
      <c r="C740" s="68"/>
      <c r="D740" s="68"/>
      <c r="E740" s="68"/>
      <c r="F740" s="68"/>
      <c r="G740" s="68"/>
      <c r="H740" s="68"/>
      <c r="I740" s="221"/>
      <c r="J740" s="221"/>
      <c r="K740" s="221"/>
      <c r="L740" s="221"/>
      <c r="M740" s="221"/>
      <c r="N740" s="221"/>
      <c r="O740" s="221"/>
      <c r="P740" s="221"/>
      <c r="Q740" s="221"/>
      <c r="R740" s="221"/>
      <c r="S740" s="221"/>
      <c r="T740" s="221"/>
      <c r="U740" s="221"/>
      <c r="V740" s="221"/>
      <c r="W740" s="221"/>
      <c r="X740" s="221"/>
      <c r="Y740" s="68"/>
      <c r="Z740" s="68"/>
      <c r="AA740" s="68"/>
    </row>
    <row r="741">
      <c r="A741" s="134"/>
      <c r="B741" s="134"/>
      <c r="C741" s="68"/>
      <c r="D741" s="68"/>
      <c r="E741" s="68"/>
      <c r="F741" s="68"/>
      <c r="G741" s="68"/>
      <c r="H741" s="68"/>
      <c r="I741" s="221"/>
      <c r="J741" s="221"/>
      <c r="K741" s="221"/>
      <c r="L741" s="221"/>
      <c r="M741" s="221"/>
      <c r="N741" s="221"/>
      <c r="O741" s="221"/>
      <c r="P741" s="221"/>
      <c r="Q741" s="221"/>
      <c r="R741" s="221"/>
      <c r="S741" s="221"/>
      <c r="T741" s="221"/>
      <c r="U741" s="221"/>
      <c r="V741" s="221"/>
      <c r="W741" s="221"/>
      <c r="X741" s="221"/>
      <c r="Y741" s="68"/>
      <c r="Z741" s="68"/>
      <c r="AA741" s="68"/>
    </row>
    <row r="742">
      <c r="A742" s="134"/>
      <c r="B742" s="134"/>
      <c r="C742" s="68"/>
      <c r="D742" s="68"/>
      <c r="E742" s="68"/>
      <c r="F742" s="68"/>
      <c r="G742" s="68"/>
      <c r="H742" s="68"/>
      <c r="I742" s="221"/>
      <c r="J742" s="221"/>
      <c r="K742" s="221"/>
      <c r="L742" s="221"/>
      <c r="M742" s="221"/>
      <c r="N742" s="221"/>
      <c r="O742" s="221"/>
      <c r="P742" s="221"/>
      <c r="Q742" s="221"/>
      <c r="R742" s="221"/>
      <c r="S742" s="221"/>
      <c r="T742" s="221"/>
      <c r="U742" s="221"/>
      <c r="V742" s="221"/>
      <c r="W742" s="221"/>
      <c r="X742" s="221"/>
      <c r="Y742" s="68"/>
      <c r="Z742" s="68"/>
      <c r="AA742" s="68"/>
    </row>
    <row r="743">
      <c r="A743" s="134"/>
      <c r="B743" s="134"/>
      <c r="C743" s="68"/>
      <c r="D743" s="68"/>
      <c r="E743" s="68"/>
      <c r="F743" s="68"/>
      <c r="G743" s="68"/>
      <c r="H743" s="68"/>
      <c r="I743" s="221"/>
      <c r="J743" s="221"/>
      <c r="K743" s="221"/>
      <c r="L743" s="221"/>
      <c r="M743" s="221"/>
      <c r="N743" s="221"/>
      <c r="O743" s="221"/>
      <c r="P743" s="221"/>
      <c r="Q743" s="221"/>
      <c r="R743" s="221"/>
      <c r="S743" s="221"/>
      <c r="T743" s="221"/>
      <c r="U743" s="221"/>
      <c r="V743" s="221"/>
      <c r="W743" s="221"/>
      <c r="X743" s="221"/>
      <c r="Y743" s="68"/>
      <c r="Z743" s="68"/>
      <c r="AA743" s="68"/>
    </row>
    <row r="744">
      <c r="A744" s="134"/>
      <c r="B744" s="134"/>
      <c r="C744" s="68"/>
      <c r="D744" s="68"/>
      <c r="E744" s="68"/>
      <c r="F744" s="68"/>
      <c r="G744" s="68"/>
      <c r="H744" s="68"/>
      <c r="I744" s="221"/>
      <c r="J744" s="221"/>
      <c r="K744" s="221"/>
      <c r="L744" s="221"/>
      <c r="M744" s="221"/>
      <c r="N744" s="221"/>
      <c r="O744" s="221"/>
      <c r="P744" s="221"/>
      <c r="Q744" s="221"/>
      <c r="R744" s="221"/>
      <c r="S744" s="221"/>
      <c r="T744" s="221"/>
      <c r="U744" s="221"/>
      <c r="V744" s="221"/>
      <c r="W744" s="221"/>
      <c r="X744" s="221"/>
      <c r="Y744" s="68"/>
      <c r="Z744" s="68"/>
      <c r="AA744" s="68"/>
    </row>
    <row r="745">
      <c r="A745" s="134"/>
      <c r="B745" s="134"/>
      <c r="C745" s="68"/>
      <c r="D745" s="68"/>
      <c r="E745" s="68"/>
      <c r="F745" s="68"/>
      <c r="G745" s="68"/>
      <c r="H745" s="68"/>
      <c r="I745" s="221"/>
      <c r="J745" s="221"/>
      <c r="K745" s="221"/>
      <c r="L745" s="221"/>
      <c r="M745" s="221"/>
      <c r="N745" s="221"/>
      <c r="O745" s="221"/>
      <c r="P745" s="221"/>
      <c r="Q745" s="221"/>
      <c r="R745" s="221"/>
      <c r="S745" s="221"/>
      <c r="T745" s="221"/>
      <c r="U745" s="221"/>
      <c r="V745" s="221"/>
      <c r="W745" s="221"/>
      <c r="X745" s="221"/>
      <c r="Y745" s="68"/>
      <c r="Z745" s="68"/>
      <c r="AA745" s="68"/>
    </row>
    <row r="746">
      <c r="A746" s="134"/>
      <c r="B746" s="134"/>
      <c r="C746" s="68"/>
      <c r="D746" s="68"/>
      <c r="E746" s="68"/>
      <c r="F746" s="68"/>
      <c r="G746" s="68"/>
      <c r="H746" s="68"/>
      <c r="I746" s="221"/>
      <c r="J746" s="221"/>
      <c r="K746" s="221"/>
      <c r="L746" s="221"/>
      <c r="M746" s="221"/>
      <c r="N746" s="221"/>
      <c r="O746" s="221"/>
      <c r="P746" s="221"/>
      <c r="Q746" s="221"/>
      <c r="R746" s="221"/>
      <c r="S746" s="221"/>
      <c r="T746" s="221"/>
      <c r="U746" s="221"/>
      <c r="V746" s="221"/>
      <c r="W746" s="221"/>
      <c r="X746" s="221"/>
      <c r="Y746" s="68"/>
      <c r="Z746" s="68"/>
      <c r="AA746" s="68"/>
    </row>
    <row r="747">
      <c r="A747" s="134"/>
      <c r="B747" s="134"/>
      <c r="C747" s="68"/>
      <c r="D747" s="68"/>
      <c r="E747" s="68"/>
      <c r="F747" s="68"/>
      <c r="G747" s="68"/>
      <c r="H747" s="68"/>
      <c r="I747" s="221"/>
      <c r="J747" s="221"/>
      <c r="K747" s="221"/>
      <c r="L747" s="221"/>
      <c r="M747" s="221"/>
      <c r="N747" s="221"/>
      <c r="O747" s="221"/>
      <c r="P747" s="221"/>
      <c r="Q747" s="221"/>
      <c r="R747" s="221"/>
      <c r="S747" s="221"/>
      <c r="T747" s="221"/>
      <c r="U747" s="221"/>
      <c r="V747" s="221"/>
      <c r="W747" s="221"/>
      <c r="X747" s="221"/>
      <c r="Y747" s="68"/>
      <c r="Z747" s="68"/>
      <c r="AA747" s="68"/>
    </row>
    <row r="748">
      <c r="A748" s="134"/>
      <c r="B748" s="134"/>
      <c r="C748" s="68"/>
      <c r="D748" s="68"/>
      <c r="E748" s="68"/>
      <c r="F748" s="68"/>
      <c r="G748" s="68"/>
      <c r="H748" s="68"/>
      <c r="I748" s="221"/>
      <c r="J748" s="221"/>
      <c r="K748" s="221"/>
      <c r="L748" s="221"/>
      <c r="M748" s="221"/>
      <c r="N748" s="221"/>
      <c r="O748" s="221"/>
      <c r="P748" s="221"/>
      <c r="Q748" s="221"/>
      <c r="R748" s="221"/>
      <c r="S748" s="221"/>
      <c r="T748" s="221"/>
      <c r="U748" s="221"/>
      <c r="V748" s="221"/>
      <c r="W748" s="221"/>
      <c r="X748" s="221"/>
      <c r="Y748" s="68"/>
      <c r="Z748" s="68"/>
      <c r="AA748" s="68"/>
    </row>
    <row r="749">
      <c r="A749" s="134"/>
      <c r="B749" s="134"/>
      <c r="C749" s="68"/>
      <c r="D749" s="68"/>
      <c r="E749" s="68"/>
      <c r="F749" s="68"/>
      <c r="G749" s="68"/>
      <c r="H749" s="68"/>
      <c r="I749" s="221"/>
      <c r="J749" s="221"/>
      <c r="K749" s="221"/>
      <c r="L749" s="221"/>
      <c r="M749" s="221"/>
      <c r="N749" s="221"/>
      <c r="O749" s="221"/>
      <c r="P749" s="221"/>
      <c r="Q749" s="221"/>
      <c r="R749" s="221"/>
      <c r="S749" s="221"/>
      <c r="T749" s="221"/>
      <c r="U749" s="221"/>
      <c r="V749" s="221"/>
      <c r="W749" s="221"/>
      <c r="X749" s="221"/>
      <c r="Y749" s="68"/>
      <c r="Z749" s="68"/>
      <c r="AA749" s="68"/>
    </row>
    <row r="750">
      <c r="A750" s="134"/>
      <c r="B750" s="134"/>
      <c r="C750" s="68"/>
      <c r="D750" s="68"/>
      <c r="E750" s="68"/>
      <c r="F750" s="68"/>
      <c r="G750" s="68"/>
      <c r="H750" s="68"/>
      <c r="I750" s="221"/>
      <c r="J750" s="221"/>
      <c r="K750" s="221"/>
      <c r="L750" s="221"/>
      <c r="M750" s="221"/>
      <c r="N750" s="221"/>
      <c r="O750" s="221"/>
      <c r="P750" s="221"/>
      <c r="Q750" s="221"/>
      <c r="R750" s="221"/>
      <c r="S750" s="221"/>
      <c r="T750" s="221"/>
      <c r="U750" s="221"/>
      <c r="V750" s="221"/>
      <c r="W750" s="221"/>
      <c r="X750" s="221"/>
      <c r="Y750" s="68"/>
      <c r="Z750" s="68"/>
      <c r="AA750" s="68"/>
    </row>
    <row r="751">
      <c r="A751" s="134"/>
      <c r="B751" s="134"/>
      <c r="C751" s="68"/>
      <c r="D751" s="68"/>
      <c r="E751" s="68"/>
      <c r="F751" s="68"/>
      <c r="G751" s="68"/>
      <c r="H751" s="68"/>
      <c r="I751" s="221"/>
      <c r="J751" s="221"/>
      <c r="K751" s="221"/>
      <c r="L751" s="221"/>
      <c r="M751" s="221"/>
      <c r="N751" s="221"/>
      <c r="O751" s="221"/>
      <c r="P751" s="221"/>
      <c r="Q751" s="221"/>
      <c r="R751" s="221"/>
      <c r="S751" s="221"/>
      <c r="T751" s="221"/>
      <c r="U751" s="221"/>
      <c r="V751" s="221"/>
      <c r="W751" s="221"/>
      <c r="X751" s="221"/>
      <c r="Y751" s="68"/>
      <c r="Z751" s="68"/>
      <c r="AA751" s="68"/>
    </row>
    <row r="752">
      <c r="A752" s="134"/>
      <c r="B752" s="134"/>
      <c r="C752" s="68"/>
      <c r="D752" s="68"/>
      <c r="E752" s="68"/>
      <c r="F752" s="68"/>
      <c r="G752" s="68"/>
      <c r="H752" s="68"/>
      <c r="I752" s="221"/>
      <c r="J752" s="221"/>
      <c r="K752" s="221"/>
      <c r="L752" s="221"/>
      <c r="M752" s="221"/>
      <c r="N752" s="221"/>
      <c r="O752" s="221"/>
      <c r="P752" s="221"/>
      <c r="Q752" s="221"/>
      <c r="R752" s="221"/>
      <c r="S752" s="221"/>
      <c r="T752" s="221"/>
      <c r="U752" s="221"/>
      <c r="V752" s="221"/>
      <c r="W752" s="221"/>
      <c r="X752" s="221"/>
      <c r="Y752" s="68"/>
      <c r="Z752" s="68"/>
      <c r="AA752" s="68"/>
    </row>
    <row r="753">
      <c r="A753" s="134"/>
      <c r="B753" s="134"/>
      <c r="C753" s="68"/>
      <c r="D753" s="68"/>
      <c r="E753" s="68"/>
      <c r="F753" s="68"/>
      <c r="G753" s="68"/>
      <c r="H753" s="68"/>
      <c r="I753" s="221"/>
      <c r="J753" s="221"/>
      <c r="K753" s="221"/>
      <c r="L753" s="221"/>
      <c r="M753" s="221"/>
      <c r="N753" s="221"/>
      <c r="O753" s="221"/>
      <c r="P753" s="221"/>
      <c r="Q753" s="221"/>
      <c r="R753" s="221"/>
      <c r="S753" s="221"/>
      <c r="T753" s="221"/>
      <c r="U753" s="221"/>
      <c r="V753" s="221"/>
      <c r="W753" s="221"/>
      <c r="X753" s="221"/>
      <c r="Y753" s="68"/>
      <c r="Z753" s="68"/>
      <c r="AA753" s="68"/>
    </row>
    <row r="754">
      <c r="A754" s="134"/>
      <c r="B754" s="134"/>
      <c r="C754" s="68"/>
      <c r="D754" s="68"/>
      <c r="E754" s="68"/>
      <c r="F754" s="68"/>
      <c r="G754" s="68"/>
      <c r="H754" s="68"/>
      <c r="I754" s="221"/>
      <c r="J754" s="221"/>
      <c r="K754" s="221"/>
      <c r="L754" s="221"/>
      <c r="M754" s="221"/>
      <c r="N754" s="221"/>
      <c r="O754" s="221"/>
      <c r="P754" s="221"/>
      <c r="Q754" s="221"/>
      <c r="R754" s="221"/>
      <c r="S754" s="221"/>
      <c r="T754" s="221"/>
      <c r="U754" s="221"/>
      <c r="V754" s="221"/>
      <c r="W754" s="221"/>
      <c r="X754" s="221"/>
      <c r="Y754" s="68"/>
      <c r="Z754" s="68"/>
      <c r="AA754" s="68"/>
    </row>
    <row r="755">
      <c r="A755" s="134"/>
      <c r="B755" s="134"/>
      <c r="C755" s="68"/>
      <c r="D755" s="68"/>
      <c r="E755" s="68"/>
      <c r="F755" s="68"/>
      <c r="G755" s="68"/>
      <c r="H755" s="68"/>
      <c r="I755" s="221"/>
      <c r="J755" s="221"/>
      <c r="K755" s="221"/>
      <c r="L755" s="221"/>
      <c r="M755" s="221"/>
      <c r="N755" s="221"/>
      <c r="O755" s="221"/>
      <c r="P755" s="221"/>
      <c r="Q755" s="221"/>
      <c r="R755" s="221"/>
      <c r="S755" s="221"/>
      <c r="T755" s="221"/>
      <c r="U755" s="221"/>
      <c r="V755" s="221"/>
      <c r="W755" s="221"/>
      <c r="X755" s="221"/>
      <c r="Y755" s="68"/>
      <c r="Z755" s="68"/>
      <c r="AA755" s="68"/>
    </row>
    <row r="756">
      <c r="A756" s="134"/>
      <c r="B756" s="134"/>
      <c r="C756" s="68"/>
      <c r="D756" s="68"/>
      <c r="E756" s="68"/>
      <c r="F756" s="68"/>
      <c r="G756" s="68"/>
      <c r="H756" s="68"/>
      <c r="I756" s="221"/>
      <c r="J756" s="221"/>
      <c r="K756" s="221"/>
      <c r="L756" s="221"/>
      <c r="M756" s="221"/>
      <c r="N756" s="221"/>
      <c r="O756" s="221"/>
      <c r="P756" s="221"/>
      <c r="Q756" s="221"/>
      <c r="R756" s="221"/>
      <c r="S756" s="221"/>
      <c r="T756" s="221"/>
      <c r="U756" s="221"/>
      <c r="V756" s="221"/>
      <c r="W756" s="221"/>
      <c r="X756" s="221"/>
      <c r="Y756" s="68"/>
      <c r="Z756" s="68"/>
      <c r="AA756" s="68"/>
    </row>
    <row r="757">
      <c r="A757" s="134"/>
      <c r="B757" s="134"/>
      <c r="C757" s="68"/>
      <c r="D757" s="68"/>
      <c r="E757" s="68"/>
      <c r="F757" s="68"/>
      <c r="G757" s="68"/>
      <c r="H757" s="68"/>
      <c r="I757" s="221"/>
      <c r="J757" s="221"/>
      <c r="K757" s="221"/>
      <c r="L757" s="221"/>
      <c r="M757" s="221"/>
      <c r="N757" s="221"/>
      <c r="O757" s="221"/>
      <c r="P757" s="221"/>
      <c r="Q757" s="221"/>
      <c r="R757" s="221"/>
      <c r="S757" s="221"/>
      <c r="T757" s="221"/>
      <c r="U757" s="221"/>
      <c r="V757" s="221"/>
      <c r="W757" s="221"/>
      <c r="X757" s="221"/>
      <c r="Y757" s="68"/>
      <c r="Z757" s="68"/>
      <c r="AA757" s="68"/>
    </row>
    <row r="758">
      <c r="A758" s="134"/>
      <c r="B758" s="134"/>
      <c r="C758" s="68"/>
      <c r="D758" s="68"/>
      <c r="E758" s="68"/>
      <c r="F758" s="68"/>
      <c r="G758" s="68"/>
      <c r="H758" s="68"/>
      <c r="I758" s="221"/>
      <c r="J758" s="221"/>
      <c r="K758" s="221"/>
      <c r="L758" s="221"/>
      <c r="M758" s="221"/>
      <c r="N758" s="221"/>
      <c r="O758" s="221"/>
      <c r="P758" s="221"/>
      <c r="Q758" s="221"/>
      <c r="R758" s="221"/>
      <c r="S758" s="221"/>
      <c r="T758" s="221"/>
      <c r="U758" s="221"/>
      <c r="V758" s="221"/>
      <c r="W758" s="221"/>
      <c r="X758" s="221"/>
      <c r="Y758" s="68"/>
      <c r="Z758" s="68"/>
      <c r="AA758" s="68"/>
    </row>
    <row r="759">
      <c r="A759" s="134"/>
      <c r="B759" s="134"/>
      <c r="C759" s="68"/>
      <c r="D759" s="68"/>
      <c r="E759" s="68"/>
      <c r="F759" s="68"/>
      <c r="G759" s="68"/>
      <c r="H759" s="68"/>
      <c r="I759" s="221"/>
      <c r="J759" s="221"/>
      <c r="K759" s="221"/>
      <c r="L759" s="221"/>
      <c r="M759" s="221"/>
      <c r="N759" s="221"/>
      <c r="O759" s="221"/>
      <c r="P759" s="221"/>
      <c r="Q759" s="221"/>
      <c r="R759" s="221"/>
      <c r="S759" s="221"/>
      <c r="T759" s="221"/>
      <c r="U759" s="221"/>
      <c r="V759" s="221"/>
      <c r="W759" s="221"/>
      <c r="X759" s="221"/>
      <c r="Y759" s="68"/>
      <c r="Z759" s="68"/>
      <c r="AA759" s="68"/>
    </row>
    <row r="760">
      <c r="A760" s="134"/>
      <c r="B760" s="134"/>
      <c r="C760" s="68"/>
      <c r="D760" s="68"/>
      <c r="E760" s="68"/>
      <c r="F760" s="68"/>
      <c r="G760" s="68"/>
      <c r="H760" s="68"/>
      <c r="I760" s="221"/>
      <c r="J760" s="221"/>
      <c r="K760" s="221"/>
      <c r="L760" s="221"/>
      <c r="M760" s="221"/>
      <c r="N760" s="221"/>
      <c r="O760" s="221"/>
      <c r="P760" s="221"/>
      <c r="Q760" s="221"/>
      <c r="R760" s="221"/>
      <c r="S760" s="221"/>
      <c r="T760" s="221"/>
      <c r="U760" s="221"/>
      <c r="V760" s="221"/>
      <c r="W760" s="221"/>
      <c r="X760" s="221"/>
      <c r="Y760" s="68"/>
      <c r="Z760" s="68"/>
      <c r="AA760" s="68"/>
    </row>
    <row r="761">
      <c r="A761" s="134"/>
      <c r="B761" s="134"/>
      <c r="C761" s="68"/>
      <c r="D761" s="68"/>
      <c r="E761" s="68"/>
      <c r="F761" s="68"/>
      <c r="G761" s="68"/>
      <c r="H761" s="68"/>
      <c r="I761" s="221"/>
      <c r="J761" s="221"/>
      <c r="K761" s="221"/>
      <c r="L761" s="221"/>
      <c r="M761" s="221"/>
      <c r="N761" s="221"/>
      <c r="O761" s="221"/>
      <c r="P761" s="221"/>
      <c r="Q761" s="221"/>
      <c r="R761" s="221"/>
      <c r="S761" s="221"/>
      <c r="T761" s="221"/>
      <c r="U761" s="221"/>
      <c r="V761" s="221"/>
      <c r="W761" s="221"/>
      <c r="X761" s="221"/>
      <c r="Y761" s="68"/>
      <c r="Z761" s="68"/>
      <c r="AA761" s="68"/>
    </row>
    <row r="762">
      <c r="A762" s="134"/>
      <c r="B762" s="134"/>
      <c r="C762" s="68"/>
      <c r="D762" s="68"/>
      <c r="E762" s="68"/>
      <c r="F762" s="68"/>
      <c r="G762" s="68"/>
      <c r="H762" s="68"/>
      <c r="I762" s="221"/>
      <c r="J762" s="221"/>
      <c r="K762" s="221"/>
      <c r="L762" s="221"/>
      <c r="M762" s="221"/>
      <c r="N762" s="221"/>
      <c r="O762" s="221"/>
      <c r="P762" s="221"/>
      <c r="Q762" s="221"/>
      <c r="R762" s="221"/>
      <c r="S762" s="221"/>
      <c r="T762" s="221"/>
      <c r="U762" s="221"/>
      <c r="V762" s="221"/>
      <c r="W762" s="221"/>
      <c r="X762" s="221"/>
      <c r="Y762" s="68"/>
      <c r="Z762" s="68"/>
      <c r="AA762" s="68"/>
    </row>
    <row r="763">
      <c r="A763" s="134"/>
      <c r="B763" s="134"/>
      <c r="C763" s="68"/>
      <c r="D763" s="68"/>
      <c r="E763" s="68"/>
      <c r="F763" s="68"/>
      <c r="G763" s="68"/>
      <c r="H763" s="68"/>
      <c r="I763" s="221"/>
      <c r="J763" s="221"/>
      <c r="K763" s="221"/>
      <c r="L763" s="221"/>
      <c r="M763" s="221"/>
      <c r="N763" s="221"/>
      <c r="O763" s="221"/>
      <c r="P763" s="221"/>
      <c r="Q763" s="221"/>
      <c r="R763" s="221"/>
      <c r="S763" s="221"/>
      <c r="T763" s="221"/>
      <c r="U763" s="221"/>
      <c r="V763" s="221"/>
      <c r="W763" s="221"/>
      <c r="X763" s="221"/>
      <c r="Y763" s="68"/>
      <c r="Z763" s="68"/>
      <c r="AA763" s="68"/>
    </row>
    <row r="764">
      <c r="A764" s="134"/>
      <c r="B764" s="134"/>
      <c r="C764" s="68"/>
      <c r="D764" s="68"/>
      <c r="E764" s="68"/>
      <c r="F764" s="68"/>
      <c r="G764" s="68"/>
      <c r="H764" s="68"/>
      <c r="I764" s="221"/>
      <c r="J764" s="221"/>
      <c r="K764" s="221"/>
      <c r="L764" s="221"/>
      <c r="M764" s="221"/>
      <c r="N764" s="221"/>
      <c r="O764" s="221"/>
      <c r="P764" s="221"/>
      <c r="Q764" s="221"/>
      <c r="R764" s="221"/>
      <c r="S764" s="221"/>
      <c r="T764" s="221"/>
      <c r="U764" s="221"/>
      <c r="V764" s="221"/>
      <c r="W764" s="221"/>
      <c r="X764" s="221"/>
      <c r="Y764" s="68"/>
      <c r="Z764" s="68"/>
      <c r="AA764" s="68"/>
    </row>
    <row r="765">
      <c r="A765" s="134"/>
      <c r="B765" s="134"/>
      <c r="C765" s="68"/>
      <c r="D765" s="68"/>
      <c r="E765" s="68"/>
      <c r="F765" s="68"/>
      <c r="G765" s="68"/>
      <c r="H765" s="68"/>
      <c r="I765" s="221"/>
      <c r="J765" s="221"/>
      <c r="K765" s="221"/>
      <c r="L765" s="221"/>
      <c r="M765" s="221"/>
      <c r="N765" s="221"/>
      <c r="O765" s="221"/>
      <c r="P765" s="221"/>
      <c r="Q765" s="221"/>
      <c r="R765" s="221"/>
      <c r="S765" s="221"/>
      <c r="T765" s="221"/>
      <c r="U765" s="221"/>
      <c r="V765" s="221"/>
      <c r="W765" s="221"/>
      <c r="X765" s="221"/>
      <c r="Y765" s="68"/>
      <c r="Z765" s="68"/>
      <c r="AA765" s="68"/>
    </row>
    <row r="766">
      <c r="A766" s="134"/>
      <c r="B766" s="134"/>
      <c r="C766" s="68"/>
      <c r="D766" s="68"/>
      <c r="E766" s="68"/>
      <c r="F766" s="68"/>
      <c r="G766" s="68"/>
      <c r="H766" s="68"/>
      <c r="I766" s="221"/>
      <c r="J766" s="221"/>
      <c r="K766" s="221"/>
      <c r="L766" s="221"/>
      <c r="M766" s="221"/>
      <c r="N766" s="221"/>
      <c r="O766" s="221"/>
      <c r="P766" s="221"/>
      <c r="Q766" s="221"/>
      <c r="R766" s="221"/>
      <c r="S766" s="221"/>
      <c r="T766" s="221"/>
      <c r="U766" s="221"/>
      <c r="V766" s="221"/>
      <c r="W766" s="221"/>
      <c r="X766" s="221"/>
      <c r="Y766" s="68"/>
      <c r="Z766" s="68"/>
      <c r="AA766" s="68"/>
    </row>
    <row r="767">
      <c r="A767" s="134"/>
      <c r="B767" s="134"/>
      <c r="C767" s="68"/>
      <c r="D767" s="68"/>
      <c r="E767" s="68"/>
      <c r="F767" s="68"/>
      <c r="G767" s="68"/>
      <c r="H767" s="68"/>
      <c r="I767" s="221"/>
      <c r="J767" s="221"/>
      <c r="K767" s="221"/>
      <c r="L767" s="221"/>
      <c r="M767" s="221"/>
      <c r="N767" s="221"/>
      <c r="O767" s="221"/>
      <c r="P767" s="221"/>
      <c r="Q767" s="221"/>
      <c r="R767" s="221"/>
      <c r="S767" s="221"/>
      <c r="T767" s="221"/>
      <c r="U767" s="221"/>
      <c r="V767" s="221"/>
      <c r="W767" s="221"/>
      <c r="X767" s="221"/>
      <c r="Y767" s="68"/>
      <c r="Z767" s="68"/>
      <c r="AA767" s="68"/>
    </row>
    <row r="768">
      <c r="A768" s="134"/>
      <c r="B768" s="134"/>
      <c r="C768" s="68"/>
      <c r="D768" s="68"/>
      <c r="E768" s="68"/>
      <c r="F768" s="68"/>
      <c r="G768" s="68"/>
      <c r="H768" s="68"/>
      <c r="I768" s="221"/>
      <c r="J768" s="221"/>
      <c r="K768" s="221"/>
      <c r="L768" s="221"/>
      <c r="M768" s="221"/>
      <c r="N768" s="221"/>
      <c r="O768" s="221"/>
      <c r="P768" s="221"/>
      <c r="Q768" s="221"/>
      <c r="R768" s="221"/>
      <c r="S768" s="221"/>
      <c r="T768" s="221"/>
      <c r="U768" s="221"/>
      <c r="V768" s="221"/>
      <c r="W768" s="221"/>
      <c r="X768" s="221"/>
      <c r="Y768" s="68"/>
      <c r="Z768" s="68"/>
      <c r="AA768" s="68"/>
    </row>
    <row r="769">
      <c r="A769" s="134"/>
      <c r="B769" s="134"/>
      <c r="C769" s="68"/>
      <c r="D769" s="68"/>
      <c r="E769" s="68"/>
      <c r="F769" s="68"/>
      <c r="G769" s="68"/>
      <c r="H769" s="68"/>
      <c r="I769" s="221"/>
      <c r="J769" s="221"/>
      <c r="K769" s="221"/>
      <c r="L769" s="221"/>
      <c r="M769" s="221"/>
      <c r="N769" s="221"/>
      <c r="O769" s="221"/>
      <c r="P769" s="221"/>
      <c r="Q769" s="221"/>
      <c r="R769" s="221"/>
      <c r="S769" s="221"/>
      <c r="T769" s="221"/>
      <c r="U769" s="221"/>
      <c r="V769" s="221"/>
      <c r="W769" s="221"/>
      <c r="X769" s="221"/>
      <c r="Y769" s="68"/>
      <c r="Z769" s="68"/>
      <c r="AA769" s="68"/>
    </row>
    <row r="770">
      <c r="A770" s="134"/>
      <c r="B770" s="134"/>
      <c r="C770" s="68"/>
      <c r="D770" s="68"/>
      <c r="E770" s="68"/>
      <c r="F770" s="68"/>
      <c r="G770" s="68"/>
      <c r="H770" s="68"/>
      <c r="I770" s="221"/>
      <c r="J770" s="221"/>
      <c r="K770" s="221"/>
      <c r="L770" s="221"/>
      <c r="M770" s="221"/>
      <c r="N770" s="221"/>
      <c r="O770" s="221"/>
      <c r="P770" s="221"/>
      <c r="Q770" s="221"/>
      <c r="R770" s="221"/>
      <c r="S770" s="221"/>
      <c r="T770" s="221"/>
      <c r="U770" s="221"/>
      <c r="V770" s="221"/>
      <c r="W770" s="221"/>
      <c r="X770" s="221"/>
      <c r="Y770" s="68"/>
      <c r="Z770" s="68"/>
      <c r="AA770" s="68"/>
    </row>
    <row r="771">
      <c r="A771" s="134"/>
      <c r="B771" s="134"/>
      <c r="C771" s="68"/>
      <c r="D771" s="68"/>
      <c r="E771" s="68"/>
      <c r="F771" s="68"/>
      <c r="G771" s="68"/>
      <c r="H771" s="68"/>
      <c r="I771" s="221"/>
      <c r="J771" s="221"/>
      <c r="K771" s="221"/>
      <c r="L771" s="221"/>
      <c r="M771" s="221"/>
      <c r="N771" s="221"/>
      <c r="O771" s="221"/>
      <c r="P771" s="221"/>
      <c r="Q771" s="221"/>
      <c r="R771" s="221"/>
      <c r="S771" s="221"/>
      <c r="T771" s="221"/>
      <c r="U771" s="221"/>
      <c r="V771" s="221"/>
      <c r="W771" s="221"/>
      <c r="X771" s="221"/>
      <c r="Y771" s="68"/>
      <c r="Z771" s="68"/>
      <c r="AA771" s="68"/>
    </row>
    <row r="772">
      <c r="A772" s="134"/>
      <c r="B772" s="134"/>
      <c r="C772" s="68"/>
      <c r="D772" s="68"/>
      <c r="E772" s="68"/>
      <c r="F772" s="68"/>
      <c r="G772" s="68"/>
      <c r="H772" s="68"/>
      <c r="I772" s="221"/>
      <c r="J772" s="221"/>
      <c r="K772" s="221"/>
      <c r="L772" s="221"/>
      <c r="M772" s="221"/>
      <c r="N772" s="221"/>
      <c r="O772" s="221"/>
      <c r="P772" s="221"/>
      <c r="Q772" s="221"/>
      <c r="R772" s="221"/>
      <c r="S772" s="221"/>
      <c r="T772" s="221"/>
      <c r="U772" s="221"/>
      <c r="V772" s="221"/>
      <c r="W772" s="221"/>
      <c r="X772" s="221"/>
      <c r="Y772" s="68"/>
      <c r="Z772" s="68"/>
      <c r="AA772" s="68"/>
    </row>
    <row r="773">
      <c r="A773" s="134"/>
      <c r="B773" s="134"/>
      <c r="C773" s="68"/>
      <c r="D773" s="68"/>
      <c r="E773" s="68"/>
      <c r="F773" s="68"/>
      <c r="G773" s="68"/>
      <c r="H773" s="68"/>
      <c r="I773" s="221"/>
      <c r="J773" s="221"/>
      <c r="K773" s="221"/>
      <c r="L773" s="221"/>
      <c r="M773" s="221"/>
      <c r="N773" s="221"/>
      <c r="O773" s="221"/>
      <c r="P773" s="221"/>
      <c r="Q773" s="221"/>
      <c r="R773" s="221"/>
      <c r="S773" s="221"/>
      <c r="T773" s="221"/>
      <c r="U773" s="221"/>
      <c r="V773" s="221"/>
      <c r="W773" s="221"/>
      <c r="X773" s="221"/>
      <c r="Y773" s="68"/>
      <c r="Z773" s="68"/>
      <c r="AA773" s="68"/>
    </row>
    <row r="774">
      <c r="A774" s="134"/>
      <c r="B774" s="134"/>
      <c r="C774" s="68"/>
      <c r="D774" s="68"/>
      <c r="E774" s="68"/>
      <c r="F774" s="68"/>
      <c r="G774" s="68"/>
      <c r="H774" s="68"/>
      <c r="I774" s="221"/>
      <c r="J774" s="221"/>
      <c r="K774" s="221"/>
      <c r="L774" s="221"/>
      <c r="M774" s="221"/>
      <c r="N774" s="221"/>
      <c r="O774" s="221"/>
      <c r="P774" s="221"/>
      <c r="Q774" s="221"/>
      <c r="R774" s="221"/>
      <c r="S774" s="221"/>
      <c r="T774" s="221"/>
      <c r="U774" s="221"/>
      <c r="V774" s="221"/>
      <c r="W774" s="221"/>
      <c r="X774" s="221"/>
      <c r="Y774" s="68"/>
      <c r="Z774" s="68"/>
      <c r="AA774" s="68"/>
    </row>
    <row r="775">
      <c r="A775" s="134"/>
      <c r="B775" s="134"/>
      <c r="C775" s="68"/>
      <c r="D775" s="68"/>
      <c r="E775" s="68"/>
      <c r="F775" s="68"/>
      <c r="G775" s="68"/>
      <c r="H775" s="68"/>
      <c r="I775" s="221"/>
      <c r="J775" s="221"/>
      <c r="K775" s="221"/>
      <c r="L775" s="221"/>
      <c r="M775" s="221"/>
      <c r="N775" s="221"/>
      <c r="O775" s="221"/>
      <c r="P775" s="221"/>
      <c r="Q775" s="221"/>
      <c r="R775" s="221"/>
      <c r="S775" s="221"/>
      <c r="T775" s="221"/>
      <c r="U775" s="221"/>
      <c r="V775" s="221"/>
      <c r="W775" s="221"/>
      <c r="X775" s="221"/>
      <c r="Y775" s="68"/>
      <c r="Z775" s="68"/>
      <c r="AA775" s="68"/>
    </row>
    <row r="776">
      <c r="A776" s="134"/>
      <c r="B776" s="134"/>
      <c r="C776" s="68"/>
      <c r="D776" s="68"/>
      <c r="E776" s="68"/>
      <c r="F776" s="68"/>
      <c r="G776" s="68"/>
      <c r="H776" s="68"/>
      <c r="I776" s="221"/>
      <c r="J776" s="221"/>
      <c r="K776" s="221"/>
      <c r="L776" s="221"/>
      <c r="M776" s="221"/>
      <c r="N776" s="221"/>
      <c r="O776" s="221"/>
      <c r="P776" s="221"/>
      <c r="Q776" s="221"/>
      <c r="R776" s="221"/>
      <c r="S776" s="221"/>
      <c r="T776" s="221"/>
      <c r="U776" s="221"/>
      <c r="V776" s="221"/>
      <c r="W776" s="221"/>
      <c r="X776" s="221"/>
      <c r="Y776" s="68"/>
      <c r="Z776" s="68"/>
      <c r="AA776" s="68"/>
    </row>
    <row r="777">
      <c r="A777" s="134"/>
      <c r="B777" s="134"/>
      <c r="C777" s="68"/>
      <c r="D777" s="68"/>
      <c r="E777" s="68"/>
      <c r="F777" s="68"/>
      <c r="G777" s="68"/>
      <c r="H777" s="68"/>
      <c r="I777" s="221"/>
      <c r="J777" s="221"/>
      <c r="K777" s="221"/>
      <c r="L777" s="221"/>
      <c r="M777" s="221"/>
      <c r="N777" s="221"/>
      <c r="O777" s="221"/>
      <c r="P777" s="221"/>
      <c r="Q777" s="221"/>
      <c r="R777" s="221"/>
      <c r="S777" s="221"/>
      <c r="T777" s="221"/>
      <c r="U777" s="221"/>
      <c r="V777" s="221"/>
      <c r="W777" s="221"/>
      <c r="X777" s="221"/>
      <c r="Y777" s="68"/>
      <c r="Z777" s="68"/>
      <c r="AA777" s="68"/>
    </row>
    <row r="778">
      <c r="A778" s="134"/>
      <c r="B778" s="134"/>
      <c r="C778" s="68"/>
      <c r="D778" s="68"/>
      <c r="E778" s="68"/>
      <c r="F778" s="68"/>
      <c r="G778" s="68"/>
      <c r="H778" s="68"/>
      <c r="I778" s="221"/>
      <c r="J778" s="221"/>
      <c r="K778" s="221"/>
      <c r="L778" s="221"/>
      <c r="M778" s="221"/>
      <c r="N778" s="221"/>
      <c r="O778" s="221"/>
      <c r="P778" s="221"/>
      <c r="Q778" s="221"/>
      <c r="R778" s="221"/>
      <c r="S778" s="221"/>
      <c r="T778" s="221"/>
      <c r="U778" s="221"/>
      <c r="V778" s="221"/>
      <c r="W778" s="221"/>
      <c r="X778" s="221"/>
      <c r="Y778" s="68"/>
      <c r="Z778" s="68"/>
      <c r="AA778" s="68"/>
    </row>
    <row r="779">
      <c r="A779" s="134"/>
      <c r="B779" s="134"/>
      <c r="C779" s="68"/>
      <c r="D779" s="68"/>
      <c r="E779" s="68"/>
      <c r="F779" s="68"/>
      <c r="G779" s="68"/>
      <c r="H779" s="68"/>
      <c r="I779" s="221"/>
      <c r="J779" s="221"/>
      <c r="K779" s="221"/>
      <c r="L779" s="221"/>
      <c r="M779" s="221"/>
      <c r="N779" s="221"/>
      <c r="O779" s="221"/>
      <c r="P779" s="221"/>
      <c r="Q779" s="221"/>
      <c r="R779" s="221"/>
      <c r="S779" s="221"/>
      <c r="T779" s="221"/>
      <c r="U779" s="221"/>
      <c r="V779" s="221"/>
      <c r="W779" s="221"/>
      <c r="X779" s="221"/>
      <c r="Y779" s="68"/>
      <c r="Z779" s="68"/>
      <c r="AA779" s="68"/>
    </row>
    <row r="780">
      <c r="A780" s="134"/>
      <c r="B780" s="134"/>
      <c r="C780" s="68"/>
      <c r="D780" s="68"/>
      <c r="E780" s="68"/>
      <c r="F780" s="68"/>
      <c r="G780" s="68"/>
      <c r="H780" s="68"/>
      <c r="I780" s="221"/>
      <c r="J780" s="221"/>
      <c r="K780" s="221"/>
      <c r="L780" s="221"/>
      <c r="M780" s="221"/>
      <c r="N780" s="221"/>
      <c r="O780" s="221"/>
      <c r="P780" s="221"/>
      <c r="Q780" s="221"/>
      <c r="R780" s="221"/>
      <c r="S780" s="221"/>
      <c r="T780" s="221"/>
      <c r="U780" s="221"/>
      <c r="V780" s="221"/>
      <c r="W780" s="221"/>
      <c r="X780" s="221"/>
      <c r="Y780" s="68"/>
      <c r="Z780" s="68"/>
      <c r="AA780" s="68"/>
    </row>
    <row r="781">
      <c r="A781" s="134"/>
      <c r="B781" s="134"/>
      <c r="C781" s="68"/>
      <c r="D781" s="68"/>
      <c r="E781" s="68"/>
      <c r="F781" s="68"/>
      <c r="G781" s="68"/>
      <c r="H781" s="68"/>
      <c r="I781" s="221"/>
      <c r="J781" s="221"/>
      <c r="K781" s="221"/>
      <c r="L781" s="221"/>
      <c r="M781" s="221"/>
      <c r="N781" s="221"/>
      <c r="O781" s="221"/>
      <c r="P781" s="221"/>
      <c r="Q781" s="221"/>
      <c r="R781" s="221"/>
      <c r="S781" s="221"/>
      <c r="T781" s="221"/>
      <c r="U781" s="221"/>
      <c r="V781" s="221"/>
      <c r="W781" s="221"/>
      <c r="X781" s="221"/>
      <c r="Y781" s="68"/>
      <c r="Z781" s="68"/>
      <c r="AA781" s="68"/>
    </row>
    <row r="782">
      <c r="A782" s="134"/>
      <c r="B782" s="134"/>
      <c r="C782" s="68"/>
      <c r="D782" s="68"/>
      <c r="E782" s="68"/>
      <c r="F782" s="68"/>
      <c r="G782" s="68"/>
      <c r="H782" s="68"/>
      <c r="I782" s="221"/>
      <c r="J782" s="221"/>
      <c r="K782" s="221"/>
      <c r="L782" s="221"/>
      <c r="M782" s="221"/>
      <c r="N782" s="221"/>
      <c r="O782" s="221"/>
      <c r="P782" s="221"/>
      <c r="Q782" s="221"/>
      <c r="R782" s="221"/>
      <c r="S782" s="221"/>
      <c r="T782" s="221"/>
      <c r="U782" s="221"/>
      <c r="V782" s="221"/>
      <c r="W782" s="221"/>
      <c r="X782" s="221"/>
      <c r="Y782" s="68"/>
      <c r="Z782" s="68"/>
      <c r="AA782" s="68"/>
    </row>
    <row r="783">
      <c r="A783" s="134"/>
      <c r="B783" s="134"/>
      <c r="C783" s="68"/>
      <c r="D783" s="68"/>
      <c r="E783" s="68"/>
      <c r="F783" s="68"/>
      <c r="G783" s="68"/>
      <c r="H783" s="68"/>
      <c r="I783" s="221"/>
      <c r="J783" s="221"/>
      <c r="K783" s="221"/>
      <c r="L783" s="221"/>
      <c r="M783" s="221"/>
      <c r="N783" s="221"/>
      <c r="O783" s="221"/>
      <c r="P783" s="221"/>
      <c r="Q783" s="221"/>
      <c r="R783" s="221"/>
      <c r="S783" s="221"/>
      <c r="T783" s="221"/>
      <c r="U783" s="221"/>
      <c r="V783" s="221"/>
      <c r="W783" s="221"/>
      <c r="X783" s="221"/>
      <c r="Y783" s="68"/>
      <c r="Z783" s="68"/>
      <c r="AA783" s="68"/>
    </row>
    <row r="784">
      <c r="A784" s="134"/>
      <c r="B784" s="134"/>
      <c r="C784" s="68"/>
      <c r="D784" s="68"/>
      <c r="E784" s="68"/>
      <c r="F784" s="68"/>
      <c r="G784" s="68"/>
      <c r="H784" s="68"/>
      <c r="I784" s="221"/>
      <c r="J784" s="221"/>
      <c r="K784" s="221"/>
      <c r="L784" s="221"/>
      <c r="M784" s="221"/>
      <c r="N784" s="221"/>
      <c r="O784" s="221"/>
      <c r="P784" s="221"/>
      <c r="Q784" s="221"/>
      <c r="R784" s="221"/>
      <c r="S784" s="221"/>
      <c r="T784" s="221"/>
      <c r="U784" s="221"/>
      <c r="V784" s="221"/>
      <c r="W784" s="221"/>
      <c r="X784" s="221"/>
      <c r="Y784" s="68"/>
      <c r="Z784" s="68"/>
      <c r="AA784" s="68"/>
    </row>
    <row r="785">
      <c r="A785" s="134"/>
      <c r="B785" s="134"/>
      <c r="C785" s="68"/>
      <c r="D785" s="68"/>
      <c r="E785" s="68"/>
      <c r="F785" s="68"/>
      <c r="G785" s="68"/>
      <c r="H785" s="68"/>
      <c r="I785" s="221"/>
      <c r="J785" s="221"/>
      <c r="K785" s="221"/>
      <c r="L785" s="221"/>
      <c r="M785" s="221"/>
      <c r="N785" s="221"/>
      <c r="O785" s="221"/>
      <c r="P785" s="221"/>
      <c r="Q785" s="221"/>
      <c r="R785" s="221"/>
      <c r="S785" s="221"/>
      <c r="T785" s="221"/>
      <c r="U785" s="221"/>
      <c r="V785" s="221"/>
      <c r="W785" s="221"/>
      <c r="X785" s="221"/>
      <c r="Y785" s="68"/>
      <c r="Z785" s="68"/>
      <c r="AA785" s="68"/>
    </row>
    <row r="786">
      <c r="A786" s="134"/>
      <c r="B786" s="134"/>
      <c r="C786" s="68"/>
      <c r="D786" s="68"/>
      <c r="E786" s="68"/>
      <c r="F786" s="68"/>
      <c r="G786" s="68"/>
      <c r="H786" s="68"/>
      <c r="I786" s="221"/>
      <c r="J786" s="221"/>
      <c r="K786" s="221"/>
      <c r="L786" s="221"/>
      <c r="M786" s="221"/>
      <c r="N786" s="221"/>
      <c r="O786" s="221"/>
      <c r="P786" s="221"/>
      <c r="Q786" s="221"/>
      <c r="R786" s="221"/>
      <c r="S786" s="221"/>
      <c r="T786" s="221"/>
      <c r="U786" s="221"/>
      <c r="V786" s="221"/>
      <c r="W786" s="221"/>
      <c r="X786" s="221"/>
      <c r="Y786" s="68"/>
      <c r="Z786" s="68"/>
      <c r="AA786" s="68"/>
    </row>
    <row r="787">
      <c r="A787" s="134"/>
      <c r="B787" s="134"/>
      <c r="C787" s="68"/>
      <c r="D787" s="68"/>
      <c r="E787" s="68"/>
      <c r="F787" s="68"/>
      <c r="G787" s="68"/>
      <c r="H787" s="68"/>
      <c r="I787" s="221"/>
      <c r="J787" s="221"/>
      <c r="K787" s="221"/>
      <c r="L787" s="221"/>
      <c r="M787" s="221"/>
      <c r="N787" s="221"/>
      <c r="O787" s="221"/>
      <c r="P787" s="221"/>
      <c r="Q787" s="221"/>
      <c r="R787" s="221"/>
      <c r="S787" s="221"/>
      <c r="T787" s="221"/>
      <c r="U787" s="221"/>
      <c r="V787" s="221"/>
      <c r="W787" s="221"/>
      <c r="X787" s="221"/>
      <c r="Y787" s="68"/>
      <c r="Z787" s="68"/>
      <c r="AA787" s="68"/>
    </row>
    <row r="788">
      <c r="A788" s="134"/>
      <c r="B788" s="134"/>
      <c r="C788" s="68"/>
      <c r="D788" s="68"/>
      <c r="E788" s="68"/>
      <c r="F788" s="68"/>
      <c r="G788" s="68"/>
      <c r="H788" s="68"/>
      <c r="I788" s="221"/>
      <c r="J788" s="221"/>
      <c r="K788" s="221"/>
      <c r="L788" s="221"/>
      <c r="M788" s="221"/>
      <c r="N788" s="221"/>
      <c r="O788" s="221"/>
      <c r="P788" s="221"/>
      <c r="Q788" s="221"/>
      <c r="R788" s="221"/>
      <c r="S788" s="221"/>
      <c r="T788" s="221"/>
      <c r="U788" s="221"/>
      <c r="V788" s="221"/>
      <c r="W788" s="221"/>
      <c r="X788" s="221"/>
      <c r="Y788" s="68"/>
      <c r="Z788" s="68"/>
      <c r="AA788" s="68"/>
    </row>
    <row r="789">
      <c r="A789" s="134"/>
      <c r="B789" s="134"/>
      <c r="C789" s="68"/>
      <c r="D789" s="68"/>
      <c r="E789" s="68"/>
      <c r="F789" s="68"/>
      <c r="G789" s="68"/>
      <c r="H789" s="68"/>
      <c r="I789" s="221"/>
      <c r="J789" s="221"/>
      <c r="K789" s="221"/>
      <c r="L789" s="221"/>
      <c r="M789" s="221"/>
      <c r="N789" s="221"/>
      <c r="O789" s="221"/>
      <c r="P789" s="221"/>
      <c r="Q789" s="221"/>
      <c r="R789" s="221"/>
      <c r="S789" s="221"/>
      <c r="T789" s="221"/>
      <c r="U789" s="221"/>
      <c r="V789" s="221"/>
      <c r="W789" s="221"/>
      <c r="X789" s="221"/>
      <c r="Y789" s="68"/>
      <c r="Z789" s="68"/>
      <c r="AA789" s="68"/>
    </row>
    <row r="790">
      <c r="A790" s="134"/>
      <c r="B790" s="134"/>
      <c r="C790" s="68"/>
      <c r="D790" s="68"/>
      <c r="E790" s="68"/>
      <c r="F790" s="68"/>
      <c r="G790" s="68"/>
      <c r="H790" s="68"/>
      <c r="I790" s="221"/>
      <c r="J790" s="221"/>
      <c r="K790" s="221"/>
      <c r="L790" s="221"/>
      <c r="M790" s="221"/>
      <c r="N790" s="221"/>
      <c r="O790" s="221"/>
      <c r="P790" s="221"/>
      <c r="Q790" s="221"/>
      <c r="R790" s="221"/>
      <c r="S790" s="221"/>
      <c r="T790" s="221"/>
      <c r="U790" s="221"/>
      <c r="V790" s="221"/>
      <c r="W790" s="221"/>
      <c r="X790" s="221"/>
      <c r="Y790" s="68"/>
      <c r="Z790" s="68"/>
      <c r="AA790" s="68"/>
    </row>
    <row r="791">
      <c r="A791" s="134"/>
      <c r="B791" s="134"/>
      <c r="C791" s="68"/>
      <c r="D791" s="68"/>
      <c r="E791" s="68"/>
      <c r="F791" s="68"/>
      <c r="G791" s="68"/>
      <c r="H791" s="68"/>
      <c r="I791" s="221"/>
      <c r="J791" s="221"/>
      <c r="K791" s="221"/>
      <c r="L791" s="221"/>
      <c r="M791" s="221"/>
      <c r="N791" s="221"/>
      <c r="O791" s="221"/>
      <c r="P791" s="221"/>
      <c r="Q791" s="221"/>
      <c r="R791" s="221"/>
      <c r="S791" s="221"/>
      <c r="T791" s="221"/>
      <c r="U791" s="221"/>
      <c r="V791" s="221"/>
      <c r="W791" s="221"/>
      <c r="X791" s="221"/>
      <c r="Y791" s="68"/>
      <c r="Z791" s="68"/>
      <c r="AA791" s="68"/>
    </row>
    <row r="792">
      <c r="A792" s="134"/>
      <c r="B792" s="134"/>
      <c r="C792" s="68"/>
      <c r="D792" s="68"/>
      <c r="E792" s="68"/>
      <c r="F792" s="68"/>
      <c r="G792" s="68"/>
      <c r="H792" s="68"/>
      <c r="I792" s="221"/>
      <c r="J792" s="221"/>
      <c r="K792" s="221"/>
      <c r="L792" s="221"/>
      <c r="M792" s="221"/>
      <c r="N792" s="221"/>
      <c r="O792" s="221"/>
      <c r="P792" s="221"/>
      <c r="Q792" s="221"/>
      <c r="R792" s="221"/>
      <c r="S792" s="221"/>
      <c r="T792" s="221"/>
      <c r="U792" s="221"/>
      <c r="V792" s="221"/>
      <c r="W792" s="221"/>
      <c r="X792" s="221"/>
      <c r="Y792" s="68"/>
      <c r="Z792" s="68"/>
      <c r="AA792" s="68"/>
    </row>
    <row r="793">
      <c r="A793" s="134"/>
      <c r="B793" s="134"/>
      <c r="C793" s="68"/>
      <c r="D793" s="68"/>
      <c r="E793" s="68"/>
      <c r="F793" s="68"/>
      <c r="G793" s="68"/>
      <c r="H793" s="68"/>
      <c r="I793" s="221"/>
      <c r="J793" s="221"/>
      <c r="K793" s="221"/>
      <c r="L793" s="221"/>
      <c r="M793" s="221"/>
      <c r="N793" s="221"/>
      <c r="O793" s="221"/>
      <c r="P793" s="221"/>
      <c r="Q793" s="221"/>
      <c r="R793" s="221"/>
      <c r="S793" s="221"/>
      <c r="T793" s="221"/>
      <c r="U793" s="221"/>
      <c r="V793" s="221"/>
      <c r="W793" s="221"/>
      <c r="X793" s="221"/>
      <c r="Y793" s="68"/>
      <c r="Z793" s="68"/>
      <c r="AA793" s="68"/>
    </row>
    <row r="794">
      <c r="A794" s="134"/>
      <c r="B794" s="134"/>
      <c r="C794" s="68"/>
      <c r="D794" s="68"/>
      <c r="E794" s="68"/>
      <c r="F794" s="68"/>
      <c r="G794" s="68"/>
      <c r="H794" s="68"/>
      <c r="I794" s="221"/>
      <c r="J794" s="221"/>
      <c r="K794" s="221"/>
      <c r="L794" s="221"/>
      <c r="M794" s="221"/>
      <c r="N794" s="221"/>
      <c r="O794" s="221"/>
      <c r="P794" s="221"/>
      <c r="Q794" s="221"/>
      <c r="R794" s="221"/>
      <c r="S794" s="221"/>
      <c r="T794" s="221"/>
      <c r="U794" s="221"/>
      <c r="V794" s="221"/>
      <c r="W794" s="221"/>
      <c r="X794" s="221"/>
      <c r="Y794" s="68"/>
      <c r="Z794" s="68"/>
      <c r="AA794" s="68"/>
    </row>
    <row r="795">
      <c r="A795" s="134"/>
      <c r="B795" s="134"/>
      <c r="C795" s="68"/>
      <c r="D795" s="68"/>
      <c r="E795" s="68"/>
      <c r="F795" s="68"/>
      <c r="G795" s="68"/>
      <c r="H795" s="68"/>
      <c r="I795" s="221"/>
      <c r="J795" s="221"/>
      <c r="K795" s="221"/>
      <c r="L795" s="221"/>
      <c r="M795" s="221"/>
      <c r="N795" s="221"/>
      <c r="O795" s="221"/>
      <c r="P795" s="221"/>
      <c r="Q795" s="221"/>
      <c r="R795" s="221"/>
      <c r="S795" s="221"/>
      <c r="T795" s="221"/>
      <c r="U795" s="221"/>
      <c r="V795" s="221"/>
      <c r="W795" s="221"/>
      <c r="X795" s="221"/>
      <c r="Y795" s="68"/>
      <c r="Z795" s="68"/>
      <c r="AA795" s="68"/>
    </row>
    <row r="796">
      <c r="A796" s="134"/>
      <c r="B796" s="134"/>
      <c r="C796" s="68"/>
      <c r="D796" s="68"/>
      <c r="E796" s="68"/>
      <c r="F796" s="68"/>
      <c r="G796" s="68"/>
      <c r="H796" s="68"/>
      <c r="I796" s="221"/>
      <c r="J796" s="221"/>
      <c r="K796" s="221"/>
      <c r="L796" s="221"/>
      <c r="M796" s="221"/>
      <c r="N796" s="221"/>
      <c r="O796" s="221"/>
      <c r="P796" s="221"/>
      <c r="Q796" s="221"/>
      <c r="R796" s="221"/>
      <c r="S796" s="221"/>
      <c r="T796" s="221"/>
      <c r="U796" s="221"/>
      <c r="V796" s="221"/>
      <c r="W796" s="221"/>
      <c r="X796" s="221"/>
      <c r="Y796" s="68"/>
      <c r="Z796" s="68"/>
      <c r="AA796" s="68"/>
    </row>
    <row r="797">
      <c r="A797" s="134"/>
      <c r="B797" s="134"/>
      <c r="C797" s="68"/>
      <c r="D797" s="68"/>
      <c r="E797" s="68"/>
      <c r="F797" s="68"/>
      <c r="G797" s="68"/>
      <c r="H797" s="68"/>
      <c r="I797" s="221"/>
      <c r="J797" s="221"/>
      <c r="K797" s="221"/>
      <c r="L797" s="221"/>
      <c r="M797" s="221"/>
      <c r="N797" s="221"/>
      <c r="O797" s="221"/>
      <c r="P797" s="221"/>
      <c r="Q797" s="221"/>
      <c r="R797" s="221"/>
      <c r="S797" s="221"/>
      <c r="T797" s="221"/>
      <c r="U797" s="221"/>
      <c r="V797" s="221"/>
      <c r="W797" s="221"/>
      <c r="X797" s="221"/>
      <c r="Y797" s="68"/>
      <c r="Z797" s="68"/>
      <c r="AA797" s="68"/>
    </row>
    <row r="798">
      <c r="A798" s="134"/>
      <c r="B798" s="134"/>
      <c r="C798" s="68"/>
      <c r="D798" s="68"/>
      <c r="E798" s="68"/>
      <c r="F798" s="68"/>
      <c r="G798" s="68"/>
      <c r="H798" s="68"/>
      <c r="I798" s="221"/>
      <c r="J798" s="221"/>
      <c r="K798" s="221"/>
      <c r="L798" s="221"/>
      <c r="M798" s="221"/>
      <c r="N798" s="221"/>
      <c r="O798" s="221"/>
      <c r="P798" s="221"/>
      <c r="Q798" s="221"/>
      <c r="R798" s="221"/>
      <c r="S798" s="221"/>
      <c r="T798" s="221"/>
      <c r="U798" s="221"/>
      <c r="V798" s="221"/>
      <c r="W798" s="221"/>
      <c r="X798" s="221"/>
      <c r="Y798" s="68"/>
      <c r="Z798" s="68"/>
      <c r="AA798" s="68"/>
    </row>
    <row r="799">
      <c r="A799" s="134"/>
      <c r="B799" s="134"/>
      <c r="C799" s="68"/>
      <c r="D799" s="68"/>
      <c r="E799" s="68"/>
      <c r="F799" s="68"/>
      <c r="G799" s="68"/>
      <c r="H799" s="68"/>
      <c r="I799" s="221"/>
      <c r="J799" s="221"/>
      <c r="K799" s="221"/>
      <c r="L799" s="221"/>
      <c r="M799" s="221"/>
      <c r="N799" s="221"/>
      <c r="O799" s="221"/>
      <c r="P799" s="221"/>
      <c r="Q799" s="221"/>
      <c r="R799" s="221"/>
      <c r="S799" s="221"/>
      <c r="T799" s="221"/>
      <c r="U799" s="221"/>
      <c r="V799" s="221"/>
      <c r="W799" s="221"/>
      <c r="X799" s="221"/>
      <c r="Y799" s="68"/>
      <c r="Z799" s="68"/>
      <c r="AA799" s="68"/>
    </row>
    <row r="800">
      <c r="A800" s="134"/>
      <c r="B800" s="134"/>
      <c r="C800" s="68"/>
      <c r="D800" s="68"/>
      <c r="E800" s="68"/>
      <c r="F800" s="68"/>
      <c r="G800" s="68"/>
      <c r="H800" s="68"/>
      <c r="I800" s="221"/>
      <c r="J800" s="221"/>
      <c r="K800" s="221"/>
      <c r="L800" s="221"/>
      <c r="M800" s="221"/>
      <c r="N800" s="221"/>
      <c r="O800" s="221"/>
      <c r="P800" s="221"/>
      <c r="Q800" s="221"/>
      <c r="R800" s="221"/>
      <c r="S800" s="221"/>
      <c r="T800" s="221"/>
      <c r="U800" s="221"/>
      <c r="V800" s="221"/>
      <c r="W800" s="221"/>
      <c r="X800" s="221"/>
      <c r="Y800" s="68"/>
      <c r="Z800" s="68"/>
      <c r="AA800" s="68"/>
    </row>
    <row r="801">
      <c r="A801" s="134"/>
      <c r="B801" s="134"/>
      <c r="C801" s="68"/>
      <c r="D801" s="68"/>
      <c r="E801" s="68"/>
      <c r="F801" s="68"/>
      <c r="G801" s="68"/>
      <c r="H801" s="68"/>
      <c r="I801" s="221"/>
      <c r="J801" s="221"/>
      <c r="K801" s="221"/>
      <c r="L801" s="221"/>
      <c r="M801" s="221"/>
      <c r="N801" s="221"/>
      <c r="O801" s="221"/>
      <c r="P801" s="221"/>
      <c r="Q801" s="221"/>
      <c r="R801" s="221"/>
      <c r="S801" s="221"/>
      <c r="T801" s="221"/>
      <c r="U801" s="221"/>
      <c r="V801" s="221"/>
      <c r="W801" s="221"/>
      <c r="X801" s="221"/>
      <c r="Y801" s="68"/>
      <c r="Z801" s="68"/>
      <c r="AA801" s="68"/>
    </row>
    <row r="802">
      <c r="A802" s="134"/>
      <c r="B802" s="134"/>
      <c r="C802" s="68"/>
      <c r="D802" s="68"/>
      <c r="E802" s="68"/>
      <c r="F802" s="68"/>
      <c r="G802" s="68"/>
      <c r="H802" s="68"/>
      <c r="I802" s="221"/>
      <c r="J802" s="221"/>
      <c r="K802" s="221"/>
      <c r="L802" s="221"/>
      <c r="M802" s="221"/>
      <c r="N802" s="221"/>
      <c r="O802" s="221"/>
      <c r="P802" s="221"/>
      <c r="Q802" s="221"/>
      <c r="R802" s="221"/>
      <c r="S802" s="221"/>
      <c r="T802" s="221"/>
      <c r="U802" s="221"/>
      <c r="V802" s="221"/>
      <c r="W802" s="221"/>
      <c r="X802" s="221"/>
      <c r="Y802" s="68"/>
      <c r="Z802" s="68"/>
      <c r="AA802" s="68"/>
    </row>
    <row r="803">
      <c r="A803" s="134"/>
      <c r="B803" s="134"/>
      <c r="C803" s="68"/>
      <c r="D803" s="68"/>
      <c r="E803" s="68"/>
      <c r="F803" s="68"/>
      <c r="G803" s="68"/>
      <c r="H803" s="68"/>
      <c r="I803" s="221"/>
      <c r="J803" s="221"/>
      <c r="K803" s="221"/>
      <c r="L803" s="221"/>
      <c r="M803" s="221"/>
      <c r="N803" s="221"/>
      <c r="O803" s="221"/>
      <c r="P803" s="221"/>
      <c r="Q803" s="221"/>
      <c r="R803" s="221"/>
      <c r="S803" s="221"/>
      <c r="T803" s="221"/>
      <c r="U803" s="221"/>
      <c r="V803" s="221"/>
      <c r="W803" s="221"/>
      <c r="X803" s="221"/>
      <c r="Y803" s="68"/>
      <c r="Z803" s="68"/>
      <c r="AA803" s="68"/>
    </row>
    <row r="804">
      <c r="A804" s="134"/>
      <c r="B804" s="134"/>
      <c r="C804" s="68"/>
      <c r="D804" s="68"/>
      <c r="E804" s="68"/>
      <c r="F804" s="68"/>
      <c r="G804" s="68"/>
      <c r="H804" s="68"/>
      <c r="I804" s="221"/>
      <c r="J804" s="221"/>
      <c r="K804" s="221"/>
      <c r="L804" s="221"/>
      <c r="M804" s="221"/>
      <c r="N804" s="221"/>
      <c r="O804" s="221"/>
      <c r="P804" s="221"/>
      <c r="Q804" s="221"/>
      <c r="R804" s="221"/>
      <c r="S804" s="221"/>
      <c r="T804" s="221"/>
      <c r="U804" s="221"/>
      <c r="V804" s="221"/>
      <c r="W804" s="221"/>
      <c r="X804" s="221"/>
      <c r="Y804" s="68"/>
      <c r="Z804" s="68"/>
      <c r="AA804" s="68"/>
    </row>
    <row r="805">
      <c r="A805" s="134"/>
      <c r="B805" s="134"/>
      <c r="C805" s="68"/>
      <c r="D805" s="68"/>
      <c r="E805" s="68"/>
      <c r="F805" s="68"/>
      <c r="G805" s="68"/>
      <c r="H805" s="68"/>
      <c r="I805" s="221"/>
      <c r="J805" s="221"/>
      <c r="K805" s="221"/>
      <c r="L805" s="221"/>
      <c r="M805" s="221"/>
      <c r="N805" s="221"/>
      <c r="O805" s="221"/>
      <c r="P805" s="221"/>
      <c r="Q805" s="221"/>
      <c r="R805" s="221"/>
      <c r="S805" s="221"/>
      <c r="T805" s="221"/>
      <c r="U805" s="221"/>
      <c r="V805" s="221"/>
      <c r="W805" s="221"/>
      <c r="X805" s="221"/>
      <c r="Y805" s="68"/>
      <c r="Z805" s="68"/>
      <c r="AA805" s="68"/>
    </row>
    <row r="806">
      <c r="A806" s="134"/>
      <c r="B806" s="134"/>
      <c r="C806" s="68"/>
      <c r="D806" s="68"/>
      <c r="E806" s="68"/>
      <c r="F806" s="68"/>
      <c r="G806" s="68"/>
      <c r="H806" s="68"/>
      <c r="I806" s="221"/>
      <c r="J806" s="221"/>
      <c r="K806" s="221"/>
      <c r="L806" s="221"/>
      <c r="M806" s="221"/>
      <c r="N806" s="221"/>
      <c r="O806" s="221"/>
      <c r="P806" s="221"/>
      <c r="Q806" s="221"/>
      <c r="R806" s="221"/>
      <c r="S806" s="221"/>
      <c r="T806" s="221"/>
      <c r="U806" s="221"/>
      <c r="V806" s="221"/>
      <c r="W806" s="221"/>
      <c r="X806" s="221"/>
      <c r="Y806" s="68"/>
      <c r="Z806" s="68"/>
      <c r="AA806" s="68"/>
    </row>
    <row r="807">
      <c r="A807" s="134"/>
      <c r="B807" s="134"/>
      <c r="C807" s="68"/>
      <c r="D807" s="68"/>
      <c r="E807" s="68"/>
      <c r="F807" s="68"/>
      <c r="G807" s="68"/>
      <c r="H807" s="68"/>
      <c r="I807" s="221"/>
      <c r="J807" s="221"/>
      <c r="K807" s="221"/>
      <c r="L807" s="221"/>
      <c r="M807" s="221"/>
      <c r="N807" s="221"/>
      <c r="O807" s="221"/>
      <c r="P807" s="221"/>
      <c r="Q807" s="221"/>
      <c r="R807" s="221"/>
      <c r="S807" s="221"/>
      <c r="T807" s="221"/>
      <c r="U807" s="221"/>
      <c r="V807" s="221"/>
      <c r="W807" s="221"/>
      <c r="X807" s="221"/>
      <c r="Y807" s="68"/>
      <c r="Z807" s="68"/>
      <c r="AA807" s="68"/>
    </row>
    <row r="808">
      <c r="A808" s="134"/>
      <c r="B808" s="134"/>
      <c r="C808" s="68"/>
      <c r="D808" s="68"/>
      <c r="E808" s="68"/>
      <c r="F808" s="68"/>
      <c r="G808" s="68"/>
      <c r="H808" s="68"/>
      <c r="I808" s="221"/>
      <c r="J808" s="221"/>
      <c r="K808" s="221"/>
      <c r="L808" s="221"/>
      <c r="M808" s="221"/>
      <c r="N808" s="221"/>
      <c r="O808" s="221"/>
      <c r="P808" s="221"/>
      <c r="Q808" s="221"/>
      <c r="R808" s="221"/>
      <c r="S808" s="221"/>
      <c r="T808" s="221"/>
      <c r="U808" s="221"/>
      <c r="V808" s="221"/>
      <c r="W808" s="221"/>
      <c r="X808" s="221"/>
      <c r="Y808" s="68"/>
      <c r="Z808" s="68"/>
      <c r="AA808" s="68"/>
    </row>
    <row r="809">
      <c r="A809" s="134"/>
      <c r="B809" s="134"/>
      <c r="C809" s="68"/>
      <c r="D809" s="68"/>
      <c r="E809" s="68"/>
      <c r="F809" s="68"/>
      <c r="G809" s="68"/>
      <c r="H809" s="68"/>
      <c r="I809" s="221"/>
      <c r="J809" s="221"/>
      <c r="K809" s="221"/>
      <c r="L809" s="221"/>
      <c r="M809" s="221"/>
      <c r="N809" s="221"/>
      <c r="O809" s="221"/>
      <c r="P809" s="221"/>
      <c r="Q809" s="221"/>
      <c r="R809" s="221"/>
      <c r="S809" s="221"/>
      <c r="T809" s="221"/>
      <c r="U809" s="221"/>
      <c r="V809" s="221"/>
      <c r="W809" s="221"/>
      <c r="X809" s="221"/>
      <c r="Y809" s="68"/>
      <c r="Z809" s="68"/>
      <c r="AA809" s="68"/>
    </row>
    <row r="810">
      <c r="A810" s="134"/>
      <c r="B810" s="134"/>
      <c r="C810" s="68"/>
      <c r="D810" s="68"/>
      <c r="E810" s="68"/>
      <c r="F810" s="68"/>
      <c r="G810" s="68"/>
      <c r="H810" s="68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68"/>
      <c r="Z810" s="68"/>
      <c r="AA810" s="68"/>
    </row>
    <row r="811">
      <c r="A811" s="134"/>
      <c r="B811" s="134"/>
      <c r="C811" s="68"/>
      <c r="D811" s="68"/>
      <c r="E811" s="68"/>
      <c r="F811" s="68"/>
      <c r="G811" s="68"/>
      <c r="H811" s="68"/>
      <c r="I811" s="221"/>
      <c r="J811" s="221"/>
      <c r="K811" s="221"/>
      <c r="L811" s="221"/>
      <c r="M811" s="221"/>
      <c r="N811" s="221"/>
      <c r="O811" s="221"/>
      <c r="P811" s="221"/>
      <c r="Q811" s="221"/>
      <c r="R811" s="221"/>
      <c r="S811" s="221"/>
      <c r="T811" s="221"/>
      <c r="U811" s="221"/>
      <c r="V811" s="221"/>
      <c r="W811" s="221"/>
      <c r="X811" s="221"/>
      <c r="Y811" s="68"/>
      <c r="Z811" s="68"/>
      <c r="AA811" s="68"/>
    </row>
    <row r="812">
      <c r="A812" s="134"/>
      <c r="B812" s="134"/>
      <c r="C812" s="68"/>
      <c r="D812" s="68"/>
      <c r="E812" s="68"/>
      <c r="F812" s="68"/>
      <c r="G812" s="68"/>
      <c r="H812" s="68"/>
      <c r="I812" s="221"/>
      <c r="J812" s="221"/>
      <c r="K812" s="221"/>
      <c r="L812" s="221"/>
      <c r="M812" s="221"/>
      <c r="N812" s="221"/>
      <c r="O812" s="221"/>
      <c r="P812" s="221"/>
      <c r="Q812" s="221"/>
      <c r="R812" s="221"/>
      <c r="S812" s="221"/>
      <c r="T812" s="221"/>
      <c r="U812" s="221"/>
      <c r="V812" s="221"/>
      <c r="W812" s="221"/>
      <c r="X812" s="221"/>
      <c r="Y812" s="68"/>
      <c r="Z812" s="68"/>
      <c r="AA812" s="68"/>
    </row>
    <row r="813">
      <c r="A813" s="134"/>
      <c r="B813" s="134"/>
      <c r="C813" s="68"/>
      <c r="D813" s="68"/>
      <c r="E813" s="68"/>
      <c r="F813" s="68"/>
      <c r="G813" s="68"/>
      <c r="H813" s="68"/>
      <c r="I813" s="221"/>
      <c r="J813" s="221"/>
      <c r="K813" s="221"/>
      <c r="L813" s="221"/>
      <c r="M813" s="221"/>
      <c r="N813" s="221"/>
      <c r="O813" s="221"/>
      <c r="P813" s="221"/>
      <c r="Q813" s="221"/>
      <c r="R813" s="221"/>
      <c r="S813" s="221"/>
      <c r="T813" s="221"/>
      <c r="U813" s="221"/>
      <c r="V813" s="221"/>
      <c r="W813" s="221"/>
      <c r="X813" s="221"/>
      <c r="Y813" s="68"/>
      <c r="Z813" s="68"/>
      <c r="AA813" s="68"/>
    </row>
    <row r="814">
      <c r="A814" s="134"/>
      <c r="B814" s="134"/>
      <c r="C814" s="68"/>
      <c r="D814" s="68"/>
      <c r="E814" s="68"/>
      <c r="F814" s="68"/>
      <c r="G814" s="68"/>
      <c r="H814" s="68"/>
      <c r="I814" s="221"/>
      <c r="J814" s="221"/>
      <c r="K814" s="221"/>
      <c r="L814" s="221"/>
      <c r="M814" s="221"/>
      <c r="N814" s="221"/>
      <c r="O814" s="221"/>
      <c r="P814" s="221"/>
      <c r="Q814" s="221"/>
      <c r="R814" s="221"/>
      <c r="S814" s="221"/>
      <c r="T814" s="221"/>
      <c r="U814" s="221"/>
      <c r="V814" s="221"/>
      <c r="W814" s="221"/>
      <c r="X814" s="221"/>
      <c r="Y814" s="68"/>
      <c r="Z814" s="68"/>
      <c r="AA814" s="68"/>
    </row>
    <row r="815">
      <c r="A815" s="134"/>
      <c r="B815" s="134"/>
      <c r="C815" s="68"/>
      <c r="D815" s="68"/>
      <c r="E815" s="68"/>
      <c r="F815" s="68"/>
      <c r="G815" s="68"/>
      <c r="H815" s="68"/>
      <c r="I815" s="221"/>
      <c r="J815" s="221"/>
      <c r="K815" s="221"/>
      <c r="L815" s="221"/>
      <c r="M815" s="221"/>
      <c r="N815" s="221"/>
      <c r="O815" s="221"/>
      <c r="P815" s="221"/>
      <c r="Q815" s="221"/>
      <c r="R815" s="221"/>
      <c r="S815" s="221"/>
      <c r="T815" s="221"/>
      <c r="U815" s="221"/>
      <c r="V815" s="221"/>
      <c r="W815" s="221"/>
      <c r="X815" s="221"/>
      <c r="Y815" s="68"/>
      <c r="Z815" s="68"/>
      <c r="AA815" s="68"/>
    </row>
    <row r="816">
      <c r="A816" s="134"/>
      <c r="B816" s="134"/>
      <c r="C816" s="68"/>
      <c r="D816" s="68"/>
      <c r="E816" s="68"/>
      <c r="F816" s="68"/>
      <c r="G816" s="68"/>
      <c r="H816" s="68"/>
      <c r="I816" s="221"/>
      <c r="J816" s="221"/>
      <c r="K816" s="221"/>
      <c r="L816" s="221"/>
      <c r="M816" s="221"/>
      <c r="N816" s="221"/>
      <c r="O816" s="221"/>
      <c r="P816" s="221"/>
      <c r="Q816" s="221"/>
      <c r="R816" s="221"/>
      <c r="S816" s="221"/>
      <c r="T816" s="221"/>
      <c r="U816" s="221"/>
      <c r="V816" s="221"/>
      <c r="W816" s="221"/>
      <c r="X816" s="221"/>
      <c r="Y816" s="68"/>
      <c r="Z816" s="68"/>
      <c r="AA816" s="68"/>
    </row>
    <row r="817">
      <c r="A817" s="134"/>
      <c r="B817" s="134"/>
      <c r="C817" s="68"/>
      <c r="D817" s="68"/>
      <c r="E817" s="68"/>
      <c r="F817" s="68"/>
      <c r="G817" s="68"/>
      <c r="H817" s="68"/>
      <c r="I817" s="221"/>
      <c r="J817" s="221"/>
      <c r="K817" s="221"/>
      <c r="L817" s="221"/>
      <c r="M817" s="221"/>
      <c r="N817" s="221"/>
      <c r="O817" s="221"/>
      <c r="P817" s="221"/>
      <c r="Q817" s="221"/>
      <c r="R817" s="221"/>
      <c r="S817" s="221"/>
      <c r="T817" s="221"/>
      <c r="U817" s="221"/>
      <c r="V817" s="221"/>
      <c r="W817" s="221"/>
      <c r="X817" s="221"/>
      <c r="Y817" s="68"/>
      <c r="Z817" s="68"/>
      <c r="AA817" s="68"/>
    </row>
    <row r="818">
      <c r="A818" s="134"/>
      <c r="B818" s="134"/>
      <c r="C818" s="68"/>
      <c r="D818" s="68"/>
      <c r="E818" s="68"/>
      <c r="F818" s="68"/>
      <c r="G818" s="68"/>
      <c r="H818" s="68"/>
      <c r="I818" s="221"/>
      <c r="J818" s="221"/>
      <c r="K818" s="221"/>
      <c r="L818" s="221"/>
      <c r="M818" s="221"/>
      <c r="N818" s="221"/>
      <c r="O818" s="221"/>
      <c r="P818" s="221"/>
      <c r="Q818" s="221"/>
      <c r="R818" s="221"/>
      <c r="S818" s="221"/>
      <c r="T818" s="221"/>
      <c r="U818" s="221"/>
      <c r="V818" s="221"/>
      <c r="W818" s="221"/>
      <c r="X818" s="221"/>
      <c r="Y818" s="68"/>
      <c r="Z818" s="68"/>
      <c r="AA818" s="68"/>
    </row>
    <row r="819">
      <c r="A819" s="134"/>
      <c r="B819" s="134"/>
      <c r="C819" s="68"/>
      <c r="D819" s="68"/>
      <c r="E819" s="68"/>
      <c r="F819" s="68"/>
      <c r="G819" s="68"/>
      <c r="H819" s="68"/>
      <c r="I819" s="221"/>
      <c r="J819" s="221"/>
      <c r="K819" s="221"/>
      <c r="L819" s="221"/>
      <c r="M819" s="221"/>
      <c r="N819" s="221"/>
      <c r="O819" s="221"/>
      <c r="P819" s="221"/>
      <c r="Q819" s="221"/>
      <c r="R819" s="221"/>
      <c r="S819" s="221"/>
      <c r="T819" s="221"/>
      <c r="U819" s="221"/>
      <c r="V819" s="221"/>
      <c r="W819" s="221"/>
      <c r="X819" s="221"/>
      <c r="Y819" s="68"/>
      <c r="Z819" s="68"/>
      <c r="AA819" s="68"/>
    </row>
    <row r="820">
      <c r="A820" s="134"/>
      <c r="B820" s="134"/>
      <c r="C820" s="68"/>
      <c r="D820" s="68"/>
      <c r="E820" s="68"/>
      <c r="F820" s="68"/>
      <c r="G820" s="68"/>
      <c r="H820" s="68"/>
      <c r="I820" s="221"/>
      <c r="J820" s="221"/>
      <c r="K820" s="221"/>
      <c r="L820" s="221"/>
      <c r="M820" s="221"/>
      <c r="N820" s="221"/>
      <c r="O820" s="221"/>
      <c r="P820" s="221"/>
      <c r="Q820" s="221"/>
      <c r="R820" s="221"/>
      <c r="S820" s="221"/>
      <c r="T820" s="221"/>
      <c r="U820" s="221"/>
      <c r="V820" s="221"/>
      <c r="W820" s="221"/>
      <c r="X820" s="221"/>
      <c r="Y820" s="68"/>
      <c r="Z820" s="68"/>
      <c r="AA820" s="68"/>
    </row>
    <row r="821">
      <c r="A821" s="134"/>
      <c r="B821" s="134"/>
      <c r="C821" s="68"/>
      <c r="D821" s="68"/>
      <c r="E821" s="68"/>
      <c r="F821" s="68"/>
      <c r="G821" s="68"/>
      <c r="H821" s="68"/>
      <c r="I821" s="221"/>
      <c r="J821" s="221"/>
      <c r="K821" s="221"/>
      <c r="L821" s="221"/>
      <c r="M821" s="221"/>
      <c r="N821" s="221"/>
      <c r="O821" s="221"/>
      <c r="P821" s="221"/>
      <c r="Q821" s="221"/>
      <c r="R821" s="221"/>
      <c r="S821" s="221"/>
      <c r="T821" s="221"/>
      <c r="U821" s="221"/>
      <c r="V821" s="221"/>
      <c r="W821" s="221"/>
      <c r="X821" s="221"/>
      <c r="Y821" s="68"/>
      <c r="Z821" s="68"/>
      <c r="AA821" s="68"/>
    </row>
    <row r="822">
      <c r="A822" s="134"/>
      <c r="B822" s="134"/>
      <c r="C822" s="68"/>
      <c r="D822" s="68"/>
      <c r="E822" s="68"/>
      <c r="F822" s="68"/>
      <c r="G822" s="68"/>
      <c r="H822" s="68"/>
      <c r="I822" s="221"/>
      <c r="J822" s="221"/>
      <c r="K822" s="221"/>
      <c r="L822" s="221"/>
      <c r="M822" s="221"/>
      <c r="N822" s="221"/>
      <c r="O822" s="221"/>
      <c r="P822" s="221"/>
      <c r="Q822" s="221"/>
      <c r="R822" s="221"/>
      <c r="S822" s="221"/>
      <c r="T822" s="221"/>
      <c r="U822" s="221"/>
      <c r="V822" s="221"/>
      <c r="W822" s="221"/>
      <c r="X822" s="221"/>
      <c r="Y822" s="68"/>
      <c r="Z822" s="68"/>
      <c r="AA822" s="68"/>
    </row>
    <row r="823">
      <c r="A823" s="134"/>
      <c r="B823" s="134"/>
      <c r="C823" s="68"/>
      <c r="D823" s="68"/>
      <c r="E823" s="68"/>
      <c r="F823" s="68"/>
      <c r="G823" s="68"/>
      <c r="H823" s="68"/>
      <c r="I823" s="221"/>
      <c r="J823" s="221"/>
      <c r="K823" s="221"/>
      <c r="L823" s="221"/>
      <c r="M823" s="221"/>
      <c r="N823" s="221"/>
      <c r="O823" s="221"/>
      <c r="P823" s="221"/>
      <c r="Q823" s="221"/>
      <c r="R823" s="221"/>
      <c r="S823" s="221"/>
      <c r="T823" s="221"/>
      <c r="U823" s="221"/>
      <c r="V823" s="221"/>
      <c r="W823" s="221"/>
      <c r="X823" s="221"/>
      <c r="Y823" s="68"/>
      <c r="Z823" s="68"/>
      <c r="AA823" s="68"/>
    </row>
    <row r="824">
      <c r="A824" s="134"/>
      <c r="B824" s="134"/>
      <c r="C824" s="68"/>
      <c r="D824" s="68"/>
      <c r="E824" s="68"/>
      <c r="F824" s="68"/>
      <c r="G824" s="68"/>
      <c r="H824" s="68"/>
      <c r="I824" s="221"/>
      <c r="J824" s="221"/>
      <c r="K824" s="221"/>
      <c r="L824" s="221"/>
      <c r="M824" s="221"/>
      <c r="N824" s="221"/>
      <c r="O824" s="221"/>
      <c r="P824" s="221"/>
      <c r="Q824" s="221"/>
      <c r="R824" s="221"/>
      <c r="S824" s="221"/>
      <c r="T824" s="221"/>
      <c r="U824" s="221"/>
      <c r="V824" s="221"/>
      <c r="W824" s="221"/>
      <c r="X824" s="221"/>
      <c r="Y824" s="68"/>
      <c r="Z824" s="68"/>
      <c r="AA824" s="68"/>
    </row>
    <row r="825">
      <c r="A825" s="134"/>
      <c r="B825" s="134"/>
      <c r="C825" s="68"/>
      <c r="D825" s="68"/>
      <c r="E825" s="68"/>
      <c r="F825" s="68"/>
      <c r="G825" s="68"/>
      <c r="H825" s="68"/>
      <c r="I825" s="221"/>
      <c r="J825" s="221"/>
      <c r="K825" s="221"/>
      <c r="L825" s="221"/>
      <c r="M825" s="221"/>
      <c r="N825" s="221"/>
      <c r="O825" s="221"/>
      <c r="P825" s="221"/>
      <c r="Q825" s="221"/>
      <c r="R825" s="221"/>
      <c r="S825" s="221"/>
      <c r="T825" s="221"/>
      <c r="U825" s="221"/>
      <c r="V825" s="221"/>
      <c r="W825" s="221"/>
      <c r="X825" s="221"/>
      <c r="Y825" s="68"/>
      <c r="Z825" s="68"/>
      <c r="AA825" s="68"/>
    </row>
    <row r="826">
      <c r="A826" s="134"/>
      <c r="B826" s="134"/>
      <c r="C826" s="68"/>
      <c r="D826" s="68"/>
      <c r="E826" s="68"/>
      <c r="F826" s="68"/>
      <c r="G826" s="68"/>
      <c r="H826" s="68"/>
      <c r="I826" s="221"/>
      <c r="J826" s="221"/>
      <c r="K826" s="221"/>
      <c r="L826" s="221"/>
      <c r="M826" s="221"/>
      <c r="N826" s="221"/>
      <c r="O826" s="221"/>
      <c r="P826" s="221"/>
      <c r="Q826" s="221"/>
      <c r="R826" s="221"/>
      <c r="S826" s="221"/>
      <c r="T826" s="221"/>
      <c r="U826" s="221"/>
      <c r="V826" s="221"/>
      <c r="W826" s="221"/>
      <c r="X826" s="221"/>
      <c r="Y826" s="68"/>
      <c r="Z826" s="68"/>
      <c r="AA826" s="68"/>
    </row>
    <row r="827">
      <c r="A827" s="134"/>
      <c r="B827" s="134"/>
      <c r="C827" s="68"/>
      <c r="D827" s="68"/>
      <c r="E827" s="68"/>
      <c r="F827" s="68"/>
      <c r="G827" s="68"/>
      <c r="H827" s="68"/>
      <c r="I827" s="221"/>
      <c r="J827" s="221"/>
      <c r="K827" s="221"/>
      <c r="L827" s="221"/>
      <c r="M827" s="221"/>
      <c r="N827" s="221"/>
      <c r="O827" s="221"/>
      <c r="P827" s="221"/>
      <c r="Q827" s="221"/>
      <c r="R827" s="221"/>
      <c r="S827" s="221"/>
      <c r="T827" s="221"/>
      <c r="U827" s="221"/>
      <c r="V827" s="221"/>
      <c r="W827" s="221"/>
      <c r="X827" s="221"/>
      <c r="Y827" s="68"/>
      <c r="Z827" s="68"/>
      <c r="AA827" s="68"/>
    </row>
    <row r="828">
      <c r="A828" s="134"/>
      <c r="B828" s="134"/>
      <c r="C828" s="68"/>
      <c r="D828" s="68"/>
      <c r="E828" s="68"/>
      <c r="F828" s="68"/>
      <c r="G828" s="68"/>
      <c r="H828" s="68"/>
      <c r="I828" s="221"/>
      <c r="J828" s="221"/>
      <c r="K828" s="221"/>
      <c r="L828" s="221"/>
      <c r="M828" s="221"/>
      <c r="N828" s="221"/>
      <c r="O828" s="221"/>
      <c r="P828" s="221"/>
      <c r="Q828" s="221"/>
      <c r="R828" s="221"/>
      <c r="S828" s="221"/>
      <c r="T828" s="221"/>
      <c r="U828" s="221"/>
      <c r="V828" s="221"/>
      <c r="W828" s="221"/>
      <c r="X828" s="221"/>
      <c r="Y828" s="68"/>
      <c r="Z828" s="68"/>
      <c r="AA828" s="68"/>
    </row>
    <row r="829">
      <c r="A829" s="134"/>
      <c r="B829" s="134"/>
      <c r="C829" s="68"/>
      <c r="D829" s="68"/>
      <c r="E829" s="68"/>
      <c r="F829" s="68"/>
      <c r="G829" s="68"/>
      <c r="H829" s="68"/>
      <c r="I829" s="221"/>
      <c r="J829" s="221"/>
      <c r="K829" s="221"/>
      <c r="L829" s="221"/>
      <c r="M829" s="221"/>
      <c r="N829" s="221"/>
      <c r="O829" s="221"/>
      <c r="P829" s="221"/>
      <c r="Q829" s="221"/>
      <c r="R829" s="221"/>
      <c r="S829" s="221"/>
      <c r="T829" s="221"/>
      <c r="U829" s="221"/>
      <c r="V829" s="221"/>
      <c r="W829" s="221"/>
      <c r="X829" s="221"/>
      <c r="Y829" s="68"/>
      <c r="Z829" s="68"/>
      <c r="AA829" s="68"/>
    </row>
    <row r="830">
      <c r="A830" s="134"/>
      <c r="B830" s="134"/>
      <c r="C830" s="68"/>
      <c r="D830" s="68"/>
      <c r="E830" s="68"/>
      <c r="F830" s="68"/>
      <c r="G830" s="68"/>
      <c r="H830" s="68"/>
      <c r="I830" s="221"/>
      <c r="J830" s="221"/>
      <c r="K830" s="221"/>
      <c r="L830" s="221"/>
      <c r="M830" s="221"/>
      <c r="N830" s="221"/>
      <c r="O830" s="221"/>
      <c r="P830" s="221"/>
      <c r="Q830" s="221"/>
      <c r="R830" s="221"/>
      <c r="S830" s="221"/>
      <c r="T830" s="221"/>
      <c r="U830" s="221"/>
      <c r="V830" s="221"/>
      <c r="W830" s="221"/>
      <c r="X830" s="221"/>
      <c r="Y830" s="68"/>
      <c r="Z830" s="68"/>
      <c r="AA830" s="68"/>
    </row>
    <row r="831">
      <c r="A831" s="134"/>
      <c r="B831" s="134"/>
      <c r="C831" s="68"/>
      <c r="D831" s="68"/>
      <c r="E831" s="68"/>
      <c r="F831" s="68"/>
      <c r="G831" s="68"/>
      <c r="H831" s="68"/>
      <c r="I831" s="221"/>
      <c r="J831" s="221"/>
      <c r="K831" s="221"/>
      <c r="L831" s="221"/>
      <c r="M831" s="221"/>
      <c r="N831" s="221"/>
      <c r="O831" s="221"/>
      <c r="P831" s="221"/>
      <c r="Q831" s="221"/>
      <c r="R831" s="221"/>
      <c r="S831" s="221"/>
      <c r="T831" s="221"/>
      <c r="U831" s="221"/>
      <c r="V831" s="221"/>
      <c r="W831" s="221"/>
      <c r="X831" s="221"/>
      <c r="Y831" s="68"/>
      <c r="Z831" s="68"/>
      <c r="AA831" s="68"/>
    </row>
    <row r="832">
      <c r="A832" s="134"/>
      <c r="B832" s="134"/>
      <c r="C832" s="68"/>
      <c r="D832" s="68"/>
      <c r="E832" s="68"/>
      <c r="F832" s="68"/>
      <c r="G832" s="68"/>
      <c r="H832" s="68"/>
      <c r="I832" s="221"/>
      <c r="J832" s="221"/>
      <c r="K832" s="221"/>
      <c r="L832" s="221"/>
      <c r="M832" s="221"/>
      <c r="N832" s="221"/>
      <c r="O832" s="221"/>
      <c r="P832" s="221"/>
      <c r="Q832" s="221"/>
      <c r="R832" s="221"/>
      <c r="S832" s="221"/>
      <c r="T832" s="221"/>
      <c r="U832" s="221"/>
      <c r="V832" s="221"/>
      <c r="W832" s="221"/>
      <c r="X832" s="221"/>
      <c r="Y832" s="68"/>
      <c r="Z832" s="68"/>
      <c r="AA832" s="68"/>
    </row>
    <row r="833">
      <c r="A833" s="134"/>
      <c r="B833" s="134"/>
      <c r="C833" s="68"/>
      <c r="D833" s="68"/>
      <c r="E833" s="68"/>
      <c r="F833" s="68"/>
      <c r="G833" s="68"/>
      <c r="H833" s="68"/>
      <c r="I833" s="221"/>
      <c r="J833" s="221"/>
      <c r="K833" s="221"/>
      <c r="L833" s="221"/>
      <c r="M833" s="221"/>
      <c r="N833" s="221"/>
      <c r="O833" s="221"/>
      <c r="P833" s="221"/>
      <c r="Q833" s="221"/>
      <c r="R833" s="221"/>
      <c r="S833" s="221"/>
      <c r="T833" s="221"/>
      <c r="U833" s="221"/>
      <c r="V833" s="221"/>
      <c r="W833" s="221"/>
      <c r="X833" s="221"/>
      <c r="Y833" s="68"/>
      <c r="Z833" s="68"/>
      <c r="AA833" s="68"/>
    </row>
    <row r="834">
      <c r="A834" s="134"/>
      <c r="B834" s="134"/>
      <c r="C834" s="68"/>
      <c r="D834" s="68"/>
      <c r="E834" s="68"/>
      <c r="F834" s="68"/>
      <c r="G834" s="68"/>
      <c r="H834" s="68"/>
      <c r="I834" s="221"/>
      <c r="J834" s="221"/>
      <c r="K834" s="221"/>
      <c r="L834" s="221"/>
      <c r="M834" s="221"/>
      <c r="N834" s="221"/>
      <c r="O834" s="221"/>
      <c r="P834" s="221"/>
      <c r="Q834" s="221"/>
      <c r="R834" s="221"/>
      <c r="S834" s="221"/>
      <c r="T834" s="221"/>
      <c r="U834" s="221"/>
      <c r="V834" s="221"/>
      <c r="W834" s="221"/>
      <c r="X834" s="221"/>
      <c r="Y834" s="68"/>
      <c r="Z834" s="68"/>
      <c r="AA834" s="68"/>
    </row>
    <row r="835">
      <c r="A835" s="134"/>
      <c r="B835" s="134"/>
      <c r="C835" s="68"/>
      <c r="D835" s="68"/>
      <c r="E835" s="68"/>
      <c r="F835" s="68"/>
      <c r="G835" s="68"/>
      <c r="H835" s="68"/>
      <c r="I835" s="221"/>
      <c r="J835" s="221"/>
      <c r="K835" s="221"/>
      <c r="L835" s="221"/>
      <c r="M835" s="221"/>
      <c r="N835" s="221"/>
      <c r="O835" s="221"/>
      <c r="P835" s="221"/>
      <c r="Q835" s="221"/>
      <c r="R835" s="221"/>
      <c r="S835" s="221"/>
      <c r="T835" s="221"/>
      <c r="U835" s="221"/>
      <c r="V835" s="221"/>
      <c r="W835" s="221"/>
      <c r="X835" s="221"/>
      <c r="Y835" s="68"/>
      <c r="Z835" s="68"/>
      <c r="AA835" s="68"/>
    </row>
    <row r="836">
      <c r="A836" s="134"/>
      <c r="B836" s="134"/>
      <c r="C836" s="68"/>
      <c r="D836" s="68"/>
      <c r="E836" s="68"/>
      <c r="F836" s="68"/>
      <c r="G836" s="68"/>
      <c r="H836" s="68"/>
      <c r="I836" s="221"/>
      <c r="J836" s="221"/>
      <c r="K836" s="221"/>
      <c r="L836" s="221"/>
      <c r="M836" s="221"/>
      <c r="N836" s="221"/>
      <c r="O836" s="221"/>
      <c r="P836" s="221"/>
      <c r="Q836" s="221"/>
      <c r="R836" s="221"/>
      <c r="S836" s="221"/>
      <c r="T836" s="221"/>
      <c r="U836" s="221"/>
      <c r="V836" s="221"/>
      <c r="W836" s="221"/>
      <c r="X836" s="221"/>
      <c r="Y836" s="68"/>
      <c r="Z836" s="68"/>
      <c r="AA836" s="68"/>
    </row>
    <row r="837">
      <c r="A837" s="134"/>
      <c r="B837" s="134"/>
      <c r="C837" s="68"/>
      <c r="D837" s="68"/>
      <c r="E837" s="68"/>
      <c r="F837" s="68"/>
      <c r="G837" s="68"/>
      <c r="H837" s="68"/>
      <c r="I837" s="221"/>
      <c r="J837" s="221"/>
      <c r="K837" s="221"/>
      <c r="L837" s="221"/>
      <c r="M837" s="221"/>
      <c r="N837" s="221"/>
      <c r="O837" s="221"/>
      <c r="P837" s="221"/>
      <c r="Q837" s="221"/>
      <c r="R837" s="221"/>
      <c r="S837" s="221"/>
      <c r="T837" s="221"/>
      <c r="U837" s="221"/>
      <c r="V837" s="221"/>
      <c r="W837" s="221"/>
      <c r="X837" s="221"/>
      <c r="Y837" s="68"/>
      <c r="Z837" s="68"/>
      <c r="AA837" s="68"/>
    </row>
    <row r="838">
      <c r="A838" s="134"/>
      <c r="B838" s="134"/>
      <c r="C838" s="68"/>
      <c r="D838" s="68"/>
      <c r="E838" s="68"/>
      <c r="F838" s="68"/>
      <c r="G838" s="68"/>
      <c r="H838" s="68"/>
      <c r="I838" s="221"/>
      <c r="J838" s="221"/>
      <c r="K838" s="221"/>
      <c r="L838" s="221"/>
      <c r="M838" s="221"/>
      <c r="N838" s="221"/>
      <c r="O838" s="221"/>
      <c r="P838" s="221"/>
      <c r="Q838" s="221"/>
      <c r="R838" s="221"/>
      <c r="S838" s="221"/>
      <c r="T838" s="221"/>
      <c r="U838" s="221"/>
      <c r="V838" s="221"/>
      <c r="W838" s="221"/>
      <c r="X838" s="221"/>
      <c r="Y838" s="68"/>
      <c r="Z838" s="68"/>
      <c r="AA838" s="68"/>
    </row>
    <row r="839">
      <c r="A839" s="134"/>
      <c r="B839" s="134"/>
      <c r="C839" s="68"/>
      <c r="D839" s="68"/>
      <c r="E839" s="68"/>
      <c r="F839" s="68"/>
      <c r="G839" s="68"/>
      <c r="H839" s="68"/>
      <c r="I839" s="221"/>
      <c r="J839" s="221"/>
      <c r="K839" s="221"/>
      <c r="L839" s="221"/>
      <c r="M839" s="221"/>
      <c r="N839" s="221"/>
      <c r="O839" s="221"/>
      <c r="P839" s="221"/>
      <c r="Q839" s="221"/>
      <c r="R839" s="221"/>
      <c r="S839" s="221"/>
      <c r="T839" s="221"/>
      <c r="U839" s="221"/>
      <c r="V839" s="221"/>
      <c r="W839" s="221"/>
      <c r="X839" s="221"/>
      <c r="Y839" s="68"/>
      <c r="Z839" s="68"/>
      <c r="AA839" s="68"/>
    </row>
    <row r="840">
      <c r="A840" s="134"/>
      <c r="B840" s="134"/>
      <c r="C840" s="68"/>
      <c r="D840" s="68"/>
      <c r="E840" s="68"/>
      <c r="F840" s="68"/>
      <c r="G840" s="68"/>
      <c r="H840" s="68"/>
      <c r="I840" s="221"/>
      <c r="J840" s="221"/>
      <c r="K840" s="221"/>
      <c r="L840" s="221"/>
      <c r="M840" s="221"/>
      <c r="N840" s="221"/>
      <c r="O840" s="221"/>
      <c r="P840" s="221"/>
      <c r="Q840" s="221"/>
      <c r="R840" s="221"/>
      <c r="S840" s="221"/>
      <c r="T840" s="221"/>
      <c r="U840" s="221"/>
      <c r="V840" s="221"/>
      <c r="W840" s="221"/>
      <c r="X840" s="221"/>
      <c r="Y840" s="68"/>
      <c r="Z840" s="68"/>
      <c r="AA840" s="68"/>
    </row>
    <row r="841">
      <c r="A841" s="134"/>
      <c r="B841" s="134"/>
      <c r="C841" s="68"/>
      <c r="D841" s="68"/>
      <c r="E841" s="68"/>
      <c r="F841" s="68"/>
      <c r="G841" s="68"/>
      <c r="H841" s="68"/>
      <c r="I841" s="221"/>
      <c r="J841" s="221"/>
      <c r="K841" s="221"/>
      <c r="L841" s="221"/>
      <c r="M841" s="221"/>
      <c r="N841" s="221"/>
      <c r="O841" s="221"/>
      <c r="P841" s="221"/>
      <c r="Q841" s="221"/>
      <c r="R841" s="221"/>
      <c r="S841" s="221"/>
      <c r="T841" s="221"/>
      <c r="U841" s="221"/>
      <c r="V841" s="221"/>
      <c r="W841" s="221"/>
      <c r="X841" s="221"/>
      <c r="Y841" s="68"/>
      <c r="Z841" s="68"/>
      <c r="AA841" s="68"/>
    </row>
    <row r="842">
      <c r="A842" s="134"/>
      <c r="B842" s="134"/>
      <c r="C842" s="68"/>
      <c r="D842" s="68"/>
      <c r="E842" s="68"/>
      <c r="F842" s="68"/>
      <c r="G842" s="68"/>
      <c r="H842" s="68"/>
      <c r="I842" s="221"/>
      <c r="J842" s="221"/>
      <c r="K842" s="221"/>
      <c r="L842" s="221"/>
      <c r="M842" s="221"/>
      <c r="N842" s="221"/>
      <c r="O842" s="221"/>
      <c r="P842" s="221"/>
      <c r="Q842" s="221"/>
      <c r="R842" s="221"/>
      <c r="S842" s="221"/>
      <c r="T842" s="221"/>
      <c r="U842" s="221"/>
      <c r="V842" s="221"/>
      <c r="W842" s="221"/>
      <c r="X842" s="221"/>
      <c r="Y842" s="68"/>
      <c r="Z842" s="68"/>
      <c r="AA842" s="68"/>
    </row>
    <row r="843">
      <c r="A843" s="134"/>
      <c r="B843" s="134"/>
      <c r="C843" s="68"/>
      <c r="D843" s="68"/>
      <c r="E843" s="68"/>
      <c r="F843" s="68"/>
      <c r="G843" s="68"/>
      <c r="H843" s="68"/>
      <c r="I843" s="221"/>
      <c r="J843" s="221"/>
      <c r="K843" s="221"/>
      <c r="L843" s="221"/>
      <c r="M843" s="221"/>
      <c r="N843" s="221"/>
      <c r="O843" s="221"/>
      <c r="P843" s="221"/>
      <c r="Q843" s="221"/>
      <c r="R843" s="221"/>
      <c r="S843" s="221"/>
      <c r="T843" s="221"/>
      <c r="U843" s="221"/>
      <c r="V843" s="221"/>
      <c r="W843" s="221"/>
      <c r="X843" s="221"/>
      <c r="Y843" s="68"/>
      <c r="Z843" s="68"/>
      <c r="AA843" s="68"/>
    </row>
    <row r="844">
      <c r="A844" s="134"/>
      <c r="B844" s="134"/>
      <c r="C844" s="68"/>
      <c r="D844" s="68"/>
      <c r="E844" s="68"/>
      <c r="F844" s="68"/>
      <c r="G844" s="68"/>
      <c r="H844" s="68"/>
      <c r="I844" s="221"/>
      <c r="J844" s="221"/>
      <c r="K844" s="221"/>
      <c r="L844" s="221"/>
      <c r="M844" s="221"/>
      <c r="N844" s="221"/>
      <c r="O844" s="221"/>
      <c r="P844" s="221"/>
      <c r="Q844" s="221"/>
      <c r="R844" s="221"/>
      <c r="S844" s="221"/>
      <c r="T844" s="221"/>
      <c r="U844" s="221"/>
      <c r="V844" s="221"/>
      <c r="W844" s="221"/>
      <c r="X844" s="221"/>
      <c r="Y844" s="68"/>
      <c r="Z844" s="68"/>
      <c r="AA844" s="68"/>
    </row>
    <row r="845">
      <c r="A845" s="134"/>
      <c r="B845" s="134"/>
      <c r="C845" s="68"/>
      <c r="D845" s="68"/>
      <c r="E845" s="68"/>
      <c r="F845" s="68"/>
      <c r="G845" s="68"/>
      <c r="H845" s="68"/>
      <c r="I845" s="221"/>
      <c r="J845" s="221"/>
      <c r="K845" s="221"/>
      <c r="L845" s="221"/>
      <c r="M845" s="221"/>
      <c r="N845" s="221"/>
      <c r="O845" s="221"/>
      <c r="P845" s="221"/>
      <c r="Q845" s="221"/>
      <c r="R845" s="221"/>
      <c r="S845" s="221"/>
      <c r="T845" s="221"/>
      <c r="U845" s="221"/>
      <c r="V845" s="221"/>
      <c r="W845" s="221"/>
      <c r="X845" s="221"/>
      <c r="Y845" s="68"/>
      <c r="Z845" s="68"/>
      <c r="AA845" s="68"/>
    </row>
    <row r="846">
      <c r="A846" s="134"/>
      <c r="B846" s="134"/>
      <c r="C846" s="68"/>
      <c r="D846" s="68"/>
      <c r="E846" s="68"/>
      <c r="F846" s="68"/>
      <c r="G846" s="68"/>
      <c r="H846" s="68"/>
      <c r="I846" s="221"/>
      <c r="J846" s="221"/>
      <c r="K846" s="221"/>
      <c r="L846" s="221"/>
      <c r="M846" s="221"/>
      <c r="N846" s="221"/>
      <c r="O846" s="221"/>
      <c r="P846" s="221"/>
      <c r="Q846" s="221"/>
      <c r="R846" s="221"/>
      <c r="S846" s="221"/>
      <c r="T846" s="221"/>
      <c r="U846" s="221"/>
      <c r="V846" s="221"/>
      <c r="W846" s="221"/>
      <c r="X846" s="221"/>
      <c r="Y846" s="68"/>
      <c r="Z846" s="68"/>
      <c r="AA846" s="68"/>
    </row>
    <row r="847">
      <c r="A847" s="134"/>
      <c r="B847" s="134"/>
      <c r="C847" s="68"/>
      <c r="D847" s="68"/>
      <c r="E847" s="68"/>
      <c r="F847" s="68"/>
      <c r="G847" s="68"/>
      <c r="H847" s="68"/>
      <c r="I847" s="221"/>
      <c r="J847" s="221"/>
      <c r="K847" s="221"/>
      <c r="L847" s="221"/>
      <c r="M847" s="221"/>
      <c r="N847" s="221"/>
      <c r="O847" s="221"/>
      <c r="P847" s="221"/>
      <c r="Q847" s="221"/>
      <c r="R847" s="221"/>
      <c r="S847" s="221"/>
      <c r="T847" s="221"/>
      <c r="U847" s="221"/>
      <c r="V847" s="221"/>
      <c r="W847" s="221"/>
      <c r="X847" s="221"/>
      <c r="Y847" s="68"/>
      <c r="Z847" s="68"/>
      <c r="AA847" s="68"/>
    </row>
    <row r="848">
      <c r="A848" s="134"/>
      <c r="B848" s="134"/>
      <c r="C848" s="68"/>
      <c r="D848" s="68"/>
      <c r="E848" s="68"/>
      <c r="F848" s="68"/>
      <c r="G848" s="68"/>
      <c r="H848" s="68"/>
      <c r="I848" s="221"/>
      <c r="J848" s="221"/>
      <c r="K848" s="221"/>
      <c r="L848" s="221"/>
      <c r="M848" s="221"/>
      <c r="N848" s="221"/>
      <c r="O848" s="221"/>
      <c r="P848" s="221"/>
      <c r="Q848" s="221"/>
      <c r="R848" s="221"/>
      <c r="S848" s="221"/>
      <c r="T848" s="221"/>
      <c r="U848" s="221"/>
      <c r="V848" s="221"/>
      <c r="W848" s="221"/>
      <c r="X848" s="221"/>
      <c r="Y848" s="68"/>
      <c r="Z848" s="68"/>
      <c r="AA848" s="68"/>
    </row>
    <row r="849">
      <c r="A849" s="134"/>
      <c r="B849" s="134"/>
      <c r="C849" s="68"/>
      <c r="D849" s="68"/>
      <c r="E849" s="68"/>
      <c r="F849" s="68"/>
      <c r="G849" s="68"/>
      <c r="H849" s="68"/>
      <c r="I849" s="221"/>
      <c r="J849" s="221"/>
      <c r="K849" s="221"/>
      <c r="L849" s="221"/>
      <c r="M849" s="221"/>
      <c r="N849" s="221"/>
      <c r="O849" s="221"/>
      <c r="P849" s="221"/>
      <c r="Q849" s="221"/>
      <c r="R849" s="221"/>
      <c r="S849" s="221"/>
      <c r="T849" s="221"/>
      <c r="U849" s="221"/>
      <c r="V849" s="221"/>
      <c r="W849" s="221"/>
      <c r="X849" s="221"/>
      <c r="Y849" s="68"/>
      <c r="Z849" s="68"/>
      <c r="AA849" s="68"/>
    </row>
    <row r="850">
      <c r="A850" s="134"/>
      <c r="B850" s="134"/>
      <c r="C850" s="68"/>
      <c r="D850" s="68"/>
      <c r="E850" s="68"/>
      <c r="F850" s="68"/>
      <c r="G850" s="68"/>
      <c r="H850" s="68"/>
      <c r="I850" s="221"/>
      <c r="J850" s="221"/>
      <c r="K850" s="221"/>
      <c r="L850" s="221"/>
      <c r="M850" s="221"/>
      <c r="N850" s="221"/>
      <c r="O850" s="221"/>
      <c r="P850" s="221"/>
      <c r="Q850" s="221"/>
      <c r="R850" s="221"/>
      <c r="S850" s="221"/>
      <c r="T850" s="221"/>
      <c r="U850" s="221"/>
      <c r="V850" s="221"/>
      <c r="W850" s="221"/>
      <c r="X850" s="221"/>
      <c r="Y850" s="68"/>
      <c r="Z850" s="68"/>
      <c r="AA850" s="68"/>
    </row>
    <row r="851">
      <c r="A851" s="134"/>
      <c r="B851" s="134"/>
      <c r="C851" s="68"/>
      <c r="D851" s="68"/>
      <c r="E851" s="68"/>
      <c r="F851" s="68"/>
      <c r="G851" s="68"/>
      <c r="H851" s="68"/>
      <c r="I851" s="221"/>
      <c r="J851" s="221"/>
      <c r="K851" s="221"/>
      <c r="L851" s="221"/>
      <c r="M851" s="221"/>
      <c r="N851" s="221"/>
      <c r="O851" s="221"/>
      <c r="P851" s="221"/>
      <c r="Q851" s="221"/>
      <c r="R851" s="221"/>
      <c r="S851" s="221"/>
      <c r="T851" s="221"/>
      <c r="U851" s="221"/>
      <c r="V851" s="221"/>
      <c r="W851" s="221"/>
      <c r="X851" s="221"/>
      <c r="Y851" s="68"/>
      <c r="Z851" s="68"/>
      <c r="AA851" s="68"/>
    </row>
    <row r="852">
      <c r="A852" s="134"/>
      <c r="B852" s="134"/>
      <c r="C852" s="68"/>
      <c r="D852" s="68"/>
      <c r="E852" s="68"/>
      <c r="F852" s="68"/>
      <c r="G852" s="68"/>
      <c r="H852" s="68"/>
      <c r="I852" s="221"/>
      <c r="J852" s="221"/>
      <c r="K852" s="221"/>
      <c r="L852" s="221"/>
      <c r="M852" s="221"/>
      <c r="N852" s="221"/>
      <c r="O852" s="221"/>
      <c r="P852" s="221"/>
      <c r="Q852" s="221"/>
      <c r="R852" s="221"/>
      <c r="S852" s="221"/>
      <c r="T852" s="221"/>
      <c r="U852" s="221"/>
      <c r="V852" s="221"/>
      <c r="W852" s="221"/>
      <c r="X852" s="221"/>
      <c r="Y852" s="68"/>
      <c r="Z852" s="68"/>
      <c r="AA852" s="68"/>
    </row>
    <row r="853">
      <c r="A853" s="134"/>
      <c r="B853" s="134"/>
      <c r="C853" s="68"/>
      <c r="D853" s="68"/>
      <c r="E853" s="68"/>
      <c r="F853" s="68"/>
      <c r="G853" s="68"/>
      <c r="H853" s="68"/>
      <c r="I853" s="221"/>
      <c r="J853" s="221"/>
      <c r="K853" s="221"/>
      <c r="L853" s="221"/>
      <c r="M853" s="221"/>
      <c r="N853" s="221"/>
      <c r="O853" s="221"/>
      <c r="P853" s="221"/>
      <c r="Q853" s="221"/>
      <c r="R853" s="221"/>
      <c r="S853" s="221"/>
      <c r="T853" s="221"/>
      <c r="U853" s="221"/>
      <c r="V853" s="221"/>
      <c r="W853" s="221"/>
      <c r="X853" s="221"/>
      <c r="Y853" s="68"/>
      <c r="Z853" s="68"/>
      <c r="AA853" s="68"/>
    </row>
    <row r="854">
      <c r="A854" s="134"/>
      <c r="B854" s="134"/>
      <c r="C854" s="68"/>
      <c r="D854" s="68"/>
      <c r="E854" s="68"/>
      <c r="F854" s="68"/>
      <c r="G854" s="68"/>
      <c r="H854" s="68"/>
      <c r="I854" s="221"/>
      <c r="J854" s="221"/>
      <c r="K854" s="221"/>
      <c r="L854" s="221"/>
      <c r="M854" s="221"/>
      <c r="N854" s="221"/>
      <c r="O854" s="221"/>
      <c r="P854" s="221"/>
      <c r="Q854" s="221"/>
      <c r="R854" s="221"/>
      <c r="S854" s="221"/>
      <c r="T854" s="221"/>
      <c r="U854" s="221"/>
      <c r="V854" s="221"/>
      <c r="W854" s="221"/>
      <c r="X854" s="221"/>
      <c r="Y854" s="68"/>
      <c r="Z854" s="68"/>
      <c r="AA854" s="68"/>
    </row>
    <row r="855">
      <c r="A855" s="134"/>
      <c r="B855" s="134"/>
      <c r="C855" s="68"/>
      <c r="D855" s="68"/>
      <c r="E855" s="68"/>
      <c r="F855" s="68"/>
      <c r="G855" s="68"/>
      <c r="H855" s="68"/>
      <c r="I855" s="221"/>
      <c r="J855" s="221"/>
      <c r="K855" s="221"/>
      <c r="L855" s="221"/>
      <c r="M855" s="221"/>
      <c r="N855" s="221"/>
      <c r="O855" s="221"/>
      <c r="P855" s="221"/>
      <c r="Q855" s="221"/>
      <c r="R855" s="221"/>
      <c r="S855" s="221"/>
      <c r="T855" s="221"/>
      <c r="U855" s="221"/>
      <c r="V855" s="221"/>
      <c r="W855" s="221"/>
      <c r="X855" s="221"/>
      <c r="Y855" s="68"/>
      <c r="Z855" s="68"/>
      <c r="AA855" s="68"/>
    </row>
    <row r="856">
      <c r="A856" s="134"/>
      <c r="B856" s="134"/>
      <c r="C856" s="68"/>
      <c r="D856" s="68"/>
      <c r="E856" s="68"/>
      <c r="F856" s="68"/>
      <c r="G856" s="68"/>
      <c r="H856" s="68"/>
      <c r="I856" s="221"/>
      <c r="J856" s="221"/>
      <c r="K856" s="221"/>
      <c r="L856" s="221"/>
      <c r="M856" s="221"/>
      <c r="N856" s="221"/>
      <c r="O856" s="221"/>
      <c r="P856" s="221"/>
      <c r="Q856" s="221"/>
      <c r="R856" s="221"/>
      <c r="S856" s="221"/>
      <c r="T856" s="221"/>
      <c r="U856" s="221"/>
      <c r="V856" s="221"/>
      <c r="W856" s="221"/>
      <c r="X856" s="221"/>
      <c r="Y856" s="68"/>
      <c r="Z856" s="68"/>
      <c r="AA856" s="68"/>
    </row>
    <row r="857">
      <c r="A857" s="134"/>
      <c r="B857" s="134"/>
      <c r="C857" s="68"/>
      <c r="D857" s="68"/>
      <c r="E857" s="68"/>
      <c r="F857" s="68"/>
      <c r="G857" s="68"/>
      <c r="H857" s="68"/>
      <c r="I857" s="221"/>
      <c r="J857" s="221"/>
      <c r="K857" s="221"/>
      <c r="L857" s="221"/>
      <c r="M857" s="221"/>
      <c r="N857" s="221"/>
      <c r="O857" s="221"/>
      <c r="P857" s="221"/>
      <c r="Q857" s="221"/>
      <c r="R857" s="221"/>
      <c r="S857" s="221"/>
      <c r="T857" s="221"/>
      <c r="U857" s="221"/>
      <c r="V857" s="221"/>
      <c r="W857" s="221"/>
      <c r="X857" s="221"/>
      <c r="Y857" s="68"/>
      <c r="Z857" s="68"/>
      <c r="AA857" s="68"/>
    </row>
    <row r="858">
      <c r="A858" s="134"/>
      <c r="B858" s="134"/>
      <c r="C858" s="68"/>
      <c r="D858" s="68"/>
      <c r="E858" s="68"/>
      <c r="F858" s="68"/>
      <c r="G858" s="68"/>
      <c r="H858" s="68"/>
      <c r="I858" s="221"/>
      <c r="J858" s="221"/>
      <c r="K858" s="221"/>
      <c r="L858" s="221"/>
      <c r="M858" s="221"/>
      <c r="N858" s="221"/>
      <c r="O858" s="221"/>
      <c r="P858" s="221"/>
      <c r="Q858" s="221"/>
      <c r="R858" s="221"/>
      <c r="S858" s="221"/>
      <c r="T858" s="221"/>
      <c r="U858" s="221"/>
      <c r="V858" s="221"/>
      <c r="W858" s="221"/>
      <c r="X858" s="221"/>
      <c r="Y858" s="68"/>
      <c r="Z858" s="68"/>
      <c r="AA858" s="68"/>
    </row>
    <row r="859">
      <c r="A859" s="134"/>
      <c r="B859" s="134"/>
      <c r="C859" s="68"/>
      <c r="D859" s="68"/>
      <c r="E859" s="68"/>
      <c r="F859" s="68"/>
      <c r="G859" s="68"/>
      <c r="H859" s="68"/>
      <c r="I859" s="221"/>
      <c r="J859" s="221"/>
      <c r="K859" s="221"/>
      <c r="L859" s="221"/>
      <c r="M859" s="221"/>
      <c r="N859" s="221"/>
      <c r="O859" s="221"/>
      <c r="P859" s="221"/>
      <c r="Q859" s="221"/>
      <c r="R859" s="221"/>
      <c r="S859" s="221"/>
      <c r="T859" s="221"/>
      <c r="U859" s="221"/>
      <c r="V859" s="221"/>
      <c r="W859" s="221"/>
      <c r="X859" s="221"/>
      <c r="Y859" s="68"/>
      <c r="Z859" s="68"/>
      <c r="AA859" s="68"/>
    </row>
    <row r="860">
      <c r="A860" s="134"/>
      <c r="B860" s="134"/>
      <c r="C860" s="68"/>
      <c r="D860" s="68"/>
      <c r="E860" s="68"/>
      <c r="F860" s="68"/>
      <c r="G860" s="68"/>
      <c r="H860" s="68"/>
      <c r="I860" s="221"/>
      <c r="J860" s="221"/>
      <c r="K860" s="221"/>
      <c r="L860" s="221"/>
      <c r="M860" s="221"/>
      <c r="N860" s="221"/>
      <c r="O860" s="221"/>
      <c r="P860" s="221"/>
      <c r="Q860" s="221"/>
      <c r="R860" s="221"/>
      <c r="S860" s="221"/>
      <c r="T860" s="221"/>
      <c r="U860" s="221"/>
      <c r="V860" s="221"/>
      <c r="W860" s="221"/>
      <c r="X860" s="221"/>
      <c r="Y860" s="68"/>
      <c r="Z860" s="68"/>
      <c r="AA860" s="68"/>
    </row>
    <row r="861">
      <c r="A861" s="134"/>
      <c r="B861" s="134"/>
      <c r="C861" s="68"/>
      <c r="D861" s="68"/>
      <c r="E861" s="68"/>
      <c r="F861" s="68"/>
      <c r="G861" s="68"/>
      <c r="H861" s="68"/>
      <c r="I861" s="221"/>
      <c r="J861" s="221"/>
      <c r="K861" s="221"/>
      <c r="L861" s="221"/>
      <c r="M861" s="221"/>
      <c r="N861" s="221"/>
      <c r="O861" s="221"/>
      <c r="P861" s="221"/>
      <c r="Q861" s="221"/>
      <c r="R861" s="221"/>
      <c r="S861" s="221"/>
      <c r="T861" s="221"/>
      <c r="U861" s="221"/>
      <c r="V861" s="221"/>
      <c r="W861" s="221"/>
      <c r="X861" s="221"/>
      <c r="Y861" s="68"/>
      <c r="Z861" s="68"/>
      <c r="AA861" s="68"/>
    </row>
    <row r="862">
      <c r="A862" s="134"/>
      <c r="B862" s="134"/>
      <c r="C862" s="68"/>
      <c r="D862" s="68"/>
      <c r="E862" s="68"/>
      <c r="F862" s="68"/>
      <c r="G862" s="68"/>
      <c r="H862" s="68"/>
      <c r="I862" s="221"/>
      <c r="J862" s="221"/>
      <c r="K862" s="221"/>
      <c r="L862" s="221"/>
      <c r="M862" s="221"/>
      <c r="N862" s="221"/>
      <c r="O862" s="221"/>
      <c r="P862" s="221"/>
      <c r="Q862" s="221"/>
      <c r="R862" s="221"/>
      <c r="S862" s="221"/>
      <c r="T862" s="221"/>
      <c r="U862" s="221"/>
      <c r="V862" s="221"/>
      <c r="W862" s="221"/>
      <c r="X862" s="221"/>
      <c r="Y862" s="68"/>
      <c r="Z862" s="68"/>
      <c r="AA862" s="68"/>
    </row>
    <row r="863">
      <c r="A863" s="134"/>
      <c r="B863" s="134"/>
      <c r="C863" s="68"/>
      <c r="D863" s="68"/>
      <c r="E863" s="68"/>
      <c r="F863" s="68"/>
      <c r="G863" s="68"/>
      <c r="H863" s="68"/>
      <c r="I863" s="221"/>
      <c r="J863" s="221"/>
      <c r="K863" s="221"/>
      <c r="L863" s="221"/>
      <c r="M863" s="221"/>
      <c r="N863" s="221"/>
      <c r="O863" s="221"/>
      <c r="P863" s="221"/>
      <c r="Q863" s="221"/>
      <c r="R863" s="221"/>
      <c r="S863" s="221"/>
      <c r="T863" s="221"/>
      <c r="U863" s="221"/>
      <c r="V863" s="221"/>
      <c r="W863" s="221"/>
      <c r="X863" s="221"/>
      <c r="Y863" s="68"/>
      <c r="Z863" s="68"/>
      <c r="AA863" s="68"/>
    </row>
    <row r="864">
      <c r="A864" s="134"/>
      <c r="B864" s="134"/>
      <c r="C864" s="68"/>
      <c r="D864" s="68"/>
      <c r="E864" s="68"/>
      <c r="F864" s="68"/>
      <c r="G864" s="68"/>
      <c r="H864" s="68"/>
      <c r="I864" s="221"/>
      <c r="J864" s="221"/>
      <c r="K864" s="221"/>
      <c r="L864" s="221"/>
      <c r="M864" s="221"/>
      <c r="N864" s="221"/>
      <c r="O864" s="221"/>
      <c r="P864" s="221"/>
      <c r="Q864" s="221"/>
      <c r="R864" s="221"/>
      <c r="S864" s="221"/>
      <c r="T864" s="221"/>
      <c r="U864" s="221"/>
      <c r="V864" s="221"/>
      <c r="W864" s="221"/>
      <c r="X864" s="221"/>
      <c r="Y864" s="68"/>
      <c r="Z864" s="68"/>
      <c r="AA864" s="68"/>
    </row>
    <row r="865">
      <c r="A865" s="134"/>
      <c r="B865" s="134"/>
      <c r="C865" s="68"/>
      <c r="D865" s="68"/>
      <c r="E865" s="68"/>
      <c r="F865" s="68"/>
      <c r="G865" s="68"/>
      <c r="H865" s="68"/>
      <c r="I865" s="221"/>
      <c r="J865" s="221"/>
      <c r="K865" s="221"/>
      <c r="L865" s="221"/>
      <c r="M865" s="221"/>
      <c r="N865" s="221"/>
      <c r="O865" s="221"/>
      <c r="P865" s="221"/>
      <c r="Q865" s="221"/>
      <c r="R865" s="221"/>
      <c r="S865" s="221"/>
      <c r="T865" s="221"/>
      <c r="U865" s="221"/>
      <c r="V865" s="221"/>
      <c r="W865" s="221"/>
      <c r="X865" s="221"/>
      <c r="Y865" s="68"/>
      <c r="Z865" s="68"/>
      <c r="AA865" s="68"/>
    </row>
    <row r="866">
      <c r="A866" s="134"/>
      <c r="B866" s="134"/>
      <c r="C866" s="68"/>
      <c r="D866" s="68"/>
      <c r="E866" s="68"/>
      <c r="F866" s="68"/>
      <c r="G866" s="68"/>
      <c r="H866" s="68"/>
      <c r="I866" s="221"/>
      <c r="J866" s="221"/>
      <c r="K866" s="221"/>
      <c r="L866" s="221"/>
      <c r="M866" s="221"/>
      <c r="N866" s="221"/>
      <c r="O866" s="221"/>
      <c r="P866" s="221"/>
      <c r="Q866" s="221"/>
      <c r="R866" s="221"/>
      <c r="S866" s="221"/>
      <c r="T866" s="221"/>
      <c r="U866" s="221"/>
      <c r="V866" s="221"/>
      <c r="W866" s="221"/>
      <c r="X866" s="221"/>
      <c r="Y866" s="68"/>
      <c r="Z866" s="68"/>
      <c r="AA866" s="68"/>
    </row>
    <row r="867">
      <c r="A867" s="134"/>
      <c r="B867" s="134"/>
      <c r="C867" s="68"/>
      <c r="D867" s="68"/>
      <c r="E867" s="68"/>
      <c r="F867" s="68"/>
      <c r="G867" s="68"/>
      <c r="H867" s="68"/>
      <c r="I867" s="221"/>
      <c r="J867" s="221"/>
      <c r="K867" s="221"/>
      <c r="L867" s="221"/>
      <c r="M867" s="221"/>
      <c r="N867" s="221"/>
      <c r="O867" s="221"/>
      <c r="P867" s="221"/>
      <c r="Q867" s="221"/>
      <c r="R867" s="221"/>
      <c r="S867" s="221"/>
      <c r="T867" s="221"/>
      <c r="U867" s="221"/>
      <c r="V867" s="221"/>
      <c r="W867" s="221"/>
      <c r="X867" s="221"/>
      <c r="Y867" s="68"/>
      <c r="Z867" s="68"/>
      <c r="AA867" s="68"/>
    </row>
    <row r="868">
      <c r="A868" s="134"/>
      <c r="B868" s="134"/>
      <c r="C868" s="68"/>
      <c r="D868" s="68"/>
      <c r="E868" s="68"/>
      <c r="F868" s="68"/>
      <c r="G868" s="68"/>
      <c r="H868" s="68"/>
      <c r="I868" s="221"/>
      <c r="J868" s="221"/>
      <c r="K868" s="221"/>
      <c r="L868" s="221"/>
      <c r="M868" s="221"/>
      <c r="N868" s="221"/>
      <c r="O868" s="221"/>
      <c r="P868" s="221"/>
      <c r="Q868" s="221"/>
      <c r="R868" s="221"/>
      <c r="S868" s="221"/>
      <c r="T868" s="221"/>
      <c r="U868" s="221"/>
      <c r="V868" s="221"/>
      <c r="W868" s="221"/>
      <c r="X868" s="221"/>
      <c r="Y868" s="68"/>
      <c r="Z868" s="68"/>
      <c r="AA868" s="68"/>
    </row>
    <row r="869">
      <c r="A869" s="134"/>
      <c r="B869" s="134"/>
      <c r="C869" s="68"/>
      <c r="D869" s="68"/>
      <c r="E869" s="68"/>
      <c r="F869" s="68"/>
      <c r="G869" s="68"/>
      <c r="H869" s="68"/>
      <c r="I869" s="221"/>
      <c r="J869" s="221"/>
      <c r="K869" s="221"/>
      <c r="L869" s="221"/>
      <c r="M869" s="221"/>
      <c r="N869" s="221"/>
      <c r="O869" s="221"/>
      <c r="P869" s="221"/>
      <c r="Q869" s="221"/>
      <c r="R869" s="221"/>
      <c r="S869" s="221"/>
      <c r="T869" s="221"/>
      <c r="U869" s="221"/>
      <c r="V869" s="221"/>
      <c r="W869" s="221"/>
      <c r="X869" s="221"/>
      <c r="Y869" s="68"/>
      <c r="Z869" s="68"/>
      <c r="AA869" s="68"/>
    </row>
    <row r="870">
      <c r="A870" s="134"/>
      <c r="B870" s="134"/>
      <c r="C870" s="68"/>
      <c r="D870" s="68"/>
      <c r="E870" s="68"/>
      <c r="F870" s="68"/>
      <c r="G870" s="68"/>
      <c r="H870" s="68"/>
      <c r="I870" s="221"/>
      <c r="J870" s="221"/>
      <c r="K870" s="221"/>
      <c r="L870" s="221"/>
      <c r="M870" s="221"/>
      <c r="N870" s="221"/>
      <c r="O870" s="221"/>
      <c r="P870" s="221"/>
      <c r="Q870" s="221"/>
      <c r="R870" s="221"/>
      <c r="S870" s="221"/>
      <c r="T870" s="221"/>
      <c r="U870" s="221"/>
      <c r="V870" s="221"/>
      <c r="W870" s="221"/>
      <c r="X870" s="221"/>
      <c r="Y870" s="68"/>
      <c r="Z870" s="68"/>
      <c r="AA870" s="68"/>
    </row>
    <row r="871">
      <c r="A871" s="134"/>
      <c r="B871" s="134"/>
      <c r="C871" s="68"/>
      <c r="D871" s="68"/>
      <c r="E871" s="68"/>
      <c r="F871" s="68"/>
      <c r="G871" s="68"/>
      <c r="H871" s="68"/>
      <c r="I871" s="221"/>
      <c r="J871" s="221"/>
      <c r="K871" s="221"/>
      <c r="L871" s="221"/>
      <c r="M871" s="221"/>
      <c r="N871" s="221"/>
      <c r="O871" s="221"/>
      <c r="P871" s="221"/>
      <c r="Q871" s="221"/>
      <c r="R871" s="221"/>
      <c r="S871" s="221"/>
      <c r="T871" s="221"/>
      <c r="U871" s="221"/>
      <c r="V871" s="221"/>
      <c r="W871" s="221"/>
      <c r="X871" s="221"/>
      <c r="Y871" s="68"/>
      <c r="Z871" s="68"/>
      <c r="AA871" s="68"/>
    </row>
    <row r="872">
      <c r="A872" s="134"/>
      <c r="B872" s="134"/>
      <c r="C872" s="68"/>
      <c r="D872" s="68"/>
      <c r="E872" s="68"/>
      <c r="F872" s="68"/>
      <c r="G872" s="68"/>
      <c r="H872" s="68"/>
      <c r="I872" s="221"/>
      <c r="J872" s="221"/>
      <c r="K872" s="221"/>
      <c r="L872" s="221"/>
      <c r="M872" s="221"/>
      <c r="N872" s="221"/>
      <c r="O872" s="221"/>
      <c r="P872" s="221"/>
      <c r="Q872" s="221"/>
      <c r="R872" s="221"/>
      <c r="S872" s="221"/>
      <c r="T872" s="221"/>
      <c r="U872" s="221"/>
      <c r="V872" s="221"/>
      <c r="W872" s="221"/>
      <c r="X872" s="221"/>
      <c r="Y872" s="68"/>
      <c r="Z872" s="68"/>
      <c r="AA872" s="68"/>
    </row>
    <row r="873">
      <c r="A873" s="134"/>
      <c r="B873" s="134"/>
      <c r="C873" s="68"/>
      <c r="D873" s="68"/>
      <c r="E873" s="68"/>
      <c r="F873" s="68"/>
      <c r="G873" s="68"/>
      <c r="H873" s="68"/>
      <c r="I873" s="221"/>
      <c r="J873" s="221"/>
      <c r="K873" s="221"/>
      <c r="L873" s="221"/>
      <c r="M873" s="221"/>
      <c r="N873" s="221"/>
      <c r="O873" s="221"/>
      <c r="P873" s="221"/>
      <c r="Q873" s="221"/>
      <c r="R873" s="221"/>
      <c r="S873" s="221"/>
      <c r="T873" s="221"/>
      <c r="U873" s="221"/>
      <c r="V873" s="221"/>
      <c r="W873" s="221"/>
      <c r="X873" s="221"/>
      <c r="Y873" s="68"/>
      <c r="Z873" s="68"/>
      <c r="AA873" s="68"/>
    </row>
    <row r="874">
      <c r="A874" s="134"/>
      <c r="B874" s="134"/>
      <c r="C874" s="68"/>
      <c r="D874" s="68"/>
      <c r="E874" s="68"/>
      <c r="F874" s="68"/>
      <c r="G874" s="68"/>
      <c r="H874" s="68"/>
      <c r="I874" s="221"/>
      <c r="J874" s="221"/>
      <c r="K874" s="221"/>
      <c r="L874" s="221"/>
      <c r="M874" s="221"/>
      <c r="N874" s="221"/>
      <c r="O874" s="221"/>
      <c r="P874" s="221"/>
      <c r="Q874" s="221"/>
      <c r="R874" s="221"/>
      <c r="S874" s="221"/>
      <c r="T874" s="221"/>
      <c r="U874" s="221"/>
      <c r="V874" s="221"/>
      <c r="W874" s="221"/>
      <c r="X874" s="221"/>
      <c r="Y874" s="68"/>
      <c r="Z874" s="68"/>
      <c r="AA874" s="68"/>
    </row>
    <row r="875">
      <c r="A875" s="134"/>
      <c r="B875" s="134"/>
      <c r="C875" s="68"/>
      <c r="D875" s="68"/>
      <c r="E875" s="68"/>
      <c r="F875" s="68"/>
      <c r="G875" s="68"/>
      <c r="H875" s="68"/>
      <c r="I875" s="221"/>
      <c r="J875" s="221"/>
      <c r="K875" s="221"/>
      <c r="L875" s="221"/>
      <c r="M875" s="221"/>
      <c r="N875" s="221"/>
      <c r="O875" s="221"/>
      <c r="P875" s="221"/>
      <c r="Q875" s="221"/>
      <c r="R875" s="221"/>
      <c r="S875" s="221"/>
      <c r="T875" s="221"/>
      <c r="U875" s="221"/>
      <c r="V875" s="221"/>
      <c r="W875" s="221"/>
      <c r="X875" s="221"/>
      <c r="Y875" s="68"/>
      <c r="Z875" s="68"/>
      <c r="AA875" s="68"/>
    </row>
    <row r="876">
      <c r="A876" s="134"/>
      <c r="B876" s="134"/>
      <c r="C876" s="68"/>
      <c r="D876" s="68"/>
      <c r="E876" s="68"/>
      <c r="F876" s="68"/>
      <c r="G876" s="68"/>
      <c r="H876" s="68"/>
      <c r="I876" s="221"/>
      <c r="J876" s="221"/>
      <c r="K876" s="221"/>
      <c r="L876" s="221"/>
      <c r="M876" s="221"/>
      <c r="N876" s="221"/>
      <c r="O876" s="221"/>
      <c r="P876" s="221"/>
      <c r="Q876" s="221"/>
      <c r="R876" s="221"/>
      <c r="S876" s="221"/>
      <c r="T876" s="221"/>
      <c r="U876" s="221"/>
      <c r="V876" s="221"/>
      <c r="W876" s="221"/>
      <c r="X876" s="221"/>
      <c r="Y876" s="68"/>
      <c r="Z876" s="68"/>
      <c r="AA876" s="68"/>
    </row>
    <row r="877">
      <c r="A877" s="134"/>
      <c r="B877" s="134"/>
      <c r="C877" s="68"/>
      <c r="D877" s="68"/>
      <c r="E877" s="68"/>
      <c r="F877" s="68"/>
      <c r="G877" s="68"/>
      <c r="H877" s="68"/>
      <c r="I877" s="221"/>
      <c r="J877" s="221"/>
      <c r="K877" s="221"/>
      <c r="L877" s="221"/>
      <c r="M877" s="221"/>
      <c r="N877" s="221"/>
      <c r="O877" s="221"/>
      <c r="P877" s="221"/>
      <c r="Q877" s="221"/>
      <c r="R877" s="221"/>
      <c r="S877" s="221"/>
      <c r="T877" s="221"/>
      <c r="U877" s="221"/>
      <c r="V877" s="221"/>
      <c r="W877" s="221"/>
      <c r="X877" s="221"/>
      <c r="Y877" s="68"/>
      <c r="Z877" s="68"/>
      <c r="AA877" s="68"/>
    </row>
    <row r="878">
      <c r="A878" s="134"/>
      <c r="B878" s="134"/>
      <c r="C878" s="68"/>
      <c r="D878" s="68"/>
      <c r="E878" s="68"/>
      <c r="F878" s="68"/>
      <c r="G878" s="68"/>
      <c r="H878" s="68"/>
      <c r="I878" s="221"/>
      <c r="J878" s="221"/>
      <c r="K878" s="221"/>
      <c r="L878" s="221"/>
      <c r="M878" s="221"/>
      <c r="N878" s="221"/>
      <c r="O878" s="221"/>
      <c r="P878" s="221"/>
      <c r="Q878" s="221"/>
      <c r="R878" s="221"/>
      <c r="S878" s="221"/>
      <c r="T878" s="221"/>
      <c r="U878" s="221"/>
      <c r="V878" s="221"/>
      <c r="W878" s="221"/>
      <c r="X878" s="221"/>
      <c r="Y878" s="68"/>
      <c r="Z878" s="68"/>
      <c r="AA878" s="68"/>
    </row>
    <row r="879">
      <c r="A879" s="134"/>
      <c r="B879" s="134"/>
      <c r="C879" s="68"/>
      <c r="D879" s="68"/>
      <c r="E879" s="68"/>
      <c r="F879" s="68"/>
      <c r="G879" s="68"/>
      <c r="H879" s="68"/>
      <c r="I879" s="221"/>
      <c r="J879" s="221"/>
      <c r="K879" s="221"/>
      <c r="L879" s="221"/>
      <c r="M879" s="221"/>
      <c r="N879" s="221"/>
      <c r="O879" s="221"/>
      <c r="P879" s="221"/>
      <c r="Q879" s="221"/>
      <c r="R879" s="221"/>
      <c r="S879" s="221"/>
      <c r="T879" s="221"/>
      <c r="U879" s="221"/>
      <c r="V879" s="221"/>
      <c r="W879" s="221"/>
      <c r="X879" s="221"/>
      <c r="Y879" s="68"/>
      <c r="Z879" s="68"/>
      <c r="AA879" s="68"/>
    </row>
    <row r="880">
      <c r="A880" s="134"/>
      <c r="B880" s="134"/>
      <c r="C880" s="68"/>
      <c r="D880" s="68"/>
      <c r="E880" s="68"/>
      <c r="F880" s="68"/>
      <c r="G880" s="68"/>
      <c r="H880" s="68"/>
      <c r="I880" s="221"/>
      <c r="J880" s="221"/>
      <c r="K880" s="221"/>
      <c r="L880" s="221"/>
      <c r="M880" s="221"/>
      <c r="N880" s="221"/>
      <c r="O880" s="221"/>
      <c r="P880" s="221"/>
      <c r="Q880" s="221"/>
      <c r="R880" s="221"/>
      <c r="S880" s="221"/>
      <c r="T880" s="221"/>
      <c r="U880" s="221"/>
      <c r="V880" s="221"/>
      <c r="W880" s="221"/>
      <c r="X880" s="221"/>
      <c r="Y880" s="68"/>
      <c r="Z880" s="68"/>
      <c r="AA880" s="68"/>
    </row>
    <row r="881">
      <c r="A881" s="134"/>
      <c r="B881" s="134"/>
      <c r="C881" s="68"/>
      <c r="D881" s="68"/>
      <c r="E881" s="68"/>
      <c r="F881" s="68"/>
      <c r="G881" s="68"/>
      <c r="H881" s="68"/>
      <c r="I881" s="221"/>
      <c r="J881" s="221"/>
      <c r="K881" s="221"/>
      <c r="L881" s="221"/>
      <c r="M881" s="221"/>
      <c r="N881" s="221"/>
      <c r="O881" s="221"/>
      <c r="P881" s="221"/>
      <c r="Q881" s="221"/>
      <c r="R881" s="221"/>
      <c r="S881" s="221"/>
      <c r="T881" s="221"/>
      <c r="U881" s="221"/>
      <c r="V881" s="221"/>
      <c r="W881" s="221"/>
      <c r="X881" s="221"/>
      <c r="Y881" s="68"/>
      <c r="Z881" s="68"/>
      <c r="AA881" s="68"/>
    </row>
    <row r="882">
      <c r="A882" s="134"/>
      <c r="B882" s="134"/>
      <c r="C882" s="68"/>
      <c r="D882" s="68"/>
      <c r="E882" s="68"/>
      <c r="F882" s="68"/>
      <c r="G882" s="68"/>
      <c r="H882" s="68"/>
      <c r="I882" s="221"/>
      <c r="J882" s="221"/>
      <c r="K882" s="221"/>
      <c r="L882" s="221"/>
      <c r="M882" s="221"/>
      <c r="N882" s="221"/>
      <c r="O882" s="221"/>
      <c r="P882" s="221"/>
      <c r="Q882" s="221"/>
      <c r="R882" s="221"/>
      <c r="S882" s="221"/>
      <c r="T882" s="221"/>
      <c r="U882" s="221"/>
      <c r="V882" s="221"/>
      <c r="W882" s="221"/>
      <c r="X882" s="221"/>
      <c r="Y882" s="68"/>
      <c r="Z882" s="68"/>
      <c r="AA882" s="68"/>
    </row>
    <row r="883">
      <c r="A883" s="134"/>
      <c r="B883" s="134"/>
      <c r="C883" s="68"/>
      <c r="D883" s="68"/>
      <c r="E883" s="68"/>
      <c r="F883" s="68"/>
      <c r="G883" s="68"/>
      <c r="H883" s="68"/>
      <c r="I883" s="221"/>
      <c r="J883" s="221"/>
      <c r="K883" s="221"/>
      <c r="L883" s="221"/>
      <c r="M883" s="221"/>
      <c r="N883" s="221"/>
      <c r="O883" s="221"/>
      <c r="P883" s="221"/>
      <c r="Q883" s="221"/>
      <c r="R883" s="221"/>
      <c r="S883" s="221"/>
      <c r="T883" s="221"/>
      <c r="U883" s="221"/>
      <c r="V883" s="221"/>
      <c r="W883" s="221"/>
      <c r="X883" s="221"/>
      <c r="Y883" s="68"/>
      <c r="Z883" s="68"/>
      <c r="AA883" s="68"/>
    </row>
    <row r="884">
      <c r="A884" s="134"/>
      <c r="B884" s="134"/>
      <c r="C884" s="68"/>
      <c r="D884" s="68"/>
      <c r="E884" s="68"/>
      <c r="F884" s="68"/>
      <c r="G884" s="68"/>
      <c r="H884" s="68"/>
      <c r="I884" s="221"/>
      <c r="J884" s="221"/>
      <c r="K884" s="221"/>
      <c r="L884" s="221"/>
      <c r="M884" s="221"/>
      <c r="N884" s="221"/>
      <c r="O884" s="221"/>
      <c r="P884" s="221"/>
      <c r="Q884" s="221"/>
      <c r="R884" s="221"/>
      <c r="S884" s="221"/>
      <c r="T884" s="221"/>
      <c r="U884" s="221"/>
      <c r="V884" s="221"/>
      <c r="W884" s="221"/>
      <c r="X884" s="221"/>
      <c r="Y884" s="68"/>
      <c r="Z884" s="68"/>
      <c r="AA884" s="68"/>
    </row>
    <row r="885">
      <c r="A885" s="134"/>
      <c r="B885" s="134"/>
      <c r="C885" s="68"/>
      <c r="D885" s="68"/>
      <c r="E885" s="68"/>
      <c r="F885" s="68"/>
      <c r="G885" s="68"/>
      <c r="H885" s="68"/>
      <c r="I885" s="221"/>
      <c r="J885" s="221"/>
      <c r="K885" s="221"/>
      <c r="L885" s="221"/>
      <c r="M885" s="221"/>
      <c r="N885" s="221"/>
      <c r="O885" s="221"/>
      <c r="P885" s="221"/>
      <c r="Q885" s="221"/>
      <c r="R885" s="221"/>
      <c r="S885" s="221"/>
      <c r="T885" s="221"/>
      <c r="U885" s="221"/>
      <c r="V885" s="221"/>
      <c r="W885" s="221"/>
      <c r="X885" s="221"/>
      <c r="Y885" s="68"/>
      <c r="Z885" s="68"/>
      <c r="AA885" s="68"/>
    </row>
    <row r="886">
      <c r="A886" s="134"/>
      <c r="B886" s="134"/>
      <c r="C886" s="68"/>
      <c r="D886" s="68"/>
      <c r="E886" s="68"/>
      <c r="F886" s="68"/>
      <c r="G886" s="68"/>
      <c r="H886" s="68"/>
      <c r="I886" s="221"/>
      <c r="J886" s="221"/>
      <c r="K886" s="221"/>
      <c r="L886" s="221"/>
      <c r="M886" s="221"/>
      <c r="N886" s="221"/>
      <c r="O886" s="221"/>
      <c r="P886" s="221"/>
      <c r="Q886" s="221"/>
      <c r="R886" s="221"/>
      <c r="S886" s="221"/>
      <c r="T886" s="221"/>
      <c r="U886" s="221"/>
      <c r="V886" s="221"/>
      <c r="W886" s="221"/>
      <c r="X886" s="221"/>
      <c r="Y886" s="68"/>
      <c r="Z886" s="68"/>
      <c r="AA886" s="68"/>
    </row>
    <row r="887">
      <c r="A887" s="134"/>
      <c r="B887" s="134"/>
      <c r="C887" s="68"/>
      <c r="D887" s="68"/>
      <c r="E887" s="68"/>
      <c r="F887" s="68"/>
      <c r="G887" s="68"/>
      <c r="H887" s="68"/>
      <c r="I887" s="221"/>
      <c r="J887" s="221"/>
      <c r="K887" s="221"/>
      <c r="L887" s="221"/>
      <c r="M887" s="221"/>
      <c r="N887" s="221"/>
      <c r="O887" s="221"/>
      <c r="P887" s="221"/>
      <c r="Q887" s="221"/>
      <c r="R887" s="221"/>
      <c r="S887" s="221"/>
      <c r="T887" s="221"/>
      <c r="U887" s="221"/>
      <c r="V887" s="221"/>
      <c r="W887" s="221"/>
      <c r="X887" s="221"/>
      <c r="Y887" s="68"/>
      <c r="Z887" s="68"/>
      <c r="AA887" s="68"/>
    </row>
    <row r="888">
      <c r="A888" s="134"/>
      <c r="B888" s="134"/>
      <c r="C888" s="68"/>
      <c r="D888" s="68"/>
      <c r="E888" s="68"/>
      <c r="F888" s="68"/>
      <c r="G888" s="68"/>
      <c r="H888" s="68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68"/>
      <c r="Z888" s="68"/>
      <c r="AA888" s="68"/>
    </row>
    <row r="889">
      <c r="A889" s="134"/>
      <c r="B889" s="134"/>
      <c r="C889" s="68"/>
      <c r="D889" s="68"/>
      <c r="E889" s="68"/>
      <c r="F889" s="68"/>
      <c r="G889" s="68"/>
      <c r="H889" s="68"/>
      <c r="I889" s="221"/>
      <c r="J889" s="221"/>
      <c r="K889" s="221"/>
      <c r="L889" s="221"/>
      <c r="M889" s="221"/>
      <c r="N889" s="221"/>
      <c r="O889" s="221"/>
      <c r="P889" s="221"/>
      <c r="Q889" s="221"/>
      <c r="R889" s="221"/>
      <c r="S889" s="221"/>
      <c r="T889" s="221"/>
      <c r="U889" s="221"/>
      <c r="V889" s="221"/>
      <c r="W889" s="221"/>
      <c r="X889" s="221"/>
      <c r="Y889" s="68"/>
      <c r="Z889" s="68"/>
      <c r="AA889" s="68"/>
    </row>
    <row r="890">
      <c r="A890" s="134"/>
      <c r="B890" s="134"/>
      <c r="C890" s="68"/>
      <c r="D890" s="68"/>
      <c r="E890" s="68"/>
      <c r="F890" s="68"/>
      <c r="G890" s="68"/>
      <c r="H890" s="68"/>
      <c r="I890" s="221"/>
      <c r="J890" s="221"/>
      <c r="K890" s="221"/>
      <c r="L890" s="221"/>
      <c r="M890" s="221"/>
      <c r="N890" s="221"/>
      <c r="O890" s="221"/>
      <c r="P890" s="221"/>
      <c r="Q890" s="221"/>
      <c r="R890" s="221"/>
      <c r="S890" s="221"/>
      <c r="T890" s="221"/>
      <c r="U890" s="221"/>
      <c r="V890" s="221"/>
      <c r="W890" s="221"/>
      <c r="X890" s="221"/>
      <c r="Y890" s="68"/>
      <c r="Z890" s="68"/>
      <c r="AA890" s="68"/>
    </row>
    <row r="891">
      <c r="A891" s="134"/>
      <c r="B891" s="134"/>
      <c r="C891" s="68"/>
      <c r="D891" s="68"/>
      <c r="E891" s="68"/>
      <c r="F891" s="68"/>
      <c r="G891" s="68"/>
      <c r="H891" s="68"/>
      <c r="I891" s="221"/>
      <c r="J891" s="221"/>
      <c r="K891" s="221"/>
      <c r="L891" s="221"/>
      <c r="M891" s="221"/>
      <c r="N891" s="221"/>
      <c r="O891" s="221"/>
      <c r="P891" s="221"/>
      <c r="Q891" s="221"/>
      <c r="R891" s="221"/>
      <c r="S891" s="221"/>
      <c r="T891" s="221"/>
      <c r="U891" s="221"/>
      <c r="V891" s="221"/>
      <c r="W891" s="221"/>
      <c r="X891" s="221"/>
      <c r="Y891" s="68"/>
      <c r="Z891" s="68"/>
      <c r="AA891" s="68"/>
    </row>
    <row r="892">
      <c r="A892" s="134"/>
      <c r="B892" s="134"/>
      <c r="C892" s="68"/>
      <c r="D892" s="68"/>
      <c r="E892" s="68"/>
      <c r="F892" s="68"/>
      <c r="G892" s="68"/>
      <c r="H892" s="68"/>
      <c r="I892" s="221"/>
      <c r="J892" s="221"/>
      <c r="K892" s="221"/>
      <c r="L892" s="221"/>
      <c r="M892" s="221"/>
      <c r="N892" s="221"/>
      <c r="O892" s="221"/>
      <c r="P892" s="221"/>
      <c r="Q892" s="221"/>
      <c r="R892" s="221"/>
      <c r="S892" s="221"/>
      <c r="T892" s="221"/>
      <c r="U892" s="221"/>
      <c r="V892" s="221"/>
      <c r="W892" s="221"/>
      <c r="X892" s="221"/>
      <c r="Y892" s="68"/>
      <c r="Z892" s="68"/>
      <c r="AA892" s="68"/>
    </row>
    <row r="893">
      <c r="A893" s="134"/>
      <c r="B893" s="134"/>
      <c r="C893" s="68"/>
      <c r="D893" s="68"/>
      <c r="E893" s="68"/>
      <c r="F893" s="68"/>
      <c r="G893" s="68"/>
      <c r="H893" s="68"/>
      <c r="I893" s="221"/>
      <c r="J893" s="221"/>
      <c r="K893" s="221"/>
      <c r="L893" s="221"/>
      <c r="M893" s="221"/>
      <c r="N893" s="221"/>
      <c r="O893" s="221"/>
      <c r="P893" s="221"/>
      <c r="Q893" s="221"/>
      <c r="R893" s="221"/>
      <c r="S893" s="221"/>
      <c r="T893" s="221"/>
      <c r="U893" s="221"/>
      <c r="V893" s="221"/>
      <c r="W893" s="221"/>
      <c r="X893" s="221"/>
      <c r="Y893" s="68"/>
      <c r="Z893" s="68"/>
      <c r="AA893" s="68"/>
    </row>
    <row r="894">
      <c r="A894" s="134"/>
      <c r="B894" s="134"/>
      <c r="C894" s="68"/>
      <c r="D894" s="68"/>
      <c r="E894" s="68"/>
      <c r="F894" s="68"/>
      <c r="G894" s="68"/>
      <c r="H894" s="68"/>
      <c r="I894" s="221"/>
      <c r="J894" s="221"/>
      <c r="K894" s="221"/>
      <c r="L894" s="221"/>
      <c r="M894" s="221"/>
      <c r="N894" s="221"/>
      <c r="O894" s="221"/>
      <c r="P894" s="221"/>
      <c r="Q894" s="221"/>
      <c r="R894" s="221"/>
      <c r="S894" s="221"/>
      <c r="T894" s="221"/>
      <c r="U894" s="221"/>
      <c r="V894" s="221"/>
      <c r="W894" s="221"/>
      <c r="X894" s="221"/>
      <c r="Y894" s="68"/>
      <c r="Z894" s="68"/>
      <c r="AA894" s="68"/>
    </row>
    <row r="895">
      <c r="A895" s="134"/>
      <c r="B895" s="134"/>
      <c r="C895" s="68"/>
      <c r="D895" s="68"/>
      <c r="E895" s="68"/>
      <c r="F895" s="68"/>
      <c r="G895" s="68"/>
      <c r="H895" s="68"/>
      <c r="I895" s="221"/>
      <c r="J895" s="221"/>
      <c r="K895" s="221"/>
      <c r="L895" s="221"/>
      <c r="M895" s="221"/>
      <c r="N895" s="221"/>
      <c r="O895" s="221"/>
      <c r="P895" s="221"/>
      <c r="Q895" s="221"/>
      <c r="R895" s="221"/>
      <c r="S895" s="221"/>
      <c r="T895" s="221"/>
      <c r="U895" s="221"/>
      <c r="V895" s="221"/>
      <c r="W895" s="221"/>
      <c r="X895" s="221"/>
      <c r="Y895" s="68"/>
      <c r="Z895" s="68"/>
      <c r="AA895" s="68"/>
    </row>
    <row r="896">
      <c r="A896" s="134"/>
      <c r="B896" s="134"/>
      <c r="C896" s="68"/>
      <c r="D896" s="68"/>
      <c r="E896" s="68"/>
      <c r="F896" s="68"/>
      <c r="G896" s="68"/>
      <c r="H896" s="68"/>
      <c r="I896" s="221"/>
      <c r="J896" s="221"/>
      <c r="K896" s="221"/>
      <c r="L896" s="221"/>
      <c r="M896" s="221"/>
      <c r="N896" s="221"/>
      <c r="O896" s="221"/>
      <c r="P896" s="221"/>
      <c r="Q896" s="221"/>
      <c r="R896" s="221"/>
      <c r="S896" s="221"/>
      <c r="T896" s="221"/>
      <c r="U896" s="221"/>
      <c r="V896" s="221"/>
      <c r="W896" s="221"/>
      <c r="X896" s="221"/>
      <c r="Y896" s="68"/>
      <c r="Z896" s="68"/>
      <c r="AA896" s="68"/>
    </row>
    <row r="897">
      <c r="A897" s="134"/>
      <c r="B897" s="134"/>
      <c r="C897" s="68"/>
      <c r="D897" s="68"/>
      <c r="E897" s="68"/>
      <c r="F897" s="68"/>
      <c r="G897" s="68"/>
      <c r="H897" s="68"/>
      <c r="I897" s="221"/>
      <c r="J897" s="221"/>
      <c r="K897" s="221"/>
      <c r="L897" s="221"/>
      <c r="M897" s="221"/>
      <c r="N897" s="221"/>
      <c r="O897" s="221"/>
      <c r="P897" s="221"/>
      <c r="Q897" s="221"/>
      <c r="R897" s="221"/>
      <c r="S897" s="221"/>
      <c r="T897" s="221"/>
      <c r="U897" s="221"/>
      <c r="V897" s="221"/>
      <c r="W897" s="221"/>
      <c r="X897" s="221"/>
      <c r="Y897" s="68"/>
      <c r="Z897" s="68"/>
      <c r="AA897" s="68"/>
    </row>
    <row r="898">
      <c r="A898" s="134"/>
      <c r="B898" s="134"/>
      <c r="C898" s="68"/>
      <c r="D898" s="68"/>
      <c r="E898" s="68"/>
      <c r="F898" s="68"/>
      <c r="G898" s="68"/>
      <c r="H898" s="68"/>
      <c r="I898" s="221"/>
      <c r="J898" s="221"/>
      <c r="K898" s="221"/>
      <c r="L898" s="221"/>
      <c r="M898" s="221"/>
      <c r="N898" s="221"/>
      <c r="O898" s="221"/>
      <c r="P898" s="221"/>
      <c r="Q898" s="221"/>
      <c r="R898" s="221"/>
      <c r="S898" s="221"/>
      <c r="T898" s="221"/>
      <c r="U898" s="221"/>
      <c r="V898" s="221"/>
      <c r="W898" s="221"/>
      <c r="X898" s="221"/>
      <c r="Y898" s="68"/>
      <c r="Z898" s="68"/>
      <c r="AA898" s="68"/>
    </row>
    <row r="899">
      <c r="A899" s="134"/>
      <c r="B899" s="134"/>
      <c r="C899" s="68"/>
      <c r="D899" s="68"/>
      <c r="E899" s="68"/>
      <c r="F899" s="68"/>
      <c r="G899" s="68"/>
      <c r="H899" s="68"/>
      <c r="I899" s="221"/>
      <c r="J899" s="221"/>
      <c r="K899" s="221"/>
      <c r="L899" s="221"/>
      <c r="M899" s="221"/>
      <c r="N899" s="221"/>
      <c r="O899" s="221"/>
      <c r="P899" s="221"/>
      <c r="Q899" s="221"/>
      <c r="R899" s="221"/>
      <c r="S899" s="221"/>
      <c r="T899" s="221"/>
      <c r="U899" s="221"/>
      <c r="V899" s="221"/>
      <c r="W899" s="221"/>
      <c r="X899" s="221"/>
      <c r="Y899" s="68"/>
      <c r="Z899" s="68"/>
      <c r="AA899" s="68"/>
    </row>
    <row r="900">
      <c r="A900" s="134"/>
      <c r="B900" s="134"/>
      <c r="C900" s="68"/>
      <c r="D900" s="68"/>
      <c r="E900" s="68"/>
      <c r="F900" s="68"/>
      <c r="G900" s="68"/>
      <c r="H900" s="68"/>
      <c r="I900" s="221"/>
      <c r="J900" s="221"/>
      <c r="K900" s="221"/>
      <c r="L900" s="221"/>
      <c r="M900" s="221"/>
      <c r="N900" s="221"/>
      <c r="O900" s="221"/>
      <c r="P900" s="221"/>
      <c r="Q900" s="221"/>
      <c r="R900" s="221"/>
      <c r="S900" s="221"/>
      <c r="T900" s="221"/>
      <c r="U900" s="221"/>
      <c r="V900" s="221"/>
      <c r="W900" s="221"/>
      <c r="X900" s="221"/>
      <c r="Y900" s="68"/>
      <c r="Z900" s="68"/>
      <c r="AA900" s="68"/>
    </row>
    <row r="901">
      <c r="A901" s="134"/>
      <c r="B901" s="134"/>
      <c r="C901" s="68"/>
      <c r="D901" s="68"/>
      <c r="E901" s="68"/>
      <c r="F901" s="68"/>
      <c r="G901" s="68"/>
      <c r="H901" s="68"/>
      <c r="I901" s="221"/>
      <c r="J901" s="221"/>
      <c r="K901" s="221"/>
      <c r="L901" s="221"/>
      <c r="M901" s="221"/>
      <c r="N901" s="221"/>
      <c r="O901" s="221"/>
      <c r="P901" s="221"/>
      <c r="Q901" s="221"/>
      <c r="R901" s="221"/>
      <c r="S901" s="221"/>
      <c r="T901" s="221"/>
      <c r="U901" s="221"/>
      <c r="V901" s="221"/>
      <c r="W901" s="221"/>
      <c r="X901" s="221"/>
      <c r="Y901" s="68"/>
      <c r="Z901" s="68"/>
      <c r="AA901" s="68"/>
    </row>
    <row r="902">
      <c r="A902" s="134"/>
      <c r="B902" s="134"/>
      <c r="C902" s="68"/>
      <c r="D902" s="68"/>
      <c r="E902" s="68"/>
      <c r="F902" s="68"/>
      <c r="G902" s="68"/>
      <c r="H902" s="68"/>
      <c r="I902" s="221"/>
      <c r="J902" s="221"/>
      <c r="K902" s="221"/>
      <c r="L902" s="221"/>
      <c r="M902" s="221"/>
      <c r="N902" s="221"/>
      <c r="O902" s="221"/>
      <c r="P902" s="221"/>
      <c r="Q902" s="221"/>
      <c r="R902" s="221"/>
      <c r="S902" s="221"/>
      <c r="T902" s="221"/>
      <c r="U902" s="221"/>
      <c r="V902" s="221"/>
      <c r="W902" s="221"/>
      <c r="X902" s="221"/>
      <c r="Y902" s="68"/>
      <c r="Z902" s="68"/>
      <c r="AA902" s="68"/>
    </row>
    <row r="903">
      <c r="A903" s="134"/>
      <c r="B903" s="134"/>
      <c r="C903" s="68"/>
      <c r="D903" s="68"/>
      <c r="E903" s="68"/>
      <c r="F903" s="68"/>
      <c r="G903" s="68"/>
      <c r="H903" s="68"/>
      <c r="I903" s="221"/>
      <c r="J903" s="221"/>
      <c r="K903" s="221"/>
      <c r="L903" s="221"/>
      <c r="M903" s="221"/>
      <c r="N903" s="221"/>
      <c r="O903" s="221"/>
      <c r="P903" s="221"/>
      <c r="Q903" s="221"/>
      <c r="R903" s="221"/>
      <c r="S903" s="221"/>
      <c r="T903" s="221"/>
      <c r="U903" s="221"/>
      <c r="V903" s="221"/>
      <c r="W903" s="221"/>
      <c r="X903" s="221"/>
      <c r="Y903" s="68"/>
      <c r="Z903" s="68"/>
      <c r="AA903" s="68"/>
    </row>
    <row r="904">
      <c r="A904" s="134"/>
      <c r="B904" s="134"/>
      <c r="C904" s="68"/>
      <c r="D904" s="68"/>
      <c r="E904" s="68"/>
      <c r="F904" s="68"/>
      <c r="G904" s="68"/>
      <c r="H904" s="68"/>
      <c r="I904" s="221"/>
      <c r="J904" s="221"/>
      <c r="K904" s="221"/>
      <c r="L904" s="221"/>
      <c r="M904" s="221"/>
      <c r="N904" s="221"/>
      <c r="O904" s="221"/>
      <c r="P904" s="221"/>
      <c r="Q904" s="221"/>
      <c r="R904" s="221"/>
      <c r="S904" s="221"/>
      <c r="T904" s="221"/>
      <c r="U904" s="221"/>
      <c r="V904" s="221"/>
      <c r="W904" s="221"/>
      <c r="X904" s="221"/>
      <c r="Y904" s="68"/>
      <c r="Z904" s="68"/>
      <c r="AA904" s="68"/>
    </row>
    <row r="905">
      <c r="A905" s="134"/>
      <c r="B905" s="134"/>
      <c r="C905" s="68"/>
      <c r="D905" s="68"/>
      <c r="E905" s="68"/>
      <c r="F905" s="68"/>
      <c r="G905" s="68"/>
      <c r="H905" s="68"/>
      <c r="I905" s="221"/>
      <c r="J905" s="221"/>
      <c r="K905" s="221"/>
      <c r="L905" s="221"/>
      <c r="M905" s="221"/>
      <c r="N905" s="221"/>
      <c r="O905" s="221"/>
      <c r="P905" s="221"/>
      <c r="Q905" s="221"/>
      <c r="R905" s="221"/>
      <c r="S905" s="221"/>
      <c r="T905" s="221"/>
      <c r="U905" s="221"/>
      <c r="V905" s="221"/>
      <c r="W905" s="221"/>
      <c r="X905" s="221"/>
      <c r="Y905" s="68"/>
      <c r="Z905" s="68"/>
      <c r="AA905" s="68"/>
    </row>
    <row r="906">
      <c r="A906" s="134"/>
      <c r="B906" s="134"/>
      <c r="C906" s="68"/>
      <c r="D906" s="68"/>
      <c r="E906" s="68"/>
      <c r="F906" s="68"/>
      <c r="G906" s="68"/>
      <c r="H906" s="68"/>
      <c r="I906" s="221"/>
      <c r="J906" s="221"/>
      <c r="K906" s="221"/>
      <c r="L906" s="221"/>
      <c r="M906" s="221"/>
      <c r="N906" s="221"/>
      <c r="O906" s="221"/>
      <c r="P906" s="221"/>
      <c r="Q906" s="221"/>
      <c r="R906" s="221"/>
      <c r="S906" s="221"/>
      <c r="T906" s="221"/>
      <c r="U906" s="221"/>
      <c r="V906" s="221"/>
      <c r="W906" s="221"/>
      <c r="X906" s="221"/>
      <c r="Y906" s="68"/>
      <c r="Z906" s="68"/>
      <c r="AA906" s="68"/>
    </row>
    <row r="907">
      <c r="A907" s="134"/>
      <c r="B907" s="134"/>
      <c r="C907" s="68"/>
      <c r="D907" s="68"/>
      <c r="E907" s="68"/>
      <c r="F907" s="68"/>
      <c r="G907" s="68"/>
      <c r="H907" s="68"/>
      <c r="I907" s="221"/>
      <c r="J907" s="221"/>
      <c r="K907" s="221"/>
      <c r="L907" s="221"/>
      <c r="M907" s="221"/>
      <c r="N907" s="221"/>
      <c r="O907" s="221"/>
      <c r="P907" s="221"/>
      <c r="Q907" s="221"/>
      <c r="R907" s="221"/>
      <c r="S907" s="221"/>
      <c r="T907" s="221"/>
      <c r="U907" s="221"/>
      <c r="V907" s="221"/>
      <c r="W907" s="221"/>
      <c r="X907" s="221"/>
      <c r="Y907" s="68"/>
      <c r="Z907" s="68"/>
      <c r="AA907" s="68"/>
    </row>
    <row r="908">
      <c r="A908" s="134"/>
      <c r="B908" s="134"/>
      <c r="C908" s="68"/>
      <c r="D908" s="68"/>
      <c r="E908" s="68"/>
      <c r="F908" s="68"/>
      <c r="G908" s="68"/>
      <c r="H908" s="68"/>
      <c r="I908" s="221"/>
      <c r="J908" s="221"/>
      <c r="K908" s="221"/>
      <c r="L908" s="221"/>
      <c r="M908" s="221"/>
      <c r="N908" s="221"/>
      <c r="O908" s="221"/>
      <c r="P908" s="221"/>
      <c r="Q908" s="221"/>
      <c r="R908" s="221"/>
      <c r="S908" s="221"/>
      <c r="T908" s="221"/>
      <c r="U908" s="221"/>
      <c r="V908" s="221"/>
      <c r="W908" s="221"/>
      <c r="X908" s="221"/>
      <c r="Y908" s="68"/>
      <c r="Z908" s="68"/>
      <c r="AA908" s="68"/>
    </row>
    <row r="909">
      <c r="A909" s="134"/>
      <c r="B909" s="134"/>
      <c r="C909" s="68"/>
      <c r="D909" s="68"/>
      <c r="E909" s="68"/>
      <c r="F909" s="68"/>
      <c r="G909" s="68"/>
      <c r="H909" s="68"/>
      <c r="I909" s="221"/>
      <c r="J909" s="221"/>
      <c r="K909" s="221"/>
      <c r="L909" s="221"/>
      <c r="M909" s="221"/>
      <c r="N909" s="221"/>
      <c r="O909" s="221"/>
      <c r="P909" s="221"/>
      <c r="Q909" s="221"/>
      <c r="R909" s="221"/>
      <c r="S909" s="221"/>
      <c r="T909" s="221"/>
      <c r="U909" s="221"/>
      <c r="V909" s="221"/>
      <c r="W909" s="221"/>
      <c r="X909" s="221"/>
      <c r="Y909" s="68"/>
      <c r="Z909" s="68"/>
      <c r="AA909" s="68"/>
    </row>
    <row r="910">
      <c r="A910" s="134"/>
      <c r="B910" s="134"/>
      <c r="C910" s="68"/>
      <c r="D910" s="68"/>
      <c r="E910" s="68"/>
      <c r="F910" s="68"/>
      <c r="G910" s="68"/>
      <c r="H910" s="68"/>
      <c r="I910" s="221"/>
      <c r="J910" s="221"/>
      <c r="K910" s="221"/>
      <c r="L910" s="221"/>
      <c r="M910" s="221"/>
      <c r="N910" s="221"/>
      <c r="O910" s="221"/>
      <c r="P910" s="221"/>
      <c r="Q910" s="221"/>
      <c r="R910" s="221"/>
      <c r="S910" s="221"/>
      <c r="T910" s="221"/>
      <c r="U910" s="221"/>
      <c r="V910" s="221"/>
      <c r="W910" s="221"/>
      <c r="X910" s="221"/>
      <c r="Y910" s="68"/>
      <c r="Z910" s="68"/>
      <c r="AA910" s="68"/>
    </row>
    <row r="911">
      <c r="A911" s="134"/>
      <c r="B911" s="134"/>
      <c r="C911" s="68"/>
      <c r="D911" s="68"/>
      <c r="E911" s="68"/>
      <c r="F911" s="68"/>
      <c r="G911" s="68"/>
      <c r="H911" s="68"/>
      <c r="I911" s="221"/>
      <c r="J911" s="221"/>
      <c r="K911" s="221"/>
      <c r="L911" s="221"/>
      <c r="M911" s="221"/>
      <c r="N911" s="221"/>
      <c r="O911" s="221"/>
      <c r="P911" s="221"/>
      <c r="Q911" s="221"/>
      <c r="R911" s="221"/>
      <c r="S911" s="221"/>
      <c r="T911" s="221"/>
      <c r="U911" s="221"/>
      <c r="V911" s="221"/>
      <c r="W911" s="221"/>
      <c r="X911" s="221"/>
      <c r="Y911" s="68"/>
      <c r="Z911" s="68"/>
      <c r="AA911" s="68"/>
    </row>
    <row r="912">
      <c r="A912" s="134"/>
      <c r="B912" s="134"/>
      <c r="C912" s="68"/>
      <c r="D912" s="68"/>
      <c r="E912" s="68"/>
      <c r="F912" s="68"/>
      <c r="G912" s="68"/>
      <c r="H912" s="68"/>
      <c r="I912" s="221"/>
      <c r="J912" s="221"/>
      <c r="K912" s="221"/>
      <c r="L912" s="221"/>
      <c r="M912" s="221"/>
      <c r="N912" s="221"/>
      <c r="O912" s="221"/>
      <c r="P912" s="221"/>
      <c r="Q912" s="221"/>
      <c r="R912" s="221"/>
      <c r="S912" s="221"/>
      <c r="T912" s="221"/>
      <c r="U912" s="221"/>
      <c r="V912" s="221"/>
      <c r="W912" s="221"/>
      <c r="X912" s="221"/>
      <c r="Y912" s="68"/>
      <c r="Z912" s="68"/>
      <c r="AA912" s="68"/>
    </row>
    <row r="913">
      <c r="A913" s="134"/>
      <c r="B913" s="134"/>
      <c r="C913" s="68"/>
      <c r="D913" s="68"/>
      <c r="E913" s="68"/>
      <c r="F913" s="68"/>
      <c r="G913" s="68"/>
      <c r="H913" s="68"/>
      <c r="I913" s="221"/>
      <c r="J913" s="221"/>
      <c r="K913" s="221"/>
      <c r="L913" s="221"/>
      <c r="M913" s="221"/>
      <c r="N913" s="221"/>
      <c r="O913" s="221"/>
      <c r="P913" s="221"/>
      <c r="Q913" s="221"/>
      <c r="R913" s="221"/>
      <c r="S913" s="221"/>
      <c r="T913" s="221"/>
      <c r="U913" s="221"/>
      <c r="V913" s="221"/>
      <c r="W913" s="221"/>
      <c r="X913" s="221"/>
      <c r="Y913" s="68"/>
      <c r="Z913" s="68"/>
      <c r="AA913" s="68"/>
    </row>
    <row r="914">
      <c r="A914" s="134"/>
      <c r="B914" s="134"/>
      <c r="C914" s="68"/>
      <c r="D914" s="68"/>
      <c r="E914" s="68"/>
      <c r="F914" s="68"/>
      <c r="G914" s="68"/>
      <c r="H914" s="68"/>
      <c r="I914" s="221"/>
      <c r="J914" s="221"/>
      <c r="K914" s="221"/>
      <c r="L914" s="221"/>
      <c r="M914" s="221"/>
      <c r="N914" s="221"/>
      <c r="O914" s="221"/>
      <c r="P914" s="221"/>
      <c r="Q914" s="221"/>
      <c r="R914" s="221"/>
      <c r="S914" s="221"/>
      <c r="T914" s="221"/>
      <c r="U914" s="221"/>
      <c r="V914" s="221"/>
      <c r="W914" s="221"/>
      <c r="X914" s="221"/>
      <c r="Y914" s="68"/>
      <c r="Z914" s="68"/>
      <c r="AA914" s="68"/>
    </row>
    <row r="915">
      <c r="A915" s="134"/>
      <c r="B915" s="134"/>
      <c r="C915" s="68"/>
      <c r="D915" s="68"/>
      <c r="E915" s="68"/>
      <c r="F915" s="68"/>
      <c r="G915" s="68"/>
      <c r="H915" s="68"/>
      <c r="I915" s="221"/>
      <c r="J915" s="221"/>
      <c r="K915" s="221"/>
      <c r="L915" s="221"/>
      <c r="M915" s="221"/>
      <c r="N915" s="221"/>
      <c r="O915" s="221"/>
      <c r="P915" s="221"/>
      <c r="Q915" s="221"/>
      <c r="R915" s="221"/>
      <c r="S915" s="221"/>
      <c r="T915" s="221"/>
      <c r="U915" s="221"/>
      <c r="V915" s="221"/>
      <c r="W915" s="221"/>
      <c r="X915" s="221"/>
      <c r="Y915" s="68"/>
      <c r="Z915" s="68"/>
      <c r="AA915" s="68"/>
    </row>
    <row r="916">
      <c r="A916" s="134"/>
      <c r="B916" s="134"/>
      <c r="C916" s="68"/>
      <c r="D916" s="68"/>
      <c r="E916" s="68"/>
      <c r="F916" s="68"/>
      <c r="G916" s="68"/>
      <c r="H916" s="68"/>
      <c r="I916" s="221"/>
      <c r="J916" s="221"/>
      <c r="K916" s="221"/>
      <c r="L916" s="221"/>
      <c r="M916" s="221"/>
      <c r="N916" s="221"/>
      <c r="O916" s="221"/>
      <c r="P916" s="221"/>
      <c r="Q916" s="221"/>
      <c r="R916" s="221"/>
      <c r="S916" s="221"/>
      <c r="T916" s="221"/>
      <c r="U916" s="221"/>
      <c r="V916" s="221"/>
      <c r="W916" s="221"/>
      <c r="X916" s="221"/>
      <c r="Y916" s="68"/>
      <c r="Z916" s="68"/>
      <c r="AA916" s="68"/>
    </row>
    <row r="917">
      <c r="A917" s="134"/>
      <c r="B917" s="134"/>
      <c r="C917" s="68"/>
      <c r="D917" s="68"/>
      <c r="E917" s="68"/>
      <c r="F917" s="68"/>
      <c r="G917" s="68"/>
      <c r="H917" s="68"/>
      <c r="I917" s="221"/>
      <c r="J917" s="221"/>
      <c r="K917" s="221"/>
      <c r="L917" s="221"/>
      <c r="M917" s="221"/>
      <c r="N917" s="221"/>
      <c r="O917" s="221"/>
      <c r="P917" s="221"/>
      <c r="Q917" s="221"/>
      <c r="R917" s="221"/>
      <c r="S917" s="221"/>
      <c r="T917" s="221"/>
      <c r="U917" s="221"/>
      <c r="V917" s="221"/>
      <c r="W917" s="221"/>
      <c r="X917" s="221"/>
      <c r="Y917" s="68"/>
      <c r="Z917" s="68"/>
      <c r="AA917" s="68"/>
    </row>
    <row r="918">
      <c r="A918" s="134"/>
      <c r="B918" s="134"/>
      <c r="C918" s="68"/>
      <c r="D918" s="68"/>
      <c r="E918" s="68"/>
      <c r="F918" s="68"/>
      <c r="G918" s="68"/>
      <c r="H918" s="68"/>
      <c r="I918" s="221"/>
      <c r="J918" s="221"/>
      <c r="K918" s="221"/>
      <c r="L918" s="221"/>
      <c r="M918" s="221"/>
      <c r="N918" s="221"/>
      <c r="O918" s="221"/>
      <c r="P918" s="221"/>
      <c r="Q918" s="221"/>
      <c r="R918" s="221"/>
      <c r="S918" s="221"/>
      <c r="T918" s="221"/>
      <c r="U918" s="221"/>
      <c r="V918" s="221"/>
      <c r="W918" s="221"/>
      <c r="X918" s="221"/>
      <c r="Y918" s="68"/>
      <c r="Z918" s="68"/>
      <c r="AA918" s="68"/>
    </row>
    <row r="919">
      <c r="A919" s="134"/>
      <c r="B919" s="134"/>
      <c r="C919" s="68"/>
      <c r="D919" s="68"/>
      <c r="E919" s="68"/>
      <c r="F919" s="68"/>
      <c r="G919" s="68"/>
      <c r="H919" s="68"/>
      <c r="I919" s="221"/>
      <c r="J919" s="221"/>
      <c r="K919" s="221"/>
      <c r="L919" s="221"/>
      <c r="M919" s="221"/>
      <c r="N919" s="221"/>
      <c r="O919" s="221"/>
      <c r="P919" s="221"/>
      <c r="Q919" s="221"/>
      <c r="R919" s="221"/>
      <c r="S919" s="221"/>
      <c r="T919" s="221"/>
      <c r="U919" s="221"/>
      <c r="V919" s="221"/>
      <c r="W919" s="221"/>
      <c r="X919" s="221"/>
      <c r="Y919" s="68"/>
      <c r="Z919" s="68"/>
      <c r="AA919" s="68"/>
    </row>
    <row r="920">
      <c r="A920" s="134"/>
      <c r="B920" s="134"/>
      <c r="C920" s="68"/>
      <c r="D920" s="68"/>
      <c r="E920" s="68"/>
      <c r="F920" s="68"/>
      <c r="G920" s="68"/>
      <c r="H920" s="68"/>
      <c r="I920" s="221"/>
      <c r="J920" s="221"/>
      <c r="K920" s="221"/>
      <c r="L920" s="221"/>
      <c r="M920" s="221"/>
      <c r="N920" s="221"/>
      <c r="O920" s="221"/>
      <c r="P920" s="221"/>
      <c r="Q920" s="221"/>
      <c r="R920" s="221"/>
      <c r="S920" s="221"/>
      <c r="T920" s="221"/>
      <c r="U920" s="221"/>
      <c r="V920" s="221"/>
      <c r="W920" s="221"/>
      <c r="X920" s="221"/>
      <c r="Y920" s="68"/>
      <c r="Z920" s="68"/>
      <c r="AA920" s="68"/>
    </row>
    <row r="921">
      <c r="A921" s="134"/>
      <c r="B921" s="134"/>
      <c r="C921" s="68"/>
      <c r="D921" s="68"/>
      <c r="E921" s="68"/>
      <c r="F921" s="68"/>
      <c r="G921" s="68"/>
      <c r="H921" s="68"/>
      <c r="I921" s="221"/>
      <c r="J921" s="221"/>
      <c r="K921" s="221"/>
      <c r="L921" s="221"/>
      <c r="M921" s="221"/>
      <c r="N921" s="221"/>
      <c r="O921" s="221"/>
      <c r="P921" s="221"/>
      <c r="Q921" s="221"/>
      <c r="R921" s="221"/>
      <c r="S921" s="221"/>
      <c r="T921" s="221"/>
      <c r="U921" s="221"/>
      <c r="V921" s="221"/>
      <c r="W921" s="221"/>
      <c r="X921" s="221"/>
      <c r="Y921" s="68"/>
      <c r="Z921" s="68"/>
      <c r="AA921" s="68"/>
    </row>
    <row r="922">
      <c r="A922" s="134"/>
      <c r="B922" s="134"/>
      <c r="C922" s="68"/>
      <c r="D922" s="68"/>
      <c r="E922" s="68"/>
      <c r="F922" s="68"/>
      <c r="G922" s="68"/>
      <c r="H922" s="68"/>
      <c r="I922" s="221"/>
      <c r="J922" s="221"/>
      <c r="K922" s="221"/>
      <c r="L922" s="221"/>
      <c r="M922" s="221"/>
      <c r="N922" s="221"/>
      <c r="O922" s="221"/>
      <c r="P922" s="221"/>
      <c r="Q922" s="221"/>
      <c r="R922" s="221"/>
      <c r="S922" s="221"/>
      <c r="T922" s="221"/>
      <c r="U922" s="221"/>
      <c r="V922" s="221"/>
      <c r="W922" s="221"/>
      <c r="X922" s="221"/>
      <c r="Y922" s="68"/>
      <c r="Z922" s="68"/>
      <c r="AA922" s="68"/>
    </row>
    <row r="923">
      <c r="A923" s="134"/>
      <c r="B923" s="134"/>
      <c r="C923" s="68"/>
      <c r="D923" s="68"/>
      <c r="E923" s="68"/>
      <c r="F923" s="68"/>
      <c r="G923" s="68"/>
      <c r="H923" s="68"/>
      <c r="I923" s="221"/>
      <c r="J923" s="221"/>
      <c r="K923" s="221"/>
      <c r="L923" s="221"/>
      <c r="M923" s="221"/>
      <c r="N923" s="221"/>
      <c r="O923" s="221"/>
      <c r="P923" s="221"/>
      <c r="Q923" s="221"/>
      <c r="R923" s="221"/>
      <c r="S923" s="221"/>
      <c r="T923" s="221"/>
      <c r="U923" s="221"/>
      <c r="V923" s="221"/>
      <c r="W923" s="221"/>
      <c r="X923" s="221"/>
      <c r="Y923" s="68"/>
      <c r="Z923" s="68"/>
      <c r="AA923" s="68"/>
    </row>
    <row r="924">
      <c r="A924" s="134"/>
      <c r="B924" s="134"/>
      <c r="C924" s="68"/>
      <c r="D924" s="68"/>
      <c r="E924" s="68"/>
      <c r="F924" s="68"/>
      <c r="G924" s="68"/>
      <c r="H924" s="68"/>
      <c r="I924" s="221"/>
      <c r="J924" s="221"/>
      <c r="K924" s="221"/>
      <c r="L924" s="221"/>
      <c r="M924" s="221"/>
      <c r="N924" s="221"/>
      <c r="O924" s="221"/>
      <c r="P924" s="221"/>
      <c r="Q924" s="221"/>
      <c r="R924" s="221"/>
      <c r="S924" s="221"/>
      <c r="T924" s="221"/>
      <c r="U924" s="221"/>
      <c r="V924" s="221"/>
      <c r="W924" s="221"/>
      <c r="X924" s="221"/>
      <c r="Y924" s="68"/>
      <c r="Z924" s="68"/>
      <c r="AA924" s="68"/>
    </row>
    <row r="925">
      <c r="A925" s="134"/>
      <c r="B925" s="134"/>
      <c r="C925" s="68"/>
      <c r="D925" s="68"/>
      <c r="E925" s="68"/>
      <c r="F925" s="68"/>
      <c r="G925" s="68"/>
      <c r="H925" s="68"/>
      <c r="I925" s="221"/>
      <c r="J925" s="221"/>
      <c r="K925" s="221"/>
      <c r="L925" s="221"/>
      <c r="M925" s="221"/>
      <c r="N925" s="221"/>
      <c r="O925" s="221"/>
      <c r="P925" s="221"/>
      <c r="Q925" s="221"/>
      <c r="R925" s="221"/>
      <c r="S925" s="221"/>
      <c r="T925" s="221"/>
      <c r="U925" s="221"/>
      <c r="V925" s="221"/>
      <c r="W925" s="221"/>
      <c r="X925" s="221"/>
      <c r="Y925" s="68"/>
      <c r="Z925" s="68"/>
      <c r="AA925" s="68"/>
    </row>
    <row r="926">
      <c r="A926" s="134"/>
      <c r="B926" s="134"/>
      <c r="C926" s="68"/>
      <c r="D926" s="68"/>
      <c r="E926" s="68"/>
      <c r="F926" s="68"/>
      <c r="G926" s="68"/>
      <c r="H926" s="68"/>
      <c r="I926" s="221"/>
      <c r="J926" s="221"/>
      <c r="K926" s="221"/>
      <c r="L926" s="221"/>
      <c r="M926" s="221"/>
      <c r="N926" s="221"/>
      <c r="O926" s="221"/>
      <c r="P926" s="221"/>
      <c r="Q926" s="221"/>
      <c r="R926" s="221"/>
      <c r="S926" s="221"/>
      <c r="T926" s="221"/>
      <c r="U926" s="221"/>
      <c r="V926" s="221"/>
      <c r="W926" s="221"/>
      <c r="X926" s="221"/>
      <c r="Y926" s="68"/>
      <c r="Z926" s="68"/>
      <c r="AA926" s="68"/>
    </row>
    <row r="927">
      <c r="A927" s="134"/>
      <c r="B927" s="134"/>
      <c r="C927" s="68"/>
      <c r="D927" s="68"/>
      <c r="E927" s="68"/>
      <c r="F927" s="68"/>
      <c r="G927" s="68"/>
      <c r="H927" s="68"/>
      <c r="I927" s="221"/>
      <c r="J927" s="221"/>
      <c r="K927" s="221"/>
      <c r="L927" s="221"/>
      <c r="M927" s="221"/>
      <c r="N927" s="221"/>
      <c r="O927" s="221"/>
      <c r="P927" s="221"/>
      <c r="Q927" s="221"/>
      <c r="R927" s="221"/>
      <c r="S927" s="221"/>
      <c r="T927" s="221"/>
      <c r="U927" s="221"/>
      <c r="V927" s="221"/>
      <c r="W927" s="221"/>
      <c r="X927" s="221"/>
      <c r="Y927" s="68"/>
      <c r="Z927" s="68"/>
      <c r="AA927" s="68"/>
    </row>
    <row r="928">
      <c r="A928" s="134"/>
      <c r="B928" s="134"/>
      <c r="C928" s="68"/>
      <c r="D928" s="68"/>
      <c r="E928" s="68"/>
      <c r="F928" s="68"/>
      <c r="G928" s="68"/>
      <c r="H928" s="68"/>
      <c r="I928" s="221"/>
      <c r="J928" s="221"/>
      <c r="K928" s="221"/>
      <c r="L928" s="221"/>
      <c r="M928" s="221"/>
      <c r="N928" s="221"/>
      <c r="O928" s="221"/>
      <c r="P928" s="221"/>
      <c r="Q928" s="221"/>
      <c r="R928" s="221"/>
      <c r="S928" s="221"/>
      <c r="T928" s="221"/>
      <c r="U928" s="221"/>
      <c r="V928" s="221"/>
      <c r="W928" s="221"/>
      <c r="X928" s="221"/>
      <c r="Y928" s="68"/>
      <c r="Z928" s="68"/>
      <c r="AA928" s="68"/>
    </row>
    <row r="929">
      <c r="A929" s="134"/>
      <c r="B929" s="134"/>
      <c r="C929" s="68"/>
      <c r="D929" s="68"/>
      <c r="E929" s="68"/>
      <c r="F929" s="68"/>
      <c r="G929" s="68"/>
      <c r="H929" s="68"/>
      <c r="I929" s="221"/>
      <c r="J929" s="221"/>
      <c r="K929" s="221"/>
      <c r="L929" s="221"/>
      <c r="M929" s="221"/>
      <c r="N929" s="221"/>
      <c r="O929" s="221"/>
      <c r="P929" s="221"/>
      <c r="Q929" s="221"/>
      <c r="R929" s="221"/>
      <c r="S929" s="221"/>
      <c r="T929" s="221"/>
      <c r="U929" s="221"/>
      <c r="V929" s="221"/>
      <c r="W929" s="221"/>
      <c r="X929" s="221"/>
      <c r="Y929" s="68"/>
      <c r="Z929" s="68"/>
      <c r="AA929" s="68"/>
    </row>
    <row r="930">
      <c r="A930" s="134"/>
      <c r="B930" s="134"/>
      <c r="C930" s="68"/>
      <c r="D930" s="68"/>
      <c r="E930" s="68"/>
      <c r="F930" s="68"/>
      <c r="G930" s="68"/>
      <c r="H930" s="68"/>
      <c r="I930" s="221"/>
      <c r="J930" s="221"/>
      <c r="K930" s="221"/>
      <c r="L930" s="221"/>
      <c r="M930" s="221"/>
      <c r="N930" s="221"/>
      <c r="O930" s="221"/>
      <c r="P930" s="221"/>
      <c r="Q930" s="221"/>
      <c r="R930" s="221"/>
      <c r="S930" s="221"/>
      <c r="T930" s="221"/>
      <c r="U930" s="221"/>
      <c r="V930" s="221"/>
      <c r="W930" s="221"/>
      <c r="X930" s="221"/>
      <c r="Y930" s="68"/>
      <c r="Z930" s="68"/>
      <c r="AA930" s="68"/>
    </row>
    <row r="931">
      <c r="A931" s="134"/>
      <c r="B931" s="134"/>
      <c r="C931" s="68"/>
      <c r="D931" s="68"/>
      <c r="E931" s="68"/>
      <c r="F931" s="68"/>
      <c r="G931" s="68"/>
      <c r="H931" s="68"/>
      <c r="I931" s="221"/>
      <c r="J931" s="221"/>
      <c r="K931" s="221"/>
      <c r="L931" s="221"/>
      <c r="M931" s="221"/>
      <c r="N931" s="221"/>
      <c r="O931" s="221"/>
      <c r="P931" s="221"/>
      <c r="Q931" s="221"/>
      <c r="R931" s="221"/>
      <c r="S931" s="221"/>
      <c r="T931" s="221"/>
      <c r="U931" s="221"/>
      <c r="V931" s="221"/>
      <c r="W931" s="221"/>
      <c r="X931" s="221"/>
      <c r="Y931" s="68"/>
      <c r="Z931" s="68"/>
      <c r="AA931" s="68"/>
    </row>
    <row r="932">
      <c r="A932" s="134"/>
      <c r="B932" s="134"/>
      <c r="C932" s="68"/>
      <c r="D932" s="68"/>
      <c r="E932" s="68"/>
      <c r="F932" s="68"/>
      <c r="G932" s="68"/>
      <c r="H932" s="68"/>
      <c r="I932" s="221"/>
      <c r="J932" s="221"/>
      <c r="K932" s="221"/>
      <c r="L932" s="221"/>
      <c r="M932" s="221"/>
      <c r="N932" s="221"/>
      <c r="O932" s="221"/>
      <c r="P932" s="221"/>
      <c r="Q932" s="221"/>
      <c r="R932" s="221"/>
      <c r="S932" s="221"/>
      <c r="T932" s="221"/>
      <c r="U932" s="221"/>
      <c r="V932" s="221"/>
      <c r="W932" s="221"/>
      <c r="X932" s="221"/>
      <c r="Y932" s="68"/>
      <c r="Z932" s="68"/>
      <c r="AA932" s="68"/>
    </row>
    <row r="933">
      <c r="A933" s="134"/>
      <c r="B933" s="134"/>
      <c r="C933" s="68"/>
      <c r="D933" s="68"/>
      <c r="E933" s="68"/>
      <c r="F933" s="68"/>
      <c r="G933" s="68"/>
      <c r="H933" s="68"/>
      <c r="I933" s="221"/>
      <c r="J933" s="221"/>
      <c r="K933" s="221"/>
      <c r="L933" s="221"/>
      <c r="M933" s="221"/>
      <c r="N933" s="221"/>
      <c r="O933" s="221"/>
      <c r="P933" s="221"/>
      <c r="Q933" s="221"/>
      <c r="R933" s="221"/>
      <c r="S933" s="221"/>
      <c r="T933" s="221"/>
      <c r="U933" s="221"/>
      <c r="V933" s="221"/>
      <c r="W933" s="221"/>
      <c r="X933" s="221"/>
      <c r="Y933" s="68"/>
      <c r="Z933" s="68"/>
      <c r="AA933" s="68"/>
    </row>
    <row r="934">
      <c r="A934" s="134"/>
      <c r="B934" s="134"/>
      <c r="C934" s="68"/>
      <c r="D934" s="68"/>
      <c r="E934" s="68"/>
      <c r="F934" s="68"/>
      <c r="G934" s="68"/>
      <c r="H934" s="68"/>
      <c r="I934" s="221"/>
      <c r="J934" s="221"/>
      <c r="K934" s="221"/>
      <c r="L934" s="221"/>
      <c r="M934" s="221"/>
      <c r="N934" s="221"/>
      <c r="O934" s="221"/>
      <c r="P934" s="221"/>
      <c r="Q934" s="221"/>
      <c r="R934" s="221"/>
      <c r="S934" s="221"/>
      <c r="T934" s="221"/>
      <c r="U934" s="221"/>
      <c r="V934" s="221"/>
      <c r="W934" s="221"/>
      <c r="X934" s="221"/>
      <c r="Y934" s="68"/>
      <c r="Z934" s="68"/>
      <c r="AA934" s="68"/>
    </row>
    <row r="935">
      <c r="A935" s="134"/>
      <c r="B935" s="134"/>
      <c r="C935" s="68"/>
      <c r="D935" s="68"/>
      <c r="E935" s="68"/>
      <c r="F935" s="68"/>
      <c r="G935" s="68"/>
      <c r="H935" s="68"/>
      <c r="I935" s="221"/>
      <c r="J935" s="221"/>
      <c r="K935" s="221"/>
      <c r="L935" s="221"/>
      <c r="M935" s="221"/>
      <c r="N935" s="221"/>
      <c r="O935" s="221"/>
      <c r="P935" s="221"/>
      <c r="Q935" s="221"/>
      <c r="R935" s="221"/>
      <c r="S935" s="221"/>
      <c r="T935" s="221"/>
      <c r="U935" s="221"/>
      <c r="V935" s="221"/>
      <c r="W935" s="221"/>
      <c r="X935" s="221"/>
      <c r="Y935" s="68"/>
      <c r="Z935" s="68"/>
      <c r="AA935" s="68"/>
    </row>
    <row r="936">
      <c r="A936" s="134"/>
      <c r="B936" s="134"/>
      <c r="C936" s="68"/>
      <c r="D936" s="68"/>
      <c r="E936" s="68"/>
      <c r="F936" s="68"/>
      <c r="G936" s="68"/>
      <c r="H936" s="68"/>
      <c r="I936" s="221"/>
      <c r="J936" s="221"/>
      <c r="K936" s="221"/>
      <c r="L936" s="221"/>
      <c r="M936" s="221"/>
      <c r="N936" s="221"/>
      <c r="O936" s="221"/>
      <c r="P936" s="221"/>
      <c r="Q936" s="221"/>
      <c r="R936" s="221"/>
      <c r="S936" s="221"/>
      <c r="T936" s="221"/>
      <c r="U936" s="221"/>
      <c r="V936" s="221"/>
      <c r="W936" s="221"/>
      <c r="X936" s="221"/>
      <c r="Y936" s="68"/>
      <c r="Z936" s="68"/>
      <c r="AA936" s="68"/>
    </row>
    <row r="937">
      <c r="A937" s="134"/>
      <c r="B937" s="134"/>
      <c r="C937" s="68"/>
      <c r="D937" s="68"/>
      <c r="E937" s="68"/>
      <c r="F937" s="68"/>
      <c r="G937" s="68"/>
      <c r="H937" s="68"/>
      <c r="I937" s="221"/>
      <c r="J937" s="221"/>
      <c r="K937" s="221"/>
      <c r="L937" s="221"/>
      <c r="M937" s="221"/>
      <c r="N937" s="221"/>
      <c r="O937" s="221"/>
      <c r="P937" s="221"/>
      <c r="Q937" s="221"/>
      <c r="R937" s="221"/>
      <c r="S937" s="221"/>
      <c r="T937" s="221"/>
      <c r="U937" s="221"/>
      <c r="V937" s="221"/>
      <c r="W937" s="221"/>
      <c r="X937" s="221"/>
      <c r="Y937" s="68"/>
      <c r="Z937" s="68"/>
      <c r="AA937" s="68"/>
    </row>
    <row r="938">
      <c r="A938" s="134"/>
      <c r="B938" s="134"/>
      <c r="C938" s="68"/>
      <c r="D938" s="68"/>
      <c r="E938" s="68"/>
      <c r="F938" s="68"/>
      <c r="G938" s="68"/>
      <c r="H938" s="68"/>
      <c r="I938" s="221"/>
      <c r="J938" s="221"/>
      <c r="K938" s="221"/>
      <c r="L938" s="221"/>
      <c r="M938" s="221"/>
      <c r="N938" s="221"/>
      <c r="O938" s="221"/>
      <c r="P938" s="221"/>
      <c r="Q938" s="221"/>
      <c r="R938" s="221"/>
      <c r="S938" s="221"/>
      <c r="T938" s="221"/>
      <c r="U938" s="221"/>
      <c r="V938" s="221"/>
      <c r="W938" s="221"/>
      <c r="X938" s="221"/>
      <c r="Y938" s="68"/>
      <c r="Z938" s="68"/>
      <c r="AA938" s="68"/>
    </row>
    <row r="939">
      <c r="A939" s="134"/>
      <c r="B939" s="134"/>
      <c r="C939" s="68"/>
      <c r="D939" s="68"/>
      <c r="E939" s="68"/>
      <c r="F939" s="68"/>
      <c r="G939" s="68"/>
      <c r="H939" s="68"/>
      <c r="I939" s="221"/>
      <c r="J939" s="221"/>
      <c r="K939" s="221"/>
      <c r="L939" s="221"/>
      <c r="M939" s="221"/>
      <c r="N939" s="221"/>
      <c r="O939" s="221"/>
      <c r="P939" s="221"/>
      <c r="Q939" s="221"/>
      <c r="R939" s="221"/>
      <c r="S939" s="221"/>
      <c r="T939" s="221"/>
      <c r="U939" s="221"/>
      <c r="V939" s="221"/>
      <c r="W939" s="221"/>
      <c r="X939" s="221"/>
      <c r="Y939" s="68"/>
      <c r="Z939" s="68"/>
      <c r="AA939" s="68"/>
    </row>
    <row r="940">
      <c r="A940" s="134"/>
      <c r="B940" s="134"/>
      <c r="C940" s="68"/>
      <c r="D940" s="68"/>
      <c r="E940" s="68"/>
      <c r="F940" s="68"/>
      <c r="G940" s="68"/>
      <c r="H940" s="68"/>
      <c r="I940" s="221"/>
      <c r="J940" s="221"/>
      <c r="K940" s="221"/>
      <c r="L940" s="221"/>
      <c r="M940" s="221"/>
      <c r="N940" s="221"/>
      <c r="O940" s="221"/>
      <c r="P940" s="221"/>
      <c r="Q940" s="221"/>
      <c r="R940" s="221"/>
      <c r="S940" s="221"/>
      <c r="T940" s="221"/>
      <c r="U940" s="221"/>
      <c r="V940" s="221"/>
      <c r="W940" s="221"/>
      <c r="X940" s="221"/>
      <c r="Y940" s="68"/>
      <c r="Z940" s="68"/>
      <c r="AA940" s="68"/>
    </row>
    <row r="941">
      <c r="A941" s="134"/>
      <c r="B941" s="134"/>
      <c r="C941" s="68"/>
      <c r="D941" s="68"/>
      <c r="E941" s="68"/>
      <c r="F941" s="68"/>
      <c r="G941" s="68"/>
      <c r="H941" s="68"/>
      <c r="I941" s="221"/>
      <c r="J941" s="221"/>
      <c r="K941" s="221"/>
      <c r="L941" s="221"/>
      <c r="M941" s="221"/>
      <c r="N941" s="221"/>
      <c r="O941" s="221"/>
      <c r="P941" s="221"/>
      <c r="Q941" s="221"/>
      <c r="R941" s="221"/>
      <c r="S941" s="221"/>
      <c r="T941" s="221"/>
      <c r="U941" s="221"/>
      <c r="V941" s="221"/>
      <c r="W941" s="221"/>
      <c r="X941" s="221"/>
      <c r="Y941" s="68"/>
      <c r="Z941" s="68"/>
      <c r="AA941" s="68"/>
    </row>
    <row r="942">
      <c r="A942" s="134"/>
      <c r="B942" s="134"/>
      <c r="C942" s="68"/>
      <c r="D942" s="68"/>
      <c r="E942" s="68"/>
      <c r="F942" s="68"/>
      <c r="G942" s="68"/>
      <c r="H942" s="68"/>
      <c r="I942" s="221"/>
      <c r="J942" s="221"/>
      <c r="K942" s="221"/>
      <c r="L942" s="221"/>
      <c r="M942" s="221"/>
      <c r="N942" s="221"/>
      <c r="O942" s="221"/>
      <c r="P942" s="221"/>
      <c r="Q942" s="221"/>
      <c r="R942" s="221"/>
      <c r="S942" s="221"/>
      <c r="T942" s="221"/>
      <c r="U942" s="221"/>
      <c r="V942" s="221"/>
      <c r="W942" s="221"/>
      <c r="X942" s="221"/>
      <c r="Y942" s="68"/>
      <c r="Z942" s="68"/>
      <c r="AA942" s="68"/>
    </row>
    <row r="943">
      <c r="A943" s="134"/>
      <c r="B943" s="134"/>
      <c r="C943" s="68"/>
      <c r="D943" s="68"/>
      <c r="E943" s="68"/>
      <c r="F943" s="68"/>
      <c r="G943" s="68"/>
      <c r="H943" s="68"/>
      <c r="I943" s="221"/>
      <c r="J943" s="221"/>
      <c r="K943" s="221"/>
      <c r="L943" s="221"/>
      <c r="M943" s="221"/>
      <c r="N943" s="221"/>
      <c r="O943" s="221"/>
      <c r="P943" s="221"/>
      <c r="Q943" s="221"/>
      <c r="R943" s="221"/>
      <c r="S943" s="221"/>
      <c r="T943" s="221"/>
      <c r="U943" s="221"/>
      <c r="V943" s="221"/>
      <c r="W943" s="221"/>
      <c r="X943" s="221"/>
      <c r="Y943" s="68"/>
      <c r="Z943" s="68"/>
      <c r="AA943" s="68"/>
    </row>
    <row r="944">
      <c r="A944" s="134"/>
      <c r="B944" s="134"/>
      <c r="C944" s="68"/>
      <c r="D944" s="68"/>
      <c r="E944" s="68"/>
      <c r="F944" s="68"/>
      <c r="G944" s="68"/>
      <c r="H944" s="68"/>
      <c r="I944" s="221"/>
      <c r="J944" s="221"/>
      <c r="K944" s="221"/>
      <c r="L944" s="221"/>
      <c r="M944" s="221"/>
      <c r="N944" s="221"/>
      <c r="O944" s="221"/>
      <c r="P944" s="221"/>
      <c r="Q944" s="221"/>
      <c r="R944" s="221"/>
      <c r="S944" s="221"/>
      <c r="T944" s="221"/>
      <c r="U944" s="221"/>
      <c r="V944" s="221"/>
      <c r="W944" s="221"/>
      <c r="X944" s="221"/>
      <c r="Y944" s="68"/>
      <c r="Z944" s="68"/>
      <c r="AA944" s="68"/>
    </row>
    <row r="945">
      <c r="A945" s="134"/>
      <c r="B945" s="134"/>
      <c r="C945" s="68"/>
      <c r="D945" s="68"/>
      <c r="E945" s="68"/>
      <c r="F945" s="68"/>
      <c r="G945" s="68"/>
      <c r="H945" s="68"/>
      <c r="I945" s="221"/>
      <c r="J945" s="221"/>
      <c r="K945" s="221"/>
      <c r="L945" s="221"/>
      <c r="M945" s="221"/>
      <c r="N945" s="221"/>
      <c r="O945" s="221"/>
      <c r="P945" s="221"/>
      <c r="Q945" s="221"/>
      <c r="R945" s="221"/>
      <c r="S945" s="221"/>
      <c r="T945" s="221"/>
      <c r="U945" s="221"/>
      <c r="V945" s="221"/>
      <c r="W945" s="221"/>
      <c r="X945" s="221"/>
      <c r="Y945" s="68"/>
      <c r="Z945" s="68"/>
      <c r="AA945" s="68"/>
    </row>
    <row r="946">
      <c r="A946" s="134"/>
      <c r="B946" s="134"/>
      <c r="C946" s="68"/>
      <c r="D946" s="68"/>
      <c r="E946" s="68"/>
      <c r="F946" s="68"/>
      <c r="G946" s="68"/>
      <c r="H946" s="68"/>
      <c r="I946" s="221"/>
      <c r="J946" s="221"/>
      <c r="K946" s="221"/>
      <c r="L946" s="221"/>
      <c r="M946" s="221"/>
      <c r="N946" s="221"/>
      <c r="O946" s="221"/>
      <c r="P946" s="221"/>
      <c r="Q946" s="221"/>
      <c r="R946" s="221"/>
      <c r="S946" s="221"/>
      <c r="T946" s="221"/>
      <c r="U946" s="221"/>
      <c r="V946" s="221"/>
      <c r="W946" s="221"/>
      <c r="X946" s="221"/>
      <c r="Y946" s="68"/>
      <c r="Z946" s="68"/>
      <c r="AA946" s="68"/>
    </row>
    <row r="947">
      <c r="A947" s="134"/>
      <c r="B947" s="134"/>
      <c r="C947" s="68"/>
      <c r="D947" s="68"/>
      <c r="E947" s="68"/>
      <c r="F947" s="68"/>
      <c r="G947" s="68"/>
      <c r="H947" s="68"/>
      <c r="I947" s="221"/>
      <c r="J947" s="221"/>
      <c r="K947" s="221"/>
      <c r="L947" s="221"/>
      <c r="M947" s="221"/>
      <c r="N947" s="221"/>
      <c r="O947" s="221"/>
      <c r="P947" s="221"/>
      <c r="Q947" s="221"/>
      <c r="R947" s="221"/>
      <c r="S947" s="221"/>
      <c r="T947" s="221"/>
      <c r="U947" s="221"/>
      <c r="V947" s="221"/>
      <c r="W947" s="221"/>
      <c r="X947" s="221"/>
      <c r="Y947" s="68"/>
      <c r="Z947" s="68"/>
      <c r="AA947" s="68"/>
    </row>
    <row r="948">
      <c r="A948" s="134"/>
      <c r="B948" s="134"/>
      <c r="C948" s="68"/>
      <c r="D948" s="68"/>
      <c r="E948" s="68"/>
      <c r="F948" s="68"/>
      <c r="G948" s="68"/>
      <c r="H948" s="68"/>
      <c r="I948" s="221"/>
      <c r="J948" s="221"/>
      <c r="K948" s="221"/>
      <c r="L948" s="221"/>
      <c r="M948" s="221"/>
      <c r="N948" s="221"/>
      <c r="O948" s="221"/>
      <c r="P948" s="221"/>
      <c r="Q948" s="221"/>
      <c r="R948" s="221"/>
      <c r="S948" s="221"/>
      <c r="T948" s="221"/>
      <c r="U948" s="221"/>
      <c r="V948" s="221"/>
      <c r="W948" s="221"/>
      <c r="X948" s="221"/>
      <c r="Y948" s="68"/>
      <c r="Z948" s="68"/>
      <c r="AA948" s="68"/>
    </row>
    <row r="949">
      <c r="A949" s="134"/>
      <c r="B949" s="134"/>
      <c r="C949" s="68"/>
      <c r="D949" s="68"/>
      <c r="E949" s="68"/>
      <c r="F949" s="68"/>
      <c r="G949" s="68"/>
      <c r="H949" s="68"/>
      <c r="I949" s="221"/>
      <c r="J949" s="221"/>
      <c r="K949" s="221"/>
      <c r="L949" s="221"/>
      <c r="M949" s="221"/>
      <c r="N949" s="221"/>
      <c r="O949" s="221"/>
      <c r="P949" s="221"/>
      <c r="Q949" s="221"/>
      <c r="R949" s="221"/>
      <c r="S949" s="221"/>
      <c r="T949" s="221"/>
      <c r="U949" s="221"/>
      <c r="V949" s="221"/>
      <c r="W949" s="221"/>
      <c r="X949" s="221"/>
      <c r="Y949" s="68"/>
      <c r="Z949" s="68"/>
      <c r="AA949" s="68"/>
    </row>
    <row r="950">
      <c r="A950" s="134"/>
      <c r="B950" s="134"/>
      <c r="C950" s="68"/>
      <c r="D950" s="68"/>
      <c r="E950" s="68"/>
      <c r="F950" s="68"/>
      <c r="G950" s="68"/>
      <c r="H950" s="68"/>
      <c r="I950" s="221"/>
      <c r="J950" s="221"/>
      <c r="K950" s="221"/>
      <c r="L950" s="221"/>
      <c r="M950" s="221"/>
      <c r="N950" s="221"/>
      <c r="O950" s="221"/>
      <c r="P950" s="221"/>
      <c r="Q950" s="221"/>
      <c r="R950" s="221"/>
      <c r="S950" s="221"/>
      <c r="T950" s="221"/>
      <c r="U950" s="221"/>
      <c r="V950" s="221"/>
      <c r="W950" s="221"/>
      <c r="X950" s="221"/>
      <c r="Y950" s="68"/>
      <c r="Z950" s="68"/>
      <c r="AA950" s="68"/>
    </row>
    <row r="951">
      <c r="A951" s="134"/>
      <c r="B951" s="134"/>
      <c r="C951" s="68"/>
      <c r="D951" s="68"/>
      <c r="E951" s="68"/>
      <c r="F951" s="68"/>
      <c r="G951" s="68"/>
      <c r="H951" s="68"/>
      <c r="I951" s="221"/>
      <c r="J951" s="221"/>
      <c r="K951" s="221"/>
      <c r="L951" s="221"/>
      <c r="M951" s="221"/>
      <c r="N951" s="221"/>
      <c r="O951" s="221"/>
      <c r="P951" s="221"/>
      <c r="Q951" s="221"/>
      <c r="R951" s="221"/>
      <c r="S951" s="221"/>
      <c r="T951" s="221"/>
      <c r="U951" s="221"/>
      <c r="V951" s="221"/>
      <c r="W951" s="221"/>
      <c r="X951" s="221"/>
      <c r="Y951" s="68"/>
      <c r="Z951" s="68"/>
      <c r="AA951" s="68"/>
    </row>
    <row r="952">
      <c r="A952" s="134"/>
      <c r="B952" s="134"/>
      <c r="C952" s="68"/>
      <c r="D952" s="68"/>
      <c r="E952" s="68"/>
      <c r="F952" s="68"/>
      <c r="G952" s="68"/>
      <c r="H952" s="68"/>
      <c r="I952" s="221"/>
      <c r="J952" s="221"/>
      <c r="K952" s="221"/>
      <c r="L952" s="221"/>
      <c r="M952" s="221"/>
      <c r="N952" s="221"/>
      <c r="O952" s="221"/>
      <c r="P952" s="221"/>
      <c r="Q952" s="221"/>
      <c r="R952" s="221"/>
      <c r="S952" s="221"/>
      <c r="T952" s="221"/>
      <c r="U952" s="221"/>
      <c r="V952" s="221"/>
      <c r="W952" s="221"/>
      <c r="X952" s="221"/>
      <c r="Y952" s="68"/>
      <c r="Z952" s="68"/>
      <c r="AA952" s="68"/>
    </row>
    <row r="953">
      <c r="A953" s="134"/>
      <c r="B953" s="134"/>
      <c r="C953" s="68"/>
      <c r="D953" s="68"/>
      <c r="E953" s="68"/>
      <c r="F953" s="68"/>
      <c r="G953" s="68"/>
      <c r="H953" s="68"/>
      <c r="I953" s="221"/>
      <c r="J953" s="221"/>
      <c r="K953" s="221"/>
      <c r="L953" s="221"/>
      <c r="M953" s="221"/>
      <c r="N953" s="221"/>
      <c r="O953" s="221"/>
      <c r="P953" s="221"/>
      <c r="Q953" s="221"/>
      <c r="R953" s="221"/>
      <c r="S953" s="221"/>
      <c r="T953" s="221"/>
      <c r="U953" s="221"/>
      <c r="V953" s="221"/>
      <c r="W953" s="221"/>
      <c r="X953" s="221"/>
      <c r="Y953" s="68"/>
      <c r="Z953" s="68"/>
      <c r="AA953" s="68"/>
    </row>
    <row r="954">
      <c r="A954" s="134"/>
      <c r="B954" s="134"/>
      <c r="C954" s="68"/>
      <c r="D954" s="68"/>
      <c r="E954" s="68"/>
      <c r="F954" s="68"/>
      <c r="G954" s="68"/>
      <c r="H954" s="68"/>
      <c r="I954" s="221"/>
      <c r="J954" s="221"/>
      <c r="K954" s="221"/>
      <c r="L954" s="221"/>
      <c r="M954" s="221"/>
      <c r="N954" s="221"/>
      <c r="O954" s="221"/>
      <c r="P954" s="221"/>
      <c r="Q954" s="221"/>
      <c r="R954" s="221"/>
      <c r="S954" s="221"/>
      <c r="T954" s="221"/>
      <c r="U954" s="221"/>
      <c r="V954" s="221"/>
      <c r="W954" s="221"/>
      <c r="X954" s="221"/>
      <c r="Y954" s="68"/>
      <c r="Z954" s="68"/>
      <c r="AA954" s="68"/>
    </row>
    <row r="955">
      <c r="A955" s="134"/>
      <c r="B955" s="134"/>
      <c r="C955" s="68"/>
      <c r="D955" s="68"/>
      <c r="E955" s="68"/>
      <c r="F955" s="68"/>
      <c r="G955" s="68"/>
      <c r="H955" s="68"/>
      <c r="I955" s="221"/>
      <c r="J955" s="221"/>
      <c r="K955" s="221"/>
      <c r="L955" s="221"/>
      <c r="M955" s="221"/>
      <c r="N955" s="221"/>
      <c r="O955" s="221"/>
      <c r="P955" s="221"/>
      <c r="Q955" s="221"/>
      <c r="R955" s="221"/>
      <c r="S955" s="221"/>
      <c r="T955" s="221"/>
      <c r="U955" s="221"/>
      <c r="V955" s="221"/>
      <c r="W955" s="221"/>
      <c r="X955" s="221"/>
      <c r="Y955" s="68"/>
      <c r="Z955" s="68"/>
      <c r="AA955" s="68"/>
    </row>
    <row r="956">
      <c r="A956" s="134"/>
      <c r="B956" s="134"/>
      <c r="C956" s="68"/>
      <c r="D956" s="68"/>
      <c r="E956" s="68"/>
      <c r="F956" s="68"/>
      <c r="G956" s="68"/>
      <c r="H956" s="68"/>
      <c r="I956" s="221"/>
      <c r="J956" s="221"/>
      <c r="K956" s="221"/>
      <c r="L956" s="221"/>
      <c r="M956" s="221"/>
      <c r="N956" s="221"/>
      <c r="O956" s="221"/>
      <c r="P956" s="221"/>
      <c r="Q956" s="221"/>
      <c r="R956" s="221"/>
      <c r="S956" s="221"/>
      <c r="T956" s="221"/>
      <c r="U956" s="221"/>
      <c r="V956" s="221"/>
      <c r="W956" s="221"/>
      <c r="X956" s="221"/>
      <c r="Y956" s="68"/>
      <c r="Z956" s="68"/>
      <c r="AA956" s="68"/>
    </row>
    <row r="957">
      <c r="A957" s="134"/>
      <c r="B957" s="134"/>
      <c r="C957" s="68"/>
      <c r="D957" s="68"/>
      <c r="E957" s="68"/>
      <c r="F957" s="68"/>
      <c r="G957" s="68"/>
      <c r="H957" s="68"/>
      <c r="I957" s="221"/>
      <c r="J957" s="221"/>
      <c r="K957" s="221"/>
      <c r="L957" s="221"/>
      <c r="M957" s="221"/>
      <c r="N957" s="221"/>
      <c r="O957" s="221"/>
      <c r="P957" s="221"/>
      <c r="Q957" s="221"/>
      <c r="R957" s="221"/>
      <c r="S957" s="221"/>
      <c r="T957" s="221"/>
      <c r="U957" s="221"/>
      <c r="V957" s="221"/>
      <c r="W957" s="221"/>
      <c r="X957" s="221"/>
      <c r="Y957" s="68"/>
      <c r="Z957" s="68"/>
      <c r="AA957" s="68"/>
    </row>
    <row r="958">
      <c r="A958" s="134"/>
      <c r="B958" s="134"/>
      <c r="C958" s="68"/>
      <c r="D958" s="68"/>
      <c r="E958" s="68"/>
      <c r="F958" s="68"/>
      <c r="G958" s="68"/>
      <c r="H958" s="68"/>
      <c r="I958" s="221"/>
      <c r="J958" s="221"/>
      <c r="K958" s="221"/>
      <c r="L958" s="221"/>
      <c r="M958" s="221"/>
      <c r="N958" s="221"/>
      <c r="O958" s="221"/>
      <c r="P958" s="221"/>
      <c r="Q958" s="221"/>
      <c r="R958" s="221"/>
      <c r="S958" s="221"/>
      <c r="T958" s="221"/>
      <c r="U958" s="221"/>
      <c r="V958" s="221"/>
      <c r="W958" s="221"/>
      <c r="X958" s="221"/>
      <c r="Y958" s="68"/>
      <c r="Z958" s="68"/>
      <c r="AA958" s="68"/>
    </row>
    <row r="959">
      <c r="A959" s="134"/>
      <c r="B959" s="134"/>
      <c r="C959" s="68"/>
      <c r="D959" s="68"/>
      <c r="E959" s="68"/>
      <c r="F959" s="68"/>
      <c r="G959" s="68"/>
      <c r="H959" s="68"/>
      <c r="I959" s="221"/>
      <c r="J959" s="221"/>
      <c r="K959" s="221"/>
      <c r="L959" s="221"/>
      <c r="M959" s="221"/>
      <c r="N959" s="221"/>
      <c r="O959" s="221"/>
      <c r="P959" s="221"/>
      <c r="Q959" s="221"/>
      <c r="R959" s="221"/>
      <c r="S959" s="221"/>
      <c r="T959" s="221"/>
      <c r="U959" s="221"/>
      <c r="V959" s="221"/>
      <c r="W959" s="221"/>
      <c r="X959" s="221"/>
      <c r="Y959" s="68"/>
      <c r="Z959" s="68"/>
      <c r="AA959" s="68"/>
    </row>
    <row r="960">
      <c r="A960" s="134"/>
      <c r="B960" s="134"/>
      <c r="C960" s="68"/>
      <c r="D960" s="68"/>
      <c r="E960" s="68"/>
      <c r="F960" s="68"/>
      <c r="G960" s="68"/>
      <c r="H960" s="68"/>
      <c r="I960" s="221"/>
      <c r="J960" s="221"/>
      <c r="K960" s="221"/>
      <c r="L960" s="221"/>
      <c r="M960" s="221"/>
      <c r="N960" s="221"/>
      <c r="O960" s="221"/>
      <c r="P960" s="221"/>
      <c r="Q960" s="221"/>
      <c r="R960" s="221"/>
      <c r="S960" s="221"/>
      <c r="T960" s="221"/>
      <c r="U960" s="221"/>
      <c r="V960" s="221"/>
      <c r="W960" s="221"/>
      <c r="X960" s="221"/>
      <c r="Y960" s="68"/>
      <c r="Z960" s="68"/>
      <c r="AA960" s="68"/>
    </row>
    <row r="961">
      <c r="A961" s="134"/>
      <c r="B961" s="134"/>
      <c r="C961" s="68"/>
      <c r="D961" s="68"/>
      <c r="E961" s="68"/>
      <c r="F961" s="68"/>
      <c r="G961" s="68"/>
      <c r="H961" s="68"/>
      <c r="I961" s="221"/>
      <c r="J961" s="221"/>
      <c r="K961" s="221"/>
      <c r="L961" s="221"/>
      <c r="M961" s="221"/>
      <c r="N961" s="221"/>
      <c r="O961" s="221"/>
      <c r="P961" s="221"/>
      <c r="Q961" s="221"/>
      <c r="R961" s="221"/>
      <c r="S961" s="221"/>
      <c r="T961" s="221"/>
      <c r="U961" s="221"/>
      <c r="V961" s="221"/>
      <c r="W961" s="221"/>
      <c r="X961" s="221"/>
      <c r="Y961" s="68"/>
      <c r="Z961" s="68"/>
      <c r="AA961" s="68"/>
    </row>
    <row r="962">
      <c r="A962" s="134"/>
      <c r="B962" s="134"/>
      <c r="C962" s="68"/>
      <c r="D962" s="68"/>
      <c r="E962" s="68"/>
      <c r="F962" s="68"/>
      <c r="G962" s="68"/>
      <c r="H962" s="68"/>
      <c r="I962" s="221"/>
      <c r="J962" s="221"/>
      <c r="K962" s="221"/>
      <c r="L962" s="221"/>
      <c r="M962" s="221"/>
      <c r="N962" s="221"/>
      <c r="O962" s="221"/>
      <c r="P962" s="221"/>
      <c r="Q962" s="221"/>
      <c r="R962" s="221"/>
      <c r="S962" s="221"/>
      <c r="T962" s="221"/>
      <c r="U962" s="221"/>
      <c r="V962" s="221"/>
      <c r="W962" s="221"/>
      <c r="X962" s="221"/>
      <c r="Y962" s="68"/>
      <c r="Z962" s="68"/>
      <c r="AA962" s="68"/>
    </row>
    <row r="963">
      <c r="A963" s="134"/>
      <c r="B963" s="134"/>
      <c r="C963" s="68"/>
      <c r="D963" s="68"/>
      <c r="E963" s="68"/>
      <c r="F963" s="68"/>
      <c r="G963" s="68"/>
      <c r="H963" s="68"/>
      <c r="I963" s="221"/>
      <c r="J963" s="221"/>
      <c r="K963" s="221"/>
      <c r="L963" s="221"/>
      <c r="M963" s="221"/>
      <c r="N963" s="221"/>
      <c r="O963" s="221"/>
      <c r="P963" s="221"/>
      <c r="Q963" s="221"/>
      <c r="R963" s="221"/>
      <c r="S963" s="221"/>
      <c r="T963" s="221"/>
      <c r="U963" s="221"/>
      <c r="V963" s="221"/>
      <c r="W963" s="221"/>
      <c r="X963" s="221"/>
      <c r="Y963" s="68"/>
      <c r="Z963" s="68"/>
      <c r="AA963" s="68"/>
    </row>
    <row r="964">
      <c r="A964" s="134"/>
      <c r="B964" s="134"/>
      <c r="C964" s="68"/>
      <c r="D964" s="68"/>
      <c r="E964" s="68"/>
      <c r="F964" s="68"/>
      <c r="G964" s="68"/>
      <c r="H964" s="68"/>
      <c r="I964" s="221"/>
      <c r="J964" s="221"/>
      <c r="K964" s="221"/>
      <c r="L964" s="221"/>
      <c r="M964" s="221"/>
      <c r="N964" s="221"/>
      <c r="O964" s="221"/>
      <c r="P964" s="221"/>
      <c r="Q964" s="221"/>
      <c r="R964" s="221"/>
      <c r="S964" s="221"/>
      <c r="T964" s="221"/>
      <c r="U964" s="221"/>
      <c r="V964" s="221"/>
      <c r="W964" s="221"/>
      <c r="X964" s="221"/>
      <c r="Y964" s="68"/>
      <c r="Z964" s="68"/>
      <c r="AA964" s="68"/>
    </row>
    <row r="965">
      <c r="A965" s="134"/>
      <c r="B965" s="134"/>
      <c r="C965" s="68"/>
      <c r="D965" s="68"/>
      <c r="E965" s="68"/>
      <c r="F965" s="68"/>
      <c r="G965" s="68"/>
      <c r="H965" s="68"/>
      <c r="I965" s="221"/>
      <c r="J965" s="221"/>
      <c r="K965" s="221"/>
      <c r="L965" s="221"/>
      <c r="M965" s="221"/>
      <c r="N965" s="221"/>
      <c r="O965" s="221"/>
      <c r="P965" s="221"/>
      <c r="Q965" s="221"/>
      <c r="R965" s="221"/>
      <c r="S965" s="221"/>
      <c r="T965" s="221"/>
      <c r="U965" s="221"/>
      <c r="V965" s="221"/>
      <c r="W965" s="221"/>
      <c r="X965" s="221"/>
      <c r="Y965" s="68"/>
      <c r="Z965" s="68"/>
      <c r="AA965" s="68"/>
    </row>
    <row r="966">
      <c r="A966" s="134"/>
      <c r="B966" s="134"/>
      <c r="C966" s="68"/>
      <c r="D966" s="68"/>
      <c r="E966" s="68"/>
      <c r="F966" s="68"/>
      <c r="G966" s="68"/>
      <c r="H966" s="68"/>
      <c r="I966" s="221"/>
      <c r="J966" s="221"/>
      <c r="K966" s="221"/>
      <c r="L966" s="221"/>
      <c r="M966" s="221"/>
      <c r="N966" s="221"/>
      <c r="O966" s="221"/>
      <c r="P966" s="221"/>
      <c r="Q966" s="221"/>
      <c r="R966" s="221"/>
      <c r="S966" s="221"/>
      <c r="T966" s="221"/>
      <c r="U966" s="221"/>
      <c r="V966" s="221"/>
      <c r="W966" s="221"/>
      <c r="X966" s="221"/>
      <c r="Y966" s="68"/>
      <c r="Z966" s="68"/>
      <c r="AA966" s="68"/>
    </row>
    <row r="967">
      <c r="A967" s="134"/>
      <c r="B967" s="134"/>
      <c r="C967" s="68"/>
      <c r="D967" s="68"/>
      <c r="E967" s="68"/>
      <c r="F967" s="68"/>
      <c r="G967" s="68"/>
      <c r="H967" s="68"/>
      <c r="I967" s="221"/>
      <c r="J967" s="221"/>
      <c r="K967" s="221"/>
      <c r="L967" s="221"/>
      <c r="M967" s="221"/>
      <c r="N967" s="221"/>
      <c r="O967" s="221"/>
      <c r="P967" s="221"/>
      <c r="Q967" s="221"/>
      <c r="R967" s="221"/>
      <c r="S967" s="221"/>
      <c r="T967" s="221"/>
      <c r="U967" s="221"/>
      <c r="V967" s="221"/>
      <c r="W967" s="221"/>
      <c r="X967" s="221"/>
      <c r="Y967" s="68"/>
      <c r="Z967" s="68"/>
      <c r="AA967" s="68"/>
    </row>
    <row r="968">
      <c r="A968" s="134"/>
      <c r="B968" s="134"/>
      <c r="C968" s="68"/>
      <c r="D968" s="68"/>
      <c r="E968" s="68"/>
      <c r="F968" s="68"/>
      <c r="G968" s="68"/>
      <c r="H968" s="68"/>
      <c r="I968" s="221"/>
      <c r="J968" s="221"/>
      <c r="K968" s="221"/>
      <c r="L968" s="221"/>
      <c r="M968" s="221"/>
      <c r="N968" s="221"/>
      <c r="O968" s="221"/>
      <c r="P968" s="221"/>
      <c r="Q968" s="221"/>
      <c r="R968" s="221"/>
      <c r="S968" s="221"/>
      <c r="T968" s="221"/>
      <c r="U968" s="221"/>
      <c r="V968" s="221"/>
      <c r="W968" s="221"/>
      <c r="X968" s="221"/>
      <c r="Y968" s="68"/>
      <c r="Z968" s="68"/>
      <c r="AA968" s="68"/>
    </row>
    <row r="969">
      <c r="A969" s="134"/>
      <c r="B969" s="134"/>
      <c r="C969" s="68"/>
      <c r="D969" s="68"/>
      <c r="E969" s="68"/>
      <c r="F969" s="68"/>
      <c r="G969" s="68"/>
      <c r="H969" s="68"/>
      <c r="I969" s="221"/>
      <c r="J969" s="221"/>
      <c r="K969" s="221"/>
      <c r="L969" s="221"/>
      <c r="M969" s="221"/>
      <c r="N969" s="221"/>
      <c r="O969" s="221"/>
      <c r="P969" s="221"/>
      <c r="Q969" s="221"/>
      <c r="R969" s="221"/>
      <c r="S969" s="221"/>
      <c r="T969" s="221"/>
      <c r="U969" s="221"/>
      <c r="V969" s="221"/>
      <c r="W969" s="221"/>
      <c r="X969" s="221"/>
      <c r="Y969" s="68"/>
      <c r="Z969" s="68"/>
      <c r="AA969" s="68"/>
    </row>
    <row r="970">
      <c r="A970" s="134"/>
      <c r="B970" s="134"/>
      <c r="C970" s="68"/>
      <c r="D970" s="68"/>
      <c r="E970" s="68"/>
      <c r="F970" s="68"/>
      <c r="G970" s="68"/>
      <c r="H970" s="68"/>
      <c r="I970" s="221"/>
      <c r="J970" s="221"/>
      <c r="K970" s="221"/>
      <c r="L970" s="221"/>
      <c r="M970" s="221"/>
      <c r="N970" s="221"/>
      <c r="O970" s="221"/>
      <c r="P970" s="221"/>
      <c r="Q970" s="221"/>
      <c r="R970" s="221"/>
      <c r="S970" s="221"/>
      <c r="T970" s="221"/>
      <c r="U970" s="221"/>
      <c r="V970" s="221"/>
      <c r="W970" s="221"/>
      <c r="X970" s="221"/>
      <c r="Y970" s="68"/>
      <c r="Z970" s="68"/>
      <c r="AA970" s="68"/>
    </row>
    <row r="971">
      <c r="A971" s="134"/>
      <c r="B971" s="134"/>
      <c r="C971" s="68"/>
      <c r="D971" s="68"/>
      <c r="E971" s="68"/>
      <c r="F971" s="68"/>
      <c r="G971" s="68"/>
      <c r="H971" s="68"/>
      <c r="I971" s="221"/>
      <c r="J971" s="221"/>
      <c r="K971" s="221"/>
      <c r="L971" s="221"/>
      <c r="M971" s="221"/>
      <c r="N971" s="221"/>
      <c r="O971" s="221"/>
      <c r="P971" s="221"/>
      <c r="Q971" s="221"/>
      <c r="R971" s="221"/>
      <c r="S971" s="221"/>
      <c r="T971" s="221"/>
      <c r="U971" s="221"/>
      <c r="V971" s="221"/>
      <c r="W971" s="221"/>
      <c r="X971" s="221"/>
      <c r="Y971" s="68"/>
      <c r="Z971" s="68"/>
      <c r="AA971" s="68"/>
    </row>
    <row r="972">
      <c r="A972" s="134"/>
      <c r="B972" s="134"/>
      <c r="C972" s="68"/>
      <c r="D972" s="68"/>
      <c r="E972" s="68"/>
      <c r="F972" s="68"/>
      <c r="G972" s="68"/>
      <c r="H972" s="68"/>
      <c r="I972" s="221"/>
      <c r="J972" s="221"/>
      <c r="K972" s="221"/>
      <c r="L972" s="221"/>
      <c r="M972" s="221"/>
      <c r="N972" s="221"/>
      <c r="O972" s="221"/>
      <c r="P972" s="221"/>
      <c r="Q972" s="221"/>
      <c r="R972" s="221"/>
      <c r="S972" s="221"/>
      <c r="T972" s="221"/>
      <c r="U972" s="221"/>
      <c r="V972" s="221"/>
      <c r="W972" s="221"/>
      <c r="X972" s="221"/>
      <c r="Y972" s="68"/>
      <c r="Z972" s="68"/>
      <c r="AA972" s="68"/>
    </row>
    <row r="973">
      <c r="A973" s="134"/>
      <c r="B973" s="134"/>
      <c r="C973" s="68"/>
      <c r="D973" s="68"/>
      <c r="E973" s="68"/>
      <c r="F973" s="68"/>
      <c r="G973" s="68"/>
      <c r="H973" s="68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68"/>
      <c r="Z973" s="68"/>
      <c r="AA973" s="68"/>
    </row>
    <row r="974">
      <c r="A974" s="134"/>
      <c r="B974" s="134"/>
      <c r="C974" s="68"/>
      <c r="D974" s="68"/>
      <c r="E974" s="68"/>
      <c r="F974" s="68"/>
      <c r="G974" s="68"/>
      <c r="H974" s="68"/>
      <c r="I974" s="221"/>
      <c r="J974" s="221"/>
      <c r="K974" s="221"/>
      <c r="L974" s="221"/>
      <c r="M974" s="221"/>
      <c r="N974" s="221"/>
      <c r="O974" s="221"/>
      <c r="P974" s="221"/>
      <c r="Q974" s="221"/>
      <c r="R974" s="221"/>
      <c r="S974" s="221"/>
      <c r="T974" s="221"/>
      <c r="U974" s="221"/>
      <c r="V974" s="221"/>
      <c r="W974" s="221"/>
      <c r="X974" s="221"/>
      <c r="Y974" s="68"/>
      <c r="Z974" s="68"/>
      <c r="AA974" s="68"/>
    </row>
    <row r="975">
      <c r="A975" s="134"/>
      <c r="B975" s="134"/>
      <c r="C975" s="68"/>
      <c r="D975" s="68"/>
      <c r="E975" s="68"/>
      <c r="F975" s="68"/>
      <c r="G975" s="68"/>
      <c r="H975" s="68"/>
      <c r="I975" s="221"/>
      <c r="J975" s="221"/>
      <c r="K975" s="221"/>
      <c r="L975" s="221"/>
      <c r="M975" s="221"/>
      <c r="N975" s="221"/>
      <c r="O975" s="221"/>
      <c r="P975" s="221"/>
      <c r="Q975" s="221"/>
      <c r="R975" s="221"/>
      <c r="S975" s="221"/>
      <c r="T975" s="221"/>
      <c r="U975" s="221"/>
      <c r="V975" s="221"/>
      <c r="W975" s="221"/>
      <c r="X975" s="221"/>
      <c r="Y975" s="68"/>
      <c r="Z975" s="68"/>
      <c r="AA975" s="68"/>
    </row>
    <row r="976">
      <c r="A976" s="134"/>
      <c r="B976" s="134"/>
      <c r="C976" s="68"/>
      <c r="D976" s="68"/>
      <c r="E976" s="68"/>
      <c r="F976" s="68"/>
      <c r="G976" s="68"/>
      <c r="H976" s="68"/>
      <c r="I976" s="221"/>
      <c r="J976" s="221"/>
      <c r="K976" s="221"/>
      <c r="L976" s="221"/>
      <c r="M976" s="221"/>
      <c r="N976" s="221"/>
      <c r="O976" s="221"/>
      <c r="P976" s="221"/>
      <c r="Q976" s="221"/>
      <c r="R976" s="221"/>
      <c r="S976" s="221"/>
      <c r="T976" s="221"/>
      <c r="U976" s="221"/>
      <c r="V976" s="221"/>
      <c r="W976" s="221"/>
      <c r="X976" s="221"/>
      <c r="Y976" s="68"/>
      <c r="Z976" s="68"/>
      <c r="AA976" s="68"/>
    </row>
    <row r="977">
      <c r="A977" s="134"/>
      <c r="B977" s="134"/>
      <c r="C977" s="68"/>
      <c r="D977" s="68"/>
      <c r="E977" s="68"/>
      <c r="F977" s="68"/>
      <c r="G977" s="68"/>
      <c r="H977" s="68"/>
      <c r="I977" s="221"/>
      <c r="J977" s="221"/>
      <c r="K977" s="221"/>
      <c r="L977" s="221"/>
      <c r="M977" s="221"/>
      <c r="N977" s="221"/>
      <c r="O977" s="221"/>
      <c r="P977" s="221"/>
      <c r="Q977" s="221"/>
      <c r="R977" s="221"/>
      <c r="S977" s="221"/>
      <c r="T977" s="221"/>
      <c r="U977" s="221"/>
      <c r="V977" s="221"/>
      <c r="W977" s="221"/>
      <c r="X977" s="221"/>
      <c r="Y977" s="68"/>
      <c r="Z977" s="68"/>
      <c r="AA977" s="68"/>
    </row>
    <row r="978">
      <c r="A978" s="134"/>
      <c r="B978" s="134"/>
      <c r="C978" s="68"/>
      <c r="D978" s="68"/>
      <c r="E978" s="68"/>
      <c r="F978" s="68"/>
      <c r="G978" s="68"/>
      <c r="H978" s="68"/>
      <c r="I978" s="221"/>
      <c r="J978" s="221"/>
      <c r="K978" s="221"/>
      <c r="L978" s="221"/>
      <c r="M978" s="221"/>
      <c r="N978" s="221"/>
      <c r="O978" s="221"/>
      <c r="P978" s="221"/>
      <c r="Q978" s="221"/>
      <c r="R978" s="221"/>
      <c r="S978" s="221"/>
      <c r="T978" s="221"/>
      <c r="U978" s="221"/>
      <c r="V978" s="221"/>
      <c r="W978" s="221"/>
      <c r="X978" s="221"/>
      <c r="Y978" s="68"/>
      <c r="Z978" s="68"/>
      <c r="AA978" s="68"/>
    </row>
    <row r="979">
      <c r="A979" s="134"/>
      <c r="B979" s="134"/>
      <c r="C979" s="68"/>
      <c r="D979" s="68"/>
      <c r="E979" s="68"/>
      <c r="F979" s="68"/>
      <c r="G979" s="68"/>
      <c r="H979" s="68"/>
      <c r="I979" s="221"/>
      <c r="J979" s="221"/>
      <c r="K979" s="221"/>
      <c r="L979" s="221"/>
      <c r="M979" s="221"/>
      <c r="N979" s="221"/>
      <c r="O979" s="221"/>
      <c r="P979" s="221"/>
      <c r="Q979" s="221"/>
      <c r="R979" s="221"/>
      <c r="S979" s="221"/>
      <c r="T979" s="221"/>
      <c r="U979" s="221"/>
      <c r="V979" s="221"/>
      <c r="W979" s="221"/>
      <c r="X979" s="221"/>
      <c r="Y979" s="68"/>
      <c r="Z979" s="68"/>
      <c r="AA979" s="68"/>
    </row>
    <row r="980">
      <c r="A980" s="134"/>
      <c r="B980" s="134"/>
      <c r="C980" s="68"/>
      <c r="D980" s="68"/>
      <c r="E980" s="68"/>
      <c r="F980" s="68"/>
      <c r="G980" s="68"/>
      <c r="H980" s="68"/>
      <c r="I980" s="221"/>
      <c r="J980" s="221"/>
      <c r="K980" s="221"/>
      <c r="L980" s="221"/>
      <c r="M980" s="221"/>
      <c r="N980" s="221"/>
      <c r="O980" s="221"/>
      <c r="P980" s="221"/>
      <c r="Q980" s="221"/>
      <c r="R980" s="221"/>
      <c r="S980" s="221"/>
      <c r="T980" s="221"/>
      <c r="U980" s="221"/>
      <c r="V980" s="221"/>
      <c r="W980" s="221"/>
      <c r="X980" s="221"/>
      <c r="Y980" s="68"/>
      <c r="Z980" s="68"/>
      <c r="AA980" s="68"/>
    </row>
    <row r="981">
      <c r="A981" s="134"/>
      <c r="B981" s="134"/>
      <c r="C981" s="68"/>
      <c r="D981" s="68"/>
      <c r="E981" s="68"/>
      <c r="F981" s="68"/>
      <c r="G981" s="68"/>
      <c r="H981" s="68"/>
      <c r="I981" s="221"/>
      <c r="J981" s="221"/>
      <c r="K981" s="221"/>
      <c r="L981" s="221"/>
      <c r="M981" s="221"/>
      <c r="N981" s="221"/>
      <c r="O981" s="221"/>
      <c r="P981" s="221"/>
      <c r="Q981" s="221"/>
      <c r="R981" s="221"/>
      <c r="S981" s="221"/>
      <c r="T981" s="221"/>
      <c r="U981" s="221"/>
      <c r="V981" s="221"/>
      <c r="W981" s="221"/>
      <c r="X981" s="221"/>
      <c r="Y981" s="68"/>
      <c r="Z981" s="68"/>
      <c r="AA981" s="68"/>
    </row>
    <row r="982">
      <c r="A982" s="134"/>
      <c r="B982" s="134"/>
      <c r="C982" s="68"/>
      <c r="D982" s="68"/>
      <c r="E982" s="68"/>
      <c r="F982" s="68"/>
      <c r="G982" s="68"/>
      <c r="H982" s="68"/>
      <c r="I982" s="221"/>
      <c r="J982" s="221"/>
      <c r="K982" s="221"/>
      <c r="L982" s="221"/>
      <c r="M982" s="221"/>
      <c r="N982" s="221"/>
      <c r="O982" s="221"/>
      <c r="P982" s="221"/>
      <c r="Q982" s="221"/>
      <c r="R982" s="221"/>
      <c r="S982" s="221"/>
      <c r="T982" s="221"/>
      <c r="U982" s="221"/>
      <c r="V982" s="221"/>
      <c r="W982" s="221"/>
      <c r="X982" s="221"/>
      <c r="Y982" s="68"/>
      <c r="Z982" s="68"/>
      <c r="AA982" s="68"/>
    </row>
  </sheetData>
  <mergeCells count="21">
    <mergeCell ref="A1:C3"/>
    <mergeCell ref="A5:C5"/>
    <mergeCell ref="A6:A7"/>
    <mergeCell ref="B6:B7"/>
    <mergeCell ref="A16:B16"/>
    <mergeCell ref="A17:B17"/>
    <mergeCell ref="A19:C19"/>
    <mergeCell ref="A44:B44"/>
    <mergeCell ref="A45:B45"/>
    <mergeCell ref="A47:C47"/>
    <mergeCell ref="A48:A49"/>
    <mergeCell ref="B48:B49"/>
    <mergeCell ref="A58:B58"/>
    <mergeCell ref="A59:B59"/>
    <mergeCell ref="A20:A21"/>
    <mergeCell ref="B20:B21"/>
    <mergeCell ref="A30:B30"/>
    <mergeCell ref="A31:B31"/>
    <mergeCell ref="A33:C33"/>
    <mergeCell ref="A34:A35"/>
    <mergeCell ref="B34:B35"/>
  </mergeCells>
  <dataValidations>
    <dataValidation type="list" allowBlank="1" showErrorMessage="1" sqref="B8">
      <formula1>"SKYR PILOS BLUEBERRY,Крем за мазане Pilos (Light),Скир - плодов 0% (Лидъл),High Protein Pudding (milbona/милбона),Milbona Skyr natur,Mild Skyr Exquisa,Alpro мляко с протеин,Високо протеиново кисело мляко (Mercadona),High Protein Milk Product Различни плод"&amp;"ови варианти,Извара Олимпус,Извара Жоси,Извара Маджаров,Скир - натурален,Котидж сирене-Лидъл (пълномаслено),Котидж сирене-Лидъл (обезмаслено),Бяло сирене (стандартно/пълномаслено),Сирене Рикота (стандартно/пълномаслено),Кашкавал (стандартен/пълномаслен),Г"&amp;"ауда (стандартна/пълномаслена),Кисело мляко 0%,Кисело мляко 2%,Кисело мляко 3,6%,Kисело мляко Верея 5%,Прясно мляко 2%,Прясно мляко 3,6%,Филаделфия ""Милка"",Пилос страчатела,Милбона йогурт,Сладкарска сметана,Сметанов спрей,Плодов Skyr Пилос ЛИДЛ,Извара Д"&amp;"омлян,Йогурт 10% Пилос,Рикота,Филаделфия,Филаделфия Лайт,Exquisa 0.2%,Прясно мляко 3.2%,Мляко Верея 3.7%,Прясно мляко - Олимпус 1.7%,Прясно мляко Верея 1.7%,Вердаре Кисело Мляко - 4.5%,Кисело мляко Боженци 2%,Кисело мляко Боженци 4%,Прясно мляко 0.1%,Пряс"&amp;"но мляко 1.5%,Кисело мляко ""Сребърна"" 3.6%,Кисело мляко 0.1%,Кисело мляко 3.6%,Прясно Мляко 1%,Прясно мляко 3%,Извара Олимпус,Йогурт 10%,Йогурт 2%,Кремообразна извара - LIDL,Пармезан,Извара Пилос 0.5%,Цедено мляко 2%,Заквасена Сметана 20% мазнини,Козе С"&amp;"ирене,Цедено краве мляко, Olympus,Извара 4.2%,Сметана 12%,Крема сирене - Голдеса (Light),Милбона соево мляко,Пилос крема сирене,Голдеса лайт,Извара Брей,Кашкавалена извара,Маскарпоне,Извара Кондов,Нискомаслен кашкавал Маджаров,Извара ДМ,Гауда,Нискомаслен "&amp;"кашкавал Домлян,Бри сирене,Ементал,Извара Жоси,Извара Маджаров,Извара Мероне,Извара Мероне Безмаслена,Маджаров Бяло Сирене,Сирене Маджаров,Пилос кашкавал,Моцарела лайт,Пилос синьо сирене,Скирела,Халуми,Чедър,Едам,Саламурено сирене,Ементал, Arla,Бурата,Каш"&amp;"кавал ,Леердамер сирене,Limburger 9% (сирене),Моцарела,Бяло сирене,Краве сирене Верея,Скир-плодов Лидл,Извара Пилос(обезмаслена)-Лидл,Скир Ванилия - Kaufland,Крема сирене Goldessa (LIDL),Биволско сирене (Маджаров),Кашкавал - Вършец (Обезмаслен),Краве Сире"&amp;"не - Вършец (Обезмаслено),Моцарела от Скир (Skyrella),Протеинова напитка Данон,Извара”Пилос”-4,3%,Извара - пълномаслена,Рикота Lidl,Сирене, фета (Лидл),Kисело мляко Верея 2.9%,Кашкавалена извара Вършец,Извара (обезмаслена) - домашна,Извара Добрев,Крема си"&amp;"рене-Лидъл (light),Краве саламурено сирене (low fat),Кашкавал (low fat),Ниско калоричен Йогурт (манго),Краве сирене Елена (в кутия),Крема сирене-Филаделгия (3% фат),Краве сирене - Родна стряха (домашно в саламура),Данон ЙоПро - банан и ф.масло,Филаделфия "&amp;"(3% фат),Скир - MILDER SKYR EXQUISA,Рикота Formagia,Feta Chesee,Котидж сирене - (плодово-обезмаслено),Извара (обезмаслена-Тwarog),Кисело мляко 0% (високо протеиново),Сметана Pilos 36%,Скир - плодов ”Данон”,Йогурт - High Protein,Плодов скир - Алди,Скир - н"&amp;"атурален (Алди),Котидж сирене- (Лидъл-обезмаслено),Скир плодов череша - MILDER SKYR EXSQUISA,Меко сирене 0% (Quark),Кварк - плодов “Milbona”,Прясно краве сирене Пилос,Крема сирене Пилос (високо протеиново),Милбона крем извара с Ванилия,Маскарпоне K-Classi"&amp;"c,Кварк ванилия Milbona 0,2% Fat,Мини моцарела Lovilio LIDL,Скир - плодов Kaufland,High Protein (извара с йогурт) - Плодов,Крема сирене Goldessa Classic,Cottage cheese ASDA Longley farm,High Protein Quark Праскова и Маракуя,Pilos-Cream spread,Краве сирене"&amp;" ""Vedrare"",СКИР ЗА ПИЕНЕ -МИЛБОНА праскова,YoPro Proteina Bannana Peanut Butter,Моцарела настъргана ASDA,Pilos greek yogurt strawberry,пилос-paprika u pavlici -spicy,Pilos - Yogurt - Strawberry / Николина,Danone YoPro боровинка,Polski Jogurt Mlekovita я"&amp;"года,Alpro Barista Almond,Настърган кашкавал Витоша,Milbona кварк ягода,Кварк - натурален,Извара Кондов (козе мляко),Извара Китан,Скир плодов Лидл Pilos,Извара Родна стряха,Катък,HIGH Protein Vanilla Milbona Лидл,Катък ""Маджаров"",Полумаслено сирене Мадж"&amp;"аров,Извара Сърница (суроватъчна),МОЦАРЕЛА ЛАЙТ Лидл,YoPro Proteina milkshake chocolate,Danone плодов скир,Кокосово мляко ALPRO*,Alpro Vanilla пудинг,Котидж ""Landfrisch"",Pilos мляко с ориз канела,Pilos мляко с ориз шоколад,Pilos Yogurt плодов всички вку"&amp;"сове,Кефир - Лидъл (Натурален),Котидж сирене Филаделфия,Кварк праскова Milbona 0,2% Fat,Скир Danone натурален,Low-fat quark 0.2 Milbona,Извара Био Козе Хармоника,Скир Exquisa Натурален,Млечна салата ""Денито"",Сметана за готвене без лактоза (Meggle),Milbo"&amp;"na High Protein Quark (Малина),Извара Ведраре,Извара Био Хармоника Овче,Топено сирене чийзбургер,Danone YoPRO,Кашкавал краве Ралица,Топено сирене с чедър,Топено сирене със сметана Hochland,Кашкавал Ферия краве,Пудинг “Exquisa”,Кварк Milbona (натурален),Кр"&amp;"аве Сирене Pilos,Скир - MILDER SKYR EXQUISA  VANILLE,Кашкавал краве Ралица,Топено сирене  Milbona,Скир за пиене Milbona LIDL,HIGH Protein pudding Vanilla LIDL,Котидж сирене(обезмаслено) Sainsbury's,KVARG LINDAHLS white chocolate,Кашкавал Ферия краве,Топен"&amp;"о сирене със сметана Hochland,Сметана 22 % - Milbona,Scamorza Lovilio (Lidl),Скирела ЛИДЛ,Пудинг Шоколад милбона протеин,Сирене high protein,Кисело мляко-magermilch,Natural Cottage Cheese Sainsbury'""s,Brooklea PROTEIN soft cheese,Alpro Chocolate coconut,"&amp;"High Protein fat free raspberry,Активия натурална 0.5%,Протеиново мляко шоколад ALPRO,Мляко с ориз-Лидъл,Скир - MILDER SKYR EXQUISA  VANILLE,Eridanous - крем за мазане фета и сушени домати,Eridanous - крем за мазане фета и чушки,Graham's Protein Peach Qua"&amp;"rk,Graham's Protein raspberry  Quark,Pudding High Protein LIDL,Протеинова млечна напитка ном,Alpro Соев с Ягоди,Кварк Exquisa Боровинка,Сирене краве Ферия милк,Топено сирене Milbona,Сирене Котидж Милбона,Mild Skyr Exquisa,Крема сирене Pilos Cream Spread L"&amp;"ight,Извара 1% Родна стряха,Бадемово Мляко Ванилия,Протеинов Кварк Милбона,Кашкавал Домлян обезмаслен,Alpro мляко с протеин,Нискомаслено краве сирене 15%,Прясно сирене,Фитнес - Кварк Mein Protein (сурово състояние),Arla Lactofree,Моцарела лайт Zott,Староп"&amp;"ланински гюбек (Родна стряха),Кефир Pilos,Bircher Muesli Yogurt,Bircher Muesli Yogurt,Гауда / Gouda - Pilos,Coconut &amp; Rice Drink -  Vemondo,Skyr Exquisa с Череши Billa,Пълномаслено кисело мляко Чифлик Ливади,Филаделфия lightest,Higt protein moyyarella,Hig"&amp;"t protein mozarella-ALDI,Cream Spread - with herbs - Pilos,Йогурт Олимпус 2%,Котидж Сирене Philadelphia,High Protein Skyr Raspberry  Milbona,Cottage Cheese Philadelphia,Кашкавал (Димитър Маджаров),Високо протеинов пудинг Milbona ванилия - Lidl,YoPRO Кокос"&amp;",Cottage Classic Olympus,Йогурт нискомаслен 2% Олимпус,Сирене Котидж - Олимпус класик,Exquisa Крема Сирене 0.2% мазнини,Exquisa Quark-Jorgurt Creme 10% Protein Праскова-Маракуя,Краве сирене Ситово лайт,YoPro Danone 25g Proteina,Кашкавал Родопска сълзица,П"&amp;"ротеинов йогурт с банан, манго, ленено семе и зърнени култури,Скир Exquisa Натурален без Лактоза,Бурата Gioiella,Йогурт Олимпус Праскова 0%Fat,Super Spoon Банан Манго Лен,Кашкавал Домлян БДС,Сирене Краве Нискомаслено Light Добрев,Кашкавал Витоша Нискомасл"&amp;"ен Добрев,Крема сирене PHILADELPHIA Light,Топени сиренца PRESIDENT Light,Кварк Exquisa Fitline Печени Бадеми,Кварк Exquisa Fitline Ябълка с Канела,Кварк Exquisa Fitline Праскова и Маракуя,Сирене Exquisa Котидж без Лактоза,Пудинг Exquisa Протеинов Шоколад,"&amp;"Скир-натурален MinusL - без лактоза,Филаделфия - без лактоза,Сирене GAZI - без лактоза,Сметана за кафе MinusL - без лактоза,Протеинова напитка ванилия -""Edeka""-Gut &amp; Günstig,HIGH PROTEIN Caramel pudding Ehrmann,Нискомасшена извара Albe (Al Campo),Котидж"&amp;" Сирене 4% Arla (Mercadona),Нискомасшена извара Albe (Al Campo),Кисело мляко 3.6% БДС - Бор Чвор,Кашкавал eatlean без лактоза, висок протеин,High Protein pudding Exquisa Шоколад,High Protein pudding Exquisa Ванилия,High Protein Chocolate Flavour Pudding,П"&amp;"рясно Мляко пълномаслено Масларски,High protein vanille Drink (Lidl),Ali &amp; Fines herbes,Топено сирене Smoret,Овче сирене LACRIMA,Извара Ситово,Киндер,Кисело мляко Ведраре, овче, 6,5%,Quarkcreme Chokolate Chios MinusL без лактоза,Скир Arla Low Fat,Плодово "&amp;"кисело мляко,Quark Creme Natut MinusL - без лактоза,Скир Arla Low Fat Strawberry,Йогурт Олимпус пълномаслен,Arla Protein Blueberry Yogurt,Arla Skyr Strawberry Yogurt,High Protein Milk Product Различни плодови варианти,Скир с мед  MILSANI,Скир ягода кауфла"&amp;"нд,Скир Bourbon Vanille Kaуфланд,Quark creme Natur HIGH Protein Kaufland,Пудинг ванилия HIGH Protein Кауфланд,Котидж сирене Exquisa,Кашкавал Кенана,Кварк Exquisa Fitline Боровинка,Körniger Frischkäse - без лактоза,EHRMANN ПРОТЕИНОВ ПУДИНГ,Мляко с повишено"&amp;" съдържание на протеин Meggle,Протеинов йогурт Kri Kri Super spoon,Извара (нискомаслена) ""JA!"",Папрука у павлаци,Кокосово мляко Alpro Barista,Обезмаслена извара БИО ""REWE"",Моцарела ""Arla"",Саламурено сирене (натрошено) с повишено водно съдържание LID"&amp;"L,Kварк Zero 0%  кокос Exquisa (без захар),Натрошено Сирене Родопско чудо,Протеинов пудинг карамел (Mercadona),YoPro Боровинка,Плодово протеиново кисело мляко (Mercadona),Morbier/Морбие сирене,краве сирене - LACRIMA,Philadelphia/Филаделфия protein"</formula1>
    </dataValidation>
    <dataValidation type="list" allowBlank="1" showErrorMessage="1" sqref="B22 B36">
      <formula1>"Багета на пещ с лук - Кауфланд,Живена - Високопротеинов хляб с жива закваска,Хляб Вита - всички видове,Макарони (сурово състояние),Спагети (сурово състояние),Кус кус (сурово състояние),Лаваш,Протеинов хляб,Точени кори ''Фамилия'',Пълнозърнеста паста,Точен"&amp;"и кори BELLA,Царевична тортила,Оризови кори,Хрупкави хлебчета от ориз и царевица,Брашно от овес,Макарони (сварени),Арабска питка 40г,Арабска питка 62г,Бургер питки,Домашна юфка,Пресован Пълнозърнест хляб - Jean Pierre,Хляб ""Живена"" - тиква и слънчоглед,"&amp;"Паста Divella,Макарони (пълнозърнести - варени),Хляб “Грахам”,Гевреци,Пълнозърнест хляб Симид,Оризови спагети (сурови),Нудли Maggi,Паста Barilla Bucatini 9,Спагети Pmc,Хляб “Бонус”-Омега3,Арабска питка,Паста от пълнозърнест грис (сурова),Ръжен хляб,Нисков"&amp;"ъглехидратен протеинов хляб ""Вита"",Хляб “Живена” - орехи,Канелони Italiamo,Хляб “Зрънко”,Ръжен хляб-“Симид”,Хляб “Вита-Фитнес”,Бриош (шоколадов),Хляб от ""Лимец"",Бял хляб (стандартен),Тракийски хляб - пълнозърнест,Грахатено хлебче,Нудели говеждо на МАГ"&amp;"И,Оризови кори (Rice Paper) Amaizin organic,Хляб Hovis wholemeal,Лаваш Спанак и спирулина,Пълнозърнести тарали,Лаваш (Sar's Food),ХЛЯБ ПЪЛНОЗЪРНЕСТ с ТИКВЕНИ СЕМКИ,Лаваш Dina imagine,Шопски геврек - Медената Питка,Фиде (без яйца),Сухари с пълнозърнесто бр"&amp;"ашно и сусам Lidl,Паста Combino (High Protein) от Lidl (сурово състояние),Гръцка пита,Тортила,Козуначени рулца,Пълнозърнест Хляб,Хляб Вита с 6 зърна,Тортила Poco Loco,Козунак,Кори за лазаня ITALIAMO - LIDL сурови,Паста Combino (Сурово състояние),Хляб ""Жи"&amp;"вена"" - 100 % лимец,Wholemeal wraps ASDA (арабска питка),Fusilli grune erbsen *,Хляб ""Езекил"",Пълнозърнест хляб Tastino - Lidl,Хляб Вита - Фитнес - Нисковъглехидратен,Бриож (ванилов),Протеинов хляб Mestemacher,Оризови кори - ""Грам за килограм"",Фусили"&amp;" от грах  YOU,Хляб Живена- слънчоглед и чиа,Типов хляб,KRISPROLLS wholegrain complets,Хляб Вита- орехи и ленено семе,Хляб Вита- лен, коноп,ов. ядки,Хляб Елиаз 100% Лимец,Крекери Savours ASDA,Хляб с моркови,Точени кори - Турски,Пълнозърнести сухари,Тесто з"&amp;"а пица ЛИДЛ,Хляб 102 зърна Елиаз,Хляб Сладко вдъхновение,Хляб с Квас - Грахам,Пълнозърнест хляб със слънчогледови семки,Пълнозърнест хляб Vital+,Пица домашна Carlito,Ръчно точени кори Хармония,Пълнозърнест с тиквено семе Симид,Хляб пълнозърнест тостер Pan"&amp;"Carre,Протеинов хляб BIO /DM/,Glass Noodles Vitasia, Lidl,Нудли с яйца, Vitasia Lidl,МИО 103 Зърна Хляб,Roll-Ups Лаваш Lidl,Кори за лазаня Италиано Лидл,Brioche rolls Jean Pierre,Хляб “Бонус-6 зърна”,Хляб”Симид”-ръжен-Clean Label,Хляб Живена (Тиква и Слън"&amp;"чоглед),Пица Делочоза 4 сирена Лидъл,Хляб микс плюс 5 брашна,Високопротеинов хляб- “Живена”,Паста (варена със сол),Паста penne glutenfrei kaufland - от царевица,Папарделе с яйца - лидъл (сорово състояние),Пълнозърнеста тортила,Хляб със семена (Кауфланд, Л"&amp;"идл, ФФ),Спагети (Варени),Хляб Добруджа,Хляб ръжен - König Ludwig,Ръжен хляб ""König Ludwig"",Пшенични сухари Elite Classic,BIO Toasties LIDL,Тортила LIDL пълнозърнеста,Хрупкав хляб от лимец LIDL,Хрупкав хляб Südtiroler,Селска франзела LIDL,Хляб за сандви"&amp;"ч от лимец Лидл,Галета,Хляб от елда с орехи,Tastino - Хрупкав ръжен хляб - Lidl,Солети Хрус Хрус,Тортила Лидл (листа),БИО хляб (пълнозърнест) Лидл,Пшеничен хляб с царевичен премикс,Тортила с протеин SINNACK,Паста от нахут Барила,ПРОТЕИНОВ ХЛЯБ ТОСТ ЕЛИАЗ,"&amp;"Паста от леща Vanavita,Високо протеинова пица - Spicy Jackfruit ""Lidl"",Високо протеинова пица - Lentil Curry ""Lidl"",Хляб със семена,Fitnessbrot - пълнозърнест хляб с ръж, овес и пшенични кълнове,Хляб ВИТА Класик,Протеинова паста Kramas,Арменски тънък "&amp;"хляб (DINA) - Лаваш пълнозърнест,Sinnak wraps - такос"</formula1>
    </dataValidation>
    <dataValidation type="list" allowBlank="1" showErrorMessage="1" sqref="B38">
      <formula1>"Бадеми (сурови),Бразилски орехи (сурови),Кашу (сурово),Лешници (сурови),Фъстъци (сурови),Шам фъстък (печен),Орехи (сурови),Бадеми (филирани),Микс от семена-тиквено, слънчогледово, ленено, сусамово /сурово сустояние(Лидъл),Кестени (варени),Печена соя,Лешни"&amp;"ци натрошени печени Lidl,Филирани бадеми Кауфланд,Пекан,Бадеми (печени, със сол),Кашу (печено, със сол),Тиквени семки - сурови - Роис,Печени фъстъци Detelina´s,Кайсиеви ядки (сурови),Семена MIX- Farmer´S Snack,ядки Детелина премиум макадамия сурова"</formula1>
    </dataValidation>
    <dataValidation type="list" allowBlank="1" showErrorMessage="1" sqref="B10">
      <formula1>"Багета на пещ с лук - Кауфланд,Живена - Високопротеинов хляб с жива закваска,Хляб Вита - всички видове,Макарони (сурово състояние),Спагети (сурово състояние),Кус кус (сурово състояние),Лаваш,Протеинов хляб,Точени кори ''Фамилия'',Пълнозърнеста паста,Точен"&amp;"и кори BELLA,Царевична тортила,Оризови кори,Хрупкави хлебчета от ориз и царевица,Брашно от овес,Макарони (сварени),Арабска питка 40г,Арабска питка 62г,Бургер питки,Домашна юфка,Пресован Пълнозърнест хляб - Jean Pierre,Хляб ""Живена"" - тиква и слънчоглед,"&amp;"Паста Divella,Макарони (пълнозърнести - варени),Хляб “Грахам”,Гевреци,Пълнозърнест хляб Симид,Оризови спагети (сурови),Нудли Maggi,Паста Barilla Bucatini 9,Спагети Pmc,Хляб “Бонус”-Омега3,Арабска питка,Паста от пълнозърнест грис (сурова),Ръжен хляб,Нисков"&amp;"ъглехидратен протеинов хляб ""Вита"",Хляб “Живена” - орехи,Канелони Italiamo,Хляб “Зрънко”,Ръжен хляб-“Симид”,Хляб “Вита-Фитнес”,Бриош (шоколадов),Хляб от ""Лимец"",Бял хляб (стандартен),Тракийски хляб - пълнозърнест,Грахатено хлебче,Нудели говеждо на МАГ"&amp;"И,Оризови кори (Rice Paper) Amaizin organic,Хляб Hovis wholemeal,Лаваш Спанак и спирулина,Пълнозърнести тарали,Лаваш (Sar's Food),ХЛЯБ ПЪЛНОЗЪРНЕСТ с ТИКВЕНИ СЕМКИ,Лаваш Dina imagine,Шопски геврек - Медената Питка,Фиде (без яйца),Сухари с пълнозърнесто бр"&amp;"ашно и сусам Lidl,Паста Combino (High Protein) от Lidl (сурово състояние),Гръцка пита,Тортила,Козуначени рулца,Пълнозърнест Хляб,Хляб Вита с 6 зърна,Тортила Poco Loco,Козунак,Кори за лазаня ITALIAMO - LIDL сурови,Паста Combino (Сурово състояние),Хляб ""Жи"&amp;"вена"" - 100 % лимец,Wholemeal wraps ASDA (арабска питка),Fusilli grune erbsen *,Хляб ""Езекил"",Пълнозърнест хляб Tastino - Lidl,Хляб Вита - Фитнес - Нисковъглехидратен,Бриож (ванилов),Протеинов хляб Mestemacher,Оризови кори - ""Грам за килограм"",Фусили"&amp;" от грах  YOU,Хляб Живена- слънчоглед и чиа,Типов хляб,KRISPROLLS wholegrain complets,Хляб Вита- орехи и ленено семе,Хляб Вита- лен, коноп,ов. ядки,Хляб Елиаз 100% Лимец,Крекери Savours ASDA,Хляб с моркови,Точени кори - Турски,Пълнозърнести сухари,Тесто з"&amp;"а пица ЛИДЛ,Хляб 102 зърна Елиаз,Хляб Сладко вдъхновение,Хляб с Квас - Грахам,Пълнозърнест хляб със слънчогледови семки,Пълнозърнест хляб Vital+,Пица домашна Carlito,Ръчно точени кори Хармония,Пълнозърнест с тиквено семе Симид,Хляб пълнозърнест тостер Pan"&amp;"Carre,Протеинов хляб BIO /DM/,Glass Noodles Vitasia, Lidl,Нудли с яйца, Vitasia Lidl,МИО 103 Зърна Хляб,Roll-Ups Лаваш Lidl,Кори за лазаня Италиано Лидл,Brioche rolls Jean Pierre,Хляб “Бонус-6 зърна”,Хляб”Симид”-ръжен-Clean Label,Хляб Живена (Тиква и Слън"&amp;"чоглед),Пица Делочоза 4 сирена Лидъл,Хляб микс плюс 5 брашна,Високопротеинов хляб- “Живена”,Паста (варена със сол),Паста penne glutenfrei kaufland - от царевица,Папарделе с яйца - лидъл (сорово състояние),Пълнозърнеста тортила,Хляб със семена (Кауфланд, Л"&amp;"идл, ФФ),Спагети (Варени),Хляб Добруджа,Хляб ръжен - König Ludwig,Ръжен хляб ""König Ludwig"",Пшенични сухари Elite Classic,BIO Toasties LIDL,Тортила LIDL пълнозърнеста,Хрупкав хляб от лимец LIDL,Хрупкав хляб Südtiroler,Селска франзела LIDL,Хляб за сандви"&amp;"ч от лимец Лидл,Галета,Хляб от елда с орехи,Tastino - Хрупкав ръжен хляб - Lidl,Солети Хрус Хрус,Тортила Лидл (листа),БИО хляб (пълнозърнест) Лидл,Пшеничен хляб с царевичен премикс,Тортила с протеин SINNACK,Паста от нахут Барила,ПРОТЕИНОВ ХЛЯБ ТОСТ ЕЛИАЗ,"&amp;"Паста от леща Vanavita,Високо протеинова пица - Spicy Jackfruit ""Lidl"",Високо протеинова пица - Lentil Curry ""Lidl"",Хляб със семена,Fitnessbrot - пълнозърнест хляб с ръж, овес и пшенични кълнове,Хляб ВИТА Класик,Протеинова паста Kramas,Арменски тънък "&amp;"хляб (DINA) - Лаваш пълнозърнест,Sinnak wraps - такос,Арабска питка Metro Chef,SINNACK ТОРТИЛА С ПРОТЕИН,Пшенична тортила - GRANDISSIMA"</formula1>
    </dataValidation>
    <dataValidation type="list" allowBlank="1" showErrorMessage="1" sqref="B23 B37">
      <formula1>"Пилешки гърди (сурово състояние),Пилешки гърди/бонфиле (сготвено състояние),Пилешка пържола от бут без кожа (сурово състояние),Пилешка пържола от бут с кожа (сурово състояние),Пилешки сърца (сурово състояние),Пилешки крилца (сурово състояние),Пуешки гърди"&amp;" (сурово състояние),Пуешка пържола от бутче (сурово състояние),Свинска вратна пържола (сурово състояние),Свински котлет без кост (сурово състояние),Свински котлет с кост (суров),Свинско бонфиле (сурово състояние),Телешки шол (сурово състояние),Телешка пле"&amp;"шка (сурово състояние),Телешка пържола на скара,Филе Елена (Лидл),Телешко дърпано (11 meats),Пилешки бут без кост (11 meats),Свинско дърпано (11 meats),Бекон (сурово състояние),Телешко месо (готвено),Пуешко месо (11meats),Пилешка шунка (""Dulano""-Lildl),"&amp;"Телешко кюфте (печено),Печено пилешко кюфте ”Меркез”,Телешка кайма (домашна) ,Пилешка пържола от бут без кожа (на скара),Свинско бонфиле (на тиган, скара),Пуешко филе (на тиган, скара),Пилешки гърди (варени),Деликатесна шунка (варена, Дулано),Телешко филе"&amp;" (сурово),Свински врат Чех,Агнешки бут (печен),Телешка кайма 5% мазнини (сурова),Свинска кайма 5% мазнини (сурова),Конско месо (печено/варено),Кайма - Black angus от мраморно говеждо месо (MEAT REVOLUTION) - Lild,Пилешко бутче с кожа (печено),Пуешка кайма"&amp;" 7% мазнини (сурова),Адана кебаб (суров),Агнешко месо (печено/варено),Свински наденици ( 50% мазнини),Black angus бургер (сурово състояние) Лидл,Шницели от охладено свинско месо - Lidl (суров),Пуешка кайма 2%,Варена шунка (Pikok - Lidl),Блек ангъс брекфас"&amp;"т сосиджис (Black angus breakfast sausages) Vivenda,Свински наденици (45% мазнини) Алди,Пилешка пушена шунка ""Фирма - Браво"",Пуешко филе КФМ,Телешка пастърма слайс от ""АБА ЕООД"",Шунка Виенска Премиум КФМ,Луканка Маджаров (черен етикет),Кюфтета от свин"&amp;"ско и говеждо месо със сос с гъби - LIDL,Свинско контрафиле (сурово),Прошуто Кото,Пастет Апетит / Николина,Пушено свинско филе ""Тандем"",Телешки бургер (сурово състояние),Пилешко филе - шишче (сготвено),Кайма Абердин Ангус (сурова)  - Tesco finest,Кренви"&amp;"рши Лидл варено пушени,Телешко Buon Pascolo (в консерва),Ловджийски наденички охладени Лидл,Пилешки дробчета (сготвено състояние),Свински джолан (сурово състояние),Печени патешки гърди Дулано Лидл,Пуешки бут (варен),Пуешки гърди (варени),Свинки бут (варен"&amp;"),Свинско контра филе (печено),Шунка Браво (свинска),Кюфтета свински на скара,Кюфтета От младо телешко Лидл,Заек (сурово състояние),Свински котлет с кост (на скара),Хамон Лидл,Пастърма от пилешки гърди Woods Foods,Пуешко филе БРАВО (варено-пушено),Пастърм"&amp;"а Говежда Еко Мес,Прошуто Кото Дулано (Lidl),Шварцвалдска шунка, суровопушена (Lidl),Шунка Тандем Класик,Свинска вратна пържола (печена),Панагюрска луканка маджаров,Телешки Дроб (суров),Свински бут варено-пушен Baroni,Прошуто Крудо - Fratelli Beretta,Кюфт"&amp;"ета от свинско месо (lidl),Пуешко месо от бутче Pikok (Буркан),Македонска наденица,Шунка свинска - Кен,Охлюви сурови,Пършута слайс сурово сушен свински бут,Кайма Народен (пакетче),Пуешко филе Pikok 87% месо (варено-пушено),Телешка кайма от младо теле - Ли"&amp;"дл,Печена пилешка пържола “Меркез”,Пилешко Бутче - Варено Пушено - Pikok Lidl,Beef Jerky (сготвено състояние),Мариновано пуешко филе (сурово състояние),Пуешко филе в марината (сурово състояние),Адана Кебап на Шиш - Lidl,Шунка Маджаров (варено-пушена),Паст"&amp;"ет от биволско месо (WOODS FOODS),Пилешки дробчета (сурови),Пуешки кренвирши (мини, Меско),Пуешка шунка Тандем,Пуешки гърди, осолени, варени, печени, нарязани (Dulano),Шунка Бут - Слайс - Тандем,Шунка от свински бут - Пикок / Pikok,Шунка, варено-пушена, н"&amp;"арязана Dulano,Немска грил наденица - Alpen Fest - Lidl,Карначе (сурово),Бекон LIDL (сурово състояние),Млечно телешко смляно месо - Вивенда,Бургер от младо телешко (сурово състояние),Пилешко Бутче без кожа, задушено (сготвено състояние),Пилешко Бутче без "&amp;"кожа (печено),Деликатесно свинско филе Дулано,Телешко бон филе (сурово състояние),Свинска Шунка Baroni - Lidl,Пуешко филе ОРЕХИТЕ - варено-пушено,Свински бут (печен),Шунка от свинско месо, варено-пушена Пикок / Pikok,Филе Елена,Горнооряховски суджук ""Сте"&amp;"фанов"",Глиган - готвен, печен,Телешко HEREFORD (консерва),Телешки шол (сготвено състояние),Кайма от телешки шол (сготвено състояние),Сурово сушено свинско контрафиле Dulano,Пилешко роле - Меско,Пилешко месо в желе (Dulno),Сушено филе ""Родна стряха"",Пуе"&amp;"шки дроб (сурово състояние),BEEF JERKY TERIYAKI,Свински Врат (стек), суров,Детски пуешки кремвирши Лидл,Пилешко бутче с кост( долната част ) сурово състояние,Джолан - Свински желиран ЕКО МЕС (за директна консумация),Свинска Плешка (печена),Пилешки салам G"&amp;"utfried,Пуешки шницел (суров),Мексико микс - ЛИДЛ,Агнешки бут (сурово състояние),Агнешки врат (сурово състояние),Прясно пилешко филе (Лидл - сурово състояние),Пуешко филе ""IFANTIS"",Пилешки Гирос (замразен),Beef Jerky ""Shell"",Шунка Шпортлер ""Lidl"" (с"&amp;"урово състояние),Свинско сърце (сурово състояние),Свински бут (сурово състояние),Брезаола (сурово състояние),Конска Пастърма УНИТЕМП,Пуешка шунка (Mercadona),Охл. Конско кюфте - Харманли,Свинско Дърпано EL Tequito(Lidl),Пилешки филета от гърди по тихуанск"&amp;"и(Lidl)"</formula1>
    </dataValidation>
    <dataValidation type="list" allowBlank="1" sqref="A8:A15 A22:A29 A36:A43 A50:A57">
      <formula1>Foods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 outlineLevelRow="1"/>
  <cols>
    <col customWidth="1" min="1" max="2" width="25.13"/>
    <col customWidth="1" min="3" max="3" width="13.25"/>
    <col customWidth="1" min="10" max="10" width="11.5"/>
    <col customWidth="1" min="11" max="11" width="8.88"/>
    <col customWidth="1" min="12" max="12" width="7.75"/>
    <col customWidth="1" min="13" max="13" width="6.5"/>
    <col customWidth="1" min="14" max="14" width="6.13"/>
    <col customWidth="1" min="15" max="15" width="6.75"/>
  </cols>
  <sheetData>
    <row r="1">
      <c r="A1" s="298" t="s">
        <v>123</v>
      </c>
      <c r="C1" s="178"/>
      <c r="D1" s="217" t="s">
        <v>19</v>
      </c>
      <c r="E1" s="218" t="s">
        <v>20</v>
      </c>
      <c r="F1" s="218" t="s">
        <v>21</v>
      </c>
      <c r="G1" s="219" t="s">
        <v>22</v>
      </c>
      <c r="H1" s="220" t="s">
        <v>7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</row>
    <row r="2">
      <c r="A2" s="222"/>
      <c r="C2" s="178"/>
      <c r="D2" s="223">
        <f>vlookup(D$5,'Макроси'!$H$7:$M$9,2,False)</f>
        <v>180</v>
      </c>
      <c r="E2" s="224">
        <f>vlookup(E$5,'Макроси'!$H$7:$M$9,2,False)</f>
        <v>210</v>
      </c>
      <c r="F2" s="224">
        <f>vlookup(F$5,'Макроси'!$H$7:$M$9,2,False)</f>
        <v>50</v>
      </c>
      <c r="G2" s="224"/>
      <c r="H2" s="225">
        <f>IF(ISERROR(ROUNDUP((D2+E2)*4+F2*9,0)),"",ROUNDUP((D2+E2)*4+F2*9,0))</f>
        <v>2010</v>
      </c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</row>
    <row r="3">
      <c r="A3" s="226"/>
      <c r="B3" s="105"/>
      <c r="C3" s="227"/>
      <c r="D3" s="228">
        <f t="shared" ref="D3:G3" si="1">D7+D21+D35+D49</f>
        <v>0</v>
      </c>
      <c r="E3" s="229">
        <f t="shared" si="1"/>
        <v>0</v>
      </c>
      <c r="F3" s="229">
        <f t="shared" si="1"/>
        <v>0</v>
      </c>
      <c r="G3" s="229">
        <f t="shared" si="1"/>
        <v>0</v>
      </c>
      <c r="H3" s="230">
        <f>SUM(H7+H21+H35+H49)</f>
        <v>0</v>
      </c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</row>
    <row r="4" ht="9.75" customHeight="1">
      <c r="A4" s="68"/>
      <c r="B4" s="68"/>
      <c r="C4" s="68"/>
      <c r="D4" s="78"/>
      <c r="E4" s="78"/>
      <c r="F4" s="78"/>
      <c r="G4" s="78"/>
      <c r="H4" s="7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</row>
    <row r="5">
      <c r="A5" s="302" t="s">
        <v>55</v>
      </c>
      <c r="B5" s="105"/>
      <c r="C5" s="227"/>
      <c r="D5" s="217" t="s">
        <v>19</v>
      </c>
      <c r="E5" s="218" t="s">
        <v>20</v>
      </c>
      <c r="F5" s="218" t="s">
        <v>21</v>
      </c>
      <c r="G5" s="219" t="s">
        <v>22</v>
      </c>
      <c r="H5" s="220" t="s">
        <v>7</v>
      </c>
      <c r="I5" s="60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</row>
    <row r="6">
      <c r="A6" s="303" t="s">
        <v>0</v>
      </c>
      <c r="B6" s="304" t="s">
        <v>17</v>
      </c>
      <c r="C6" s="238" t="s">
        <v>124</v>
      </c>
      <c r="D6" s="329">
        <f>vlookup(D$5,'Макроси'!$H$7:$M$9,3,False)</f>
        <v>35</v>
      </c>
      <c r="E6" s="330">
        <f>vlookup(E$5,'Макроси'!$H$7:$M$9,3,False)</f>
        <v>20</v>
      </c>
      <c r="F6" s="330">
        <f>vlookup(F$5,'Макроси'!$H$7:$M$9,3,False)</f>
        <v>5</v>
      </c>
      <c r="G6" s="330"/>
      <c r="H6" s="331">
        <f>IF(ISERROR(ROUNDUP((D6+E6)*4+F6*9,0)),"",ROUNDUP((D6+E6)*4+F6*9,0))</f>
        <v>265</v>
      </c>
      <c r="I6" s="60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</row>
    <row r="7">
      <c r="A7" s="105"/>
      <c r="B7" s="242"/>
      <c r="C7" s="243" t="s">
        <v>125</v>
      </c>
      <c r="D7" s="337">
        <f t="shared" ref="D7:H7" si="2">SUM(D8:D17)</f>
        <v>0</v>
      </c>
      <c r="E7" s="338">
        <f t="shared" si="2"/>
        <v>0</v>
      </c>
      <c r="F7" s="338">
        <f t="shared" si="2"/>
        <v>0</v>
      </c>
      <c r="G7" s="338">
        <f t="shared" si="2"/>
        <v>0</v>
      </c>
      <c r="H7" s="335">
        <f t="shared" si="2"/>
        <v>0</v>
      </c>
      <c r="I7" s="60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</row>
    <row r="8" outlineLevel="1">
      <c r="A8" s="339"/>
      <c r="B8" s="339"/>
      <c r="C8" s="340"/>
      <c r="D8" s="64" t="str">
        <f>IF(ISNA(($C8/100)*VLOOKUP($B8,DB,3,FALSE)),"",($C8/100)*VLOOKUP($B8,DB,3,FALSE))</f>
        <v/>
      </c>
      <c r="E8" s="64" t="str">
        <f>IF(ISNA(($C8/100)*VLOOKUP($B8,DB,4,FALSE)),"",($C8/100)*VLOOKUP($B8,DB,4,FALSE))</f>
        <v/>
      </c>
      <c r="F8" s="64" t="str">
        <f>IF(ISNA(($C8/100)*VLOOKUP($B8,DB,5,FALSE)),"",($C8/100)*VLOOKUP($B8,DB,5,FALSE))</f>
        <v/>
      </c>
      <c r="G8" s="64" t="str">
        <f>IF(ISNA(($C8/100)*VLOOKUP($B8,DB,6,FALSE)),"",($C8/100)*VLOOKUP($B8,DB,6,FALSE))</f>
        <v/>
      </c>
      <c r="H8" s="341">
        <f t="shared" ref="H8:H17" si="3">IF(ISERROR(ROUNDUP((D8+E8)*4+F8*9,0)),"",ROUNDUP((D8+E8)*4+F8*9,0))</f>
        <v>0</v>
      </c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</row>
    <row r="9" outlineLevel="1">
      <c r="A9" s="339"/>
      <c r="B9" s="339"/>
      <c r="C9" s="340"/>
      <c r="D9" s="64" t="str">
        <f>IF(ISNA(($C9/100)*VLOOKUP($B9,DB,3,FALSE)),"",($C9/100)*VLOOKUP($B9,DB,3,FALSE))</f>
        <v/>
      </c>
      <c r="E9" s="64" t="str">
        <f>IF(ISNA(($C9/100)*VLOOKUP($B9,DB,4,FALSE)),"",($C9/100)*VLOOKUP($B9,DB,4,FALSE))</f>
        <v/>
      </c>
      <c r="F9" s="64" t="str">
        <f>IF(ISNA(($C9/100)*VLOOKUP($B9,DB,5,FALSE)),"",($C9/100)*VLOOKUP($B9,DB,5,FALSE))</f>
        <v/>
      </c>
      <c r="G9" s="64" t="str">
        <f>IF(ISNA(($C9/100)*VLOOKUP($B9,DB,6,FALSE)),"",($C9/100)*VLOOKUP($B9,DB,6,FALSE))</f>
        <v/>
      </c>
      <c r="H9" s="341">
        <f t="shared" si="3"/>
        <v>0</v>
      </c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</row>
    <row r="10" outlineLevel="1">
      <c r="A10" s="339"/>
      <c r="B10" s="339"/>
      <c r="C10" s="340"/>
      <c r="D10" s="64" t="str">
        <f>IF(ISNA(($C10/100)*VLOOKUP($B10,DB,3,FALSE)),"",($C10/100)*VLOOKUP($B10,DB,3,FALSE))</f>
        <v/>
      </c>
      <c r="E10" s="64" t="str">
        <f>IF(ISNA(($C10/100)*VLOOKUP($B10,DB,4,FALSE)),"",($C10/100)*VLOOKUP($B10,DB,4,FALSE))</f>
        <v/>
      </c>
      <c r="F10" s="64" t="str">
        <f>IF(ISNA(($C10/100)*VLOOKUP($B10,DB,5,FALSE)),"",($C10/100)*VLOOKUP($B10,DB,5,FALSE))</f>
        <v/>
      </c>
      <c r="G10" s="64" t="str">
        <f>IF(ISNA(($C10/100)*VLOOKUP($B10,DB,6,FALSE)),"",($C10/100)*VLOOKUP($B10,DB,6,FALSE))</f>
        <v/>
      </c>
      <c r="H10" s="341">
        <f t="shared" si="3"/>
        <v>0</v>
      </c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</row>
    <row r="11" outlineLevel="1">
      <c r="A11" s="339"/>
      <c r="B11" s="339"/>
      <c r="C11" s="340"/>
      <c r="D11" s="64" t="str">
        <f>IF(ISNA(($C11/100)*VLOOKUP($B11,DB,3,FALSE)),"",($C11/100)*VLOOKUP($B11,DB,3,FALSE))</f>
        <v/>
      </c>
      <c r="E11" s="64" t="str">
        <f>IF(ISNA(($C11/100)*VLOOKUP($B11,DB,4,FALSE)),"",($C11/100)*VLOOKUP($B11,DB,4,FALSE))</f>
        <v/>
      </c>
      <c r="F11" s="64" t="str">
        <f>IF(ISNA(($C11/100)*VLOOKUP($B11,DB,5,FALSE)),"",($C11/100)*VLOOKUP($B11,DB,5,FALSE))</f>
        <v/>
      </c>
      <c r="G11" s="64" t="str">
        <f>IF(ISNA(($C11/100)*VLOOKUP($B11,DB,6,FALSE)),"",($C11/100)*VLOOKUP($B11,DB,6,FALSE))</f>
        <v/>
      </c>
      <c r="H11" s="341">
        <f t="shared" si="3"/>
        <v>0</v>
      </c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</row>
    <row r="12" outlineLevel="1">
      <c r="A12" s="339"/>
      <c r="B12" s="339"/>
      <c r="C12" s="340"/>
      <c r="D12" s="64" t="str">
        <f>IF(ISNA(($C12/100)*VLOOKUP($B12,DB,3,FALSE)),"",($C12/100)*VLOOKUP($B12,DB,3,FALSE))</f>
        <v/>
      </c>
      <c r="E12" s="64" t="str">
        <f>IF(ISNA(($C12/100)*VLOOKUP($B12,DB,4,FALSE)),"",($C12/100)*VLOOKUP($B12,DB,4,FALSE))</f>
        <v/>
      </c>
      <c r="F12" s="64" t="str">
        <f>IF(ISNA(($C12/100)*VLOOKUP($B12,DB,5,FALSE)),"",($C12/100)*VLOOKUP($B12,DB,5,FALSE))</f>
        <v/>
      </c>
      <c r="G12" s="64" t="str">
        <f>IF(ISNA(($C12/100)*VLOOKUP($B12,DB,6,FALSE)),"",($C12/100)*VLOOKUP($B12,DB,6,FALSE))</f>
        <v/>
      </c>
      <c r="H12" s="341">
        <f t="shared" si="3"/>
        <v>0</v>
      </c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</row>
    <row r="13" outlineLevel="1">
      <c r="A13" s="339"/>
      <c r="B13" s="339"/>
      <c r="C13" s="340"/>
      <c r="D13" s="64" t="str">
        <f>IF(ISNA(($C13/100)*VLOOKUP($B13,DB,3,FALSE)),"",($C13/100)*VLOOKUP($B13,DB,3,FALSE))</f>
        <v/>
      </c>
      <c r="E13" s="64" t="str">
        <f>IF(ISNA(($C13/100)*VLOOKUP($B13,DB,4,FALSE)),"",($C13/100)*VLOOKUP($B13,DB,4,FALSE))</f>
        <v/>
      </c>
      <c r="F13" s="64" t="str">
        <f>IF(ISNA(($C13/100)*VLOOKUP($B13,DB,5,FALSE)),"",($C13/100)*VLOOKUP($B13,DB,5,FALSE))</f>
        <v/>
      </c>
      <c r="G13" s="64" t="str">
        <f>IF(ISNA(($C13/100)*VLOOKUP($B13,DB,6,FALSE)),"",($C13/100)*VLOOKUP($B13,DB,6,FALSE))</f>
        <v/>
      </c>
      <c r="H13" s="341">
        <f t="shared" si="3"/>
        <v>0</v>
      </c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</row>
    <row r="14" outlineLevel="1">
      <c r="A14" s="339"/>
      <c r="B14" s="339"/>
      <c r="C14" s="340"/>
      <c r="D14" s="64" t="str">
        <f>IF(ISNA(($C14/100)*VLOOKUP($B14,DB,3,FALSE)),"",($C14/100)*VLOOKUP($B14,DB,3,FALSE))</f>
        <v/>
      </c>
      <c r="E14" s="64" t="str">
        <f>IF(ISNA(($C14/100)*VLOOKUP($B14,DB,4,FALSE)),"",($C14/100)*VLOOKUP($B14,DB,4,FALSE))</f>
        <v/>
      </c>
      <c r="F14" s="64" t="str">
        <f>IF(ISNA(($C14/100)*VLOOKUP($B14,DB,5,FALSE)),"",($C14/100)*VLOOKUP($B14,DB,5,FALSE))</f>
        <v/>
      </c>
      <c r="G14" s="64" t="str">
        <f>IF(ISNA(($C14/100)*VLOOKUP($B14,DB,6,FALSE)),"",($C14/100)*VLOOKUP($B14,DB,6,FALSE))</f>
        <v/>
      </c>
      <c r="H14" s="341">
        <f t="shared" si="3"/>
        <v>0</v>
      </c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</row>
    <row r="15" outlineLevel="1">
      <c r="A15" s="342"/>
      <c r="B15" s="342"/>
      <c r="C15" s="343"/>
      <c r="D15" s="64" t="str">
        <f>IF(ISNA(($C15/100)*VLOOKUP($B15,DB,3,FALSE)),"",($C15/100)*VLOOKUP($B15,DB,3,FALSE))</f>
        <v/>
      </c>
      <c r="E15" s="64" t="str">
        <f>IF(ISNA(($C15/100)*VLOOKUP($B15,DB,4,FALSE)),"",($C15/100)*VLOOKUP($B15,DB,4,FALSE))</f>
        <v/>
      </c>
      <c r="F15" s="64" t="str">
        <f>IF(ISNA(($C15/100)*VLOOKUP($B15,DB,5,FALSE)),"",($C15/100)*VLOOKUP($B15,DB,5,FALSE))</f>
        <v/>
      </c>
      <c r="G15" s="64" t="str">
        <f>IF(ISNA(($C15/100)*VLOOKUP($B15,DB,6,FALSE)),"",($C15/100)*VLOOKUP($B15,DB,6,FALSE))</f>
        <v/>
      </c>
      <c r="H15" s="344">
        <f t="shared" si="3"/>
        <v>0</v>
      </c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</row>
    <row r="16" outlineLevel="1">
      <c r="A16" s="311" t="s">
        <v>130</v>
      </c>
      <c r="B16" s="255"/>
      <c r="C16" s="256"/>
      <c r="D16" s="272"/>
      <c r="E16" s="272"/>
      <c r="F16" s="272"/>
      <c r="G16" s="272"/>
      <c r="H16" s="312">
        <f t="shared" si="3"/>
        <v>0</v>
      </c>
      <c r="I16" s="60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</row>
    <row r="17" outlineLevel="1">
      <c r="A17" s="313" t="s">
        <v>130</v>
      </c>
      <c r="B17" s="260"/>
      <c r="C17" s="89"/>
      <c r="D17" s="261"/>
      <c r="E17" s="261"/>
      <c r="F17" s="261"/>
      <c r="G17" s="261"/>
      <c r="H17" s="314">
        <f t="shared" si="3"/>
        <v>0</v>
      </c>
      <c r="I17" s="60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</row>
    <row r="18">
      <c r="A18" s="315"/>
      <c r="B18" s="316"/>
      <c r="C18" s="317"/>
      <c r="D18" s="318"/>
      <c r="E18" s="318"/>
      <c r="F18" s="318"/>
      <c r="G18" s="319"/>
      <c r="H18" s="268">
        <f>(D18+E18)*4+F18*9</f>
        <v>0</v>
      </c>
      <c r="I18" s="60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</row>
    <row r="19">
      <c r="A19" s="302" t="s">
        <v>56</v>
      </c>
      <c r="B19" s="105"/>
      <c r="C19" s="227"/>
      <c r="D19" s="217" t="s">
        <v>19</v>
      </c>
      <c r="E19" s="218" t="s">
        <v>20</v>
      </c>
      <c r="F19" s="218" t="s">
        <v>21</v>
      </c>
      <c r="G19" s="219" t="s">
        <v>22</v>
      </c>
      <c r="H19" s="220" t="s">
        <v>7</v>
      </c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</row>
    <row r="20">
      <c r="A20" s="303" t="s">
        <v>0</v>
      </c>
      <c r="B20" s="304" t="s">
        <v>17</v>
      </c>
      <c r="C20" s="238" t="s">
        <v>124</v>
      </c>
      <c r="D20" s="239">
        <f>vlookup(D$5,'Макроси'!$H$7:$M$9,4,False)</f>
        <v>35</v>
      </c>
      <c r="E20" s="240">
        <f>vlookup(E$5,'Макроси'!$H$7:$M$9,4,False)</f>
        <v>20</v>
      </c>
      <c r="F20" s="240">
        <f>vlookup(F$5,'Макроси'!$H$7:$M$9,4,False)</f>
        <v>5</v>
      </c>
      <c r="G20" s="270"/>
      <c r="H20" s="241">
        <f>IF(ISERROR(ROUNDUP((D20+E20)*4+F20*9,0)),"",ROUNDUP((D20+E20)*4+F20*9,0))</f>
        <v>265</v>
      </c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</row>
    <row r="21">
      <c r="A21" s="105"/>
      <c r="B21" s="242"/>
      <c r="C21" s="243" t="s">
        <v>125</v>
      </c>
      <c r="D21" s="337">
        <f t="shared" ref="D21:H21" si="4">SUM(D22:D31)</f>
        <v>0</v>
      </c>
      <c r="E21" s="338">
        <f t="shared" si="4"/>
        <v>0</v>
      </c>
      <c r="F21" s="338">
        <f t="shared" si="4"/>
        <v>0</v>
      </c>
      <c r="G21" s="338">
        <f t="shared" si="4"/>
        <v>0</v>
      </c>
      <c r="H21" s="335">
        <f t="shared" si="4"/>
        <v>0</v>
      </c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</row>
    <row r="22" outlineLevel="1">
      <c r="A22" s="339"/>
      <c r="B22" s="339"/>
      <c r="C22" s="340"/>
      <c r="D22" s="64" t="str">
        <f>IF(ISNA(($C22/100)*VLOOKUP($B22,DB,3,FALSE)),"",($C22/100)*VLOOKUP($B22,DB,3,FALSE))</f>
        <v/>
      </c>
      <c r="E22" s="64" t="str">
        <f>IF(ISNA(($C22/100)*VLOOKUP($B22,DB,4,FALSE)),"",($C22/100)*VLOOKUP($B22,DB,4,FALSE))</f>
        <v/>
      </c>
      <c r="F22" s="64" t="str">
        <f>IF(ISNA(($C22/100)*VLOOKUP($B22,DB,5,FALSE)),"",($C22/100)*VLOOKUP($B22,DB,5,FALSE))</f>
        <v/>
      </c>
      <c r="G22" s="64" t="str">
        <f>IF(ISNA(($C22/100)*VLOOKUP($B22,DB,6,FALSE)),"",($C22/100)*VLOOKUP($B22,DB,6,FALSE))</f>
        <v/>
      </c>
      <c r="H22" s="341">
        <f t="shared" ref="H22:H31" si="5">IF(ISERROR(ROUNDUP((D22+E22)*4+F22*9,0)),"",ROUNDUP((D22+E22)*4+F22*9,0))</f>
        <v>0</v>
      </c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</row>
    <row r="23" outlineLevel="1">
      <c r="A23" s="339"/>
      <c r="B23" s="339"/>
      <c r="C23" s="340"/>
      <c r="D23" s="64" t="str">
        <f>IF(ISNA(($C23/100)*VLOOKUP($B23,DB,3,FALSE)),"",($C23/100)*VLOOKUP($B23,DB,3,FALSE))</f>
        <v/>
      </c>
      <c r="E23" s="64" t="str">
        <f>IF(ISNA(($C23/100)*VLOOKUP($B23,DB,4,FALSE)),"",($C23/100)*VLOOKUP($B23,DB,4,FALSE))</f>
        <v/>
      </c>
      <c r="F23" s="64" t="str">
        <f>IF(ISNA(($C23/100)*VLOOKUP($B23,DB,5,FALSE)),"",($C23/100)*VLOOKUP($B23,DB,5,FALSE))</f>
        <v/>
      </c>
      <c r="G23" s="64" t="str">
        <f>IF(ISNA(($C23/100)*VLOOKUP($B23,DB,6,FALSE)),"",($C23/100)*VLOOKUP($B23,DB,6,FALSE))</f>
        <v/>
      </c>
      <c r="H23" s="341">
        <f t="shared" si="5"/>
        <v>0</v>
      </c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</row>
    <row r="24" outlineLevel="1">
      <c r="A24" s="339"/>
      <c r="B24" s="339"/>
      <c r="C24" s="340"/>
      <c r="D24" s="64" t="str">
        <f>IF(ISNA(($C24/100)*VLOOKUP($B24,DB,3,FALSE)),"",($C24/100)*VLOOKUP($B24,DB,3,FALSE))</f>
        <v/>
      </c>
      <c r="E24" s="64" t="str">
        <f>IF(ISNA(($C24/100)*VLOOKUP($B24,DB,4,FALSE)),"",($C24/100)*VLOOKUP($B24,DB,4,FALSE))</f>
        <v/>
      </c>
      <c r="F24" s="64" t="str">
        <f>IF(ISNA(($C24/100)*VLOOKUP($B24,DB,5,FALSE)),"",($C24/100)*VLOOKUP($B24,DB,5,FALSE))</f>
        <v/>
      </c>
      <c r="G24" s="64" t="str">
        <f>IF(ISNA(($C24/100)*VLOOKUP($B24,DB,6,FALSE)),"",($C24/100)*VLOOKUP($B24,DB,6,FALSE))</f>
        <v/>
      </c>
      <c r="H24" s="341">
        <f t="shared" si="5"/>
        <v>0</v>
      </c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</row>
    <row r="25" outlineLevel="1">
      <c r="A25" s="339"/>
      <c r="B25" s="339"/>
      <c r="C25" s="340"/>
      <c r="D25" s="64" t="str">
        <f>IF(ISNA(($C25/100)*VLOOKUP($B25,DB,3,FALSE)),"",($C25/100)*VLOOKUP($B25,DB,3,FALSE))</f>
        <v/>
      </c>
      <c r="E25" s="64" t="str">
        <f>IF(ISNA(($C25/100)*VLOOKUP($B25,DB,4,FALSE)),"",($C25/100)*VLOOKUP($B25,DB,4,FALSE))</f>
        <v/>
      </c>
      <c r="F25" s="64" t="str">
        <f>IF(ISNA(($C25/100)*VLOOKUP($B25,DB,5,FALSE)),"",($C25/100)*VLOOKUP($B25,DB,5,FALSE))</f>
        <v/>
      </c>
      <c r="G25" s="64" t="str">
        <f>IF(ISNA(($C25/100)*VLOOKUP($B25,DB,6,FALSE)),"",($C25/100)*VLOOKUP($B25,DB,6,FALSE))</f>
        <v/>
      </c>
      <c r="H25" s="341">
        <f t="shared" si="5"/>
        <v>0</v>
      </c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</row>
    <row r="26" outlineLevel="1">
      <c r="A26" s="339"/>
      <c r="B26" s="339"/>
      <c r="C26" s="340"/>
      <c r="D26" s="64" t="str">
        <f>IF(ISNA(($C26/100)*VLOOKUP($B26,DB,3,FALSE)),"",($C26/100)*VLOOKUP($B26,DB,3,FALSE))</f>
        <v/>
      </c>
      <c r="E26" s="64" t="str">
        <f>IF(ISNA(($C26/100)*VLOOKUP($B26,DB,4,FALSE)),"",($C26/100)*VLOOKUP($B26,DB,4,FALSE))</f>
        <v/>
      </c>
      <c r="F26" s="64" t="str">
        <f>IF(ISNA(($C26/100)*VLOOKUP($B26,DB,5,FALSE)),"",($C26/100)*VLOOKUP($B26,DB,5,FALSE))</f>
        <v/>
      </c>
      <c r="G26" s="64" t="str">
        <f>IF(ISNA(($C26/100)*VLOOKUP($B26,DB,6,FALSE)),"",($C26/100)*VLOOKUP($B26,DB,6,FALSE))</f>
        <v/>
      </c>
      <c r="H26" s="341">
        <f t="shared" si="5"/>
        <v>0</v>
      </c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</row>
    <row r="27" outlineLevel="1">
      <c r="A27" s="339"/>
      <c r="B27" s="339"/>
      <c r="C27" s="340"/>
      <c r="D27" s="64" t="str">
        <f>IF(ISNA(($C27/100)*VLOOKUP($B27,DB,3,FALSE)),"",($C27/100)*VLOOKUP($B27,DB,3,FALSE))</f>
        <v/>
      </c>
      <c r="E27" s="64" t="str">
        <f>IF(ISNA(($C27/100)*VLOOKUP($B27,DB,4,FALSE)),"",($C27/100)*VLOOKUP($B27,DB,4,FALSE))</f>
        <v/>
      </c>
      <c r="F27" s="64" t="str">
        <f>IF(ISNA(($C27/100)*VLOOKUP($B27,DB,5,FALSE)),"",($C27/100)*VLOOKUP($B27,DB,5,FALSE))</f>
        <v/>
      </c>
      <c r="G27" s="64" t="str">
        <f>IF(ISNA(($C27/100)*VLOOKUP($B27,DB,6,FALSE)),"",($C27/100)*VLOOKUP($B27,DB,6,FALSE))</f>
        <v/>
      </c>
      <c r="H27" s="341">
        <f t="shared" si="5"/>
        <v>0</v>
      </c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</row>
    <row r="28" outlineLevel="1">
      <c r="A28" s="339"/>
      <c r="B28" s="339"/>
      <c r="C28" s="340"/>
      <c r="D28" s="64" t="str">
        <f>IF(ISNA(($C28/100)*VLOOKUP($B28,DB,3,FALSE)),"",($C28/100)*VLOOKUP($B28,DB,3,FALSE))</f>
        <v/>
      </c>
      <c r="E28" s="64" t="str">
        <f>IF(ISNA(($C28/100)*VLOOKUP($B28,DB,4,FALSE)),"",($C28/100)*VLOOKUP($B28,DB,4,FALSE))</f>
        <v/>
      </c>
      <c r="F28" s="64" t="str">
        <f>IF(ISNA(($C28/100)*VLOOKUP($B28,DB,5,FALSE)),"",($C28/100)*VLOOKUP($B28,DB,5,FALSE))</f>
        <v/>
      </c>
      <c r="G28" s="64" t="str">
        <f>IF(ISNA(($C28/100)*VLOOKUP($B28,DB,6,FALSE)),"",($C28/100)*VLOOKUP($B28,DB,6,FALSE))</f>
        <v/>
      </c>
      <c r="H28" s="341">
        <f t="shared" si="5"/>
        <v>0</v>
      </c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</row>
    <row r="29" outlineLevel="1">
      <c r="A29" s="342"/>
      <c r="B29" s="345"/>
      <c r="C29" s="346"/>
      <c r="D29" s="347" t="str">
        <f>IF(ISNA(($C29/100)*VLOOKUP($B29,DB,3,FALSE)),"",($C29/100)*VLOOKUP($B29,DB,3,FALSE))</f>
        <v/>
      </c>
      <c r="E29" s="347" t="str">
        <f>IF(ISNA(($C29/100)*VLOOKUP($B29,DB,4,FALSE)),"",($C29/100)*VLOOKUP($B29,DB,4,FALSE))</f>
        <v/>
      </c>
      <c r="F29" s="347" t="str">
        <f>IF(ISNA(($C29/100)*VLOOKUP($B29,DB,5,FALSE)),"",($C29/100)*VLOOKUP($B29,DB,5,FALSE))</f>
        <v/>
      </c>
      <c r="G29" s="347" t="str">
        <f>IF(ISNA(($C29/100)*VLOOKUP($B29,DB,6,FALSE)),"",($C29/100)*VLOOKUP($B29,DB,6,FALSE))</f>
        <v/>
      </c>
      <c r="H29" s="348">
        <f t="shared" si="5"/>
        <v>0</v>
      </c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</row>
    <row r="30">
      <c r="A30" s="311" t="s">
        <v>130</v>
      </c>
      <c r="B30" s="255"/>
      <c r="C30" s="256"/>
      <c r="D30" s="272"/>
      <c r="E30" s="272"/>
      <c r="F30" s="272"/>
      <c r="G30" s="272"/>
      <c r="H30" s="312">
        <f t="shared" si="5"/>
        <v>0</v>
      </c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</row>
    <row r="31">
      <c r="A31" s="313" t="s">
        <v>130</v>
      </c>
      <c r="B31" s="260"/>
      <c r="C31" s="89"/>
      <c r="D31" s="261"/>
      <c r="E31" s="261"/>
      <c r="F31" s="261"/>
      <c r="G31" s="261"/>
      <c r="H31" s="314">
        <f t="shared" si="5"/>
        <v>0</v>
      </c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</row>
    <row r="32">
      <c r="A32" s="315"/>
      <c r="B32" s="316"/>
      <c r="C32" s="317"/>
      <c r="D32" s="318"/>
      <c r="E32" s="318"/>
      <c r="F32" s="318"/>
      <c r="G32" s="319"/>
      <c r="H32" s="268">
        <f>(D32+E32)*4+F32*9</f>
        <v>0</v>
      </c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</row>
    <row r="33">
      <c r="A33" s="302" t="s">
        <v>57</v>
      </c>
      <c r="B33" s="105"/>
      <c r="C33" s="227"/>
      <c r="D33" s="217" t="s">
        <v>19</v>
      </c>
      <c r="E33" s="218" t="s">
        <v>20</v>
      </c>
      <c r="F33" s="218" t="s">
        <v>21</v>
      </c>
      <c r="G33" s="219" t="s">
        <v>22</v>
      </c>
      <c r="H33" s="220" t="s">
        <v>7</v>
      </c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</row>
    <row r="34">
      <c r="A34" s="303" t="s">
        <v>0</v>
      </c>
      <c r="B34" s="304" t="s">
        <v>17</v>
      </c>
      <c r="C34" s="238" t="s">
        <v>124</v>
      </c>
      <c r="D34" s="239">
        <f>vlookup(D$5,'Макроси'!$H$7:$M$9,5,False)</f>
        <v>55</v>
      </c>
      <c r="E34" s="240">
        <f>vlookup(E$5,'Макроси'!$H$7:$M$9,5,False)</f>
        <v>40</v>
      </c>
      <c r="F34" s="240">
        <f>vlookup(F$5,'Макроси'!$H$7:$M$9,5,False)</f>
        <v>10</v>
      </c>
      <c r="G34" s="270"/>
      <c r="H34" s="241">
        <f>IF(ISERROR(ROUNDUP((D34+E34)*4+F34*9,0)),"",ROUNDUP((D34+E34)*4+F34*9,0))</f>
        <v>470</v>
      </c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</row>
    <row r="35">
      <c r="A35" s="105"/>
      <c r="B35" s="242"/>
      <c r="C35" s="243" t="s">
        <v>125</v>
      </c>
      <c r="D35" s="337">
        <f t="shared" ref="D35:H35" si="6">SUM(D36:D45)</f>
        <v>0</v>
      </c>
      <c r="E35" s="338">
        <f t="shared" si="6"/>
        <v>0</v>
      </c>
      <c r="F35" s="338">
        <f t="shared" si="6"/>
        <v>0</v>
      </c>
      <c r="G35" s="338">
        <f t="shared" si="6"/>
        <v>0</v>
      </c>
      <c r="H35" s="335">
        <f t="shared" si="6"/>
        <v>0</v>
      </c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</row>
    <row r="36" outlineLevel="1">
      <c r="A36" s="339"/>
      <c r="B36" s="339"/>
      <c r="C36" s="340"/>
      <c r="D36" s="64" t="str">
        <f>IF(ISNA(($C36/100)*VLOOKUP($B36,DB,3,FALSE)),"",($C36/100)*VLOOKUP($B36,DB,3,FALSE))</f>
        <v/>
      </c>
      <c r="E36" s="64" t="str">
        <f>IF(ISNA(($C36/100)*VLOOKUP($B36,DB,4,FALSE)),"",($C36/100)*VLOOKUP($B36,DB,4,FALSE))</f>
        <v/>
      </c>
      <c r="F36" s="64" t="str">
        <f>IF(ISNA(($C36/100)*VLOOKUP($B36,DB,5,FALSE)),"",($C36/100)*VLOOKUP($B36,DB,5,FALSE))</f>
        <v/>
      </c>
      <c r="G36" s="64" t="str">
        <f>IF(ISNA(($C36/100)*VLOOKUP($B36,DB,6,FALSE)),"",($C36/100)*VLOOKUP($B36,DB,6,FALSE))</f>
        <v/>
      </c>
      <c r="H36" s="341">
        <f t="shared" ref="H36:H45" si="7">IF(ISERROR(ROUNDUP((D36+E36)*4+F36*9,0)),"",ROUNDUP((D36+E36)*4+F36*9,0))</f>
        <v>0</v>
      </c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</row>
    <row r="37" outlineLevel="1">
      <c r="A37" s="339"/>
      <c r="B37" s="339"/>
      <c r="C37" s="340"/>
      <c r="D37" s="64" t="str">
        <f>IF(ISNA(($C37/100)*VLOOKUP($B37,DB,3,FALSE)),"",($C37/100)*VLOOKUP($B37,DB,3,FALSE))</f>
        <v/>
      </c>
      <c r="E37" s="64" t="str">
        <f>IF(ISNA(($C37/100)*VLOOKUP($B37,DB,4,FALSE)),"",($C37/100)*VLOOKUP($B37,DB,4,FALSE))</f>
        <v/>
      </c>
      <c r="F37" s="64" t="str">
        <f>IF(ISNA(($C37/100)*VLOOKUP($B37,DB,5,FALSE)),"",($C37/100)*VLOOKUP($B37,DB,5,FALSE))</f>
        <v/>
      </c>
      <c r="G37" s="64" t="str">
        <f>IF(ISNA(($C37/100)*VLOOKUP($B37,DB,6,FALSE)),"",($C37/100)*VLOOKUP($B37,DB,6,FALSE))</f>
        <v/>
      </c>
      <c r="H37" s="341">
        <f t="shared" si="7"/>
        <v>0</v>
      </c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</row>
    <row r="38" outlineLevel="1">
      <c r="A38" s="339"/>
      <c r="B38" s="339"/>
      <c r="C38" s="340"/>
      <c r="D38" s="64" t="str">
        <f>IF(ISNA(($C38/100)*VLOOKUP($B38,DB,3,FALSE)),"",($C38/100)*VLOOKUP($B38,DB,3,FALSE))</f>
        <v/>
      </c>
      <c r="E38" s="64" t="str">
        <f>IF(ISNA(($C38/100)*VLOOKUP($B38,DB,4,FALSE)),"",($C38/100)*VLOOKUP($B38,DB,4,FALSE))</f>
        <v/>
      </c>
      <c r="F38" s="64" t="str">
        <f>IF(ISNA(($C38/100)*VLOOKUP($B38,DB,5,FALSE)),"",($C38/100)*VLOOKUP($B38,DB,5,FALSE))</f>
        <v/>
      </c>
      <c r="G38" s="64" t="str">
        <f>IF(ISNA(($C38/100)*VLOOKUP($B38,DB,6,FALSE)),"",($C38/100)*VLOOKUP($B38,DB,6,FALSE))</f>
        <v/>
      </c>
      <c r="H38" s="341">
        <f t="shared" si="7"/>
        <v>0</v>
      </c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</row>
    <row r="39" outlineLevel="1">
      <c r="A39" s="339"/>
      <c r="B39" s="339"/>
      <c r="C39" s="340"/>
      <c r="D39" s="64" t="str">
        <f>IF(ISNA(($C39/100)*VLOOKUP($B39,DB,3,FALSE)),"",($C39/100)*VLOOKUP($B39,DB,3,FALSE))</f>
        <v/>
      </c>
      <c r="E39" s="64" t="str">
        <f>IF(ISNA(($C39/100)*VLOOKUP($B39,DB,4,FALSE)),"",($C39/100)*VLOOKUP($B39,DB,4,FALSE))</f>
        <v/>
      </c>
      <c r="F39" s="64" t="str">
        <f>IF(ISNA(($C39/100)*VLOOKUP($B39,DB,5,FALSE)),"",($C39/100)*VLOOKUP($B39,DB,5,FALSE))</f>
        <v/>
      </c>
      <c r="G39" s="64" t="str">
        <f>IF(ISNA(($C39/100)*VLOOKUP($B39,DB,6,FALSE)),"",($C39/100)*VLOOKUP($B39,DB,6,FALSE))</f>
        <v/>
      </c>
      <c r="H39" s="341">
        <f t="shared" si="7"/>
        <v>0</v>
      </c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</row>
    <row r="40" outlineLevel="1">
      <c r="A40" s="339"/>
      <c r="B40" s="339"/>
      <c r="C40" s="340"/>
      <c r="D40" s="64" t="str">
        <f>IF(ISNA(($C40/100)*VLOOKUP($B40,DB,3,FALSE)),"",($C40/100)*VLOOKUP($B40,DB,3,FALSE))</f>
        <v/>
      </c>
      <c r="E40" s="64" t="str">
        <f>IF(ISNA(($C40/100)*VLOOKUP($B40,DB,4,FALSE)),"",($C40/100)*VLOOKUP($B40,DB,4,FALSE))</f>
        <v/>
      </c>
      <c r="F40" s="64" t="str">
        <f>IF(ISNA(($C40/100)*VLOOKUP($B40,DB,5,FALSE)),"",($C40/100)*VLOOKUP($B40,DB,5,FALSE))</f>
        <v/>
      </c>
      <c r="G40" s="64" t="str">
        <f>IF(ISNA(($C40/100)*VLOOKUP($B40,DB,6,FALSE)),"",($C40/100)*VLOOKUP($B40,DB,6,FALSE))</f>
        <v/>
      </c>
      <c r="H40" s="341">
        <f t="shared" si="7"/>
        <v>0</v>
      </c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</row>
    <row r="41" outlineLevel="1">
      <c r="A41" s="339"/>
      <c r="B41" s="339"/>
      <c r="C41" s="340"/>
      <c r="D41" s="64" t="str">
        <f>IF(ISNA(($C41/100)*VLOOKUP($B41,DB,3,FALSE)),"",($C41/100)*VLOOKUP($B41,DB,3,FALSE))</f>
        <v/>
      </c>
      <c r="E41" s="64" t="str">
        <f>IF(ISNA(($C41/100)*VLOOKUP($B41,DB,4,FALSE)),"",($C41/100)*VLOOKUP($B41,DB,4,FALSE))</f>
        <v/>
      </c>
      <c r="F41" s="64" t="str">
        <f>IF(ISNA(($C41/100)*VLOOKUP($B41,DB,5,FALSE)),"",($C41/100)*VLOOKUP($B41,DB,5,FALSE))</f>
        <v/>
      </c>
      <c r="G41" s="64" t="str">
        <f>IF(ISNA(($C41/100)*VLOOKUP($B41,DB,6,FALSE)),"",($C41/100)*VLOOKUP($B41,DB,6,FALSE))</f>
        <v/>
      </c>
      <c r="H41" s="341">
        <f t="shared" si="7"/>
        <v>0</v>
      </c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</row>
    <row r="42" outlineLevel="1">
      <c r="A42" s="339"/>
      <c r="B42" s="339"/>
      <c r="C42" s="340"/>
      <c r="D42" s="64" t="str">
        <f>IF(ISNA(($C42/100)*VLOOKUP($B42,DB,3,FALSE)),"",($C42/100)*VLOOKUP($B42,DB,3,FALSE))</f>
        <v/>
      </c>
      <c r="E42" s="64" t="str">
        <f>IF(ISNA(($C42/100)*VLOOKUP($B42,DB,4,FALSE)),"",($C42/100)*VLOOKUP($B42,DB,4,FALSE))</f>
        <v/>
      </c>
      <c r="F42" s="64" t="str">
        <f>IF(ISNA(($C42/100)*VLOOKUP($B42,DB,5,FALSE)),"",($C42/100)*VLOOKUP($B42,DB,5,FALSE))</f>
        <v/>
      </c>
      <c r="G42" s="64" t="str">
        <f>IF(ISNA(($C42/100)*VLOOKUP($B42,DB,6,FALSE)),"",($C42/100)*VLOOKUP($B42,DB,6,FALSE))</f>
        <v/>
      </c>
      <c r="H42" s="341">
        <f t="shared" si="7"/>
        <v>0</v>
      </c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</row>
    <row r="43" outlineLevel="1">
      <c r="A43" s="342"/>
      <c r="B43" s="345"/>
      <c r="C43" s="346"/>
      <c r="D43" s="347" t="str">
        <f>IF(ISNA(($C43/100)*VLOOKUP($B43,DB,3,FALSE)),"",($C43/100)*VLOOKUP($B43,DB,3,FALSE))</f>
        <v/>
      </c>
      <c r="E43" s="347" t="str">
        <f>IF(ISNA(($C43/100)*VLOOKUP($B43,DB,4,FALSE)),"",($C43/100)*VLOOKUP($B43,DB,4,FALSE))</f>
        <v/>
      </c>
      <c r="F43" s="347" t="str">
        <f>IF(ISNA(($C43/100)*VLOOKUP($B43,DB,5,FALSE)),"",($C43/100)*VLOOKUP($B43,DB,5,FALSE))</f>
        <v/>
      </c>
      <c r="G43" s="347" t="str">
        <f>IF(ISNA(($C43/100)*VLOOKUP($B43,DB,6,FALSE)),"",($C43/100)*VLOOKUP($B43,DB,6,FALSE))</f>
        <v/>
      </c>
      <c r="H43" s="348">
        <f t="shared" si="7"/>
        <v>0</v>
      </c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</row>
    <row r="44">
      <c r="A44" s="311" t="s">
        <v>130</v>
      </c>
      <c r="B44" s="255"/>
      <c r="C44" s="256"/>
      <c r="D44" s="272"/>
      <c r="E44" s="272"/>
      <c r="F44" s="272"/>
      <c r="G44" s="272"/>
      <c r="H44" s="312">
        <f t="shared" si="7"/>
        <v>0</v>
      </c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</row>
    <row r="45">
      <c r="A45" s="313" t="s">
        <v>130</v>
      </c>
      <c r="B45" s="260"/>
      <c r="C45" s="89"/>
      <c r="D45" s="261"/>
      <c r="E45" s="261"/>
      <c r="F45" s="261"/>
      <c r="G45" s="261"/>
      <c r="H45" s="314">
        <f t="shared" si="7"/>
        <v>0</v>
      </c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</row>
    <row r="46">
      <c r="A46" s="315"/>
      <c r="B46" s="316"/>
      <c r="C46" s="317"/>
      <c r="D46" s="318"/>
      <c r="E46" s="318"/>
      <c r="F46" s="318"/>
      <c r="G46" s="319"/>
      <c r="H46" s="268">
        <f>(D46+E46)*4+F46*9</f>
        <v>0</v>
      </c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</row>
    <row r="47">
      <c r="A47" s="302" t="s">
        <v>58</v>
      </c>
      <c r="B47" s="105"/>
      <c r="C47" s="227"/>
      <c r="D47" s="217" t="s">
        <v>19</v>
      </c>
      <c r="E47" s="218" t="s">
        <v>20</v>
      </c>
      <c r="F47" s="218" t="s">
        <v>21</v>
      </c>
      <c r="G47" s="219" t="s">
        <v>22</v>
      </c>
      <c r="H47" s="220" t="s">
        <v>7</v>
      </c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</row>
    <row r="48">
      <c r="A48" s="303" t="s">
        <v>0</v>
      </c>
      <c r="B48" s="304" t="s">
        <v>17</v>
      </c>
      <c r="C48" s="238" t="s">
        <v>124</v>
      </c>
      <c r="D48" s="239">
        <f>vlookup(D$5,'Макроси'!$H$7:$M$9,6,False)</f>
        <v>55</v>
      </c>
      <c r="E48" s="240">
        <f>vlookup(E$5,'Макроси'!$H$7:$M$9,6,False)</f>
        <v>130</v>
      </c>
      <c r="F48" s="240">
        <f>vlookup(F$5,'Макроси'!$H$7:$M$9,6,False)</f>
        <v>30</v>
      </c>
      <c r="G48" s="270"/>
      <c r="H48" s="241">
        <f>IF(ISERROR(ROUNDUP((D48+E48)*4+F48*9,0)),"",ROUNDUP((D48+E48)*4+F48*9,0))</f>
        <v>1010</v>
      </c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</row>
    <row r="49">
      <c r="A49" s="105"/>
      <c r="B49" s="242"/>
      <c r="C49" s="243" t="s">
        <v>125</v>
      </c>
      <c r="D49" s="337">
        <f t="shared" ref="D49:H49" si="8">SUM(D50:D59)</f>
        <v>0</v>
      </c>
      <c r="E49" s="338">
        <f t="shared" si="8"/>
        <v>0</v>
      </c>
      <c r="F49" s="338">
        <f t="shared" si="8"/>
        <v>0</v>
      </c>
      <c r="G49" s="338">
        <f t="shared" si="8"/>
        <v>0</v>
      </c>
      <c r="H49" s="335">
        <f t="shared" si="8"/>
        <v>0</v>
      </c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</row>
    <row r="50" outlineLevel="1">
      <c r="A50" s="339"/>
      <c r="B50" s="339"/>
      <c r="C50" s="340"/>
      <c r="D50" s="64" t="str">
        <f>IF(ISNA(($C50/100)*VLOOKUP($B50,DB,3,FALSE)),"",($C50/100)*VLOOKUP($B50,DB,3,FALSE))</f>
        <v/>
      </c>
      <c r="E50" s="64" t="str">
        <f>IF(ISNA(($C50/100)*VLOOKUP($B50,DB,4,FALSE)),"",($C50/100)*VLOOKUP($B50,DB,4,FALSE))</f>
        <v/>
      </c>
      <c r="F50" s="64" t="str">
        <f>IF(ISNA(($C50/100)*VLOOKUP($B50,DB,5,FALSE)),"",($C50/100)*VLOOKUP($B50,DB,5,FALSE))</f>
        <v/>
      </c>
      <c r="G50" s="64" t="str">
        <f>IF(ISNA(($C50/100)*VLOOKUP($B50,DB,6,FALSE)),"",($C50/100)*VLOOKUP($B50,DB,6,FALSE))</f>
        <v/>
      </c>
      <c r="H50" s="341">
        <f t="shared" ref="H50:H59" si="9">IF(ISERROR(ROUNDUP((D50+E50)*4+F50*9,0)),"",ROUNDUP((D50+E50)*4+F50*9,0))</f>
        <v>0</v>
      </c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</row>
    <row r="51" outlineLevel="1">
      <c r="A51" s="339"/>
      <c r="B51" s="339"/>
      <c r="C51" s="340"/>
      <c r="D51" s="64" t="str">
        <f>IF(ISNA(($C51/100)*VLOOKUP($B51,DB,3,FALSE)),"",($C51/100)*VLOOKUP($B51,DB,3,FALSE))</f>
        <v/>
      </c>
      <c r="E51" s="64" t="str">
        <f>IF(ISNA(($C51/100)*VLOOKUP($B51,DB,4,FALSE)),"",($C51/100)*VLOOKUP($B51,DB,4,FALSE))</f>
        <v/>
      </c>
      <c r="F51" s="64" t="str">
        <f>IF(ISNA(($C51/100)*VLOOKUP($B51,DB,5,FALSE)),"",($C51/100)*VLOOKUP($B51,DB,5,FALSE))</f>
        <v/>
      </c>
      <c r="G51" s="64" t="str">
        <f>IF(ISNA(($C51/100)*VLOOKUP($B51,DB,6,FALSE)),"",($C51/100)*VLOOKUP($B51,DB,6,FALSE))</f>
        <v/>
      </c>
      <c r="H51" s="341">
        <f t="shared" si="9"/>
        <v>0</v>
      </c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</row>
    <row r="52" outlineLevel="1">
      <c r="A52" s="339"/>
      <c r="B52" s="339"/>
      <c r="C52" s="340"/>
      <c r="D52" s="64" t="str">
        <f>IF(ISNA(($C52/100)*VLOOKUP($B52,DB,3,FALSE)),"",($C52/100)*VLOOKUP($B52,DB,3,FALSE))</f>
        <v/>
      </c>
      <c r="E52" s="64" t="str">
        <f>IF(ISNA(($C52/100)*VLOOKUP($B52,DB,4,FALSE)),"",($C52/100)*VLOOKUP($B52,DB,4,FALSE))</f>
        <v/>
      </c>
      <c r="F52" s="64" t="str">
        <f>IF(ISNA(($C52/100)*VLOOKUP($B52,DB,5,FALSE)),"",($C52/100)*VLOOKUP($B52,DB,5,FALSE))</f>
        <v/>
      </c>
      <c r="G52" s="64" t="str">
        <f>IF(ISNA(($C52/100)*VLOOKUP($B52,DB,6,FALSE)),"",($C52/100)*VLOOKUP($B52,DB,6,FALSE))</f>
        <v/>
      </c>
      <c r="H52" s="341">
        <f t="shared" si="9"/>
        <v>0</v>
      </c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</row>
    <row r="53" outlineLevel="1">
      <c r="A53" s="339"/>
      <c r="B53" s="339"/>
      <c r="C53" s="340"/>
      <c r="D53" s="64" t="str">
        <f>IF(ISNA(($C53/100)*VLOOKUP($B53,DB,3,FALSE)),"",($C53/100)*VLOOKUP($B53,DB,3,FALSE))</f>
        <v/>
      </c>
      <c r="E53" s="64" t="str">
        <f>IF(ISNA(($C53/100)*VLOOKUP($B53,DB,4,FALSE)),"",($C53/100)*VLOOKUP($B53,DB,4,FALSE))</f>
        <v/>
      </c>
      <c r="F53" s="64" t="str">
        <f>IF(ISNA(($C53/100)*VLOOKUP($B53,DB,5,FALSE)),"",($C53/100)*VLOOKUP($B53,DB,5,FALSE))</f>
        <v/>
      </c>
      <c r="G53" s="64" t="str">
        <f>IF(ISNA(($C53/100)*VLOOKUP($B53,DB,6,FALSE)),"",($C53/100)*VLOOKUP($B53,DB,6,FALSE))</f>
        <v/>
      </c>
      <c r="H53" s="341">
        <f t="shared" si="9"/>
        <v>0</v>
      </c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</row>
    <row r="54" outlineLevel="1">
      <c r="A54" s="339"/>
      <c r="B54" s="339"/>
      <c r="C54" s="340"/>
      <c r="D54" s="64" t="str">
        <f>IF(ISNA(($C54/100)*VLOOKUP($B54,DB,3,FALSE)),"",($C54/100)*VLOOKUP($B54,DB,3,FALSE))</f>
        <v/>
      </c>
      <c r="E54" s="64" t="str">
        <f>IF(ISNA(($C54/100)*VLOOKUP($B54,DB,4,FALSE)),"",($C54/100)*VLOOKUP($B54,DB,4,FALSE))</f>
        <v/>
      </c>
      <c r="F54" s="64" t="str">
        <f>IF(ISNA(($C54/100)*VLOOKUP($B54,DB,5,FALSE)),"",($C54/100)*VLOOKUP($B54,DB,5,FALSE))</f>
        <v/>
      </c>
      <c r="G54" s="64" t="str">
        <f>IF(ISNA(($C54/100)*VLOOKUP($B54,DB,6,FALSE)),"",($C54/100)*VLOOKUP($B54,DB,6,FALSE))</f>
        <v/>
      </c>
      <c r="H54" s="341">
        <f t="shared" si="9"/>
        <v>0</v>
      </c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</row>
    <row r="55" outlineLevel="1">
      <c r="A55" s="339"/>
      <c r="B55" s="339"/>
      <c r="C55" s="340"/>
      <c r="D55" s="64" t="str">
        <f>IF(ISNA(($C55/100)*VLOOKUP($B55,DB,3,FALSE)),"",($C55/100)*VLOOKUP($B55,DB,3,FALSE))</f>
        <v/>
      </c>
      <c r="E55" s="64" t="str">
        <f>IF(ISNA(($C55/100)*VLOOKUP($B55,DB,4,FALSE)),"",($C55/100)*VLOOKUP($B55,DB,4,FALSE))</f>
        <v/>
      </c>
      <c r="F55" s="64" t="str">
        <f>IF(ISNA(($C55/100)*VLOOKUP($B55,DB,5,FALSE)),"",($C55/100)*VLOOKUP($B55,DB,5,FALSE))</f>
        <v/>
      </c>
      <c r="G55" s="64" t="str">
        <f>IF(ISNA(($C55/100)*VLOOKUP($B55,DB,6,FALSE)),"",($C55/100)*VLOOKUP($B55,DB,6,FALSE))</f>
        <v/>
      </c>
      <c r="H55" s="341">
        <f t="shared" si="9"/>
        <v>0</v>
      </c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</row>
    <row r="56" outlineLevel="1">
      <c r="A56" s="339"/>
      <c r="B56" s="339"/>
      <c r="C56" s="340"/>
      <c r="D56" s="64" t="str">
        <f>IF(ISNA(($C56/100)*VLOOKUP($B56,DB,3,FALSE)),"",($C56/100)*VLOOKUP($B56,DB,3,FALSE))</f>
        <v/>
      </c>
      <c r="E56" s="64" t="str">
        <f>IF(ISNA(($C56/100)*VLOOKUP($B56,DB,4,FALSE)),"",($C56/100)*VLOOKUP($B56,DB,4,FALSE))</f>
        <v/>
      </c>
      <c r="F56" s="64" t="str">
        <f>IF(ISNA(($C56/100)*VLOOKUP($B56,Database!$B$11:$G$3006,5,FALSE)),"",($C56/100)*VLOOKUP($B56,Database!$B$11:$G$3006,5,FALSE))</f>
        <v/>
      </c>
      <c r="G56" s="64" t="str">
        <f>IF(ISNA(($C56/100)*VLOOKUP($B56,DB,6,FALSE)),"",($C56/100)*VLOOKUP($B56,DB,6,FALSE))</f>
        <v/>
      </c>
      <c r="H56" s="341">
        <f t="shared" si="9"/>
        <v>0</v>
      </c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</row>
    <row r="57" outlineLevel="1">
      <c r="A57" s="342"/>
      <c r="B57" s="345"/>
      <c r="C57" s="346"/>
      <c r="D57" s="347" t="str">
        <f>IF(ISNA(($C57/100)*VLOOKUP($B57,DB,3,FALSE)),"",($C57/100)*VLOOKUP($B57,DB,3,FALSE))</f>
        <v/>
      </c>
      <c r="E57" s="347" t="str">
        <f>IF(ISNA(($C57/100)*VLOOKUP($B57,DB,4,FALSE)),"",($C57/100)*VLOOKUP($B57,DB,4,FALSE))</f>
        <v/>
      </c>
      <c r="F57" s="347" t="str">
        <f>IF(ISNA(($C57/100)*VLOOKUP($B57,DB,5,FALSE)),"",($C57/100)*VLOOKUP($B57,DB,5,FALSE))</f>
        <v/>
      </c>
      <c r="G57" s="347" t="str">
        <f>IF(ISNA(($C57/100)*VLOOKUP($B57,DB,6,FALSE)),"",($C57/100)*VLOOKUP($B57,DB,6,FALSE))</f>
        <v/>
      </c>
      <c r="H57" s="348">
        <f t="shared" si="9"/>
        <v>0</v>
      </c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</row>
    <row r="58">
      <c r="A58" s="311" t="s">
        <v>130</v>
      </c>
      <c r="B58" s="255"/>
      <c r="C58" s="256"/>
      <c r="D58" s="272"/>
      <c r="E58" s="272"/>
      <c r="F58" s="272"/>
      <c r="G58" s="272"/>
      <c r="H58" s="312">
        <f t="shared" si="9"/>
        <v>0</v>
      </c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</row>
    <row r="59">
      <c r="A59" s="313" t="s">
        <v>130</v>
      </c>
      <c r="B59" s="260"/>
      <c r="C59" s="89"/>
      <c r="D59" s="261"/>
      <c r="E59" s="261"/>
      <c r="F59" s="261"/>
      <c r="G59" s="261"/>
      <c r="H59" s="314">
        <f t="shared" si="9"/>
        <v>0</v>
      </c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</row>
    <row r="60">
      <c r="A60" s="315"/>
      <c r="B60" s="316"/>
      <c r="C60" s="317"/>
      <c r="D60" s="318"/>
      <c r="E60" s="318"/>
      <c r="F60" s="318"/>
      <c r="G60" s="319"/>
      <c r="H60" s="268">
        <f>(D60+E60)*4+F60*9</f>
        <v>0</v>
      </c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</row>
    <row r="61">
      <c r="A61" s="134"/>
      <c r="B61" s="134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</row>
    <row r="62">
      <c r="A62" s="134"/>
      <c r="B62" s="134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</row>
    <row r="63">
      <c r="A63" s="134"/>
      <c r="B63" s="134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</row>
    <row r="64">
      <c r="A64" s="134"/>
      <c r="B64" s="134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</row>
    <row r="65">
      <c r="A65" s="134"/>
      <c r="B65" s="134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</row>
    <row r="66">
      <c r="A66" s="134"/>
      <c r="B66" s="134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</row>
    <row r="67">
      <c r="A67" s="134"/>
      <c r="B67" s="134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</row>
    <row r="68">
      <c r="A68" s="134"/>
      <c r="B68" s="134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</row>
    <row r="69">
      <c r="A69" s="134"/>
      <c r="B69" s="134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</row>
    <row r="70">
      <c r="A70" s="134"/>
      <c r="B70" s="134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</row>
    <row r="71">
      <c r="A71" s="134"/>
      <c r="B71" s="134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</row>
    <row r="72">
      <c r="A72" s="134"/>
      <c r="B72" s="134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</row>
    <row r="73">
      <c r="A73" s="134"/>
      <c r="B73" s="134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</row>
    <row r="74">
      <c r="A74" s="134"/>
      <c r="B74" s="134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</row>
    <row r="75">
      <c r="A75" s="134"/>
      <c r="B75" s="134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</row>
    <row r="76">
      <c r="A76" s="134"/>
      <c r="B76" s="134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</row>
    <row r="77">
      <c r="A77" s="134"/>
      <c r="B77" s="134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</row>
    <row r="78">
      <c r="A78" s="134"/>
      <c r="B78" s="134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</row>
    <row r="79">
      <c r="A79" s="134"/>
      <c r="B79" s="134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</row>
    <row r="80">
      <c r="A80" s="134"/>
      <c r="B80" s="134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</row>
    <row r="81">
      <c r="A81" s="134"/>
      <c r="B81" s="134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</row>
    <row r="82">
      <c r="A82" s="134"/>
      <c r="B82" s="134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</row>
    <row r="83">
      <c r="A83" s="134"/>
      <c r="B83" s="134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</row>
    <row r="84">
      <c r="A84" s="134"/>
      <c r="B84" s="134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</row>
    <row r="85">
      <c r="A85" s="134"/>
      <c r="B85" s="134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</row>
    <row r="86">
      <c r="A86" s="134"/>
      <c r="B86" s="134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</row>
    <row r="87">
      <c r="A87" s="134"/>
      <c r="B87" s="134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</row>
    <row r="88">
      <c r="A88" s="134"/>
      <c r="B88" s="134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</row>
    <row r="89">
      <c r="A89" s="134"/>
      <c r="B89" s="134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</row>
    <row r="90">
      <c r="A90" s="134"/>
      <c r="B90" s="134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</row>
    <row r="91">
      <c r="A91" s="134"/>
      <c r="B91" s="134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</row>
    <row r="92">
      <c r="A92" s="134"/>
      <c r="B92" s="134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</row>
    <row r="93">
      <c r="A93" s="134"/>
      <c r="B93" s="134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</row>
    <row r="94">
      <c r="A94" s="134"/>
      <c r="B94" s="134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</row>
    <row r="95">
      <c r="A95" s="134"/>
      <c r="B95" s="134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</row>
    <row r="96">
      <c r="A96" s="134"/>
      <c r="B96" s="134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</row>
    <row r="97">
      <c r="A97" s="134"/>
      <c r="B97" s="134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</row>
    <row r="98">
      <c r="A98" s="134"/>
      <c r="B98" s="134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</row>
    <row r="99">
      <c r="A99" s="134"/>
      <c r="B99" s="134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</row>
    <row r="100">
      <c r="A100" s="134"/>
      <c r="B100" s="134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</row>
    <row r="101">
      <c r="A101" s="134"/>
      <c r="B101" s="134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</row>
    <row r="102">
      <c r="A102" s="134"/>
      <c r="B102" s="134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</row>
    <row r="103">
      <c r="A103" s="134"/>
      <c r="B103" s="134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</row>
    <row r="104">
      <c r="A104" s="134"/>
      <c r="B104" s="134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</row>
    <row r="105">
      <c r="A105" s="134"/>
      <c r="B105" s="134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</row>
    <row r="106">
      <c r="A106" s="134"/>
      <c r="B106" s="134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</row>
    <row r="107">
      <c r="A107" s="134"/>
      <c r="B107" s="134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</row>
    <row r="108">
      <c r="A108" s="134"/>
      <c r="B108" s="134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</row>
    <row r="109">
      <c r="A109" s="134"/>
      <c r="B109" s="134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</row>
    <row r="110">
      <c r="A110" s="134"/>
      <c r="B110" s="134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</row>
    <row r="111">
      <c r="A111" s="134"/>
      <c r="B111" s="134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</row>
    <row r="112">
      <c r="A112" s="134"/>
      <c r="B112" s="134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</row>
    <row r="113">
      <c r="A113" s="134"/>
      <c r="B113" s="134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</row>
    <row r="114">
      <c r="A114" s="134"/>
      <c r="B114" s="134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</row>
    <row r="115">
      <c r="A115" s="134"/>
      <c r="B115" s="134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</row>
    <row r="116">
      <c r="A116" s="134"/>
      <c r="B116" s="134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</row>
    <row r="117">
      <c r="A117" s="134"/>
      <c r="B117" s="134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</row>
    <row r="118">
      <c r="A118" s="134"/>
      <c r="B118" s="134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</row>
    <row r="119">
      <c r="A119" s="134"/>
      <c r="B119" s="134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</row>
    <row r="120">
      <c r="A120" s="134"/>
      <c r="B120" s="134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</row>
    <row r="121">
      <c r="A121" s="134"/>
      <c r="B121" s="134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</row>
    <row r="122">
      <c r="A122" s="134"/>
      <c r="B122" s="134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</row>
    <row r="123">
      <c r="A123" s="134"/>
      <c r="B123" s="134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</row>
    <row r="124">
      <c r="A124" s="134"/>
      <c r="B124" s="134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</row>
    <row r="125">
      <c r="A125" s="134"/>
      <c r="B125" s="134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</row>
    <row r="126">
      <c r="A126" s="134"/>
      <c r="B126" s="134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</row>
    <row r="127">
      <c r="A127" s="134"/>
      <c r="B127" s="134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</row>
    <row r="128">
      <c r="A128" s="134"/>
      <c r="B128" s="134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</row>
    <row r="129">
      <c r="A129" s="134"/>
      <c r="B129" s="134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</row>
    <row r="130">
      <c r="A130" s="134"/>
      <c r="B130" s="134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</row>
    <row r="131">
      <c r="A131" s="134"/>
      <c r="B131" s="134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</row>
    <row r="132">
      <c r="A132" s="134"/>
      <c r="B132" s="134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</row>
    <row r="133">
      <c r="A133" s="134"/>
      <c r="B133" s="134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</row>
    <row r="134">
      <c r="A134" s="134"/>
      <c r="B134" s="134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</row>
    <row r="135">
      <c r="A135" s="134"/>
      <c r="B135" s="134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</row>
    <row r="136">
      <c r="A136" s="134"/>
      <c r="B136" s="134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</row>
    <row r="137">
      <c r="A137" s="134"/>
      <c r="B137" s="134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</row>
    <row r="138">
      <c r="A138" s="134"/>
      <c r="B138" s="134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</row>
    <row r="139">
      <c r="A139" s="134"/>
      <c r="B139" s="134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</row>
    <row r="140">
      <c r="A140" s="134"/>
      <c r="B140" s="134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</row>
    <row r="141">
      <c r="A141" s="134"/>
      <c r="B141" s="134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</row>
    <row r="142">
      <c r="A142" s="134"/>
      <c r="B142" s="134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</row>
    <row r="143">
      <c r="A143" s="134"/>
      <c r="B143" s="134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</row>
    <row r="144">
      <c r="A144" s="134"/>
      <c r="B144" s="134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</row>
    <row r="145">
      <c r="A145" s="134"/>
      <c r="B145" s="134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</row>
    <row r="146">
      <c r="A146" s="134"/>
      <c r="B146" s="134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</row>
    <row r="147">
      <c r="A147" s="134"/>
      <c r="B147" s="134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</row>
    <row r="148">
      <c r="A148" s="134"/>
      <c r="B148" s="134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</row>
    <row r="149">
      <c r="A149" s="134"/>
      <c r="B149" s="134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</row>
    <row r="150">
      <c r="A150" s="134"/>
      <c r="B150" s="134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</row>
    <row r="151">
      <c r="A151" s="134"/>
      <c r="B151" s="134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</row>
    <row r="152">
      <c r="A152" s="134"/>
      <c r="B152" s="134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</row>
    <row r="153">
      <c r="A153" s="134"/>
      <c r="B153" s="134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</row>
    <row r="154">
      <c r="A154" s="134"/>
      <c r="B154" s="134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</row>
    <row r="155">
      <c r="A155" s="134"/>
      <c r="B155" s="134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</row>
    <row r="156">
      <c r="A156" s="134"/>
      <c r="B156" s="134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</row>
    <row r="157">
      <c r="A157" s="134"/>
      <c r="B157" s="134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</row>
    <row r="158">
      <c r="A158" s="134"/>
      <c r="B158" s="134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</row>
    <row r="159">
      <c r="A159" s="134"/>
      <c r="B159" s="134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</row>
    <row r="160">
      <c r="A160" s="134"/>
      <c r="B160" s="134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</row>
    <row r="161">
      <c r="A161" s="134"/>
      <c r="B161" s="134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</row>
    <row r="162">
      <c r="A162" s="134"/>
      <c r="B162" s="134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</row>
    <row r="163">
      <c r="A163" s="134"/>
      <c r="B163" s="134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</row>
    <row r="164">
      <c r="A164" s="134"/>
      <c r="B164" s="134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</row>
    <row r="165">
      <c r="A165" s="134"/>
      <c r="B165" s="134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</row>
    <row r="166">
      <c r="A166" s="134"/>
      <c r="B166" s="134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</row>
    <row r="167">
      <c r="A167" s="134"/>
      <c r="B167" s="134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</row>
    <row r="168">
      <c r="A168" s="134"/>
      <c r="B168" s="134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</row>
    <row r="169">
      <c r="A169" s="134"/>
      <c r="B169" s="134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</row>
    <row r="170">
      <c r="A170" s="134"/>
      <c r="B170" s="134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</row>
    <row r="171">
      <c r="A171" s="134"/>
      <c r="B171" s="134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</row>
    <row r="172">
      <c r="A172" s="134"/>
      <c r="B172" s="134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</row>
    <row r="173">
      <c r="A173" s="134"/>
      <c r="B173" s="134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</row>
    <row r="174">
      <c r="A174" s="134"/>
      <c r="B174" s="134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</row>
    <row r="175">
      <c r="A175" s="134"/>
      <c r="B175" s="134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</row>
    <row r="176">
      <c r="A176" s="134"/>
      <c r="B176" s="134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</row>
    <row r="177">
      <c r="A177" s="134"/>
      <c r="B177" s="134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</row>
    <row r="178">
      <c r="A178" s="134"/>
      <c r="B178" s="134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</row>
    <row r="179">
      <c r="A179" s="134"/>
      <c r="B179" s="134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</row>
    <row r="180">
      <c r="A180" s="134"/>
      <c r="B180" s="134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</row>
    <row r="181">
      <c r="A181" s="134"/>
      <c r="B181" s="134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</row>
    <row r="182">
      <c r="A182" s="134"/>
      <c r="B182" s="134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</row>
    <row r="183">
      <c r="A183" s="134"/>
      <c r="B183" s="134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</row>
    <row r="184">
      <c r="A184" s="134"/>
      <c r="B184" s="134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</row>
    <row r="185">
      <c r="A185" s="134"/>
      <c r="B185" s="134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</row>
    <row r="186">
      <c r="A186" s="134"/>
      <c r="B186" s="134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</row>
    <row r="187">
      <c r="A187" s="134"/>
      <c r="B187" s="134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</row>
    <row r="188">
      <c r="A188" s="134"/>
      <c r="B188" s="134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</row>
    <row r="189">
      <c r="A189" s="134"/>
      <c r="B189" s="134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</row>
    <row r="190">
      <c r="A190" s="134"/>
      <c r="B190" s="134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</row>
    <row r="191">
      <c r="A191" s="134"/>
      <c r="B191" s="134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</row>
    <row r="192">
      <c r="A192" s="134"/>
      <c r="B192" s="134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</row>
    <row r="193">
      <c r="A193" s="134"/>
      <c r="B193" s="134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</row>
    <row r="194">
      <c r="A194" s="134"/>
      <c r="B194" s="134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</row>
    <row r="195">
      <c r="A195" s="134"/>
      <c r="B195" s="134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</row>
    <row r="196">
      <c r="A196" s="134"/>
      <c r="B196" s="134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</row>
    <row r="197">
      <c r="A197" s="134"/>
      <c r="B197" s="134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</row>
    <row r="198">
      <c r="A198" s="134"/>
      <c r="B198" s="134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</row>
    <row r="199">
      <c r="A199" s="134"/>
      <c r="B199" s="134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</row>
    <row r="200">
      <c r="A200" s="134"/>
      <c r="B200" s="134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</row>
    <row r="201">
      <c r="A201" s="134"/>
      <c r="B201" s="134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</row>
    <row r="202">
      <c r="A202" s="134"/>
      <c r="B202" s="134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</row>
    <row r="203">
      <c r="A203" s="134"/>
      <c r="B203" s="134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</row>
    <row r="204">
      <c r="A204" s="134"/>
      <c r="B204" s="134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</row>
    <row r="205">
      <c r="A205" s="134"/>
      <c r="B205" s="134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</row>
    <row r="206">
      <c r="A206" s="134"/>
      <c r="B206" s="134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</row>
    <row r="207">
      <c r="A207" s="134"/>
      <c r="B207" s="134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</row>
    <row r="208">
      <c r="A208" s="134"/>
      <c r="B208" s="134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</row>
    <row r="209">
      <c r="A209" s="134"/>
      <c r="B209" s="134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</row>
    <row r="210">
      <c r="A210" s="134"/>
      <c r="B210" s="134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</row>
    <row r="211">
      <c r="A211" s="134"/>
      <c r="B211" s="134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</row>
    <row r="212">
      <c r="A212" s="134"/>
      <c r="B212" s="134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</row>
    <row r="213">
      <c r="A213" s="134"/>
      <c r="B213" s="134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</row>
    <row r="214">
      <c r="A214" s="134"/>
      <c r="B214" s="134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</row>
    <row r="215">
      <c r="A215" s="134"/>
      <c r="B215" s="134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</row>
    <row r="216">
      <c r="A216" s="134"/>
      <c r="B216" s="134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</row>
    <row r="217">
      <c r="A217" s="134"/>
      <c r="B217" s="134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</row>
    <row r="218">
      <c r="A218" s="134"/>
      <c r="B218" s="134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</row>
    <row r="219">
      <c r="A219" s="134"/>
      <c r="B219" s="134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</row>
    <row r="220">
      <c r="A220" s="134"/>
      <c r="B220" s="134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</row>
    <row r="221">
      <c r="A221" s="134"/>
      <c r="B221" s="134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</row>
    <row r="222">
      <c r="A222" s="134"/>
      <c r="B222" s="134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</row>
    <row r="223">
      <c r="A223" s="134"/>
      <c r="B223" s="134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</row>
    <row r="224">
      <c r="A224" s="134"/>
      <c r="B224" s="134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</row>
    <row r="225">
      <c r="A225" s="134"/>
      <c r="B225" s="134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</row>
    <row r="226">
      <c r="A226" s="134"/>
      <c r="B226" s="134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</row>
    <row r="227">
      <c r="A227" s="134"/>
      <c r="B227" s="134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</row>
    <row r="228">
      <c r="A228" s="134"/>
      <c r="B228" s="134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8"/>
    </row>
    <row r="229">
      <c r="A229" s="134"/>
      <c r="B229" s="134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</row>
    <row r="230">
      <c r="A230" s="134"/>
      <c r="B230" s="134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8"/>
    </row>
    <row r="231">
      <c r="A231" s="134"/>
      <c r="B231" s="134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8"/>
    </row>
    <row r="232">
      <c r="A232" s="134"/>
      <c r="B232" s="134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</row>
    <row r="233">
      <c r="A233" s="134"/>
      <c r="B233" s="134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</row>
    <row r="234">
      <c r="A234" s="134"/>
      <c r="B234" s="134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8"/>
    </row>
    <row r="235">
      <c r="A235" s="134"/>
      <c r="B235" s="134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8"/>
    </row>
    <row r="236">
      <c r="A236" s="134"/>
      <c r="B236" s="134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</row>
    <row r="237">
      <c r="A237" s="134"/>
      <c r="B237" s="134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8"/>
    </row>
    <row r="238">
      <c r="A238" s="134"/>
      <c r="B238" s="134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8"/>
    </row>
    <row r="239">
      <c r="A239" s="134"/>
      <c r="B239" s="134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8"/>
    </row>
    <row r="240">
      <c r="A240" s="134"/>
      <c r="B240" s="134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8"/>
    </row>
    <row r="241">
      <c r="A241" s="134"/>
      <c r="B241" s="134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8"/>
    </row>
    <row r="242">
      <c r="A242" s="134"/>
      <c r="B242" s="134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8"/>
    </row>
    <row r="243">
      <c r="A243" s="134"/>
      <c r="B243" s="134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8"/>
    </row>
    <row r="244">
      <c r="A244" s="134"/>
      <c r="B244" s="134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8"/>
    </row>
    <row r="245">
      <c r="A245" s="134"/>
      <c r="B245" s="134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8"/>
    </row>
    <row r="246">
      <c r="A246" s="134"/>
      <c r="B246" s="134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8"/>
    </row>
    <row r="247">
      <c r="A247" s="134"/>
      <c r="B247" s="134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8"/>
    </row>
    <row r="248">
      <c r="A248" s="134"/>
      <c r="B248" s="134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8"/>
    </row>
    <row r="249">
      <c r="A249" s="134"/>
      <c r="B249" s="134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</row>
    <row r="250">
      <c r="A250" s="134"/>
      <c r="B250" s="134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</row>
    <row r="251">
      <c r="A251" s="134"/>
      <c r="B251" s="134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8"/>
    </row>
    <row r="252">
      <c r="A252" s="134"/>
      <c r="B252" s="134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8"/>
    </row>
    <row r="253">
      <c r="A253" s="134"/>
      <c r="B253" s="134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8"/>
    </row>
    <row r="254">
      <c r="A254" s="134"/>
      <c r="B254" s="134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</row>
    <row r="255">
      <c r="A255" s="134"/>
      <c r="B255" s="134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</row>
    <row r="256">
      <c r="A256" s="134"/>
      <c r="B256" s="134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8"/>
    </row>
    <row r="257">
      <c r="A257" s="134"/>
      <c r="B257" s="134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8"/>
    </row>
    <row r="258">
      <c r="A258" s="134"/>
      <c r="B258" s="134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</row>
    <row r="259">
      <c r="A259" s="134"/>
      <c r="B259" s="134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</row>
    <row r="260">
      <c r="A260" s="134"/>
      <c r="B260" s="134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8"/>
    </row>
    <row r="261">
      <c r="A261" s="134"/>
      <c r="B261" s="134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</row>
    <row r="262">
      <c r="A262" s="134"/>
      <c r="B262" s="134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</row>
    <row r="263">
      <c r="A263" s="134"/>
      <c r="B263" s="134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</row>
    <row r="264">
      <c r="A264" s="134"/>
      <c r="B264" s="134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</row>
    <row r="265">
      <c r="A265" s="134"/>
      <c r="B265" s="134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8"/>
    </row>
    <row r="266">
      <c r="A266" s="134"/>
      <c r="B266" s="134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8"/>
    </row>
    <row r="267">
      <c r="A267" s="134"/>
      <c r="B267" s="134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</row>
    <row r="268">
      <c r="A268" s="134"/>
      <c r="B268" s="134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8"/>
    </row>
    <row r="269">
      <c r="A269" s="134"/>
      <c r="B269" s="134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8"/>
    </row>
    <row r="270">
      <c r="A270" s="134"/>
      <c r="B270" s="134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8"/>
    </row>
    <row r="271">
      <c r="A271" s="134"/>
      <c r="B271" s="134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</row>
    <row r="272">
      <c r="A272" s="134"/>
      <c r="B272" s="134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8"/>
    </row>
    <row r="273">
      <c r="A273" s="134"/>
      <c r="B273" s="134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8"/>
    </row>
    <row r="274">
      <c r="A274" s="134"/>
      <c r="B274" s="134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</row>
    <row r="275">
      <c r="A275" s="134"/>
      <c r="B275" s="134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</row>
    <row r="276">
      <c r="A276" s="134"/>
      <c r="B276" s="134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</row>
    <row r="277">
      <c r="A277" s="134"/>
      <c r="B277" s="134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</row>
    <row r="278">
      <c r="A278" s="134"/>
      <c r="B278" s="134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</row>
    <row r="279">
      <c r="A279" s="134"/>
      <c r="B279" s="134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</row>
    <row r="280">
      <c r="A280" s="134"/>
      <c r="B280" s="134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</row>
    <row r="281">
      <c r="A281" s="134"/>
      <c r="B281" s="134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</row>
    <row r="282">
      <c r="A282" s="134"/>
      <c r="B282" s="134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</row>
    <row r="283">
      <c r="A283" s="134"/>
      <c r="B283" s="134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</row>
    <row r="284">
      <c r="A284" s="134"/>
      <c r="B284" s="134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</row>
    <row r="285">
      <c r="A285" s="134"/>
      <c r="B285" s="134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</row>
    <row r="286">
      <c r="A286" s="134"/>
      <c r="B286" s="134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</row>
    <row r="287">
      <c r="A287" s="134"/>
      <c r="B287" s="134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</row>
    <row r="288">
      <c r="A288" s="134"/>
      <c r="B288" s="134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</row>
    <row r="289">
      <c r="A289" s="134"/>
      <c r="B289" s="134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</row>
    <row r="290">
      <c r="A290" s="134"/>
      <c r="B290" s="134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</row>
    <row r="291">
      <c r="A291" s="134"/>
      <c r="B291" s="134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8"/>
    </row>
    <row r="292">
      <c r="A292" s="134"/>
      <c r="B292" s="134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8"/>
    </row>
    <row r="293">
      <c r="A293" s="134"/>
      <c r="B293" s="134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</row>
    <row r="294">
      <c r="A294" s="134"/>
      <c r="B294" s="134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</row>
    <row r="295">
      <c r="A295" s="134"/>
      <c r="B295" s="134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</row>
    <row r="296">
      <c r="A296" s="134"/>
      <c r="B296" s="134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</row>
    <row r="297">
      <c r="A297" s="134"/>
      <c r="B297" s="134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8"/>
    </row>
    <row r="298">
      <c r="A298" s="134"/>
      <c r="B298" s="134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</row>
    <row r="299">
      <c r="A299" s="134"/>
      <c r="B299" s="134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</row>
    <row r="300">
      <c r="A300" s="134"/>
      <c r="B300" s="134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</row>
    <row r="301">
      <c r="A301" s="134"/>
      <c r="B301" s="134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</row>
    <row r="302">
      <c r="A302" s="134"/>
      <c r="B302" s="134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</row>
    <row r="303">
      <c r="A303" s="134"/>
      <c r="B303" s="134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</row>
    <row r="304">
      <c r="A304" s="134"/>
      <c r="B304" s="134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</row>
    <row r="305">
      <c r="A305" s="134"/>
      <c r="B305" s="134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</row>
    <row r="306">
      <c r="A306" s="134"/>
      <c r="B306" s="134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8"/>
    </row>
    <row r="307">
      <c r="A307" s="134"/>
      <c r="B307" s="134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</row>
    <row r="308">
      <c r="A308" s="134"/>
      <c r="B308" s="134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</row>
    <row r="309">
      <c r="A309" s="134"/>
      <c r="B309" s="134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</row>
    <row r="310">
      <c r="A310" s="134"/>
      <c r="B310" s="134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</row>
    <row r="311">
      <c r="A311" s="134"/>
      <c r="B311" s="134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</row>
    <row r="312">
      <c r="A312" s="134"/>
      <c r="B312" s="134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</row>
    <row r="313">
      <c r="A313" s="134"/>
      <c r="B313" s="134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</row>
    <row r="314">
      <c r="A314" s="134"/>
      <c r="B314" s="134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</row>
    <row r="315">
      <c r="A315" s="134"/>
      <c r="B315" s="134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</row>
    <row r="316">
      <c r="A316" s="134"/>
      <c r="B316" s="134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</row>
    <row r="317">
      <c r="A317" s="134"/>
      <c r="B317" s="134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</row>
    <row r="318">
      <c r="A318" s="134"/>
      <c r="B318" s="134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</row>
    <row r="319">
      <c r="A319" s="134"/>
      <c r="B319" s="134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</row>
    <row r="320">
      <c r="A320" s="134"/>
      <c r="B320" s="134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</row>
    <row r="321">
      <c r="A321" s="134"/>
      <c r="B321" s="134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</row>
    <row r="322">
      <c r="A322" s="134"/>
      <c r="B322" s="134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</row>
    <row r="323">
      <c r="A323" s="134"/>
      <c r="B323" s="134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</row>
    <row r="324">
      <c r="A324" s="134"/>
      <c r="B324" s="134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</row>
    <row r="325">
      <c r="A325" s="134"/>
      <c r="B325" s="134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</row>
    <row r="326">
      <c r="A326" s="134"/>
      <c r="B326" s="134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</row>
    <row r="327">
      <c r="A327" s="134"/>
      <c r="B327" s="134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</row>
    <row r="328">
      <c r="A328" s="134"/>
      <c r="B328" s="134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</row>
    <row r="329">
      <c r="A329" s="134"/>
      <c r="B329" s="134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</row>
    <row r="330">
      <c r="A330" s="134"/>
      <c r="B330" s="134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</row>
    <row r="331">
      <c r="A331" s="134"/>
      <c r="B331" s="134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</row>
    <row r="332">
      <c r="A332" s="134"/>
      <c r="B332" s="134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</row>
    <row r="333">
      <c r="A333" s="134"/>
      <c r="B333" s="134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</row>
    <row r="334">
      <c r="A334" s="134"/>
      <c r="B334" s="134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</row>
    <row r="335">
      <c r="A335" s="134"/>
      <c r="B335" s="134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</row>
    <row r="336">
      <c r="A336" s="134"/>
      <c r="B336" s="134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</row>
    <row r="337">
      <c r="A337" s="134"/>
      <c r="B337" s="134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</row>
    <row r="338">
      <c r="A338" s="134"/>
      <c r="B338" s="134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</row>
    <row r="339">
      <c r="A339" s="134"/>
      <c r="B339" s="134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</row>
    <row r="340">
      <c r="A340" s="134"/>
      <c r="B340" s="134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</row>
    <row r="341">
      <c r="A341" s="134"/>
      <c r="B341" s="134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</row>
    <row r="342">
      <c r="A342" s="134"/>
      <c r="B342" s="134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</row>
    <row r="343">
      <c r="A343" s="134"/>
      <c r="B343" s="134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</row>
    <row r="344">
      <c r="A344" s="134"/>
      <c r="B344" s="134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</row>
    <row r="345">
      <c r="A345" s="134"/>
      <c r="B345" s="134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</row>
    <row r="346">
      <c r="A346" s="134"/>
      <c r="B346" s="134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</row>
    <row r="347">
      <c r="A347" s="134"/>
      <c r="B347" s="134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</row>
    <row r="348">
      <c r="A348" s="134"/>
      <c r="B348" s="134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</row>
    <row r="349">
      <c r="A349" s="134"/>
      <c r="B349" s="134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</row>
    <row r="350">
      <c r="A350" s="134"/>
      <c r="B350" s="134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</row>
    <row r="351">
      <c r="A351" s="134"/>
      <c r="B351" s="134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</row>
    <row r="352">
      <c r="A352" s="134"/>
      <c r="B352" s="134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</row>
    <row r="353">
      <c r="A353" s="134"/>
      <c r="B353" s="134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</row>
    <row r="354">
      <c r="A354" s="134"/>
      <c r="B354" s="134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</row>
    <row r="355">
      <c r="A355" s="134"/>
      <c r="B355" s="134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</row>
    <row r="356">
      <c r="A356" s="134"/>
      <c r="B356" s="134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</row>
    <row r="357">
      <c r="A357" s="134"/>
      <c r="B357" s="134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</row>
    <row r="358">
      <c r="A358" s="134"/>
      <c r="B358" s="134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</row>
    <row r="359">
      <c r="A359" s="134"/>
      <c r="B359" s="134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</row>
    <row r="360">
      <c r="A360" s="134"/>
      <c r="B360" s="134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</row>
    <row r="361">
      <c r="A361" s="134"/>
      <c r="B361" s="134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</row>
    <row r="362">
      <c r="A362" s="134"/>
      <c r="B362" s="134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</row>
    <row r="363">
      <c r="A363" s="134"/>
      <c r="B363" s="134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</row>
    <row r="364">
      <c r="A364" s="134"/>
      <c r="B364" s="134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</row>
    <row r="365">
      <c r="A365" s="134"/>
      <c r="B365" s="134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</row>
    <row r="366">
      <c r="A366" s="134"/>
      <c r="B366" s="134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</row>
    <row r="367">
      <c r="A367" s="134"/>
      <c r="B367" s="134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</row>
    <row r="368">
      <c r="A368" s="134"/>
      <c r="B368" s="134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</row>
    <row r="369">
      <c r="A369" s="134"/>
      <c r="B369" s="134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</row>
    <row r="370">
      <c r="A370" s="134"/>
      <c r="B370" s="134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</row>
    <row r="371">
      <c r="A371" s="134"/>
      <c r="B371" s="134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</row>
    <row r="372">
      <c r="A372" s="134"/>
      <c r="B372" s="134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</row>
    <row r="373">
      <c r="A373" s="134"/>
      <c r="B373" s="134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</row>
    <row r="374">
      <c r="A374" s="134"/>
      <c r="B374" s="134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</row>
    <row r="375">
      <c r="A375" s="134"/>
      <c r="B375" s="134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</row>
    <row r="376">
      <c r="A376" s="134"/>
      <c r="B376" s="134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</row>
    <row r="377">
      <c r="A377" s="134"/>
      <c r="B377" s="134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</row>
    <row r="378">
      <c r="A378" s="134"/>
      <c r="B378" s="134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</row>
    <row r="379">
      <c r="A379" s="134"/>
      <c r="B379" s="134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</row>
    <row r="380">
      <c r="A380" s="134"/>
      <c r="B380" s="134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</row>
    <row r="381">
      <c r="A381" s="134"/>
      <c r="B381" s="134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</row>
    <row r="382">
      <c r="A382" s="134"/>
      <c r="B382" s="134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</row>
    <row r="383">
      <c r="A383" s="134"/>
      <c r="B383" s="134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</row>
    <row r="384">
      <c r="A384" s="134"/>
      <c r="B384" s="134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</row>
    <row r="385">
      <c r="A385" s="134"/>
      <c r="B385" s="134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</row>
    <row r="386">
      <c r="A386" s="134"/>
      <c r="B386" s="134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</row>
    <row r="387">
      <c r="A387" s="134"/>
      <c r="B387" s="134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</row>
    <row r="388">
      <c r="A388" s="134"/>
      <c r="B388" s="134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</row>
    <row r="389">
      <c r="A389" s="134"/>
      <c r="B389" s="134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</row>
    <row r="390">
      <c r="A390" s="134"/>
      <c r="B390" s="134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</row>
    <row r="391">
      <c r="A391" s="134"/>
      <c r="B391" s="134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</row>
    <row r="392">
      <c r="A392" s="134"/>
      <c r="B392" s="134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</row>
    <row r="393">
      <c r="A393" s="134"/>
      <c r="B393" s="134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</row>
    <row r="394">
      <c r="A394" s="134"/>
      <c r="B394" s="134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</row>
    <row r="395">
      <c r="A395" s="134"/>
      <c r="B395" s="134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</row>
    <row r="396">
      <c r="A396" s="134"/>
      <c r="B396" s="134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</row>
    <row r="397">
      <c r="A397" s="134"/>
      <c r="B397" s="134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</row>
    <row r="398">
      <c r="A398" s="134"/>
      <c r="B398" s="134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</row>
    <row r="399">
      <c r="A399" s="134"/>
      <c r="B399" s="134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</row>
    <row r="400">
      <c r="A400" s="134"/>
      <c r="B400" s="134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</row>
    <row r="401">
      <c r="A401" s="134"/>
      <c r="B401" s="134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</row>
    <row r="402">
      <c r="A402" s="134"/>
      <c r="B402" s="134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</row>
    <row r="403">
      <c r="A403" s="134"/>
      <c r="B403" s="134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</row>
    <row r="404">
      <c r="A404" s="134"/>
      <c r="B404" s="134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</row>
    <row r="405">
      <c r="A405" s="134"/>
      <c r="B405" s="134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</row>
    <row r="406">
      <c r="A406" s="134"/>
      <c r="B406" s="134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</row>
    <row r="407">
      <c r="A407" s="134"/>
      <c r="B407" s="134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</row>
    <row r="408">
      <c r="A408" s="134"/>
      <c r="B408" s="134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</row>
    <row r="409">
      <c r="A409" s="134"/>
      <c r="B409" s="134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</row>
    <row r="410">
      <c r="A410" s="134"/>
      <c r="B410" s="134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</row>
    <row r="411">
      <c r="A411" s="134"/>
      <c r="B411" s="134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</row>
    <row r="412">
      <c r="A412" s="134"/>
      <c r="B412" s="134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</row>
    <row r="413">
      <c r="A413" s="134"/>
      <c r="B413" s="134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</row>
    <row r="414">
      <c r="A414" s="134"/>
      <c r="B414" s="134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</row>
    <row r="415">
      <c r="A415" s="134"/>
      <c r="B415" s="134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</row>
    <row r="416">
      <c r="A416" s="134"/>
      <c r="B416" s="134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</row>
    <row r="417">
      <c r="A417" s="134"/>
      <c r="B417" s="134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</row>
    <row r="418">
      <c r="A418" s="134"/>
      <c r="B418" s="134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</row>
    <row r="419">
      <c r="A419" s="134"/>
      <c r="B419" s="134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</row>
    <row r="420">
      <c r="A420" s="134"/>
      <c r="B420" s="134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</row>
    <row r="421">
      <c r="A421" s="134"/>
      <c r="B421" s="134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</row>
    <row r="422">
      <c r="A422" s="134"/>
      <c r="B422" s="134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</row>
    <row r="423">
      <c r="A423" s="134"/>
      <c r="B423" s="134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</row>
    <row r="424">
      <c r="A424" s="134"/>
      <c r="B424" s="134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</row>
    <row r="425">
      <c r="A425" s="134"/>
      <c r="B425" s="134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</row>
    <row r="426">
      <c r="A426" s="134"/>
      <c r="B426" s="134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</row>
    <row r="427">
      <c r="A427" s="134"/>
      <c r="B427" s="134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</row>
    <row r="428">
      <c r="A428" s="134"/>
      <c r="B428" s="134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</row>
    <row r="429">
      <c r="A429" s="134"/>
      <c r="B429" s="134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</row>
    <row r="430">
      <c r="A430" s="134"/>
      <c r="B430" s="134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</row>
    <row r="431">
      <c r="A431" s="134"/>
      <c r="B431" s="134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</row>
    <row r="432">
      <c r="A432" s="134"/>
      <c r="B432" s="134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</row>
    <row r="433">
      <c r="A433" s="134"/>
      <c r="B433" s="134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</row>
    <row r="434">
      <c r="A434" s="134"/>
      <c r="B434" s="134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</row>
    <row r="435">
      <c r="A435" s="134"/>
      <c r="B435" s="134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</row>
    <row r="436">
      <c r="A436" s="134"/>
      <c r="B436" s="134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</row>
    <row r="437">
      <c r="A437" s="134"/>
      <c r="B437" s="134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</row>
    <row r="438">
      <c r="A438" s="134"/>
      <c r="B438" s="134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</row>
    <row r="439">
      <c r="A439" s="134"/>
      <c r="B439" s="134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</row>
    <row r="440">
      <c r="A440" s="134"/>
      <c r="B440" s="134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</row>
    <row r="441">
      <c r="A441" s="134"/>
      <c r="B441" s="134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</row>
    <row r="442">
      <c r="A442" s="134"/>
      <c r="B442" s="134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</row>
    <row r="443">
      <c r="A443" s="134"/>
      <c r="B443" s="134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</row>
    <row r="444">
      <c r="A444" s="134"/>
      <c r="B444" s="134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</row>
    <row r="445">
      <c r="A445" s="134"/>
      <c r="B445" s="134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</row>
    <row r="446">
      <c r="A446" s="134"/>
      <c r="B446" s="134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</row>
    <row r="447">
      <c r="A447" s="134"/>
      <c r="B447" s="134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</row>
    <row r="448">
      <c r="A448" s="134"/>
      <c r="B448" s="134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</row>
    <row r="449">
      <c r="A449" s="134"/>
      <c r="B449" s="134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</row>
    <row r="450">
      <c r="A450" s="134"/>
      <c r="B450" s="134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</row>
    <row r="451">
      <c r="A451" s="134"/>
      <c r="B451" s="134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</row>
    <row r="452">
      <c r="A452" s="134"/>
      <c r="B452" s="134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</row>
    <row r="453">
      <c r="A453" s="134"/>
      <c r="B453" s="134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</row>
    <row r="454">
      <c r="A454" s="134"/>
      <c r="B454" s="134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</row>
    <row r="455">
      <c r="A455" s="134"/>
      <c r="B455" s="134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</row>
    <row r="456">
      <c r="A456" s="134"/>
      <c r="B456" s="134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</row>
    <row r="457">
      <c r="A457" s="134"/>
      <c r="B457" s="134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</row>
    <row r="458">
      <c r="A458" s="134"/>
      <c r="B458" s="134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</row>
    <row r="459">
      <c r="A459" s="134"/>
      <c r="B459" s="134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</row>
    <row r="460">
      <c r="A460" s="134"/>
      <c r="B460" s="134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</row>
    <row r="461">
      <c r="A461" s="134"/>
      <c r="B461" s="134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</row>
    <row r="462">
      <c r="A462" s="134"/>
      <c r="B462" s="134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</row>
    <row r="463">
      <c r="A463" s="134"/>
      <c r="B463" s="134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</row>
    <row r="464">
      <c r="A464" s="134"/>
      <c r="B464" s="134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</row>
    <row r="465">
      <c r="A465" s="134"/>
      <c r="B465" s="134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</row>
    <row r="466">
      <c r="A466" s="134"/>
      <c r="B466" s="134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</row>
    <row r="467">
      <c r="A467" s="134"/>
      <c r="B467" s="134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</row>
    <row r="468">
      <c r="A468" s="134"/>
      <c r="B468" s="134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</row>
    <row r="469">
      <c r="A469" s="134"/>
      <c r="B469" s="134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</row>
    <row r="470">
      <c r="A470" s="134"/>
      <c r="B470" s="134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</row>
    <row r="471">
      <c r="A471" s="134"/>
      <c r="B471" s="134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</row>
    <row r="472">
      <c r="A472" s="134"/>
      <c r="B472" s="134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</row>
    <row r="473">
      <c r="A473" s="134"/>
      <c r="B473" s="134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</row>
    <row r="474">
      <c r="A474" s="134"/>
      <c r="B474" s="134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</row>
    <row r="475">
      <c r="A475" s="134"/>
      <c r="B475" s="134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</row>
    <row r="476">
      <c r="A476" s="134"/>
      <c r="B476" s="134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</row>
    <row r="477">
      <c r="A477" s="134"/>
      <c r="B477" s="134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</row>
    <row r="478">
      <c r="A478" s="134"/>
      <c r="B478" s="134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</row>
    <row r="479">
      <c r="A479" s="134"/>
      <c r="B479" s="134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</row>
    <row r="480">
      <c r="A480" s="134"/>
      <c r="B480" s="134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</row>
    <row r="481">
      <c r="A481" s="134"/>
      <c r="B481" s="134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</row>
    <row r="482">
      <c r="A482" s="134"/>
      <c r="B482" s="134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</row>
    <row r="483">
      <c r="A483" s="134"/>
      <c r="B483" s="134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</row>
    <row r="484">
      <c r="A484" s="134"/>
      <c r="B484" s="134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</row>
    <row r="485">
      <c r="A485" s="134"/>
      <c r="B485" s="134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</row>
    <row r="486">
      <c r="A486" s="134"/>
      <c r="B486" s="134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</row>
    <row r="487">
      <c r="A487" s="134"/>
      <c r="B487" s="134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</row>
    <row r="488">
      <c r="A488" s="134"/>
      <c r="B488" s="134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</row>
    <row r="489">
      <c r="A489" s="134"/>
      <c r="B489" s="134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</row>
    <row r="490">
      <c r="A490" s="134"/>
      <c r="B490" s="134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</row>
    <row r="491">
      <c r="A491" s="134"/>
      <c r="B491" s="134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</row>
    <row r="492">
      <c r="A492" s="134"/>
      <c r="B492" s="134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</row>
    <row r="493">
      <c r="A493" s="134"/>
      <c r="B493" s="134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</row>
    <row r="494">
      <c r="A494" s="134"/>
      <c r="B494" s="134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</row>
    <row r="495">
      <c r="A495" s="134"/>
      <c r="B495" s="134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</row>
    <row r="496">
      <c r="A496" s="134"/>
      <c r="B496" s="134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</row>
    <row r="497">
      <c r="A497" s="134"/>
      <c r="B497" s="134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</row>
    <row r="498">
      <c r="A498" s="134"/>
      <c r="B498" s="134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</row>
    <row r="499">
      <c r="A499" s="134"/>
      <c r="B499" s="134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</row>
    <row r="500">
      <c r="A500" s="134"/>
      <c r="B500" s="134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</row>
    <row r="501">
      <c r="A501" s="134"/>
      <c r="B501" s="134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</row>
    <row r="502">
      <c r="A502" s="134"/>
      <c r="B502" s="134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</row>
    <row r="503">
      <c r="A503" s="134"/>
      <c r="B503" s="134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</row>
    <row r="504">
      <c r="A504" s="134"/>
      <c r="B504" s="134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</row>
    <row r="505">
      <c r="A505" s="134"/>
      <c r="B505" s="134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</row>
    <row r="506">
      <c r="A506" s="134"/>
      <c r="B506" s="134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</row>
    <row r="507">
      <c r="A507" s="134"/>
      <c r="B507" s="134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</row>
    <row r="508">
      <c r="A508" s="134"/>
      <c r="B508" s="134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</row>
    <row r="509">
      <c r="A509" s="134"/>
      <c r="B509" s="134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</row>
    <row r="510">
      <c r="A510" s="134"/>
      <c r="B510" s="134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</row>
    <row r="511">
      <c r="A511" s="134"/>
      <c r="B511" s="134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</row>
    <row r="512">
      <c r="A512" s="134"/>
      <c r="B512" s="134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</row>
    <row r="513">
      <c r="A513" s="134"/>
      <c r="B513" s="134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</row>
    <row r="514">
      <c r="A514" s="134"/>
      <c r="B514" s="134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</row>
    <row r="515">
      <c r="A515" s="134"/>
      <c r="B515" s="134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</row>
    <row r="516">
      <c r="A516" s="134"/>
      <c r="B516" s="134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</row>
    <row r="517">
      <c r="A517" s="134"/>
      <c r="B517" s="134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</row>
    <row r="518">
      <c r="A518" s="134"/>
      <c r="B518" s="134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</row>
    <row r="519">
      <c r="A519" s="134"/>
      <c r="B519" s="134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</row>
    <row r="520">
      <c r="A520" s="134"/>
      <c r="B520" s="134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</row>
    <row r="521">
      <c r="A521" s="134"/>
      <c r="B521" s="134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</row>
    <row r="522">
      <c r="A522" s="134"/>
      <c r="B522" s="134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</row>
    <row r="523">
      <c r="A523" s="134"/>
      <c r="B523" s="134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</row>
    <row r="524">
      <c r="A524" s="134"/>
      <c r="B524" s="134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</row>
    <row r="525">
      <c r="A525" s="134"/>
      <c r="B525" s="134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</row>
    <row r="526">
      <c r="A526" s="134"/>
      <c r="B526" s="134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</row>
    <row r="527">
      <c r="A527" s="134"/>
      <c r="B527" s="134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</row>
    <row r="528">
      <c r="A528" s="134"/>
      <c r="B528" s="134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</row>
    <row r="529">
      <c r="A529" s="134"/>
      <c r="B529" s="134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</row>
    <row r="530">
      <c r="A530" s="134"/>
      <c r="B530" s="134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</row>
    <row r="531">
      <c r="A531" s="134"/>
      <c r="B531" s="134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</row>
    <row r="532">
      <c r="A532" s="134"/>
      <c r="B532" s="134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</row>
    <row r="533">
      <c r="A533" s="134"/>
      <c r="B533" s="134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</row>
    <row r="534">
      <c r="A534" s="134"/>
      <c r="B534" s="134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</row>
    <row r="535">
      <c r="A535" s="134"/>
      <c r="B535" s="134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</row>
    <row r="536">
      <c r="A536" s="134"/>
      <c r="B536" s="134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</row>
    <row r="537">
      <c r="A537" s="134"/>
      <c r="B537" s="134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</row>
    <row r="538">
      <c r="A538" s="134"/>
      <c r="B538" s="134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</row>
    <row r="539">
      <c r="A539" s="134"/>
      <c r="B539" s="134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</row>
    <row r="540">
      <c r="A540" s="134"/>
      <c r="B540" s="134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</row>
    <row r="541">
      <c r="A541" s="134"/>
      <c r="B541" s="134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</row>
    <row r="542">
      <c r="A542" s="134"/>
      <c r="B542" s="134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</row>
    <row r="543">
      <c r="A543" s="134"/>
      <c r="B543" s="134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</row>
    <row r="544">
      <c r="A544" s="134"/>
      <c r="B544" s="134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</row>
    <row r="545">
      <c r="A545" s="134"/>
      <c r="B545" s="134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</row>
    <row r="546">
      <c r="A546" s="134"/>
      <c r="B546" s="134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</row>
    <row r="547">
      <c r="A547" s="134"/>
      <c r="B547" s="134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</row>
    <row r="548">
      <c r="A548" s="134"/>
      <c r="B548" s="134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</row>
    <row r="549">
      <c r="A549" s="134"/>
      <c r="B549" s="134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</row>
    <row r="550">
      <c r="A550" s="134"/>
      <c r="B550" s="134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</row>
    <row r="551">
      <c r="A551" s="134"/>
      <c r="B551" s="134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</row>
    <row r="552">
      <c r="A552" s="134"/>
      <c r="B552" s="134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</row>
    <row r="553">
      <c r="A553" s="134"/>
      <c r="B553" s="134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</row>
    <row r="554">
      <c r="A554" s="134"/>
      <c r="B554" s="134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</row>
    <row r="555">
      <c r="A555" s="134"/>
      <c r="B555" s="134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</row>
    <row r="556">
      <c r="A556" s="134"/>
      <c r="B556" s="134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</row>
    <row r="557">
      <c r="A557" s="134"/>
      <c r="B557" s="134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</row>
    <row r="558">
      <c r="A558" s="134"/>
      <c r="B558" s="134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</row>
    <row r="559">
      <c r="A559" s="134"/>
      <c r="B559" s="134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</row>
    <row r="560">
      <c r="A560" s="134"/>
      <c r="B560" s="134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</row>
    <row r="561">
      <c r="A561" s="134"/>
      <c r="B561" s="134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</row>
    <row r="562">
      <c r="A562" s="134"/>
      <c r="B562" s="134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</row>
    <row r="563">
      <c r="A563" s="134"/>
      <c r="B563" s="134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</row>
    <row r="564">
      <c r="A564" s="134"/>
      <c r="B564" s="134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</row>
    <row r="565">
      <c r="A565" s="134"/>
      <c r="B565" s="134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</row>
    <row r="566">
      <c r="A566" s="134"/>
      <c r="B566" s="134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</row>
    <row r="567">
      <c r="A567" s="134"/>
      <c r="B567" s="134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</row>
    <row r="568">
      <c r="A568" s="134"/>
      <c r="B568" s="134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</row>
    <row r="569">
      <c r="A569" s="134"/>
      <c r="B569" s="134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</row>
    <row r="570">
      <c r="A570" s="134"/>
      <c r="B570" s="134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</row>
    <row r="571">
      <c r="A571" s="134"/>
      <c r="B571" s="134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</row>
    <row r="572">
      <c r="A572" s="134"/>
      <c r="B572" s="134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</row>
    <row r="573">
      <c r="A573" s="134"/>
      <c r="B573" s="134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</row>
    <row r="574">
      <c r="A574" s="134"/>
      <c r="B574" s="134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</row>
    <row r="575">
      <c r="A575" s="134"/>
      <c r="B575" s="134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</row>
    <row r="576">
      <c r="A576" s="134"/>
      <c r="B576" s="134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</row>
    <row r="577">
      <c r="A577" s="134"/>
      <c r="B577" s="134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</row>
    <row r="578">
      <c r="A578" s="134"/>
      <c r="B578" s="134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</row>
    <row r="579">
      <c r="A579" s="134"/>
      <c r="B579" s="134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</row>
    <row r="580">
      <c r="A580" s="134"/>
      <c r="B580" s="134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</row>
    <row r="581">
      <c r="A581" s="134"/>
      <c r="B581" s="134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</row>
    <row r="582">
      <c r="A582" s="134"/>
      <c r="B582" s="134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</row>
    <row r="583">
      <c r="A583" s="134"/>
      <c r="B583" s="134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</row>
    <row r="584">
      <c r="A584" s="134"/>
      <c r="B584" s="134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</row>
    <row r="585">
      <c r="A585" s="134"/>
      <c r="B585" s="134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</row>
    <row r="586">
      <c r="A586" s="134"/>
      <c r="B586" s="134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</row>
    <row r="587">
      <c r="A587" s="134"/>
      <c r="B587" s="134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</row>
    <row r="588">
      <c r="A588" s="134"/>
      <c r="B588" s="134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</row>
    <row r="589">
      <c r="A589" s="134"/>
      <c r="B589" s="134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</row>
    <row r="590">
      <c r="A590" s="134"/>
      <c r="B590" s="134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</row>
    <row r="591">
      <c r="A591" s="134"/>
      <c r="B591" s="134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</row>
    <row r="592">
      <c r="A592" s="134"/>
      <c r="B592" s="134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</row>
    <row r="593">
      <c r="A593" s="134"/>
      <c r="B593" s="134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</row>
    <row r="594">
      <c r="A594" s="134"/>
      <c r="B594" s="134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</row>
    <row r="595">
      <c r="A595" s="134"/>
      <c r="B595" s="134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</row>
    <row r="596">
      <c r="A596" s="134"/>
      <c r="B596" s="134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</row>
    <row r="597">
      <c r="A597" s="134"/>
      <c r="B597" s="134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</row>
    <row r="598">
      <c r="A598" s="134"/>
      <c r="B598" s="134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</row>
    <row r="599">
      <c r="A599" s="134"/>
      <c r="B599" s="134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</row>
    <row r="600">
      <c r="A600" s="134"/>
      <c r="B600" s="134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</row>
    <row r="601">
      <c r="A601" s="134"/>
      <c r="B601" s="134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</row>
    <row r="602">
      <c r="A602" s="134"/>
      <c r="B602" s="134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</row>
    <row r="603">
      <c r="A603" s="134"/>
      <c r="B603" s="134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</row>
    <row r="604">
      <c r="A604" s="134"/>
      <c r="B604" s="134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</row>
    <row r="605">
      <c r="A605" s="134"/>
      <c r="B605" s="134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</row>
    <row r="606">
      <c r="A606" s="134"/>
      <c r="B606" s="134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</row>
    <row r="607">
      <c r="A607" s="134"/>
      <c r="B607" s="134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</row>
    <row r="608">
      <c r="A608" s="134"/>
      <c r="B608" s="134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</row>
    <row r="609">
      <c r="A609" s="134"/>
      <c r="B609" s="134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</row>
    <row r="610">
      <c r="A610" s="134"/>
      <c r="B610" s="134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</row>
    <row r="611">
      <c r="A611" s="134"/>
      <c r="B611" s="134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</row>
    <row r="612">
      <c r="A612" s="134"/>
      <c r="B612" s="134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</row>
    <row r="613">
      <c r="A613" s="134"/>
      <c r="B613" s="134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</row>
    <row r="614">
      <c r="A614" s="134"/>
      <c r="B614" s="134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</row>
    <row r="615">
      <c r="A615" s="134"/>
      <c r="B615" s="134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</row>
    <row r="616">
      <c r="A616" s="134"/>
      <c r="B616" s="134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</row>
    <row r="617">
      <c r="A617" s="134"/>
      <c r="B617" s="134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</row>
    <row r="618">
      <c r="A618" s="134"/>
      <c r="B618" s="134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</row>
    <row r="619">
      <c r="A619" s="134"/>
      <c r="B619" s="134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</row>
    <row r="620">
      <c r="A620" s="134"/>
      <c r="B620" s="134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</row>
    <row r="621">
      <c r="A621" s="134"/>
      <c r="B621" s="134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</row>
    <row r="622">
      <c r="A622" s="134"/>
      <c r="B622" s="134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</row>
    <row r="623">
      <c r="A623" s="134"/>
      <c r="B623" s="134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</row>
    <row r="624">
      <c r="A624" s="134"/>
      <c r="B624" s="134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</row>
    <row r="625">
      <c r="A625" s="134"/>
      <c r="B625" s="134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</row>
    <row r="626">
      <c r="A626" s="134"/>
      <c r="B626" s="134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</row>
    <row r="627">
      <c r="A627" s="134"/>
      <c r="B627" s="134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</row>
    <row r="628">
      <c r="A628" s="134"/>
      <c r="B628" s="134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</row>
    <row r="629">
      <c r="A629" s="134"/>
      <c r="B629" s="134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</row>
    <row r="630">
      <c r="A630" s="134"/>
      <c r="B630" s="134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</row>
    <row r="631">
      <c r="A631" s="134"/>
      <c r="B631" s="134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</row>
    <row r="632">
      <c r="A632" s="134"/>
      <c r="B632" s="134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</row>
    <row r="633">
      <c r="A633" s="134"/>
      <c r="B633" s="134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</row>
    <row r="634">
      <c r="A634" s="134"/>
      <c r="B634" s="134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</row>
    <row r="635">
      <c r="A635" s="134"/>
      <c r="B635" s="134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</row>
    <row r="636">
      <c r="A636" s="134"/>
      <c r="B636" s="134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</row>
    <row r="637">
      <c r="A637" s="134"/>
      <c r="B637" s="134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</row>
    <row r="638">
      <c r="A638" s="134"/>
      <c r="B638" s="134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</row>
    <row r="639">
      <c r="A639" s="134"/>
      <c r="B639" s="134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</row>
    <row r="640">
      <c r="A640" s="134"/>
      <c r="B640" s="134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</row>
    <row r="641">
      <c r="A641" s="134"/>
      <c r="B641" s="134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</row>
    <row r="642">
      <c r="A642" s="134"/>
      <c r="B642" s="134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</row>
    <row r="643">
      <c r="A643" s="134"/>
      <c r="B643" s="134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</row>
    <row r="644">
      <c r="A644" s="134"/>
      <c r="B644" s="134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</row>
    <row r="645">
      <c r="A645" s="134"/>
      <c r="B645" s="134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</row>
    <row r="646">
      <c r="A646" s="134"/>
      <c r="B646" s="134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</row>
    <row r="647">
      <c r="A647" s="134"/>
      <c r="B647" s="134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</row>
    <row r="648">
      <c r="A648" s="134"/>
      <c r="B648" s="134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</row>
    <row r="649">
      <c r="A649" s="134"/>
      <c r="B649" s="134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</row>
    <row r="650">
      <c r="A650" s="134"/>
      <c r="B650" s="134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</row>
    <row r="651">
      <c r="A651" s="134"/>
      <c r="B651" s="134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</row>
    <row r="652">
      <c r="A652" s="134"/>
      <c r="B652" s="134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</row>
    <row r="653">
      <c r="A653" s="134"/>
      <c r="B653" s="134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</row>
    <row r="654">
      <c r="A654" s="134"/>
      <c r="B654" s="134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</row>
    <row r="655">
      <c r="A655" s="134"/>
      <c r="B655" s="134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</row>
    <row r="656">
      <c r="A656" s="134"/>
      <c r="B656" s="134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</row>
    <row r="657">
      <c r="A657" s="134"/>
      <c r="B657" s="134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</row>
    <row r="658">
      <c r="A658" s="134"/>
      <c r="B658" s="134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</row>
    <row r="659">
      <c r="A659" s="134"/>
      <c r="B659" s="134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</row>
    <row r="660">
      <c r="A660" s="134"/>
      <c r="B660" s="134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</row>
    <row r="661">
      <c r="A661" s="134"/>
      <c r="B661" s="134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</row>
    <row r="662">
      <c r="A662" s="134"/>
      <c r="B662" s="134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</row>
    <row r="663">
      <c r="A663" s="134"/>
      <c r="B663" s="134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</row>
    <row r="664">
      <c r="A664" s="134"/>
      <c r="B664" s="134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</row>
    <row r="665">
      <c r="A665" s="134"/>
      <c r="B665" s="134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</row>
    <row r="666">
      <c r="A666" s="134"/>
      <c r="B666" s="134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</row>
    <row r="667">
      <c r="A667" s="134"/>
      <c r="B667" s="134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</row>
    <row r="668">
      <c r="A668" s="134"/>
      <c r="B668" s="134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</row>
    <row r="669">
      <c r="A669" s="134"/>
      <c r="B669" s="134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</row>
    <row r="670">
      <c r="A670" s="134"/>
      <c r="B670" s="134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</row>
    <row r="671">
      <c r="A671" s="134"/>
      <c r="B671" s="134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</row>
    <row r="672">
      <c r="A672" s="134"/>
      <c r="B672" s="134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</row>
    <row r="673">
      <c r="A673" s="134"/>
      <c r="B673" s="134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</row>
    <row r="674">
      <c r="A674" s="134"/>
      <c r="B674" s="134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</row>
    <row r="675">
      <c r="A675" s="134"/>
      <c r="B675" s="134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</row>
    <row r="676">
      <c r="A676" s="134"/>
      <c r="B676" s="134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</row>
    <row r="677">
      <c r="A677" s="134"/>
      <c r="B677" s="134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</row>
    <row r="678">
      <c r="A678" s="134"/>
      <c r="B678" s="134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</row>
    <row r="679">
      <c r="A679" s="134"/>
      <c r="B679" s="134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</row>
    <row r="680">
      <c r="A680" s="134"/>
      <c r="B680" s="134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</row>
    <row r="681">
      <c r="A681" s="134"/>
      <c r="B681" s="134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</row>
    <row r="682">
      <c r="A682" s="134"/>
      <c r="B682" s="134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</row>
    <row r="683">
      <c r="A683" s="134"/>
      <c r="B683" s="134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</row>
    <row r="684">
      <c r="A684" s="134"/>
      <c r="B684" s="134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</row>
    <row r="685">
      <c r="A685" s="134"/>
      <c r="B685" s="134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</row>
    <row r="686">
      <c r="A686" s="134"/>
      <c r="B686" s="134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</row>
    <row r="687">
      <c r="A687" s="134"/>
      <c r="B687" s="134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</row>
    <row r="688">
      <c r="A688" s="134"/>
      <c r="B688" s="134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</row>
    <row r="689">
      <c r="A689" s="134"/>
      <c r="B689" s="134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</row>
    <row r="690">
      <c r="A690" s="134"/>
      <c r="B690" s="134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</row>
    <row r="691">
      <c r="A691" s="134"/>
      <c r="B691" s="134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</row>
    <row r="692">
      <c r="A692" s="134"/>
      <c r="B692" s="134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</row>
    <row r="693">
      <c r="A693" s="134"/>
      <c r="B693" s="134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</row>
    <row r="694">
      <c r="A694" s="134"/>
      <c r="B694" s="134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</row>
    <row r="695">
      <c r="A695" s="134"/>
      <c r="B695" s="134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</row>
    <row r="696">
      <c r="A696" s="134"/>
      <c r="B696" s="134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</row>
    <row r="697">
      <c r="A697" s="134"/>
      <c r="B697" s="134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</row>
    <row r="698">
      <c r="A698" s="134"/>
      <c r="B698" s="134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</row>
    <row r="699">
      <c r="A699" s="134"/>
      <c r="B699" s="134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</row>
    <row r="700">
      <c r="A700" s="134"/>
      <c r="B700" s="134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</row>
    <row r="701">
      <c r="A701" s="134"/>
      <c r="B701" s="134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</row>
    <row r="702">
      <c r="A702" s="134"/>
      <c r="B702" s="134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</row>
    <row r="703">
      <c r="A703" s="134"/>
      <c r="B703" s="134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</row>
    <row r="704">
      <c r="A704" s="134"/>
      <c r="B704" s="134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</row>
    <row r="705">
      <c r="A705" s="134"/>
      <c r="B705" s="134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</row>
    <row r="706">
      <c r="A706" s="134"/>
      <c r="B706" s="134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</row>
    <row r="707">
      <c r="A707" s="134"/>
      <c r="B707" s="134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</row>
    <row r="708">
      <c r="A708" s="134"/>
      <c r="B708" s="134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</row>
    <row r="709">
      <c r="A709" s="134"/>
      <c r="B709" s="134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</row>
    <row r="710">
      <c r="A710" s="134"/>
      <c r="B710" s="134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</row>
    <row r="711">
      <c r="A711" s="134"/>
      <c r="B711" s="134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</row>
    <row r="712">
      <c r="A712" s="134"/>
      <c r="B712" s="134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</row>
    <row r="713">
      <c r="A713" s="134"/>
      <c r="B713" s="134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</row>
    <row r="714">
      <c r="A714" s="134"/>
      <c r="B714" s="134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</row>
    <row r="715">
      <c r="A715" s="134"/>
      <c r="B715" s="134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</row>
    <row r="716">
      <c r="A716" s="134"/>
      <c r="B716" s="134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</row>
    <row r="717">
      <c r="A717" s="134"/>
      <c r="B717" s="134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</row>
    <row r="718">
      <c r="A718" s="134"/>
      <c r="B718" s="134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</row>
    <row r="719">
      <c r="A719" s="134"/>
      <c r="B719" s="134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</row>
    <row r="720">
      <c r="A720" s="134"/>
      <c r="B720" s="134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</row>
    <row r="721">
      <c r="A721" s="134"/>
      <c r="B721" s="134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</row>
    <row r="722">
      <c r="A722" s="134"/>
      <c r="B722" s="134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</row>
    <row r="723">
      <c r="A723" s="134"/>
      <c r="B723" s="134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</row>
    <row r="724">
      <c r="A724" s="134"/>
      <c r="B724" s="134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</row>
    <row r="725">
      <c r="A725" s="134"/>
      <c r="B725" s="134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</row>
    <row r="726">
      <c r="A726" s="134"/>
      <c r="B726" s="134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</row>
    <row r="727">
      <c r="A727" s="134"/>
      <c r="B727" s="134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</row>
    <row r="728">
      <c r="A728" s="134"/>
      <c r="B728" s="134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</row>
    <row r="729">
      <c r="A729" s="134"/>
      <c r="B729" s="134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</row>
    <row r="730">
      <c r="A730" s="134"/>
      <c r="B730" s="134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</row>
    <row r="731">
      <c r="A731" s="134"/>
      <c r="B731" s="134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</row>
    <row r="732">
      <c r="A732" s="134"/>
      <c r="B732" s="134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</row>
    <row r="733">
      <c r="A733" s="134"/>
      <c r="B733" s="134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</row>
    <row r="734">
      <c r="A734" s="134"/>
      <c r="B734" s="134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</row>
    <row r="735">
      <c r="A735" s="134"/>
      <c r="B735" s="134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</row>
    <row r="736">
      <c r="A736" s="134"/>
      <c r="B736" s="134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</row>
    <row r="737">
      <c r="A737" s="134"/>
      <c r="B737" s="134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</row>
    <row r="738">
      <c r="A738" s="134"/>
      <c r="B738" s="134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</row>
    <row r="739">
      <c r="A739" s="134"/>
      <c r="B739" s="134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</row>
    <row r="740">
      <c r="A740" s="134"/>
      <c r="B740" s="134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</row>
    <row r="741">
      <c r="A741" s="134"/>
      <c r="B741" s="134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</row>
    <row r="742">
      <c r="A742" s="134"/>
      <c r="B742" s="134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</row>
    <row r="743">
      <c r="A743" s="134"/>
      <c r="B743" s="134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</row>
    <row r="744">
      <c r="A744" s="134"/>
      <c r="B744" s="134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</row>
    <row r="745">
      <c r="A745" s="134"/>
      <c r="B745" s="134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</row>
    <row r="746">
      <c r="A746" s="134"/>
      <c r="B746" s="134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</row>
    <row r="747">
      <c r="A747" s="134"/>
      <c r="B747" s="134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</row>
    <row r="748">
      <c r="A748" s="134"/>
      <c r="B748" s="134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</row>
    <row r="749">
      <c r="A749" s="134"/>
      <c r="B749" s="134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</row>
    <row r="750">
      <c r="A750" s="134"/>
      <c r="B750" s="134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</row>
    <row r="751">
      <c r="A751" s="134"/>
      <c r="B751" s="134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</row>
    <row r="752">
      <c r="A752" s="134"/>
      <c r="B752" s="134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</row>
    <row r="753">
      <c r="A753" s="134"/>
      <c r="B753" s="134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</row>
    <row r="754">
      <c r="A754" s="134"/>
      <c r="B754" s="134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</row>
    <row r="755">
      <c r="A755" s="134"/>
      <c r="B755" s="134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</row>
    <row r="756">
      <c r="A756" s="134"/>
      <c r="B756" s="134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</row>
    <row r="757">
      <c r="A757" s="134"/>
      <c r="B757" s="134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</row>
    <row r="758">
      <c r="A758" s="134"/>
      <c r="B758" s="134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</row>
    <row r="759">
      <c r="A759" s="134"/>
      <c r="B759" s="134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</row>
    <row r="760">
      <c r="A760" s="134"/>
      <c r="B760" s="134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</row>
    <row r="761">
      <c r="A761" s="134"/>
      <c r="B761" s="134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</row>
    <row r="762">
      <c r="A762" s="134"/>
      <c r="B762" s="134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</row>
    <row r="763">
      <c r="A763" s="134"/>
      <c r="B763" s="134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</row>
    <row r="764">
      <c r="A764" s="134"/>
      <c r="B764" s="134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</row>
    <row r="765">
      <c r="A765" s="134"/>
      <c r="B765" s="134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</row>
    <row r="766">
      <c r="A766" s="134"/>
      <c r="B766" s="134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</row>
    <row r="767">
      <c r="A767" s="134"/>
      <c r="B767" s="134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</row>
    <row r="768">
      <c r="A768" s="134"/>
      <c r="B768" s="134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</row>
    <row r="769">
      <c r="A769" s="134"/>
      <c r="B769" s="134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</row>
    <row r="770">
      <c r="A770" s="134"/>
      <c r="B770" s="134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</row>
    <row r="771">
      <c r="A771" s="134"/>
      <c r="B771" s="134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</row>
    <row r="772">
      <c r="A772" s="134"/>
      <c r="B772" s="134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</row>
    <row r="773">
      <c r="A773" s="134"/>
      <c r="B773" s="134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</row>
    <row r="774">
      <c r="A774" s="134"/>
      <c r="B774" s="134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</row>
    <row r="775">
      <c r="A775" s="134"/>
      <c r="B775" s="134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</row>
    <row r="776">
      <c r="A776" s="134"/>
      <c r="B776" s="134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</row>
    <row r="777">
      <c r="A777" s="134"/>
      <c r="B777" s="134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</row>
    <row r="778">
      <c r="A778" s="134"/>
      <c r="B778" s="134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</row>
    <row r="779">
      <c r="A779" s="134"/>
      <c r="B779" s="134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</row>
    <row r="780">
      <c r="A780" s="134"/>
      <c r="B780" s="134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</row>
    <row r="781">
      <c r="A781" s="134"/>
      <c r="B781" s="134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</row>
    <row r="782">
      <c r="A782" s="134"/>
      <c r="B782" s="134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</row>
    <row r="783">
      <c r="A783" s="134"/>
      <c r="B783" s="134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</row>
    <row r="784">
      <c r="A784" s="134"/>
      <c r="B784" s="134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</row>
    <row r="785">
      <c r="A785" s="134"/>
      <c r="B785" s="134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</row>
    <row r="786">
      <c r="A786" s="134"/>
      <c r="B786" s="134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</row>
    <row r="787">
      <c r="A787" s="134"/>
      <c r="B787" s="134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</row>
    <row r="788">
      <c r="A788" s="134"/>
      <c r="B788" s="134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</row>
    <row r="789">
      <c r="A789" s="134"/>
      <c r="B789" s="134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</row>
    <row r="790">
      <c r="A790" s="134"/>
      <c r="B790" s="134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</row>
    <row r="791">
      <c r="A791" s="134"/>
      <c r="B791" s="134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</row>
    <row r="792">
      <c r="A792" s="134"/>
      <c r="B792" s="134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</row>
    <row r="793">
      <c r="A793" s="134"/>
      <c r="B793" s="134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</row>
    <row r="794">
      <c r="A794" s="134"/>
      <c r="B794" s="134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</row>
    <row r="795">
      <c r="A795" s="134"/>
      <c r="B795" s="134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</row>
    <row r="796">
      <c r="A796" s="134"/>
      <c r="B796" s="134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</row>
    <row r="797">
      <c r="A797" s="134"/>
      <c r="B797" s="134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</row>
    <row r="798">
      <c r="A798" s="134"/>
      <c r="B798" s="134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</row>
    <row r="799">
      <c r="A799" s="134"/>
      <c r="B799" s="134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</row>
    <row r="800">
      <c r="A800" s="134"/>
      <c r="B800" s="134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</row>
    <row r="801">
      <c r="A801" s="134"/>
      <c r="B801" s="134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</row>
    <row r="802">
      <c r="A802" s="134"/>
      <c r="B802" s="134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</row>
    <row r="803">
      <c r="A803" s="134"/>
      <c r="B803" s="134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</row>
    <row r="804">
      <c r="A804" s="134"/>
      <c r="B804" s="134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</row>
    <row r="805">
      <c r="A805" s="134"/>
      <c r="B805" s="134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</row>
    <row r="806">
      <c r="A806" s="134"/>
      <c r="B806" s="134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</row>
    <row r="807">
      <c r="A807" s="134"/>
      <c r="B807" s="134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</row>
    <row r="808">
      <c r="A808" s="134"/>
      <c r="B808" s="134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</row>
    <row r="809">
      <c r="A809" s="134"/>
      <c r="B809" s="134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</row>
    <row r="810">
      <c r="A810" s="134"/>
      <c r="B810" s="134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</row>
    <row r="811">
      <c r="A811" s="134"/>
      <c r="B811" s="134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</row>
    <row r="812">
      <c r="A812" s="134"/>
      <c r="B812" s="134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</row>
    <row r="813">
      <c r="A813" s="134"/>
      <c r="B813" s="134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</row>
    <row r="814">
      <c r="A814" s="134"/>
      <c r="B814" s="134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</row>
    <row r="815">
      <c r="A815" s="134"/>
      <c r="B815" s="134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</row>
    <row r="816">
      <c r="A816" s="134"/>
      <c r="B816" s="134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</row>
    <row r="817">
      <c r="A817" s="134"/>
      <c r="B817" s="134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</row>
    <row r="818">
      <c r="A818" s="134"/>
      <c r="B818" s="134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</row>
    <row r="819">
      <c r="A819" s="134"/>
      <c r="B819" s="134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</row>
    <row r="820">
      <c r="A820" s="134"/>
      <c r="B820" s="134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</row>
    <row r="821">
      <c r="A821" s="134"/>
      <c r="B821" s="134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</row>
    <row r="822">
      <c r="A822" s="134"/>
      <c r="B822" s="134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</row>
    <row r="823">
      <c r="A823" s="134"/>
      <c r="B823" s="134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</row>
    <row r="824">
      <c r="A824" s="134"/>
      <c r="B824" s="134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</row>
    <row r="825">
      <c r="A825" s="134"/>
      <c r="B825" s="134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</row>
    <row r="826">
      <c r="A826" s="134"/>
      <c r="B826" s="134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</row>
    <row r="827">
      <c r="A827" s="134"/>
      <c r="B827" s="134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</row>
    <row r="828">
      <c r="A828" s="134"/>
      <c r="B828" s="134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</row>
    <row r="829">
      <c r="A829" s="134"/>
      <c r="B829" s="134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</row>
    <row r="830">
      <c r="A830" s="134"/>
      <c r="B830" s="134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</row>
    <row r="831">
      <c r="A831" s="134"/>
      <c r="B831" s="134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</row>
    <row r="832">
      <c r="A832" s="134"/>
      <c r="B832" s="134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</row>
    <row r="833">
      <c r="A833" s="134"/>
      <c r="B833" s="134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</row>
    <row r="834">
      <c r="A834" s="134"/>
      <c r="B834" s="134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</row>
    <row r="835">
      <c r="A835" s="134"/>
      <c r="B835" s="134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</row>
    <row r="836">
      <c r="A836" s="134"/>
      <c r="B836" s="134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</row>
    <row r="837">
      <c r="A837" s="134"/>
      <c r="B837" s="134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</row>
    <row r="838">
      <c r="A838" s="134"/>
      <c r="B838" s="134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</row>
    <row r="839">
      <c r="A839" s="134"/>
      <c r="B839" s="134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</row>
    <row r="840">
      <c r="A840" s="134"/>
      <c r="B840" s="134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</row>
    <row r="841">
      <c r="A841" s="134"/>
      <c r="B841" s="134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</row>
    <row r="842">
      <c r="A842" s="134"/>
      <c r="B842" s="134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</row>
    <row r="843">
      <c r="A843" s="134"/>
      <c r="B843" s="134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</row>
    <row r="844">
      <c r="A844" s="134"/>
      <c r="B844" s="134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</row>
    <row r="845">
      <c r="A845" s="134"/>
      <c r="B845" s="134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</row>
    <row r="846">
      <c r="A846" s="134"/>
      <c r="B846" s="134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</row>
    <row r="847">
      <c r="A847" s="134"/>
      <c r="B847" s="134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</row>
    <row r="848">
      <c r="A848" s="134"/>
      <c r="B848" s="134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</row>
    <row r="849">
      <c r="A849" s="134"/>
      <c r="B849" s="134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</row>
    <row r="850">
      <c r="A850" s="134"/>
      <c r="B850" s="134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</row>
    <row r="851">
      <c r="A851" s="134"/>
      <c r="B851" s="134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</row>
    <row r="852">
      <c r="A852" s="134"/>
      <c r="B852" s="134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</row>
    <row r="853">
      <c r="A853" s="134"/>
      <c r="B853" s="134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</row>
    <row r="854">
      <c r="A854" s="134"/>
      <c r="B854" s="134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</row>
    <row r="855">
      <c r="A855" s="134"/>
      <c r="B855" s="134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</row>
    <row r="856">
      <c r="A856" s="134"/>
      <c r="B856" s="134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</row>
    <row r="857">
      <c r="A857" s="134"/>
      <c r="B857" s="134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</row>
    <row r="858">
      <c r="A858" s="134"/>
      <c r="B858" s="134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</row>
    <row r="859">
      <c r="A859" s="134"/>
      <c r="B859" s="134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</row>
    <row r="860">
      <c r="A860" s="134"/>
      <c r="B860" s="134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</row>
    <row r="861">
      <c r="A861" s="134"/>
      <c r="B861" s="134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</row>
    <row r="862">
      <c r="A862" s="134"/>
      <c r="B862" s="134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</row>
    <row r="863">
      <c r="A863" s="134"/>
      <c r="B863" s="134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</row>
    <row r="864">
      <c r="A864" s="134"/>
      <c r="B864" s="134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</row>
    <row r="865">
      <c r="A865" s="134"/>
      <c r="B865" s="134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</row>
    <row r="866">
      <c r="A866" s="134"/>
      <c r="B866" s="134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</row>
    <row r="867">
      <c r="A867" s="134"/>
      <c r="B867" s="134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</row>
    <row r="868">
      <c r="A868" s="134"/>
      <c r="B868" s="134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</row>
    <row r="869">
      <c r="A869" s="134"/>
      <c r="B869" s="134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</row>
    <row r="870">
      <c r="A870" s="134"/>
      <c r="B870" s="134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</row>
    <row r="871">
      <c r="A871" s="134"/>
      <c r="B871" s="134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</row>
    <row r="872">
      <c r="A872" s="134"/>
      <c r="B872" s="134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</row>
    <row r="873">
      <c r="A873" s="134"/>
      <c r="B873" s="134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</row>
    <row r="874">
      <c r="A874" s="134"/>
      <c r="B874" s="134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</row>
    <row r="875">
      <c r="A875" s="134"/>
      <c r="B875" s="134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</row>
    <row r="876">
      <c r="A876" s="134"/>
      <c r="B876" s="134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</row>
    <row r="877">
      <c r="A877" s="134"/>
      <c r="B877" s="134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</row>
    <row r="878">
      <c r="A878" s="134"/>
      <c r="B878" s="134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</row>
    <row r="879">
      <c r="A879" s="134"/>
      <c r="B879" s="134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</row>
    <row r="880">
      <c r="A880" s="134"/>
      <c r="B880" s="134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</row>
    <row r="881">
      <c r="A881" s="134"/>
      <c r="B881" s="134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</row>
    <row r="882">
      <c r="A882" s="134"/>
      <c r="B882" s="134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</row>
    <row r="883">
      <c r="A883" s="134"/>
      <c r="B883" s="134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</row>
    <row r="884">
      <c r="A884" s="134"/>
      <c r="B884" s="134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</row>
    <row r="885">
      <c r="A885" s="134"/>
      <c r="B885" s="134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</row>
    <row r="886">
      <c r="A886" s="134"/>
      <c r="B886" s="134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</row>
    <row r="887">
      <c r="A887" s="134"/>
      <c r="B887" s="134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</row>
    <row r="888">
      <c r="A888" s="134"/>
      <c r="B888" s="134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</row>
    <row r="889">
      <c r="A889" s="134"/>
      <c r="B889" s="134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</row>
    <row r="890">
      <c r="A890" s="134"/>
      <c r="B890" s="134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</row>
    <row r="891">
      <c r="A891" s="134"/>
      <c r="B891" s="134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</row>
    <row r="892">
      <c r="A892" s="134"/>
      <c r="B892" s="134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</row>
    <row r="893">
      <c r="A893" s="134"/>
      <c r="B893" s="134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</row>
    <row r="894">
      <c r="A894" s="134"/>
      <c r="B894" s="134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</row>
    <row r="895">
      <c r="A895" s="134"/>
      <c r="B895" s="134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</row>
    <row r="896">
      <c r="A896" s="134"/>
      <c r="B896" s="134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</row>
    <row r="897">
      <c r="A897" s="134"/>
      <c r="B897" s="134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</row>
    <row r="898">
      <c r="A898" s="134"/>
      <c r="B898" s="134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</row>
    <row r="899">
      <c r="A899" s="134"/>
      <c r="B899" s="134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</row>
    <row r="900">
      <c r="A900" s="134"/>
      <c r="B900" s="134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</row>
    <row r="901">
      <c r="A901" s="134"/>
      <c r="B901" s="134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</row>
    <row r="902">
      <c r="A902" s="134"/>
      <c r="B902" s="134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</row>
    <row r="903">
      <c r="A903" s="134"/>
      <c r="B903" s="134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</row>
    <row r="904">
      <c r="A904" s="134"/>
      <c r="B904" s="134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</row>
    <row r="905">
      <c r="A905" s="134"/>
      <c r="B905" s="134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</row>
    <row r="906">
      <c r="A906" s="134"/>
      <c r="B906" s="134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</row>
    <row r="907">
      <c r="A907" s="134"/>
      <c r="B907" s="134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</row>
    <row r="908">
      <c r="A908" s="134"/>
      <c r="B908" s="134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</row>
    <row r="909">
      <c r="A909" s="134"/>
      <c r="B909" s="134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</row>
    <row r="910">
      <c r="A910" s="134"/>
      <c r="B910" s="134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</row>
    <row r="911">
      <c r="A911" s="134"/>
      <c r="B911" s="134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</row>
    <row r="912">
      <c r="A912" s="134"/>
      <c r="B912" s="134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</row>
    <row r="913">
      <c r="A913" s="134"/>
      <c r="B913" s="134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</row>
    <row r="914">
      <c r="A914" s="134"/>
      <c r="B914" s="134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</row>
    <row r="915">
      <c r="A915" s="134"/>
      <c r="B915" s="134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</row>
    <row r="916">
      <c r="A916" s="134"/>
      <c r="B916" s="134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</row>
    <row r="917">
      <c r="A917" s="134"/>
      <c r="B917" s="134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</row>
    <row r="918">
      <c r="A918" s="134"/>
      <c r="B918" s="134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</row>
    <row r="919">
      <c r="A919" s="134"/>
      <c r="B919" s="134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</row>
    <row r="920">
      <c r="A920" s="134"/>
      <c r="B920" s="134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</row>
    <row r="921">
      <c r="A921" s="134"/>
      <c r="B921" s="134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</row>
    <row r="922">
      <c r="A922" s="134"/>
      <c r="B922" s="134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</row>
    <row r="923">
      <c r="A923" s="134"/>
      <c r="B923" s="134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</row>
    <row r="924">
      <c r="A924" s="134"/>
      <c r="B924" s="134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</row>
    <row r="925">
      <c r="A925" s="134"/>
      <c r="B925" s="134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</row>
    <row r="926">
      <c r="A926" s="134"/>
      <c r="B926" s="134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</row>
    <row r="927">
      <c r="A927" s="134"/>
      <c r="B927" s="134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</row>
    <row r="928">
      <c r="A928" s="134"/>
      <c r="B928" s="134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</row>
    <row r="929">
      <c r="A929" s="134"/>
      <c r="B929" s="134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</row>
    <row r="930">
      <c r="A930" s="134"/>
      <c r="B930" s="134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</row>
    <row r="931">
      <c r="A931" s="134"/>
      <c r="B931" s="134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</row>
    <row r="932">
      <c r="A932" s="134"/>
      <c r="B932" s="134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</row>
    <row r="933">
      <c r="A933" s="134"/>
      <c r="B933" s="134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</row>
    <row r="934">
      <c r="A934" s="134"/>
      <c r="B934" s="134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</row>
    <row r="935">
      <c r="A935" s="134"/>
      <c r="B935" s="134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</row>
    <row r="936">
      <c r="A936" s="134"/>
      <c r="B936" s="134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</row>
    <row r="937">
      <c r="A937" s="134"/>
      <c r="B937" s="134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</row>
    <row r="938">
      <c r="A938" s="134"/>
      <c r="B938" s="134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</row>
    <row r="939">
      <c r="A939" s="134"/>
      <c r="B939" s="134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</row>
    <row r="940">
      <c r="A940" s="134"/>
      <c r="B940" s="134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</row>
    <row r="941">
      <c r="A941" s="134"/>
      <c r="B941" s="134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</row>
    <row r="942">
      <c r="A942" s="134"/>
      <c r="B942" s="134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</row>
    <row r="943">
      <c r="A943" s="134"/>
      <c r="B943" s="134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</row>
    <row r="944">
      <c r="A944" s="134"/>
      <c r="B944" s="134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</row>
    <row r="945">
      <c r="A945" s="134"/>
      <c r="B945" s="134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</row>
    <row r="946">
      <c r="A946" s="134"/>
      <c r="B946" s="134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</row>
    <row r="947">
      <c r="A947" s="134"/>
      <c r="B947" s="134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</row>
    <row r="948">
      <c r="A948" s="134"/>
      <c r="B948" s="134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</row>
    <row r="949">
      <c r="A949" s="134"/>
      <c r="B949" s="134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</row>
    <row r="950">
      <c r="A950" s="134"/>
      <c r="B950" s="134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</row>
    <row r="951">
      <c r="A951" s="134"/>
      <c r="B951" s="134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</row>
    <row r="952">
      <c r="A952" s="134"/>
      <c r="B952" s="134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</row>
    <row r="953">
      <c r="A953" s="134"/>
      <c r="B953" s="134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</row>
    <row r="954">
      <c r="A954" s="134"/>
      <c r="B954" s="134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</row>
    <row r="955">
      <c r="A955" s="134"/>
      <c r="B955" s="134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</row>
    <row r="956">
      <c r="A956" s="134"/>
      <c r="B956" s="134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</row>
    <row r="957">
      <c r="A957" s="134"/>
      <c r="B957" s="134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</row>
    <row r="958">
      <c r="A958" s="134"/>
      <c r="B958" s="134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</row>
    <row r="959">
      <c r="A959" s="134"/>
      <c r="B959" s="134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</row>
    <row r="960">
      <c r="A960" s="134"/>
      <c r="B960" s="134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</row>
    <row r="961">
      <c r="A961" s="134"/>
      <c r="B961" s="134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</row>
    <row r="962">
      <c r="A962" s="134"/>
      <c r="B962" s="134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</row>
    <row r="963">
      <c r="A963" s="134"/>
      <c r="B963" s="134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</row>
    <row r="964">
      <c r="A964" s="134"/>
      <c r="B964" s="134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</row>
    <row r="965">
      <c r="A965" s="134"/>
      <c r="B965" s="134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</row>
    <row r="966">
      <c r="A966" s="134"/>
      <c r="B966" s="134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</row>
    <row r="967">
      <c r="A967" s="134"/>
      <c r="B967" s="134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</row>
    <row r="968">
      <c r="A968" s="134"/>
      <c r="B968" s="134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</row>
    <row r="969">
      <c r="A969" s="134"/>
      <c r="B969" s="134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</row>
    <row r="970">
      <c r="A970" s="134"/>
      <c r="B970" s="134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</row>
    <row r="971">
      <c r="A971" s="134"/>
      <c r="B971" s="134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</row>
    <row r="972">
      <c r="A972" s="134"/>
      <c r="B972" s="134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</row>
    <row r="973">
      <c r="A973" s="134"/>
      <c r="B973" s="134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</row>
    <row r="974">
      <c r="A974" s="134"/>
      <c r="B974" s="134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</row>
    <row r="975">
      <c r="A975" s="134"/>
      <c r="B975" s="134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</row>
    <row r="976">
      <c r="A976" s="134"/>
      <c r="B976" s="134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</row>
    <row r="977">
      <c r="A977" s="134"/>
      <c r="B977" s="134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</row>
    <row r="978">
      <c r="A978" s="134"/>
      <c r="B978" s="134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</row>
    <row r="979">
      <c r="A979" s="134"/>
      <c r="B979" s="134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</row>
    <row r="980">
      <c r="A980" s="134"/>
      <c r="B980" s="134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</row>
    <row r="981">
      <c r="A981" s="134"/>
      <c r="B981" s="134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</row>
    <row r="982">
      <c r="A982" s="134"/>
      <c r="B982" s="134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</row>
  </sheetData>
  <mergeCells count="21">
    <mergeCell ref="A1:C3"/>
    <mergeCell ref="A5:C5"/>
    <mergeCell ref="A6:A7"/>
    <mergeCell ref="B6:B7"/>
    <mergeCell ref="A16:B16"/>
    <mergeCell ref="A17:B17"/>
    <mergeCell ref="A19:C19"/>
    <mergeCell ref="A44:B44"/>
    <mergeCell ref="A45:B45"/>
    <mergeCell ref="A47:C47"/>
    <mergeCell ref="A48:A49"/>
    <mergeCell ref="B48:B49"/>
    <mergeCell ref="A58:B58"/>
    <mergeCell ref="A59:B59"/>
    <mergeCell ref="A20:A21"/>
    <mergeCell ref="B20:B21"/>
    <mergeCell ref="A30:B30"/>
    <mergeCell ref="A31:B31"/>
    <mergeCell ref="A33:C33"/>
    <mergeCell ref="A34:A35"/>
    <mergeCell ref="B34:B35"/>
  </mergeCells>
  <dataValidations>
    <dataValidation type="list" allowBlank="1" sqref="A8:A15 A22:A29 A36:A43 A50:A57">
      <formula1>Foods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 outlineLevelRow="1"/>
  <cols>
    <col customWidth="1" min="1" max="2" width="25.13"/>
    <col customWidth="1" min="3" max="3" width="13.25"/>
    <col customWidth="1" min="10" max="10" width="11.5"/>
    <col customWidth="1" min="11" max="11" width="8.88"/>
    <col customWidth="1" min="12" max="12" width="7.75"/>
    <col customWidth="1" min="13" max="13" width="6.5"/>
    <col customWidth="1" min="14" max="14" width="6.13"/>
    <col customWidth="1" min="15" max="15" width="6.75"/>
  </cols>
  <sheetData>
    <row r="1">
      <c r="A1" s="298" t="s">
        <v>123</v>
      </c>
      <c r="C1" s="178"/>
      <c r="D1" s="217" t="s">
        <v>19</v>
      </c>
      <c r="E1" s="218" t="s">
        <v>20</v>
      </c>
      <c r="F1" s="218" t="s">
        <v>21</v>
      </c>
      <c r="G1" s="219" t="s">
        <v>22</v>
      </c>
      <c r="H1" s="220" t="s">
        <v>7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</row>
    <row r="2">
      <c r="A2" s="222"/>
      <c r="C2" s="178"/>
      <c r="D2" s="223">
        <f>vlookup(D$5,'Макроси'!$H$15:$M$17,2,False)</f>
        <v>180</v>
      </c>
      <c r="E2" s="224">
        <f>vlookup(E$5,'Макроси'!$H$15:$M$17,2,False)</f>
        <v>240</v>
      </c>
      <c r="F2" s="224">
        <f>vlookup(F$5,'Макроси'!$H$15:$M$17,2,False)</f>
        <v>70</v>
      </c>
      <c r="G2" s="224"/>
      <c r="H2" s="225">
        <f>IF(ISERROR(ROUNDUP((D2+E2)*4+F2*9,0)),"",ROUNDUP((D2+E2)*4+F2*9,0))</f>
        <v>2310</v>
      </c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</row>
    <row r="3">
      <c r="A3" s="226"/>
      <c r="B3" s="105"/>
      <c r="C3" s="227"/>
      <c r="D3" s="228">
        <f t="shared" ref="D3:G3" si="1">D7+D21+D35+D49</f>
        <v>57.5</v>
      </c>
      <c r="E3" s="229">
        <f t="shared" si="1"/>
        <v>316</v>
      </c>
      <c r="F3" s="229">
        <f t="shared" si="1"/>
        <v>23</v>
      </c>
      <c r="G3" s="229">
        <f t="shared" si="1"/>
        <v>0</v>
      </c>
      <c r="H3" s="230">
        <f>SUM(H7+H21+H35+H49)</f>
        <v>1701</v>
      </c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</row>
    <row r="4" ht="9.75" customHeight="1">
      <c r="A4" s="68"/>
      <c r="B4" s="68"/>
      <c r="C4" s="68"/>
      <c r="D4" s="78"/>
      <c r="E4" s="78"/>
      <c r="F4" s="78"/>
      <c r="G4" s="78"/>
      <c r="H4" s="7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</row>
    <row r="5">
      <c r="A5" s="302" t="s">
        <v>55</v>
      </c>
      <c r="B5" s="105"/>
      <c r="C5" s="227"/>
      <c r="D5" s="217" t="s">
        <v>19</v>
      </c>
      <c r="E5" s="218" t="s">
        <v>20</v>
      </c>
      <c r="F5" s="218" t="s">
        <v>21</v>
      </c>
      <c r="G5" s="219" t="s">
        <v>22</v>
      </c>
      <c r="H5" s="220" t="s">
        <v>7</v>
      </c>
      <c r="I5" s="60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</row>
    <row r="6">
      <c r="A6" s="303" t="s">
        <v>0</v>
      </c>
      <c r="B6" s="304" t="s">
        <v>17</v>
      </c>
      <c r="C6" s="238" t="s">
        <v>124</v>
      </c>
      <c r="D6" s="305">
        <f>vlookup(D$5,'Макроси'!$H$15:$M$17,3,False)</f>
        <v>35</v>
      </c>
      <c r="E6" s="306">
        <f>vlookup(E$5,'Макроси'!$H$15:$M$17,3,False)</f>
        <v>50</v>
      </c>
      <c r="F6" s="306">
        <f>vlookup(F$5,'Макроси'!$H$15:$M$17,3,False)</f>
        <v>30</v>
      </c>
      <c r="G6" s="306"/>
      <c r="H6" s="307">
        <f>IF(ISERROR(ROUNDUP((D6+E6)*4+F6*9,0)),"",ROUNDUP((D6+E6)*4+F6*9,0))</f>
        <v>610</v>
      </c>
      <c r="I6" s="60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</row>
    <row r="7">
      <c r="A7" s="105"/>
      <c r="B7" s="242"/>
      <c r="C7" s="243" t="s">
        <v>125</v>
      </c>
      <c r="D7" s="228">
        <f t="shared" ref="D7:H7" si="2">SUM(D8:D17)</f>
        <v>57.5</v>
      </c>
      <c r="E7" s="229">
        <f t="shared" si="2"/>
        <v>316</v>
      </c>
      <c r="F7" s="229">
        <f t="shared" si="2"/>
        <v>23</v>
      </c>
      <c r="G7" s="229">
        <f t="shared" si="2"/>
        <v>0</v>
      </c>
      <c r="H7" s="230">
        <f t="shared" si="2"/>
        <v>1701</v>
      </c>
      <c r="I7" s="60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</row>
    <row r="8" outlineLevel="1">
      <c r="A8" s="339" t="s">
        <v>126</v>
      </c>
      <c r="B8" s="339" t="s">
        <v>147</v>
      </c>
      <c r="C8" s="340">
        <v>500.0</v>
      </c>
      <c r="D8" s="64">
        <f>IF(ISNA(($C8/100)*VLOOKUP($B8,DB,3,FALSE)),"",($C8/100)*VLOOKUP($B8,DB,3,FALSE))</f>
        <v>15</v>
      </c>
      <c r="E8" s="64">
        <f>IF(ISNA(($C8/100)*VLOOKUP($B8,DB,4,FALSE)),"",($C8/100)*VLOOKUP($B8,DB,4,FALSE))</f>
        <v>25</v>
      </c>
      <c r="F8" s="64">
        <f>IF(ISNA(($C8/100)*VLOOKUP($B8,DB,5,FALSE)),"",($C8/100)*VLOOKUP($B8,DB,5,FALSE))</f>
        <v>18</v>
      </c>
      <c r="G8" s="64">
        <f>IF(ISNA(($C8/100)*VLOOKUP($B8,DB,6,FALSE)),"",($C8/100)*VLOOKUP($B8,DB,6,FALSE))</f>
        <v>0</v>
      </c>
      <c r="H8" s="341">
        <f t="shared" ref="H8:H17" si="3">IF(ISERROR(ROUNDUP((D8+E8)*4+F8*9,0)),"",ROUNDUP((D8+E8)*4+F8*9,0))</f>
        <v>322</v>
      </c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</row>
    <row r="9" outlineLevel="1">
      <c r="A9" s="339" t="s">
        <v>97</v>
      </c>
      <c r="B9" s="339" t="s">
        <v>148</v>
      </c>
      <c r="C9" s="340">
        <v>500.0</v>
      </c>
      <c r="D9" s="64">
        <f>IF(ISNA(($C9/100)*VLOOKUP($B9,DB,3,FALSE)),"",($C9/100)*VLOOKUP($B9,DB,3,FALSE))</f>
        <v>42.5</v>
      </c>
      <c r="E9" s="64">
        <f>IF(ISNA(($C9/100)*VLOOKUP($B9,DB,4,FALSE)),"",($C9/100)*VLOOKUP($B9,DB,4,FALSE))</f>
        <v>250</v>
      </c>
      <c r="F9" s="64">
        <f>IF(ISNA(($C9/100)*VLOOKUP($B9,DB,5,FALSE)),"",($C9/100)*VLOOKUP($B9,DB,5,FALSE))</f>
        <v>5</v>
      </c>
      <c r="G9" s="64">
        <f>IF(ISNA(($C9/100)*VLOOKUP($B9,DB,6,FALSE)),"",($C9/100)*VLOOKUP($B9,DB,6,FALSE))</f>
        <v>0</v>
      </c>
      <c r="H9" s="341">
        <f t="shared" si="3"/>
        <v>1215</v>
      </c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</row>
    <row r="10" outlineLevel="1">
      <c r="A10" s="339" t="s">
        <v>149</v>
      </c>
      <c r="B10" s="339" t="s">
        <v>150</v>
      </c>
      <c r="C10" s="340">
        <v>50.0</v>
      </c>
      <c r="D10" s="64">
        <f>IF(ISNA(($C10/100)*VLOOKUP($B10,DB,3,FALSE)),"",($C10/100)*VLOOKUP($B10,DB,3,FALSE))</f>
        <v>0</v>
      </c>
      <c r="E10" s="64">
        <f>IF(ISNA(($C10/100)*VLOOKUP($B10,DB,4,FALSE)),"",($C10/100)*VLOOKUP($B10,DB,4,FALSE))</f>
        <v>41</v>
      </c>
      <c r="F10" s="64">
        <f>IF(ISNA(($C10/100)*VLOOKUP($B10,DB,5,FALSE)),"",($C10/100)*VLOOKUP($B10,DB,5,FALSE))</f>
        <v>0</v>
      </c>
      <c r="G10" s="64">
        <f>IF(ISNA(($C10/100)*VLOOKUP($B10,DB,6,FALSE)),"",($C10/100)*VLOOKUP($B10,DB,6,FALSE))</f>
        <v>0</v>
      </c>
      <c r="H10" s="341">
        <f t="shared" si="3"/>
        <v>164</v>
      </c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</row>
    <row r="11" outlineLevel="1">
      <c r="A11" s="339"/>
      <c r="B11" s="339"/>
      <c r="C11" s="340"/>
      <c r="D11" s="64" t="str">
        <f>IF(ISNA(($C11/100)*VLOOKUP($B11,DB,3,FALSE)),"",($C11/100)*VLOOKUP($B11,DB,3,FALSE))</f>
        <v/>
      </c>
      <c r="E11" s="64" t="str">
        <f>IF(ISNA(($C11/100)*VLOOKUP($B11,DB,4,FALSE)),"",($C11/100)*VLOOKUP($B11,DB,4,FALSE))</f>
        <v/>
      </c>
      <c r="F11" s="64" t="str">
        <f>IF(ISNA(($C11/100)*VLOOKUP($B11,DB,5,FALSE)),"",($C11/100)*VLOOKUP($B11,DB,5,FALSE))</f>
        <v/>
      </c>
      <c r="G11" s="64" t="str">
        <f>IF(ISNA(($C11/100)*VLOOKUP($B11,DB,6,FALSE)),"",($C11/100)*VLOOKUP($B11,DB,6,FALSE))</f>
        <v/>
      </c>
      <c r="H11" s="341">
        <f t="shared" si="3"/>
        <v>0</v>
      </c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</row>
    <row r="12" outlineLevel="1">
      <c r="A12" s="339"/>
      <c r="B12" s="339"/>
      <c r="C12" s="340"/>
      <c r="D12" s="64" t="str">
        <f>IF(ISNA(($C12/100)*VLOOKUP($B12,DB,3,FALSE)),"",($C12/100)*VLOOKUP($B12,DB,3,FALSE))</f>
        <v/>
      </c>
      <c r="E12" s="64" t="str">
        <f>IF(ISNA(($C12/100)*VLOOKUP($B12,DB,4,FALSE)),"",($C12/100)*VLOOKUP($B12,DB,4,FALSE))</f>
        <v/>
      </c>
      <c r="F12" s="64" t="str">
        <f>IF(ISNA(($C12/100)*VLOOKUP($B12,DB,5,FALSE)),"",($C12/100)*VLOOKUP($B12,DB,5,FALSE))</f>
        <v/>
      </c>
      <c r="G12" s="64" t="str">
        <f>IF(ISNA(($C12/100)*VLOOKUP($B12,DB,6,FALSE)),"",($C12/100)*VLOOKUP($B12,DB,6,FALSE))</f>
        <v/>
      </c>
      <c r="H12" s="341">
        <f t="shared" si="3"/>
        <v>0</v>
      </c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</row>
    <row r="13" outlineLevel="1">
      <c r="A13" s="339"/>
      <c r="B13" s="339"/>
      <c r="C13" s="340"/>
      <c r="D13" s="64" t="str">
        <f>IF(ISNA(($C13/100)*VLOOKUP($B13,DB,3,FALSE)),"",($C13/100)*VLOOKUP($B13,DB,3,FALSE))</f>
        <v/>
      </c>
      <c r="E13" s="64" t="str">
        <f>IF(ISNA(($C13/100)*VLOOKUP($B13,DB,4,FALSE)),"",($C13/100)*VLOOKUP($B13,DB,4,FALSE))</f>
        <v/>
      </c>
      <c r="F13" s="64" t="str">
        <f>IF(ISNA(($C13/100)*VLOOKUP($B13,DB,5,FALSE)),"",($C13/100)*VLOOKUP($B13,DB,5,FALSE))</f>
        <v/>
      </c>
      <c r="G13" s="64" t="str">
        <f>IF(ISNA(($C13/100)*VLOOKUP($B13,DB,6,FALSE)),"",($C13/100)*VLOOKUP($B13,DB,6,FALSE))</f>
        <v/>
      </c>
      <c r="H13" s="341">
        <f t="shared" si="3"/>
        <v>0</v>
      </c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</row>
    <row r="14" outlineLevel="1">
      <c r="A14" s="339"/>
      <c r="B14" s="339"/>
      <c r="C14" s="340"/>
      <c r="D14" s="64" t="str">
        <f>IF(ISNA(($C14/100)*VLOOKUP($B14,DB,3,FALSE)),"",($C14/100)*VLOOKUP($B14,DB,3,FALSE))</f>
        <v/>
      </c>
      <c r="E14" s="64" t="str">
        <f>IF(ISNA(($C14/100)*VLOOKUP($B14,DB,4,FALSE)),"",($C14/100)*VLOOKUP($B14,DB,4,FALSE))</f>
        <v/>
      </c>
      <c r="F14" s="64" t="str">
        <f>IF(ISNA(($C14/100)*VLOOKUP($B14,DB,5,FALSE)),"",($C14/100)*VLOOKUP($B14,DB,5,FALSE))</f>
        <v/>
      </c>
      <c r="G14" s="64" t="str">
        <f>IF(ISNA(($C14/100)*VLOOKUP($B14,DB,6,FALSE)),"",($C14/100)*VLOOKUP($B14,DB,6,FALSE))</f>
        <v/>
      </c>
      <c r="H14" s="341">
        <f t="shared" si="3"/>
        <v>0</v>
      </c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</row>
    <row r="15" outlineLevel="1">
      <c r="A15" s="342"/>
      <c r="B15" s="342"/>
      <c r="C15" s="343"/>
      <c r="D15" s="349" t="str">
        <f>IF(ISNA(($C15/100)*VLOOKUP($B15,DB,3,FALSE)),"",($C15/100)*VLOOKUP($B15,DB,3,FALSE))</f>
        <v/>
      </c>
      <c r="E15" s="349" t="str">
        <f>IF(ISNA(($C15/100)*VLOOKUP($B15,DB,4,FALSE)),"",($C15/100)*VLOOKUP($B15,DB,4,FALSE))</f>
        <v/>
      </c>
      <c r="F15" s="349" t="str">
        <f>IF(ISNA(($C15/100)*VLOOKUP($B15,DB,5,FALSE)),"",($C15/100)*VLOOKUP($B15,DB,5,FALSE))</f>
        <v/>
      </c>
      <c r="G15" s="349" t="str">
        <f>IF(ISNA(($C15/100)*VLOOKUP($B15,DB,6,FALSE)),"",($C15/100)*VLOOKUP($B15,DB,6,FALSE))</f>
        <v/>
      </c>
      <c r="H15" s="344">
        <f t="shared" si="3"/>
        <v>0</v>
      </c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</row>
    <row r="16" outlineLevel="1">
      <c r="A16" s="311" t="s">
        <v>130</v>
      </c>
      <c r="B16" s="255"/>
      <c r="C16" s="256"/>
      <c r="D16" s="272"/>
      <c r="E16" s="272"/>
      <c r="F16" s="272"/>
      <c r="G16" s="272"/>
      <c r="H16" s="312">
        <f t="shared" si="3"/>
        <v>0</v>
      </c>
      <c r="I16" s="60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</row>
    <row r="17" outlineLevel="1">
      <c r="A17" s="313" t="s">
        <v>130</v>
      </c>
      <c r="B17" s="260"/>
      <c r="C17" s="89"/>
      <c r="D17" s="261"/>
      <c r="E17" s="261"/>
      <c r="F17" s="261"/>
      <c r="G17" s="261"/>
      <c r="H17" s="314">
        <f t="shared" si="3"/>
        <v>0</v>
      </c>
      <c r="I17" s="60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</row>
    <row r="18">
      <c r="A18" s="315"/>
      <c r="B18" s="316"/>
      <c r="C18" s="317"/>
      <c r="D18" s="318"/>
      <c r="E18" s="318"/>
      <c r="F18" s="318"/>
      <c r="G18" s="319"/>
      <c r="H18" s="268">
        <f>(D18+E18)*4+F18*9</f>
        <v>0</v>
      </c>
      <c r="I18" s="60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</row>
    <row r="19">
      <c r="A19" s="302" t="s">
        <v>56</v>
      </c>
      <c r="B19" s="105"/>
      <c r="C19" s="227"/>
      <c r="D19" s="217" t="s">
        <v>19</v>
      </c>
      <c r="E19" s="218" t="s">
        <v>20</v>
      </c>
      <c r="F19" s="218" t="s">
        <v>21</v>
      </c>
      <c r="G19" s="219" t="s">
        <v>22</v>
      </c>
      <c r="H19" s="220" t="s">
        <v>7</v>
      </c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</row>
    <row r="20">
      <c r="A20" s="303" t="s">
        <v>0</v>
      </c>
      <c r="B20" s="304" t="s">
        <v>17</v>
      </c>
      <c r="C20" s="238" t="s">
        <v>124</v>
      </c>
      <c r="D20" s="239">
        <f>vlookup(D$5,'Макроси'!$H$15:$M$17,4,False)</f>
        <v>35</v>
      </c>
      <c r="E20" s="240">
        <f>vlookup(E$5,'Макроси'!$H$15:$M$17,4,False)</f>
        <v>20</v>
      </c>
      <c r="F20" s="240">
        <f>vlookup(F$5,'Макроси'!$H$15:$M$17,4,False)</f>
        <v>5</v>
      </c>
      <c r="G20" s="270"/>
      <c r="H20" s="241">
        <f>IF(ISERROR(ROUNDUP((D20+E20)*4+F20*9,0)),"",ROUNDUP((D20+E20)*4+F20*9,0))</f>
        <v>265</v>
      </c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</row>
    <row r="21">
      <c r="A21" s="105"/>
      <c r="B21" s="242"/>
      <c r="C21" s="243" t="s">
        <v>125</v>
      </c>
      <c r="D21" s="228">
        <f t="shared" ref="D21:G21" si="4">SUM(D22:D29)</f>
        <v>0</v>
      </c>
      <c r="E21" s="229">
        <f t="shared" si="4"/>
        <v>0</v>
      </c>
      <c r="F21" s="229">
        <f t="shared" si="4"/>
        <v>0</v>
      </c>
      <c r="G21" s="229">
        <f t="shared" si="4"/>
        <v>0</v>
      </c>
      <c r="H21" s="230">
        <f>SUM(H22:H31)</f>
        <v>0</v>
      </c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</row>
    <row r="22" outlineLevel="1">
      <c r="A22" s="339"/>
      <c r="B22" s="339"/>
      <c r="C22" s="340"/>
      <c r="D22" s="64" t="str">
        <f>IF(ISNA(($C22/100)*VLOOKUP($B22,DB,3,FALSE)),"",($C22/100)*VLOOKUP($B22,DB,3,FALSE))</f>
        <v/>
      </c>
      <c r="E22" s="64" t="str">
        <f>IF(ISNA(($C22/100)*VLOOKUP($B22,DB,4,FALSE)),"",($C22/100)*VLOOKUP($B22,DB,4,FALSE))</f>
        <v/>
      </c>
      <c r="F22" s="64" t="str">
        <f>IF(ISNA(($C22/100)*VLOOKUP($B22,DB,5,FALSE)),"",($C22/100)*VLOOKUP($B22,DB,5,FALSE))</f>
        <v/>
      </c>
      <c r="G22" s="64" t="str">
        <f>IF(ISNA(($C22/100)*VLOOKUP($B22,DB,6,FALSE)),"",($C22/100)*VLOOKUP($B22,DB,6,FALSE))</f>
        <v/>
      </c>
      <c r="H22" s="341">
        <f t="shared" ref="H22:H31" si="5">IF(ISERROR(ROUNDUP((D22+E22)*4+F22*9,0)),"",ROUNDUP((D22+E22)*4+F22*9,0))</f>
        <v>0</v>
      </c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</row>
    <row r="23" outlineLevel="1">
      <c r="A23" s="339"/>
      <c r="B23" s="339"/>
      <c r="C23" s="340"/>
      <c r="D23" s="64" t="str">
        <f>IF(ISNA(($C23/100)*VLOOKUP($B23,DB,3,FALSE)),"",($C23/100)*VLOOKUP($B23,DB,3,FALSE))</f>
        <v/>
      </c>
      <c r="E23" s="64" t="str">
        <f>IF(ISNA(($C23/100)*VLOOKUP($B23,DB,4,FALSE)),"",($C23/100)*VLOOKUP($B23,DB,4,FALSE))</f>
        <v/>
      </c>
      <c r="F23" s="64" t="str">
        <f>IF(ISNA(($C23/100)*VLOOKUP($B23,DB,5,FALSE)),"",($C23/100)*VLOOKUP($B23,DB,5,FALSE))</f>
        <v/>
      </c>
      <c r="G23" s="64" t="str">
        <f>IF(ISNA(($C23/100)*VLOOKUP($B23,DB,6,FALSE)),"",($C23/100)*VLOOKUP($B23,DB,6,FALSE))</f>
        <v/>
      </c>
      <c r="H23" s="341">
        <f t="shared" si="5"/>
        <v>0</v>
      </c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</row>
    <row r="24" outlineLevel="1">
      <c r="A24" s="339"/>
      <c r="B24" s="339"/>
      <c r="C24" s="340"/>
      <c r="D24" s="64" t="str">
        <f>IF(ISNA(($C24/100)*VLOOKUP($B24,DB,3,FALSE)),"",($C24/100)*VLOOKUP($B24,DB,3,FALSE))</f>
        <v/>
      </c>
      <c r="E24" s="64" t="str">
        <f>IF(ISNA(($C24/100)*VLOOKUP($B24,DB,4,FALSE)),"",($C24/100)*VLOOKUP($B24,DB,4,FALSE))</f>
        <v/>
      </c>
      <c r="F24" s="64" t="str">
        <f>IF(ISNA(($C24/100)*VLOOKUP($B24,DB,5,FALSE)),"",($C24/100)*VLOOKUP($B24,DB,5,FALSE))</f>
        <v/>
      </c>
      <c r="G24" s="64" t="str">
        <f>IF(ISNA(($C24/100)*VLOOKUP($B24,DB,6,FALSE)),"",($C24/100)*VLOOKUP($B24,DB,6,FALSE))</f>
        <v/>
      </c>
      <c r="H24" s="341">
        <f t="shared" si="5"/>
        <v>0</v>
      </c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</row>
    <row r="25" outlineLevel="1">
      <c r="A25" s="339"/>
      <c r="B25" s="339"/>
      <c r="C25" s="340"/>
      <c r="D25" s="64" t="str">
        <f>IF(ISNA(($C25/100)*VLOOKUP($B25,DB,3,FALSE)),"",($C25/100)*VLOOKUP($B25,DB,3,FALSE))</f>
        <v/>
      </c>
      <c r="E25" s="64" t="str">
        <f>IF(ISNA(($C25/100)*VLOOKUP($B25,DB,4,FALSE)),"",($C25/100)*VLOOKUP($B25,DB,4,FALSE))</f>
        <v/>
      </c>
      <c r="F25" s="64" t="str">
        <f>IF(ISNA(($C25/100)*VLOOKUP($B25,DB,5,FALSE)),"",($C25/100)*VLOOKUP($B25,DB,5,FALSE))</f>
        <v/>
      </c>
      <c r="G25" s="64" t="str">
        <f>IF(ISNA(($C25/100)*VLOOKUP($B25,DB,6,FALSE)),"",($C25/100)*VLOOKUP($B25,DB,6,FALSE))</f>
        <v/>
      </c>
      <c r="H25" s="341">
        <f t="shared" si="5"/>
        <v>0</v>
      </c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</row>
    <row r="26" outlineLevel="1">
      <c r="A26" s="339"/>
      <c r="B26" s="339"/>
      <c r="C26" s="340"/>
      <c r="D26" s="64" t="str">
        <f>IF(ISNA(($C26/100)*VLOOKUP($B26,DB,3,FALSE)),"",($C26/100)*VLOOKUP($B26,DB,3,FALSE))</f>
        <v/>
      </c>
      <c r="E26" s="64" t="str">
        <f>IF(ISNA(($C26/100)*VLOOKUP($B26,DB,4,FALSE)),"",($C26/100)*VLOOKUP($B26,DB,4,FALSE))</f>
        <v/>
      </c>
      <c r="F26" s="64" t="str">
        <f>IF(ISNA(($C26/100)*VLOOKUP($B26,DB,5,FALSE)),"",($C26/100)*VLOOKUP($B26,DB,5,FALSE))</f>
        <v/>
      </c>
      <c r="G26" s="64" t="str">
        <f>IF(ISNA(($C26/100)*VLOOKUP($B26,DB,6,FALSE)),"",($C26/100)*VLOOKUP($B26,DB,6,FALSE))</f>
        <v/>
      </c>
      <c r="H26" s="341">
        <f t="shared" si="5"/>
        <v>0</v>
      </c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</row>
    <row r="27" outlineLevel="1">
      <c r="A27" s="339"/>
      <c r="B27" s="339"/>
      <c r="C27" s="340"/>
      <c r="D27" s="64" t="str">
        <f>IF(ISNA(($C27/100)*VLOOKUP($B27,DB,3,FALSE)),"",($C27/100)*VLOOKUP($B27,DB,3,FALSE))</f>
        <v/>
      </c>
      <c r="E27" s="64" t="str">
        <f>IF(ISNA(($C27/100)*VLOOKUP($B27,DB,4,FALSE)),"",($C27/100)*VLOOKUP($B27,DB,4,FALSE))</f>
        <v/>
      </c>
      <c r="F27" s="64" t="str">
        <f>IF(ISNA(($C27/100)*VLOOKUP($B27,DB,5,FALSE)),"",($C27/100)*VLOOKUP($B27,DB,5,FALSE))</f>
        <v/>
      </c>
      <c r="G27" s="64" t="str">
        <f>IF(ISNA(($C27/100)*VLOOKUP($B27,DB,6,FALSE)),"",($C27/100)*VLOOKUP($B27,DB,6,FALSE))</f>
        <v/>
      </c>
      <c r="H27" s="341">
        <f t="shared" si="5"/>
        <v>0</v>
      </c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</row>
    <row r="28" outlineLevel="1">
      <c r="A28" s="339"/>
      <c r="B28" s="339"/>
      <c r="C28" s="340"/>
      <c r="D28" s="64" t="str">
        <f>IF(ISNA(($C28/100)*VLOOKUP($B28,DB,3,FALSE)),"",($C28/100)*VLOOKUP($B28,DB,3,FALSE))</f>
        <v/>
      </c>
      <c r="E28" s="64" t="str">
        <f>IF(ISNA(($C28/100)*VLOOKUP($B28,DB,4,FALSE)),"",($C28/100)*VLOOKUP($B28,DB,4,FALSE))</f>
        <v/>
      </c>
      <c r="F28" s="64" t="str">
        <f>IF(ISNA(($C28/100)*VLOOKUP($B28,DB,5,FALSE)),"",($C28/100)*VLOOKUP($B28,DB,5,FALSE))</f>
        <v/>
      </c>
      <c r="G28" s="64" t="str">
        <f>IF(ISNA(($C28/100)*VLOOKUP($B28,DB,6,FALSE)),"",($C28/100)*VLOOKUP($B28,DB,6,FALSE))</f>
        <v/>
      </c>
      <c r="H28" s="341">
        <f t="shared" si="5"/>
        <v>0</v>
      </c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</row>
    <row r="29" outlineLevel="1">
      <c r="A29" s="342"/>
      <c r="B29" s="345"/>
      <c r="C29" s="346"/>
      <c r="D29" s="347" t="str">
        <f>IF(ISNA(($C29/100)*VLOOKUP($B29,DB,3,FALSE)),"",($C29/100)*VLOOKUP($B29,DB,3,FALSE))</f>
        <v/>
      </c>
      <c r="E29" s="347" t="str">
        <f>IF(ISNA(($C29/100)*VLOOKUP($B29,DB,4,FALSE)),"",($C29/100)*VLOOKUP($B29,DB,4,FALSE))</f>
        <v/>
      </c>
      <c r="F29" s="347" t="str">
        <f>IF(ISNA(($C29/100)*VLOOKUP($B29,DB,5,FALSE)),"",($C29/100)*VLOOKUP($B29,DB,5,FALSE))</f>
        <v/>
      </c>
      <c r="G29" s="347" t="str">
        <f>IF(ISNA(($C29/100)*VLOOKUP($B29,DB,6,FALSE)),"",($C29/100)*VLOOKUP($B29,DB,6,FALSE))</f>
        <v/>
      </c>
      <c r="H29" s="348">
        <f t="shared" si="5"/>
        <v>0</v>
      </c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</row>
    <row r="30">
      <c r="A30" s="311" t="s">
        <v>130</v>
      </c>
      <c r="B30" s="255"/>
      <c r="C30" s="256"/>
      <c r="D30" s="272"/>
      <c r="E30" s="272"/>
      <c r="F30" s="272"/>
      <c r="G30" s="272"/>
      <c r="H30" s="312">
        <f t="shared" si="5"/>
        <v>0</v>
      </c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</row>
    <row r="31">
      <c r="A31" s="313" t="s">
        <v>130</v>
      </c>
      <c r="B31" s="260"/>
      <c r="C31" s="89"/>
      <c r="D31" s="261"/>
      <c r="E31" s="261"/>
      <c r="F31" s="261"/>
      <c r="G31" s="261"/>
      <c r="H31" s="314">
        <f t="shared" si="5"/>
        <v>0</v>
      </c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</row>
    <row r="32">
      <c r="A32" s="315"/>
      <c r="B32" s="316"/>
      <c r="C32" s="317"/>
      <c r="D32" s="318"/>
      <c r="E32" s="318"/>
      <c r="F32" s="318"/>
      <c r="G32" s="319"/>
      <c r="H32" s="268">
        <f>(D32+E32)*4+F32*9</f>
        <v>0</v>
      </c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</row>
    <row r="33">
      <c r="A33" s="302" t="s">
        <v>57</v>
      </c>
      <c r="B33" s="105"/>
      <c r="C33" s="227"/>
      <c r="D33" s="217" t="s">
        <v>19</v>
      </c>
      <c r="E33" s="218" t="s">
        <v>20</v>
      </c>
      <c r="F33" s="218" t="s">
        <v>21</v>
      </c>
      <c r="G33" s="219" t="s">
        <v>22</v>
      </c>
      <c r="H33" s="220" t="s">
        <v>7</v>
      </c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</row>
    <row r="34">
      <c r="A34" s="303" t="s">
        <v>0</v>
      </c>
      <c r="B34" s="304" t="s">
        <v>17</v>
      </c>
      <c r="C34" s="238" t="s">
        <v>124</v>
      </c>
      <c r="D34" s="239">
        <f>vlookup(D$5,'Макроси'!$H$15:$M$17,5,False)</f>
        <v>55</v>
      </c>
      <c r="E34" s="240">
        <f>vlookup(E$5,'Макроси'!$H$15:$M$17,5,False)</f>
        <v>40</v>
      </c>
      <c r="F34" s="240">
        <f>vlookup(F$5,'Макроси'!$H$15:$M$17,5,False)</f>
        <v>5</v>
      </c>
      <c r="G34" s="270"/>
      <c r="H34" s="241">
        <f>IF(ISERROR(ROUNDUP((D34+E34)*4+F34*9,0)),"",ROUNDUP((D34+E34)*4+F34*9,0))</f>
        <v>425</v>
      </c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</row>
    <row r="35">
      <c r="A35" s="105"/>
      <c r="B35" s="242"/>
      <c r="C35" s="243" t="s">
        <v>125</v>
      </c>
      <c r="D35" s="228">
        <f t="shared" ref="D35:H35" si="6">SUM(D36:D45)</f>
        <v>0</v>
      </c>
      <c r="E35" s="229">
        <f t="shared" si="6"/>
        <v>0</v>
      </c>
      <c r="F35" s="229">
        <f t="shared" si="6"/>
        <v>0</v>
      </c>
      <c r="G35" s="229">
        <f t="shared" si="6"/>
        <v>0</v>
      </c>
      <c r="H35" s="230">
        <f t="shared" si="6"/>
        <v>0</v>
      </c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</row>
    <row r="36" outlineLevel="1">
      <c r="A36" s="339"/>
      <c r="B36" s="339"/>
      <c r="C36" s="340"/>
      <c r="D36" s="64" t="str">
        <f>IF(ISNA(($C36/100)*VLOOKUP($B36,DB,3,FALSE)),"",($C36/100)*VLOOKUP($B36,DB,3,FALSE))</f>
        <v/>
      </c>
      <c r="E36" s="64" t="str">
        <f>IF(ISNA(($C36/100)*VLOOKUP($B36,DB,4,FALSE)),"",($C36/100)*VLOOKUP($B36,DB,4,FALSE))</f>
        <v/>
      </c>
      <c r="F36" s="64" t="str">
        <f>IF(ISNA(($C36/100)*VLOOKUP($B36,DB,5,FALSE)),"",($C36/100)*VLOOKUP($B36,DB,5,FALSE))</f>
        <v/>
      </c>
      <c r="G36" s="64" t="str">
        <f>IF(ISNA(($C36/100)*VLOOKUP($B36,DB,6,FALSE)),"",($C36/100)*VLOOKUP($B36,DB,6,FALSE))</f>
        <v/>
      </c>
      <c r="H36" s="341">
        <f t="shared" ref="H36:H45" si="7">IF(ISERROR(ROUNDUP((D36+E36)*4+F36*9,0)),"",ROUNDUP((D36+E36)*4+F36*9,0))</f>
        <v>0</v>
      </c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</row>
    <row r="37" outlineLevel="1">
      <c r="A37" s="339"/>
      <c r="B37" s="339"/>
      <c r="C37" s="340"/>
      <c r="D37" s="64" t="str">
        <f>IF(ISNA(($C37/100)*VLOOKUP($B37,DB,3,FALSE)),"",($C37/100)*VLOOKUP($B37,DB,3,FALSE))</f>
        <v/>
      </c>
      <c r="E37" s="64" t="str">
        <f>IF(ISNA(($C37/100)*VLOOKUP($B37,DB,4,FALSE)),"",($C37/100)*VLOOKUP($B37,DB,4,FALSE))</f>
        <v/>
      </c>
      <c r="F37" s="64" t="str">
        <f>IF(ISNA(($C37/100)*VLOOKUP($B37,DB,5,FALSE)),"",($C37/100)*VLOOKUP($B37,DB,5,FALSE))</f>
        <v/>
      </c>
      <c r="G37" s="64" t="str">
        <f>IF(ISNA(($C37/100)*VLOOKUP($B37,DB,6,FALSE)),"",($C37/100)*VLOOKUP($B37,DB,6,FALSE))</f>
        <v/>
      </c>
      <c r="H37" s="341">
        <f t="shared" si="7"/>
        <v>0</v>
      </c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</row>
    <row r="38" outlineLevel="1">
      <c r="A38" s="339"/>
      <c r="B38" s="339"/>
      <c r="C38" s="340"/>
      <c r="D38" s="64" t="str">
        <f>IF(ISNA(($C38/100)*VLOOKUP($B38,DB,3,FALSE)),"",($C38/100)*VLOOKUP($B38,DB,3,FALSE))</f>
        <v/>
      </c>
      <c r="E38" s="64" t="str">
        <f>IF(ISNA(($C38/100)*VLOOKUP($B38,DB,4,FALSE)),"",($C38/100)*VLOOKUP($B38,DB,4,FALSE))</f>
        <v/>
      </c>
      <c r="F38" s="64" t="str">
        <f>IF(ISNA(($C38/100)*VLOOKUP($B38,DB,5,FALSE)),"",($C38/100)*VLOOKUP($B38,DB,5,FALSE))</f>
        <v/>
      </c>
      <c r="G38" s="64" t="str">
        <f>IF(ISNA(($C38/100)*VLOOKUP($B38,DB,6,FALSE)),"",($C38/100)*VLOOKUP($B38,DB,6,FALSE))</f>
        <v/>
      </c>
      <c r="H38" s="341">
        <f t="shared" si="7"/>
        <v>0</v>
      </c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</row>
    <row r="39" outlineLevel="1">
      <c r="A39" s="339"/>
      <c r="B39" s="339"/>
      <c r="C39" s="340"/>
      <c r="D39" s="64" t="str">
        <f>IF(ISNA(($C39/100)*VLOOKUP($B39,DB,3,FALSE)),"",($C39/100)*VLOOKUP($B39,DB,3,FALSE))</f>
        <v/>
      </c>
      <c r="E39" s="64" t="str">
        <f>IF(ISNA(($C39/100)*VLOOKUP($B39,DB,4,FALSE)),"",($C39/100)*VLOOKUP($B39,DB,4,FALSE))</f>
        <v/>
      </c>
      <c r="F39" s="64" t="str">
        <f>IF(ISNA(($C39/100)*VLOOKUP($B39,DB,5,FALSE)),"",($C39/100)*VLOOKUP($B39,DB,5,FALSE))</f>
        <v/>
      </c>
      <c r="G39" s="64" t="str">
        <f>IF(ISNA(($C39/100)*VLOOKUP($B39,DB,6,FALSE)),"",($C39/100)*VLOOKUP($B39,DB,6,FALSE))</f>
        <v/>
      </c>
      <c r="H39" s="341">
        <f t="shared" si="7"/>
        <v>0</v>
      </c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</row>
    <row r="40" outlineLevel="1">
      <c r="A40" s="339"/>
      <c r="B40" s="339"/>
      <c r="C40" s="340"/>
      <c r="D40" s="64" t="str">
        <f>IF(ISNA(($C40/100)*VLOOKUP($B40,DB,3,FALSE)),"",($C40/100)*VLOOKUP($B40,DB,3,FALSE))</f>
        <v/>
      </c>
      <c r="E40" s="64" t="str">
        <f>IF(ISNA(($C40/100)*VLOOKUP($B40,DB,4,FALSE)),"",($C40/100)*VLOOKUP($B40,DB,4,FALSE))</f>
        <v/>
      </c>
      <c r="F40" s="64" t="str">
        <f>IF(ISNA(($C40/100)*VLOOKUP($B40,DB,5,FALSE)),"",($C40/100)*VLOOKUP($B40,DB,5,FALSE))</f>
        <v/>
      </c>
      <c r="G40" s="64" t="str">
        <f>IF(ISNA(($C40/100)*VLOOKUP($B40,DB,6,FALSE)),"",($C40/100)*VLOOKUP($B40,DB,6,FALSE))</f>
        <v/>
      </c>
      <c r="H40" s="341">
        <f t="shared" si="7"/>
        <v>0</v>
      </c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</row>
    <row r="41" outlineLevel="1">
      <c r="A41" s="339"/>
      <c r="B41" s="339"/>
      <c r="C41" s="340"/>
      <c r="D41" s="64" t="str">
        <f>IF(ISNA(($C41/100)*VLOOKUP($B41,DB,3,FALSE)),"",($C41/100)*VLOOKUP($B41,DB,3,FALSE))</f>
        <v/>
      </c>
      <c r="E41" s="64" t="str">
        <f>IF(ISNA(($C41/100)*VLOOKUP($B41,DB,4,FALSE)),"",($C41/100)*VLOOKUP($B41,DB,4,FALSE))</f>
        <v/>
      </c>
      <c r="F41" s="64" t="str">
        <f>IF(ISNA(($C41/100)*VLOOKUP($B41,DB,5,FALSE)),"",($C41/100)*VLOOKUP($B41,DB,5,FALSE))</f>
        <v/>
      </c>
      <c r="G41" s="64" t="str">
        <f>IF(ISNA(($C41/100)*VLOOKUP($B41,DB,6,FALSE)),"",($C41/100)*VLOOKUP($B41,DB,6,FALSE))</f>
        <v/>
      </c>
      <c r="H41" s="341">
        <f t="shared" si="7"/>
        <v>0</v>
      </c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</row>
    <row r="42" outlineLevel="1">
      <c r="A42" s="339"/>
      <c r="B42" s="339"/>
      <c r="C42" s="340"/>
      <c r="D42" s="64" t="str">
        <f>IF(ISNA(($C42/100)*VLOOKUP($B42,DB,3,FALSE)),"",($C42/100)*VLOOKUP($B42,DB,3,FALSE))</f>
        <v/>
      </c>
      <c r="E42" s="64" t="str">
        <f>IF(ISNA(($C42/100)*VLOOKUP($B42,DB,4,FALSE)),"",($C42/100)*VLOOKUP($B42,DB,4,FALSE))</f>
        <v/>
      </c>
      <c r="F42" s="64" t="str">
        <f>IF(ISNA(($C42/100)*VLOOKUP($B42,DB,5,FALSE)),"",($C42/100)*VLOOKUP($B42,DB,5,FALSE))</f>
        <v/>
      </c>
      <c r="G42" s="64" t="str">
        <f>IF(ISNA(($C42/100)*VLOOKUP($B42,DB,6,FALSE)),"",($C42/100)*VLOOKUP($B42,DB,6,FALSE))</f>
        <v/>
      </c>
      <c r="H42" s="341">
        <f t="shared" si="7"/>
        <v>0</v>
      </c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</row>
    <row r="43" outlineLevel="1">
      <c r="A43" s="342"/>
      <c r="B43" s="342"/>
      <c r="C43" s="343"/>
      <c r="D43" s="64" t="str">
        <f>IF(ISNA(($C43/100)*VLOOKUP($B43,DB,3,FALSE)),"",($C43/100)*VLOOKUP($B43,DB,3,FALSE))</f>
        <v/>
      </c>
      <c r="E43" s="64" t="str">
        <f>IF(ISNA(($C43/100)*VLOOKUP($B43,DB,4,FALSE)),"",($C43/100)*VLOOKUP($B43,DB,4,FALSE))</f>
        <v/>
      </c>
      <c r="F43" s="64" t="str">
        <f>IF(ISNA(($C43/100)*VLOOKUP($B43,DB,5,FALSE)),"",($C43/100)*VLOOKUP($B43,DB,5,FALSE))</f>
        <v/>
      </c>
      <c r="G43" s="64" t="str">
        <f>IF(ISNA(($C43/100)*VLOOKUP($B43,DB,6,FALSE)),"",($C43/100)*VLOOKUP($B43,DB,6,FALSE))</f>
        <v/>
      </c>
      <c r="H43" s="341">
        <f t="shared" si="7"/>
        <v>0</v>
      </c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</row>
    <row r="44" outlineLevel="1">
      <c r="A44" s="311" t="s">
        <v>130</v>
      </c>
      <c r="B44" s="255"/>
      <c r="C44" s="256"/>
      <c r="D44" s="272"/>
      <c r="E44" s="272"/>
      <c r="F44" s="272"/>
      <c r="G44" s="272"/>
      <c r="H44" s="312">
        <f t="shared" si="7"/>
        <v>0</v>
      </c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</row>
    <row r="45" outlineLevel="1">
      <c r="A45" s="313" t="s">
        <v>130</v>
      </c>
      <c r="B45" s="260"/>
      <c r="C45" s="89"/>
      <c r="D45" s="261"/>
      <c r="E45" s="261"/>
      <c r="F45" s="261"/>
      <c r="G45" s="261"/>
      <c r="H45" s="314">
        <f t="shared" si="7"/>
        <v>0</v>
      </c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</row>
    <row r="46">
      <c r="A46" s="315"/>
      <c r="B46" s="316"/>
      <c r="C46" s="317"/>
      <c r="D46" s="318"/>
      <c r="E46" s="318"/>
      <c r="F46" s="318"/>
      <c r="G46" s="319"/>
      <c r="H46" s="268">
        <f>(D46+E46)*4+F46*9</f>
        <v>0</v>
      </c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</row>
    <row r="47">
      <c r="A47" s="302" t="s">
        <v>58</v>
      </c>
      <c r="B47" s="105"/>
      <c r="C47" s="227"/>
      <c r="D47" s="217" t="s">
        <v>19</v>
      </c>
      <c r="E47" s="218" t="s">
        <v>20</v>
      </c>
      <c r="F47" s="218" t="s">
        <v>21</v>
      </c>
      <c r="G47" s="219" t="s">
        <v>22</v>
      </c>
      <c r="H47" s="220" t="s">
        <v>7</v>
      </c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</row>
    <row r="48">
      <c r="A48" s="303" t="s">
        <v>0</v>
      </c>
      <c r="B48" s="304" t="s">
        <v>17</v>
      </c>
      <c r="C48" s="238" t="s">
        <v>124</v>
      </c>
      <c r="D48" s="239">
        <f>vlookup(D$5,'Макроси'!$H$15:$M$17,6,False)</f>
        <v>55</v>
      </c>
      <c r="E48" s="240">
        <f>vlookup(E$5,'Макроси'!$H$15:$M$17,6,False)</f>
        <v>130</v>
      </c>
      <c r="F48" s="240">
        <f>vlookup(F$5,'Макроси'!$H$15:$M$17,6,False)</f>
        <v>30</v>
      </c>
      <c r="G48" s="270"/>
      <c r="H48" s="241">
        <f>IF(ISERROR(ROUNDUP((D48+E48)*4+F48*9,0)),"",ROUNDUP((D48+E48)*4+F48*9,0))</f>
        <v>1010</v>
      </c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</row>
    <row r="49">
      <c r="A49" s="105"/>
      <c r="B49" s="242"/>
      <c r="C49" s="243" t="s">
        <v>125</v>
      </c>
      <c r="D49" s="228">
        <f t="shared" ref="D49:G49" si="8">SUM(D50:D57)</f>
        <v>0</v>
      </c>
      <c r="E49" s="229">
        <f t="shared" si="8"/>
        <v>0</v>
      </c>
      <c r="F49" s="229">
        <f t="shared" si="8"/>
        <v>0</v>
      </c>
      <c r="G49" s="229">
        <f t="shared" si="8"/>
        <v>0</v>
      </c>
      <c r="H49" s="230">
        <f>SUM(H50:H59)</f>
        <v>0</v>
      </c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</row>
    <row r="50" outlineLevel="1">
      <c r="A50" s="339"/>
      <c r="B50" s="339"/>
      <c r="C50" s="340"/>
      <c r="D50" s="64" t="str">
        <f>IF(ISNA(($C50/100)*VLOOKUP($B50,DB,3,FALSE)),"",($C50/100)*VLOOKUP($B50,DB,3,FALSE))</f>
        <v/>
      </c>
      <c r="E50" s="64" t="str">
        <f>IF(ISNA(($C50/100)*VLOOKUP($B50,DB,4,FALSE)),"",($C50/100)*VLOOKUP($B50,DB,4,FALSE))</f>
        <v/>
      </c>
      <c r="F50" s="64" t="str">
        <f>IF(ISNA(($C50/100)*VLOOKUP($B50,DB,5,FALSE)),"",($C50/100)*VLOOKUP($B50,DB,5,FALSE))</f>
        <v/>
      </c>
      <c r="G50" s="64" t="str">
        <f>IF(ISNA(($C50/100)*VLOOKUP($B50,DB,6,FALSE)),"",($C50/100)*VLOOKUP($B50,DB,6,FALSE))</f>
        <v/>
      </c>
      <c r="H50" s="341">
        <f t="shared" ref="H50:H59" si="9">IF(ISERROR(ROUNDUP((D50+E50)*4+F50*9,0)),"",ROUNDUP((D50+E50)*4+F50*9,0))</f>
        <v>0</v>
      </c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</row>
    <row r="51" outlineLevel="1">
      <c r="A51" s="339"/>
      <c r="B51" s="339"/>
      <c r="C51" s="340"/>
      <c r="D51" s="64" t="str">
        <f>IF(ISNA(($C51/100)*VLOOKUP($B51,DB,3,FALSE)),"",($C51/100)*VLOOKUP($B51,DB,3,FALSE))</f>
        <v/>
      </c>
      <c r="E51" s="64" t="str">
        <f>IF(ISNA(($C51/100)*VLOOKUP($B51,DB,4,FALSE)),"",($C51/100)*VLOOKUP($B51,DB,4,FALSE))</f>
        <v/>
      </c>
      <c r="F51" s="64" t="str">
        <f>IF(ISNA(($C51/100)*VLOOKUP($B51,DB,5,FALSE)),"",($C51/100)*VLOOKUP($B51,DB,5,FALSE))</f>
        <v/>
      </c>
      <c r="G51" s="64" t="str">
        <f>IF(ISNA(($C51/100)*VLOOKUP($B51,DB,6,FALSE)),"",($C51/100)*VLOOKUP($B51,DB,6,FALSE))</f>
        <v/>
      </c>
      <c r="H51" s="341">
        <f t="shared" si="9"/>
        <v>0</v>
      </c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</row>
    <row r="52" outlineLevel="1">
      <c r="A52" s="339"/>
      <c r="B52" s="339"/>
      <c r="C52" s="340"/>
      <c r="D52" s="64" t="str">
        <f>IF(ISNA(($C52/100)*VLOOKUP($B52,DB,3,FALSE)),"",($C52/100)*VLOOKUP($B52,DB,3,FALSE))</f>
        <v/>
      </c>
      <c r="E52" s="64" t="str">
        <f>IF(ISNA(($C52/100)*VLOOKUP($B52,DB,4,FALSE)),"",($C52/100)*VLOOKUP($B52,DB,4,FALSE))</f>
        <v/>
      </c>
      <c r="F52" s="64" t="str">
        <f>IF(ISNA(($C52/100)*VLOOKUP($B52,DB,5,FALSE)),"",($C52/100)*VLOOKUP($B52,DB,5,FALSE))</f>
        <v/>
      </c>
      <c r="G52" s="64" t="str">
        <f>IF(ISNA(($C52/100)*VLOOKUP($B52,DB,6,FALSE)),"",($C52/100)*VLOOKUP($B52,DB,6,FALSE))</f>
        <v/>
      </c>
      <c r="H52" s="341">
        <f t="shared" si="9"/>
        <v>0</v>
      </c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</row>
    <row r="53" outlineLevel="1">
      <c r="A53" s="339"/>
      <c r="B53" s="339"/>
      <c r="C53" s="340"/>
      <c r="D53" s="64" t="str">
        <f>IF(ISNA(($C53/100)*VLOOKUP($B53,DB,3,FALSE)),"",($C53/100)*VLOOKUP($B53,DB,3,FALSE))</f>
        <v/>
      </c>
      <c r="E53" s="64" t="str">
        <f>IF(ISNA(($C53/100)*VLOOKUP($B53,DB,4,FALSE)),"",($C53/100)*VLOOKUP($B53,DB,4,FALSE))</f>
        <v/>
      </c>
      <c r="F53" s="64" t="str">
        <f>IF(ISNA(($C53/100)*VLOOKUP($B53,DB,5,FALSE)),"",($C53/100)*VLOOKUP($B53,DB,5,FALSE))</f>
        <v/>
      </c>
      <c r="G53" s="64" t="str">
        <f>IF(ISNA(($C53/100)*VLOOKUP($B53,DB,6,FALSE)),"",($C53/100)*VLOOKUP($B53,DB,6,FALSE))</f>
        <v/>
      </c>
      <c r="H53" s="341">
        <f t="shared" si="9"/>
        <v>0</v>
      </c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</row>
    <row r="54" outlineLevel="1">
      <c r="A54" s="339"/>
      <c r="B54" s="339"/>
      <c r="C54" s="340"/>
      <c r="D54" s="64" t="str">
        <f>IF(ISNA(($C54/100)*VLOOKUP($B54,DB,3,FALSE)),"",($C54/100)*VLOOKUP($B54,DB,3,FALSE))</f>
        <v/>
      </c>
      <c r="E54" s="64" t="str">
        <f>IF(ISNA(($C54/100)*VLOOKUP($B54,DB,4,FALSE)),"",($C54/100)*VLOOKUP($B54,DB,4,FALSE))</f>
        <v/>
      </c>
      <c r="F54" s="64" t="str">
        <f>IF(ISNA(($C54/100)*VLOOKUP($B54,DB,5,FALSE)),"",($C54/100)*VLOOKUP($B54,DB,5,FALSE))</f>
        <v/>
      </c>
      <c r="G54" s="64" t="str">
        <f>IF(ISNA(($C54/100)*VLOOKUP($B54,DB,6,FALSE)),"",($C54/100)*VLOOKUP($B54,DB,6,FALSE))</f>
        <v/>
      </c>
      <c r="H54" s="341">
        <f t="shared" si="9"/>
        <v>0</v>
      </c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</row>
    <row r="55" outlineLevel="1">
      <c r="A55" s="339"/>
      <c r="B55" s="339"/>
      <c r="C55" s="340"/>
      <c r="D55" s="64" t="str">
        <f>IF(ISNA(($C55/100)*VLOOKUP($B55,DB,3,FALSE)),"",($C55/100)*VLOOKUP($B55,DB,3,FALSE))</f>
        <v/>
      </c>
      <c r="E55" s="64" t="str">
        <f>IF(ISNA(($C55/100)*VLOOKUP($B55,DB,4,FALSE)),"",($C55/100)*VLOOKUP($B55,DB,4,FALSE))</f>
        <v/>
      </c>
      <c r="F55" s="64" t="str">
        <f>IF(ISNA(($C55/100)*VLOOKUP($B55,DB,5,FALSE)),"",($C55/100)*VLOOKUP($B55,DB,5,FALSE))</f>
        <v/>
      </c>
      <c r="G55" s="64" t="str">
        <f>IF(ISNA(($C55/100)*VLOOKUP($B55,DB,6,FALSE)),"",($C55/100)*VLOOKUP($B55,DB,6,FALSE))</f>
        <v/>
      </c>
      <c r="H55" s="341">
        <f t="shared" si="9"/>
        <v>0</v>
      </c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</row>
    <row r="56" outlineLevel="1">
      <c r="A56" s="339"/>
      <c r="B56" s="339"/>
      <c r="C56" s="340"/>
      <c r="D56" s="64" t="str">
        <f>IF(ISNA(($C56/100)*VLOOKUP($B56,DB,3,FALSE)),"",($C56/100)*VLOOKUP($B56,DB,3,FALSE))</f>
        <v/>
      </c>
      <c r="E56" s="64" t="str">
        <f>IF(ISNA(($C56/100)*VLOOKUP($B56,DB,4,FALSE)),"",($C56/100)*VLOOKUP($B56,DB,4,FALSE))</f>
        <v/>
      </c>
      <c r="F56" s="64" t="str">
        <f>IF(ISNA(($C56/100)*VLOOKUP($B56,DB,5,FALSE)),"",($C56/100)*VLOOKUP($B56,DB,5,FALSE))</f>
        <v/>
      </c>
      <c r="G56" s="64" t="str">
        <f>IF(ISNA(($C56/100)*VLOOKUP($B56,DB,6,FALSE)),"",($C56/100)*VLOOKUP($B56,DB,6,FALSE))</f>
        <v/>
      </c>
      <c r="H56" s="341">
        <f t="shared" si="9"/>
        <v>0</v>
      </c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</row>
    <row r="57" outlineLevel="1">
      <c r="A57" s="342"/>
      <c r="B57" s="345"/>
      <c r="C57" s="346"/>
      <c r="D57" s="347" t="str">
        <f>IF(ISNA(($C57/100)*VLOOKUP($B57,DB,3,FALSE)),"",($C57/100)*VLOOKUP($B57,DB,3,FALSE))</f>
        <v/>
      </c>
      <c r="E57" s="347" t="str">
        <f>IF(ISNA(($C57/100)*VLOOKUP($B57,DB,4,FALSE)),"",($C57/100)*VLOOKUP($B57,DB,4,FALSE))</f>
        <v/>
      </c>
      <c r="F57" s="347" t="str">
        <f>IF(ISNA(($C57/100)*VLOOKUP($B57,DB,5,FALSE)),"",($C57/100)*VLOOKUP($B57,DB,5,FALSE))</f>
        <v/>
      </c>
      <c r="G57" s="347" t="str">
        <f>IF(ISNA(($C57/100)*VLOOKUP($B57,DB,6,FALSE)),"",($C57/100)*VLOOKUP($B57,DB,6,FALSE))</f>
        <v/>
      </c>
      <c r="H57" s="348">
        <f t="shared" si="9"/>
        <v>0</v>
      </c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</row>
    <row r="58">
      <c r="A58" s="311" t="s">
        <v>130</v>
      </c>
      <c r="B58" s="255"/>
      <c r="C58" s="256"/>
      <c r="D58" s="272"/>
      <c r="E58" s="272"/>
      <c r="F58" s="272"/>
      <c r="G58" s="272"/>
      <c r="H58" s="312">
        <f t="shared" si="9"/>
        <v>0</v>
      </c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</row>
    <row r="59">
      <c r="A59" s="313" t="s">
        <v>130</v>
      </c>
      <c r="B59" s="260"/>
      <c r="C59" s="89"/>
      <c r="D59" s="261"/>
      <c r="E59" s="261"/>
      <c r="F59" s="261"/>
      <c r="G59" s="261"/>
      <c r="H59" s="314">
        <f t="shared" si="9"/>
        <v>0</v>
      </c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</row>
    <row r="60">
      <c r="A60" s="315"/>
      <c r="B60" s="316"/>
      <c r="C60" s="317"/>
      <c r="D60" s="318"/>
      <c r="E60" s="318"/>
      <c r="F60" s="318"/>
      <c r="G60" s="319"/>
      <c r="H60" s="268">
        <f>(D60+E60)*4+F60*9</f>
        <v>0</v>
      </c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</row>
    <row r="61">
      <c r="A61" s="134"/>
      <c r="B61" s="134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</row>
    <row r="62">
      <c r="A62" s="134"/>
      <c r="B62" s="134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</row>
    <row r="63">
      <c r="A63" s="134"/>
      <c r="B63" s="134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</row>
    <row r="64">
      <c r="A64" s="134"/>
      <c r="B64" s="134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</row>
    <row r="65">
      <c r="A65" s="134"/>
      <c r="B65" s="134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</row>
    <row r="66">
      <c r="A66" s="134"/>
      <c r="B66" s="134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</row>
    <row r="67">
      <c r="A67" s="134"/>
      <c r="B67" s="134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</row>
    <row r="68">
      <c r="A68" s="134"/>
      <c r="B68" s="134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</row>
    <row r="69">
      <c r="A69" s="134"/>
      <c r="B69" s="134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</row>
    <row r="70">
      <c r="A70" s="134"/>
      <c r="B70" s="134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</row>
    <row r="71">
      <c r="A71" s="134"/>
      <c r="B71" s="134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</row>
    <row r="72">
      <c r="A72" s="134"/>
      <c r="B72" s="134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</row>
    <row r="73">
      <c r="A73" s="134"/>
      <c r="B73" s="134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</row>
    <row r="74">
      <c r="A74" s="134"/>
      <c r="B74" s="134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</row>
    <row r="75">
      <c r="A75" s="134"/>
      <c r="B75" s="134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</row>
    <row r="76">
      <c r="A76" s="134"/>
      <c r="B76" s="134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</row>
    <row r="77">
      <c r="A77" s="134"/>
      <c r="B77" s="134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</row>
    <row r="78">
      <c r="A78" s="134"/>
      <c r="B78" s="134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</row>
    <row r="79">
      <c r="A79" s="134"/>
      <c r="B79" s="134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</row>
    <row r="80">
      <c r="A80" s="134"/>
      <c r="B80" s="134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</row>
    <row r="81">
      <c r="A81" s="134"/>
      <c r="B81" s="134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</row>
    <row r="82">
      <c r="A82" s="134"/>
      <c r="B82" s="134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</row>
    <row r="83">
      <c r="A83" s="134"/>
      <c r="B83" s="134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</row>
    <row r="84">
      <c r="A84" s="134"/>
      <c r="B84" s="134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</row>
    <row r="85">
      <c r="A85" s="134"/>
      <c r="B85" s="134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</row>
    <row r="86">
      <c r="A86" s="134"/>
      <c r="B86" s="134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</row>
    <row r="87">
      <c r="A87" s="134"/>
      <c r="B87" s="134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</row>
    <row r="88">
      <c r="A88" s="134"/>
      <c r="B88" s="134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</row>
    <row r="89">
      <c r="A89" s="134"/>
      <c r="B89" s="134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</row>
    <row r="90">
      <c r="A90" s="134"/>
      <c r="B90" s="134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</row>
    <row r="91">
      <c r="A91" s="134"/>
      <c r="B91" s="134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</row>
    <row r="92">
      <c r="A92" s="134"/>
      <c r="B92" s="134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</row>
    <row r="93">
      <c r="A93" s="134"/>
      <c r="B93" s="134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</row>
    <row r="94">
      <c r="A94" s="134"/>
      <c r="B94" s="134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</row>
    <row r="95">
      <c r="A95" s="134"/>
      <c r="B95" s="134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</row>
    <row r="96">
      <c r="A96" s="134"/>
      <c r="B96" s="134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</row>
    <row r="97">
      <c r="A97" s="134"/>
      <c r="B97" s="134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</row>
    <row r="98">
      <c r="A98" s="134"/>
      <c r="B98" s="134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</row>
    <row r="99">
      <c r="A99" s="134"/>
      <c r="B99" s="134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</row>
    <row r="100">
      <c r="A100" s="134"/>
      <c r="B100" s="134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</row>
    <row r="101">
      <c r="A101" s="134"/>
      <c r="B101" s="134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</row>
    <row r="102">
      <c r="A102" s="134"/>
      <c r="B102" s="134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</row>
    <row r="103">
      <c r="A103" s="134"/>
      <c r="B103" s="134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</row>
    <row r="104">
      <c r="A104" s="134"/>
      <c r="B104" s="134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</row>
    <row r="105">
      <c r="A105" s="134"/>
      <c r="B105" s="134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</row>
    <row r="106">
      <c r="A106" s="134"/>
      <c r="B106" s="134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</row>
    <row r="107">
      <c r="A107" s="134"/>
      <c r="B107" s="134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</row>
    <row r="108">
      <c r="A108" s="134"/>
      <c r="B108" s="134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</row>
    <row r="109">
      <c r="A109" s="134"/>
      <c r="B109" s="134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</row>
    <row r="110">
      <c r="A110" s="134"/>
      <c r="B110" s="134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</row>
    <row r="111">
      <c r="A111" s="134"/>
      <c r="B111" s="134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</row>
    <row r="112">
      <c r="A112" s="134"/>
      <c r="B112" s="134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</row>
    <row r="113">
      <c r="A113" s="134"/>
      <c r="B113" s="134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</row>
    <row r="114">
      <c r="A114" s="134"/>
      <c r="B114" s="134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</row>
    <row r="115">
      <c r="A115" s="134"/>
      <c r="B115" s="134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</row>
    <row r="116">
      <c r="A116" s="134"/>
      <c r="B116" s="134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</row>
    <row r="117">
      <c r="A117" s="134"/>
      <c r="B117" s="134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</row>
    <row r="118">
      <c r="A118" s="134"/>
      <c r="B118" s="134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</row>
    <row r="119">
      <c r="A119" s="134"/>
      <c r="B119" s="134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</row>
    <row r="120">
      <c r="A120" s="134"/>
      <c r="B120" s="134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</row>
    <row r="121">
      <c r="A121" s="134"/>
      <c r="B121" s="134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</row>
    <row r="122">
      <c r="A122" s="134"/>
      <c r="B122" s="134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</row>
    <row r="123">
      <c r="A123" s="134"/>
      <c r="B123" s="134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</row>
    <row r="124">
      <c r="A124" s="134"/>
      <c r="B124" s="134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</row>
    <row r="125">
      <c r="A125" s="134"/>
      <c r="B125" s="134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</row>
    <row r="126">
      <c r="A126" s="134"/>
      <c r="B126" s="134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</row>
    <row r="127">
      <c r="A127" s="134"/>
      <c r="B127" s="134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</row>
    <row r="128">
      <c r="A128" s="134"/>
      <c r="B128" s="134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</row>
    <row r="129">
      <c r="A129" s="134"/>
      <c r="B129" s="134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</row>
    <row r="130">
      <c r="A130" s="134"/>
      <c r="B130" s="134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</row>
    <row r="131">
      <c r="A131" s="134"/>
      <c r="B131" s="134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</row>
    <row r="132">
      <c r="A132" s="134"/>
      <c r="B132" s="134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</row>
    <row r="133">
      <c r="A133" s="134"/>
      <c r="B133" s="134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</row>
    <row r="134">
      <c r="A134" s="134"/>
      <c r="B134" s="134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</row>
    <row r="135">
      <c r="A135" s="134"/>
      <c r="B135" s="134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</row>
    <row r="136">
      <c r="A136" s="134"/>
      <c r="B136" s="134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</row>
    <row r="137">
      <c r="A137" s="134"/>
      <c r="B137" s="134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</row>
    <row r="138">
      <c r="A138" s="134"/>
      <c r="B138" s="134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</row>
    <row r="139">
      <c r="A139" s="134"/>
      <c r="B139" s="134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</row>
    <row r="140">
      <c r="A140" s="134"/>
      <c r="B140" s="134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</row>
    <row r="141">
      <c r="A141" s="134"/>
      <c r="B141" s="134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</row>
    <row r="142">
      <c r="A142" s="134"/>
      <c r="B142" s="134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</row>
    <row r="143">
      <c r="A143" s="134"/>
      <c r="B143" s="134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</row>
    <row r="144">
      <c r="A144" s="134"/>
      <c r="B144" s="134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</row>
    <row r="145">
      <c r="A145" s="134"/>
      <c r="B145" s="134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</row>
    <row r="146">
      <c r="A146" s="134"/>
      <c r="B146" s="134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</row>
    <row r="147">
      <c r="A147" s="134"/>
      <c r="B147" s="134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</row>
    <row r="148">
      <c r="A148" s="134"/>
      <c r="B148" s="134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</row>
    <row r="149">
      <c r="A149" s="134"/>
      <c r="B149" s="134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</row>
    <row r="150">
      <c r="A150" s="134"/>
      <c r="B150" s="134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</row>
    <row r="151">
      <c r="A151" s="134"/>
      <c r="B151" s="134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</row>
    <row r="152">
      <c r="A152" s="134"/>
      <c r="B152" s="134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</row>
    <row r="153">
      <c r="A153" s="134"/>
      <c r="B153" s="134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</row>
    <row r="154">
      <c r="A154" s="134"/>
      <c r="B154" s="134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</row>
    <row r="155">
      <c r="A155" s="134"/>
      <c r="B155" s="134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</row>
    <row r="156">
      <c r="A156" s="134"/>
      <c r="B156" s="134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</row>
    <row r="157">
      <c r="A157" s="134"/>
      <c r="B157" s="134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</row>
    <row r="158">
      <c r="A158" s="134"/>
      <c r="B158" s="134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</row>
    <row r="159">
      <c r="A159" s="134"/>
      <c r="B159" s="134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</row>
    <row r="160">
      <c r="A160" s="134"/>
      <c r="B160" s="134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</row>
    <row r="161">
      <c r="A161" s="134"/>
      <c r="B161" s="134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</row>
    <row r="162">
      <c r="A162" s="134"/>
      <c r="B162" s="134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</row>
    <row r="163">
      <c r="A163" s="134"/>
      <c r="B163" s="134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</row>
    <row r="164">
      <c r="A164" s="134"/>
      <c r="B164" s="134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</row>
    <row r="165">
      <c r="A165" s="134"/>
      <c r="B165" s="134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</row>
    <row r="166">
      <c r="A166" s="134"/>
      <c r="B166" s="134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</row>
    <row r="167">
      <c r="A167" s="134"/>
      <c r="B167" s="134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</row>
    <row r="168">
      <c r="A168" s="134"/>
      <c r="B168" s="134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</row>
    <row r="169">
      <c r="A169" s="134"/>
      <c r="B169" s="134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</row>
    <row r="170">
      <c r="A170" s="134"/>
      <c r="B170" s="134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</row>
    <row r="171">
      <c r="A171" s="134"/>
      <c r="B171" s="134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</row>
    <row r="172">
      <c r="A172" s="134"/>
      <c r="B172" s="134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</row>
    <row r="173">
      <c r="A173" s="134"/>
      <c r="B173" s="134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</row>
    <row r="174">
      <c r="A174" s="134"/>
      <c r="B174" s="134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</row>
    <row r="175">
      <c r="A175" s="134"/>
      <c r="B175" s="134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</row>
    <row r="176">
      <c r="A176" s="134"/>
      <c r="B176" s="134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</row>
    <row r="177">
      <c r="A177" s="134"/>
      <c r="B177" s="134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</row>
    <row r="178">
      <c r="A178" s="134"/>
      <c r="B178" s="134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</row>
    <row r="179">
      <c r="A179" s="134"/>
      <c r="B179" s="134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</row>
    <row r="180">
      <c r="A180" s="134"/>
      <c r="B180" s="134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</row>
    <row r="181">
      <c r="A181" s="134"/>
      <c r="B181" s="134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</row>
    <row r="182">
      <c r="A182" s="134"/>
      <c r="B182" s="134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</row>
    <row r="183">
      <c r="A183" s="134"/>
      <c r="B183" s="134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</row>
    <row r="184">
      <c r="A184" s="134"/>
      <c r="B184" s="134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</row>
    <row r="185">
      <c r="A185" s="134"/>
      <c r="B185" s="134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</row>
    <row r="186">
      <c r="A186" s="134"/>
      <c r="B186" s="134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</row>
    <row r="187">
      <c r="A187" s="134"/>
      <c r="B187" s="134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</row>
    <row r="188">
      <c r="A188" s="134"/>
      <c r="B188" s="134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</row>
    <row r="189">
      <c r="A189" s="134"/>
      <c r="B189" s="134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</row>
    <row r="190">
      <c r="A190" s="134"/>
      <c r="B190" s="134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</row>
    <row r="191">
      <c r="A191" s="134"/>
      <c r="B191" s="134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</row>
    <row r="192">
      <c r="A192" s="134"/>
      <c r="B192" s="134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</row>
    <row r="193">
      <c r="A193" s="134"/>
      <c r="B193" s="134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</row>
    <row r="194">
      <c r="A194" s="134"/>
      <c r="B194" s="134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</row>
    <row r="195">
      <c r="A195" s="134"/>
      <c r="B195" s="134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</row>
    <row r="196">
      <c r="A196" s="134"/>
      <c r="B196" s="134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</row>
    <row r="197">
      <c r="A197" s="134"/>
      <c r="B197" s="134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</row>
    <row r="198">
      <c r="A198" s="134"/>
      <c r="B198" s="134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</row>
    <row r="199">
      <c r="A199" s="134"/>
      <c r="B199" s="134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</row>
    <row r="200">
      <c r="A200" s="134"/>
      <c r="B200" s="134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</row>
    <row r="201">
      <c r="A201" s="134"/>
      <c r="B201" s="134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</row>
    <row r="202">
      <c r="A202" s="134"/>
      <c r="B202" s="134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</row>
    <row r="203">
      <c r="A203" s="134"/>
      <c r="B203" s="134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</row>
    <row r="204">
      <c r="A204" s="134"/>
      <c r="B204" s="134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</row>
    <row r="205">
      <c r="A205" s="134"/>
      <c r="B205" s="134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</row>
    <row r="206">
      <c r="A206" s="134"/>
      <c r="B206" s="134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</row>
    <row r="207">
      <c r="A207" s="134"/>
      <c r="B207" s="134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</row>
    <row r="208">
      <c r="A208" s="134"/>
      <c r="B208" s="134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</row>
    <row r="209">
      <c r="A209" s="134"/>
      <c r="B209" s="134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</row>
    <row r="210">
      <c r="A210" s="134"/>
      <c r="B210" s="134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</row>
    <row r="211">
      <c r="A211" s="134"/>
      <c r="B211" s="134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</row>
    <row r="212">
      <c r="A212" s="134"/>
      <c r="B212" s="134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</row>
    <row r="213">
      <c r="A213" s="134"/>
      <c r="B213" s="134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</row>
    <row r="214">
      <c r="A214" s="134"/>
      <c r="B214" s="134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</row>
    <row r="215">
      <c r="A215" s="134"/>
      <c r="B215" s="134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</row>
    <row r="216">
      <c r="A216" s="134"/>
      <c r="B216" s="134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</row>
    <row r="217">
      <c r="A217" s="134"/>
      <c r="B217" s="134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</row>
    <row r="218">
      <c r="A218" s="134"/>
      <c r="B218" s="134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</row>
    <row r="219">
      <c r="A219" s="134"/>
      <c r="B219" s="134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</row>
    <row r="220">
      <c r="A220" s="134"/>
      <c r="B220" s="134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</row>
    <row r="221">
      <c r="A221" s="134"/>
      <c r="B221" s="134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</row>
    <row r="222">
      <c r="A222" s="134"/>
      <c r="B222" s="134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</row>
    <row r="223">
      <c r="A223" s="134"/>
      <c r="B223" s="134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</row>
    <row r="224">
      <c r="A224" s="134"/>
      <c r="B224" s="134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</row>
    <row r="225">
      <c r="A225" s="134"/>
      <c r="B225" s="134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</row>
    <row r="226">
      <c r="A226" s="134"/>
      <c r="B226" s="134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</row>
    <row r="227">
      <c r="A227" s="134"/>
      <c r="B227" s="134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</row>
    <row r="228">
      <c r="A228" s="134"/>
      <c r="B228" s="134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8"/>
    </row>
    <row r="229">
      <c r="A229" s="134"/>
      <c r="B229" s="134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</row>
    <row r="230">
      <c r="A230" s="134"/>
      <c r="B230" s="134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8"/>
    </row>
    <row r="231">
      <c r="A231" s="134"/>
      <c r="B231" s="134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8"/>
    </row>
    <row r="232">
      <c r="A232" s="134"/>
      <c r="B232" s="134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</row>
    <row r="233">
      <c r="A233" s="134"/>
      <c r="B233" s="134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</row>
    <row r="234">
      <c r="A234" s="134"/>
      <c r="B234" s="134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8"/>
    </row>
    <row r="235">
      <c r="A235" s="134"/>
      <c r="B235" s="134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8"/>
    </row>
    <row r="236">
      <c r="A236" s="134"/>
      <c r="B236" s="134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</row>
    <row r="237">
      <c r="A237" s="134"/>
      <c r="B237" s="134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8"/>
    </row>
    <row r="238">
      <c r="A238" s="134"/>
      <c r="B238" s="134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8"/>
    </row>
    <row r="239">
      <c r="A239" s="134"/>
      <c r="B239" s="134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8"/>
    </row>
    <row r="240">
      <c r="A240" s="134"/>
      <c r="B240" s="134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8"/>
    </row>
    <row r="241">
      <c r="A241" s="134"/>
      <c r="B241" s="134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8"/>
    </row>
    <row r="242">
      <c r="A242" s="134"/>
      <c r="B242" s="134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8"/>
    </row>
    <row r="243">
      <c r="A243" s="134"/>
      <c r="B243" s="134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8"/>
    </row>
    <row r="244">
      <c r="A244" s="134"/>
      <c r="B244" s="134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8"/>
    </row>
    <row r="245">
      <c r="A245" s="134"/>
      <c r="B245" s="134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8"/>
    </row>
    <row r="246">
      <c r="A246" s="134"/>
      <c r="B246" s="134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8"/>
    </row>
    <row r="247">
      <c r="A247" s="134"/>
      <c r="B247" s="134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8"/>
    </row>
    <row r="248">
      <c r="A248" s="134"/>
      <c r="B248" s="134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8"/>
    </row>
    <row r="249">
      <c r="A249" s="134"/>
      <c r="B249" s="134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</row>
    <row r="250">
      <c r="A250" s="134"/>
      <c r="B250" s="134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</row>
    <row r="251">
      <c r="A251" s="134"/>
      <c r="B251" s="134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8"/>
    </row>
    <row r="252">
      <c r="A252" s="134"/>
      <c r="B252" s="134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8"/>
    </row>
    <row r="253">
      <c r="A253" s="134"/>
      <c r="B253" s="134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8"/>
    </row>
    <row r="254">
      <c r="A254" s="134"/>
      <c r="B254" s="134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</row>
    <row r="255">
      <c r="A255" s="134"/>
      <c r="B255" s="134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</row>
    <row r="256">
      <c r="A256" s="134"/>
      <c r="B256" s="134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8"/>
    </row>
    <row r="257">
      <c r="A257" s="134"/>
      <c r="B257" s="134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8"/>
    </row>
    <row r="258">
      <c r="A258" s="134"/>
      <c r="B258" s="134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</row>
    <row r="259">
      <c r="A259" s="134"/>
      <c r="B259" s="134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</row>
    <row r="260">
      <c r="A260" s="134"/>
      <c r="B260" s="134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8"/>
    </row>
    <row r="261">
      <c r="A261" s="134"/>
      <c r="B261" s="134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</row>
    <row r="262">
      <c r="A262" s="134"/>
      <c r="B262" s="134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</row>
    <row r="263">
      <c r="A263" s="134"/>
      <c r="B263" s="134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</row>
    <row r="264">
      <c r="A264" s="134"/>
      <c r="B264" s="134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</row>
    <row r="265">
      <c r="A265" s="134"/>
      <c r="B265" s="134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8"/>
    </row>
    <row r="266">
      <c r="A266" s="134"/>
      <c r="B266" s="134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8"/>
    </row>
    <row r="267">
      <c r="A267" s="134"/>
      <c r="B267" s="134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</row>
    <row r="268">
      <c r="A268" s="134"/>
      <c r="B268" s="134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8"/>
    </row>
    <row r="269">
      <c r="A269" s="134"/>
      <c r="B269" s="134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8"/>
    </row>
    <row r="270">
      <c r="A270" s="134"/>
      <c r="B270" s="134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8"/>
    </row>
    <row r="271">
      <c r="A271" s="134"/>
      <c r="B271" s="134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</row>
    <row r="272">
      <c r="A272" s="134"/>
      <c r="B272" s="134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8"/>
    </row>
    <row r="273">
      <c r="A273" s="134"/>
      <c r="B273" s="134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8"/>
    </row>
    <row r="274">
      <c r="A274" s="134"/>
      <c r="B274" s="134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</row>
    <row r="275">
      <c r="A275" s="134"/>
      <c r="B275" s="134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</row>
    <row r="276">
      <c r="A276" s="134"/>
      <c r="B276" s="134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</row>
    <row r="277">
      <c r="A277" s="134"/>
      <c r="B277" s="134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</row>
    <row r="278">
      <c r="A278" s="134"/>
      <c r="B278" s="134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</row>
    <row r="279">
      <c r="A279" s="134"/>
      <c r="B279" s="134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</row>
    <row r="280">
      <c r="A280" s="134"/>
      <c r="B280" s="134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</row>
    <row r="281">
      <c r="A281" s="134"/>
      <c r="B281" s="134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</row>
    <row r="282">
      <c r="A282" s="134"/>
      <c r="B282" s="134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</row>
    <row r="283">
      <c r="A283" s="134"/>
      <c r="B283" s="134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</row>
    <row r="284">
      <c r="A284" s="134"/>
      <c r="B284" s="134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</row>
    <row r="285">
      <c r="A285" s="134"/>
      <c r="B285" s="134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</row>
    <row r="286">
      <c r="A286" s="134"/>
      <c r="B286" s="134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</row>
    <row r="287">
      <c r="A287" s="134"/>
      <c r="B287" s="134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</row>
    <row r="288">
      <c r="A288" s="134"/>
      <c r="B288" s="134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</row>
    <row r="289">
      <c r="A289" s="134"/>
      <c r="B289" s="134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</row>
    <row r="290">
      <c r="A290" s="134"/>
      <c r="B290" s="134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</row>
    <row r="291">
      <c r="A291" s="134"/>
      <c r="B291" s="134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8"/>
    </row>
    <row r="292">
      <c r="A292" s="134"/>
      <c r="B292" s="134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8"/>
    </row>
    <row r="293">
      <c r="A293" s="134"/>
      <c r="B293" s="134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</row>
    <row r="294">
      <c r="A294" s="134"/>
      <c r="B294" s="134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</row>
    <row r="295">
      <c r="A295" s="134"/>
      <c r="B295" s="134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</row>
    <row r="296">
      <c r="A296" s="134"/>
      <c r="B296" s="134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</row>
    <row r="297">
      <c r="A297" s="134"/>
      <c r="B297" s="134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8"/>
    </row>
    <row r="298">
      <c r="A298" s="134"/>
      <c r="B298" s="134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</row>
    <row r="299">
      <c r="A299" s="134"/>
      <c r="B299" s="134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</row>
    <row r="300">
      <c r="A300" s="134"/>
      <c r="B300" s="134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</row>
    <row r="301">
      <c r="A301" s="134"/>
      <c r="B301" s="134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</row>
    <row r="302">
      <c r="A302" s="134"/>
      <c r="B302" s="134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</row>
    <row r="303">
      <c r="A303" s="134"/>
      <c r="B303" s="134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</row>
    <row r="304">
      <c r="A304" s="134"/>
      <c r="B304" s="134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</row>
    <row r="305">
      <c r="A305" s="134"/>
      <c r="B305" s="134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</row>
    <row r="306">
      <c r="A306" s="134"/>
      <c r="B306" s="134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8"/>
    </row>
    <row r="307">
      <c r="A307" s="134"/>
      <c r="B307" s="134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</row>
    <row r="308">
      <c r="A308" s="134"/>
      <c r="B308" s="134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</row>
    <row r="309">
      <c r="A309" s="134"/>
      <c r="B309" s="134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</row>
    <row r="310">
      <c r="A310" s="134"/>
      <c r="B310" s="134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</row>
    <row r="311">
      <c r="A311" s="134"/>
      <c r="B311" s="134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</row>
    <row r="312">
      <c r="A312" s="134"/>
      <c r="B312" s="134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</row>
    <row r="313">
      <c r="A313" s="134"/>
      <c r="B313" s="134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</row>
    <row r="314">
      <c r="A314" s="134"/>
      <c r="B314" s="134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</row>
    <row r="315">
      <c r="A315" s="134"/>
      <c r="B315" s="134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</row>
    <row r="316">
      <c r="A316" s="134"/>
      <c r="B316" s="134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</row>
    <row r="317">
      <c r="A317" s="134"/>
      <c r="B317" s="134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</row>
    <row r="318">
      <c r="A318" s="134"/>
      <c r="B318" s="134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</row>
    <row r="319">
      <c r="A319" s="134"/>
      <c r="B319" s="134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</row>
    <row r="320">
      <c r="A320" s="134"/>
      <c r="B320" s="134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</row>
    <row r="321">
      <c r="A321" s="134"/>
      <c r="B321" s="134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</row>
    <row r="322">
      <c r="A322" s="134"/>
      <c r="B322" s="134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</row>
    <row r="323">
      <c r="A323" s="134"/>
      <c r="B323" s="134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</row>
    <row r="324">
      <c r="A324" s="134"/>
      <c r="B324" s="134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</row>
    <row r="325">
      <c r="A325" s="134"/>
      <c r="B325" s="134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</row>
    <row r="326">
      <c r="A326" s="134"/>
      <c r="B326" s="134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</row>
    <row r="327">
      <c r="A327" s="134"/>
      <c r="B327" s="134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</row>
    <row r="328">
      <c r="A328" s="134"/>
      <c r="B328" s="134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</row>
    <row r="329">
      <c r="A329" s="134"/>
      <c r="B329" s="134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</row>
    <row r="330">
      <c r="A330" s="134"/>
      <c r="B330" s="134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</row>
    <row r="331">
      <c r="A331" s="134"/>
      <c r="B331" s="134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</row>
    <row r="332">
      <c r="A332" s="134"/>
      <c r="B332" s="134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</row>
    <row r="333">
      <c r="A333" s="134"/>
      <c r="B333" s="134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</row>
    <row r="334">
      <c r="A334" s="134"/>
      <c r="B334" s="134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</row>
    <row r="335">
      <c r="A335" s="134"/>
      <c r="B335" s="134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</row>
    <row r="336">
      <c r="A336" s="134"/>
      <c r="B336" s="134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</row>
    <row r="337">
      <c r="A337" s="134"/>
      <c r="B337" s="134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</row>
    <row r="338">
      <c r="A338" s="134"/>
      <c r="B338" s="134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</row>
    <row r="339">
      <c r="A339" s="134"/>
      <c r="B339" s="134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</row>
    <row r="340">
      <c r="A340" s="134"/>
      <c r="B340" s="134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</row>
    <row r="341">
      <c r="A341" s="134"/>
      <c r="B341" s="134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</row>
    <row r="342">
      <c r="A342" s="134"/>
      <c r="B342" s="134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</row>
    <row r="343">
      <c r="A343" s="134"/>
      <c r="B343" s="134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</row>
    <row r="344">
      <c r="A344" s="134"/>
      <c r="B344" s="134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</row>
    <row r="345">
      <c r="A345" s="134"/>
      <c r="B345" s="134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</row>
    <row r="346">
      <c r="A346" s="134"/>
      <c r="B346" s="134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</row>
    <row r="347">
      <c r="A347" s="134"/>
      <c r="B347" s="134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</row>
    <row r="348">
      <c r="A348" s="134"/>
      <c r="B348" s="134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</row>
    <row r="349">
      <c r="A349" s="134"/>
      <c r="B349" s="134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</row>
    <row r="350">
      <c r="A350" s="134"/>
      <c r="B350" s="134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</row>
    <row r="351">
      <c r="A351" s="134"/>
      <c r="B351" s="134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</row>
    <row r="352">
      <c r="A352" s="134"/>
      <c r="B352" s="134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</row>
    <row r="353">
      <c r="A353" s="134"/>
      <c r="B353" s="134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</row>
    <row r="354">
      <c r="A354" s="134"/>
      <c r="B354" s="134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</row>
    <row r="355">
      <c r="A355" s="134"/>
      <c r="B355" s="134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</row>
    <row r="356">
      <c r="A356" s="134"/>
      <c r="B356" s="134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</row>
    <row r="357">
      <c r="A357" s="134"/>
      <c r="B357" s="134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</row>
    <row r="358">
      <c r="A358" s="134"/>
      <c r="B358" s="134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</row>
    <row r="359">
      <c r="A359" s="134"/>
      <c r="B359" s="134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</row>
    <row r="360">
      <c r="A360" s="134"/>
      <c r="B360" s="134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</row>
    <row r="361">
      <c r="A361" s="134"/>
      <c r="B361" s="134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</row>
    <row r="362">
      <c r="A362" s="134"/>
      <c r="B362" s="134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</row>
    <row r="363">
      <c r="A363" s="134"/>
      <c r="B363" s="134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</row>
    <row r="364">
      <c r="A364" s="134"/>
      <c r="B364" s="134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</row>
    <row r="365">
      <c r="A365" s="134"/>
      <c r="B365" s="134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</row>
    <row r="366">
      <c r="A366" s="134"/>
      <c r="B366" s="134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</row>
    <row r="367">
      <c r="A367" s="134"/>
      <c r="B367" s="134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</row>
    <row r="368">
      <c r="A368" s="134"/>
      <c r="B368" s="134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</row>
    <row r="369">
      <c r="A369" s="134"/>
      <c r="B369" s="134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</row>
    <row r="370">
      <c r="A370" s="134"/>
      <c r="B370" s="134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</row>
    <row r="371">
      <c r="A371" s="134"/>
      <c r="B371" s="134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</row>
    <row r="372">
      <c r="A372" s="134"/>
      <c r="B372" s="134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</row>
    <row r="373">
      <c r="A373" s="134"/>
      <c r="B373" s="134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</row>
    <row r="374">
      <c r="A374" s="134"/>
      <c r="B374" s="134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</row>
    <row r="375">
      <c r="A375" s="134"/>
      <c r="B375" s="134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</row>
    <row r="376">
      <c r="A376" s="134"/>
      <c r="B376" s="134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</row>
    <row r="377">
      <c r="A377" s="134"/>
      <c r="B377" s="134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</row>
    <row r="378">
      <c r="A378" s="134"/>
      <c r="B378" s="134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</row>
    <row r="379">
      <c r="A379" s="134"/>
      <c r="B379" s="134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</row>
    <row r="380">
      <c r="A380" s="134"/>
      <c r="B380" s="134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</row>
    <row r="381">
      <c r="A381" s="134"/>
      <c r="B381" s="134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</row>
    <row r="382">
      <c r="A382" s="134"/>
      <c r="B382" s="134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</row>
    <row r="383">
      <c r="A383" s="134"/>
      <c r="B383" s="134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</row>
    <row r="384">
      <c r="A384" s="134"/>
      <c r="B384" s="134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</row>
    <row r="385">
      <c r="A385" s="134"/>
      <c r="B385" s="134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</row>
    <row r="386">
      <c r="A386" s="134"/>
      <c r="B386" s="134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</row>
    <row r="387">
      <c r="A387" s="134"/>
      <c r="B387" s="134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</row>
    <row r="388">
      <c r="A388" s="134"/>
      <c r="B388" s="134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</row>
    <row r="389">
      <c r="A389" s="134"/>
      <c r="B389" s="134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</row>
    <row r="390">
      <c r="A390" s="134"/>
      <c r="B390" s="134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</row>
    <row r="391">
      <c r="A391" s="134"/>
      <c r="B391" s="134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</row>
    <row r="392">
      <c r="A392" s="134"/>
      <c r="B392" s="134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</row>
    <row r="393">
      <c r="A393" s="134"/>
      <c r="B393" s="134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</row>
    <row r="394">
      <c r="A394" s="134"/>
      <c r="B394" s="134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</row>
    <row r="395">
      <c r="A395" s="134"/>
      <c r="B395" s="134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</row>
    <row r="396">
      <c r="A396" s="134"/>
      <c r="B396" s="134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</row>
    <row r="397">
      <c r="A397" s="134"/>
      <c r="B397" s="134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</row>
    <row r="398">
      <c r="A398" s="134"/>
      <c r="B398" s="134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</row>
    <row r="399">
      <c r="A399" s="134"/>
      <c r="B399" s="134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</row>
    <row r="400">
      <c r="A400" s="134"/>
      <c r="B400" s="134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</row>
    <row r="401">
      <c r="A401" s="134"/>
      <c r="B401" s="134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</row>
    <row r="402">
      <c r="A402" s="134"/>
      <c r="B402" s="134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</row>
    <row r="403">
      <c r="A403" s="134"/>
      <c r="B403" s="134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</row>
    <row r="404">
      <c r="A404" s="134"/>
      <c r="B404" s="134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</row>
    <row r="405">
      <c r="A405" s="134"/>
      <c r="B405" s="134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</row>
    <row r="406">
      <c r="A406" s="134"/>
      <c r="B406" s="134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</row>
    <row r="407">
      <c r="A407" s="134"/>
      <c r="B407" s="134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</row>
    <row r="408">
      <c r="A408" s="134"/>
      <c r="B408" s="134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</row>
    <row r="409">
      <c r="A409" s="134"/>
      <c r="B409" s="134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</row>
    <row r="410">
      <c r="A410" s="134"/>
      <c r="B410" s="134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</row>
    <row r="411">
      <c r="A411" s="134"/>
      <c r="B411" s="134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</row>
    <row r="412">
      <c r="A412" s="134"/>
      <c r="B412" s="134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</row>
    <row r="413">
      <c r="A413" s="134"/>
      <c r="B413" s="134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</row>
    <row r="414">
      <c r="A414" s="134"/>
      <c r="B414" s="134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</row>
    <row r="415">
      <c r="A415" s="134"/>
      <c r="B415" s="134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</row>
    <row r="416">
      <c r="A416" s="134"/>
      <c r="B416" s="134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</row>
    <row r="417">
      <c r="A417" s="134"/>
      <c r="B417" s="134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</row>
    <row r="418">
      <c r="A418" s="134"/>
      <c r="B418" s="134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</row>
    <row r="419">
      <c r="A419" s="134"/>
      <c r="B419" s="134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</row>
    <row r="420">
      <c r="A420" s="134"/>
      <c r="B420" s="134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</row>
    <row r="421">
      <c r="A421" s="134"/>
      <c r="B421" s="134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</row>
    <row r="422">
      <c r="A422" s="134"/>
      <c r="B422" s="134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</row>
    <row r="423">
      <c r="A423" s="134"/>
      <c r="B423" s="134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</row>
    <row r="424">
      <c r="A424" s="134"/>
      <c r="B424" s="134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</row>
    <row r="425">
      <c r="A425" s="134"/>
      <c r="B425" s="134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</row>
    <row r="426">
      <c r="A426" s="134"/>
      <c r="B426" s="134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</row>
    <row r="427">
      <c r="A427" s="134"/>
      <c r="B427" s="134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</row>
    <row r="428">
      <c r="A428" s="134"/>
      <c r="B428" s="134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</row>
    <row r="429">
      <c r="A429" s="134"/>
      <c r="B429" s="134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</row>
    <row r="430">
      <c r="A430" s="134"/>
      <c r="B430" s="134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</row>
    <row r="431">
      <c r="A431" s="134"/>
      <c r="B431" s="134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</row>
    <row r="432">
      <c r="A432" s="134"/>
      <c r="B432" s="134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</row>
    <row r="433">
      <c r="A433" s="134"/>
      <c r="B433" s="134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</row>
    <row r="434">
      <c r="A434" s="134"/>
      <c r="B434" s="134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</row>
    <row r="435">
      <c r="A435" s="134"/>
      <c r="B435" s="134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</row>
    <row r="436">
      <c r="A436" s="134"/>
      <c r="B436" s="134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</row>
    <row r="437">
      <c r="A437" s="134"/>
      <c r="B437" s="134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</row>
    <row r="438">
      <c r="A438" s="134"/>
      <c r="B438" s="134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</row>
    <row r="439">
      <c r="A439" s="134"/>
      <c r="B439" s="134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</row>
    <row r="440">
      <c r="A440" s="134"/>
      <c r="B440" s="134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</row>
    <row r="441">
      <c r="A441" s="134"/>
      <c r="B441" s="134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</row>
    <row r="442">
      <c r="A442" s="134"/>
      <c r="B442" s="134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</row>
    <row r="443">
      <c r="A443" s="134"/>
      <c r="B443" s="134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</row>
    <row r="444">
      <c r="A444" s="134"/>
      <c r="B444" s="134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</row>
    <row r="445">
      <c r="A445" s="134"/>
      <c r="B445" s="134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</row>
    <row r="446">
      <c r="A446" s="134"/>
      <c r="B446" s="134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</row>
    <row r="447">
      <c r="A447" s="134"/>
      <c r="B447" s="134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</row>
    <row r="448">
      <c r="A448" s="134"/>
      <c r="B448" s="134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</row>
    <row r="449">
      <c r="A449" s="134"/>
      <c r="B449" s="134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</row>
    <row r="450">
      <c r="A450" s="134"/>
      <c r="B450" s="134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</row>
    <row r="451">
      <c r="A451" s="134"/>
      <c r="B451" s="134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</row>
    <row r="452">
      <c r="A452" s="134"/>
      <c r="B452" s="134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</row>
    <row r="453">
      <c r="A453" s="134"/>
      <c r="B453" s="134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</row>
    <row r="454">
      <c r="A454" s="134"/>
      <c r="B454" s="134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</row>
    <row r="455">
      <c r="A455" s="134"/>
      <c r="B455" s="134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</row>
    <row r="456">
      <c r="A456" s="134"/>
      <c r="B456" s="134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</row>
    <row r="457">
      <c r="A457" s="134"/>
      <c r="B457" s="134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</row>
    <row r="458">
      <c r="A458" s="134"/>
      <c r="B458" s="134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</row>
    <row r="459">
      <c r="A459" s="134"/>
      <c r="B459" s="134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</row>
    <row r="460">
      <c r="A460" s="134"/>
      <c r="B460" s="134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</row>
    <row r="461">
      <c r="A461" s="134"/>
      <c r="B461" s="134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</row>
    <row r="462">
      <c r="A462" s="134"/>
      <c r="B462" s="134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</row>
    <row r="463">
      <c r="A463" s="134"/>
      <c r="B463" s="134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</row>
    <row r="464">
      <c r="A464" s="134"/>
      <c r="B464" s="134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</row>
    <row r="465">
      <c r="A465" s="134"/>
      <c r="B465" s="134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</row>
    <row r="466">
      <c r="A466" s="134"/>
      <c r="B466" s="134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</row>
    <row r="467">
      <c r="A467" s="134"/>
      <c r="B467" s="134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</row>
    <row r="468">
      <c r="A468" s="134"/>
      <c r="B468" s="134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</row>
    <row r="469">
      <c r="A469" s="134"/>
      <c r="B469" s="134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</row>
    <row r="470">
      <c r="A470" s="134"/>
      <c r="B470" s="134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</row>
    <row r="471">
      <c r="A471" s="134"/>
      <c r="B471" s="134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</row>
    <row r="472">
      <c r="A472" s="134"/>
      <c r="B472" s="134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</row>
    <row r="473">
      <c r="A473" s="134"/>
      <c r="B473" s="134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</row>
    <row r="474">
      <c r="A474" s="134"/>
      <c r="B474" s="134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</row>
    <row r="475">
      <c r="A475" s="134"/>
      <c r="B475" s="134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</row>
    <row r="476">
      <c r="A476" s="134"/>
      <c r="B476" s="134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</row>
    <row r="477">
      <c r="A477" s="134"/>
      <c r="B477" s="134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</row>
    <row r="478">
      <c r="A478" s="134"/>
      <c r="B478" s="134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</row>
    <row r="479">
      <c r="A479" s="134"/>
      <c r="B479" s="134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</row>
    <row r="480">
      <c r="A480" s="134"/>
      <c r="B480" s="134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</row>
    <row r="481">
      <c r="A481" s="134"/>
      <c r="B481" s="134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</row>
    <row r="482">
      <c r="A482" s="134"/>
      <c r="B482" s="134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</row>
    <row r="483">
      <c r="A483" s="134"/>
      <c r="B483" s="134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</row>
    <row r="484">
      <c r="A484" s="134"/>
      <c r="B484" s="134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</row>
    <row r="485">
      <c r="A485" s="134"/>
      <c r="B485" s="134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</row>
    <row r="486">
      <c r="A486" s="134"/>
      <c r="B486" s="134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</row>
    <row r="487">
      <c r="A487" s="134"/>
      <c r="B487" s="134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</row>
    <row r="488">
      <c r="A488" s="134"/>
      <c r="B488" s="134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</row>
    <row r="489">
      <c r="A489" s="134"/>
      <c r="B489" s="134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</row>
    <row r="490">
      <c r="A490" s="134"/>
      <c r="B490" s="134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</row>
    <row r="491">
      <c r="A491" s="134"/>
      <c r="B491" s="134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</row>
    <row r="492">
      <c r="A492" s="134"/>
      <c r="B492" s="134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</row>
    <row r="493">
      <c r="A493" s="134"/>
      <c r="B493" s="134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</row>
    <row r="494">
      <c r="A494" s="134"/>
      <c r="B494" s="134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</row>
    <row r="495">
      <c r="A495" s="134"/>
      <c r="B495" s="134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</row>
    <row r="496">
      <c r="A496" s="134"/>
      <c r="B496" s="134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</row>
    <row r="497">
      <c r="A497" s="134"/>
      <c r="B497" s="134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</row>
    <row r="498">
      <c r="A498" s="134"/>
      <c r="B498" s="134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</row>
    <row r="499">
      <c r="A499" s="134"/>
      <c r="B499" s="134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</row>
    <row r="500">
      <c r="A500" s="134"/>
      <c r="B500" s="134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</row>
    <row r="501">
      <c r="A501" s="134"/>
      <c r="B501" s="134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</row>
    <row r="502">
      <c r="A502" s="134"/>
      <c r="B502" s="134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</row>
    <row r="503">
      <c r="A503" s="134"/>
      <c r="B503" s="134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</row>
    <row r="504">
      <c r="A504" s="134"/>
      <c r="B504" s="134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</row>
    <row r="505">
      <c r="A505" s="134"/>
      <c r="B505" s="134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</row>
    <row r="506">
      <c r="A506" s="134"/>
      <c r="B506" s="134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</row>
    <row r="507">
      <c r="A507" s="134"/>
      <c r="B507" s="134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</row>
    <row r="508">
      <c r="A508" s="134"/>
      <c r="B508" s="134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</row>
    <row r="509">
      <c r="A509" s="134"/>
      <c r="B509" s="134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</row>
    <row r="510">
      <c r="A510" s="134"/>
      <c r="B510" s="134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</row>
    <row r="511">
      <c r="A511" s="134"/>
      <c r="B511" s="134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</row>
    <row r="512">
      <c r="A512" s="134"/>
      <c r="B512" s="134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</row>
    <row r="513">
      <c r="A513" s="134"/>
      <c r="B513" s="134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</row>
    <row r="514">
      <c r="A514" s="134"/>
      <c r="B514" s="134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</row>
    <row r="515">
      <c r="A515" s="134"/>
      <c r="B515" s="134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</row>
    <row r="516">
      <c r="A516" s="134"/>
      <c r="B516" s="134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</row>
    <row r="517">
      <c r="A517" s="134"/>
      <c r="B517" s="134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</row>
    <row r="518">
      <c r="A518" s="134"/>
      <c r="B518" s="134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</row>
    <row r="519">
      <c r="A519" s="134"/>
      <c r="B519" s="134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</row>
    <row r="520">
      <c r="A520" s="134"/>
      <c r="B520" s="134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</row>
    <row r="521">
      <c r="A521" s="134"/>
      <c r="B521" s="134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</row>
    <row r="522">
      <c r="A522" s="134"/>
      <c r="B522" s="134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</row>
    <row r="523">
      <c r="A523" s="134"/>
      <c r="B523" s="134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</row>
    <row r="524">
      <c r="A524" s="134"/>
      <c r="B524" s="134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</row>
    <row r="525">
      <c r="A525" s="134"/>
      <c r="B525" s="134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</row>
    <row r="526">
      <c r="A526" s="134"/>
      <c r="B526" s="134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</row>
    <row r="527">
      <c r="A527" s="134"/>
      <c r="B527" s="134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</row>
    <row r="528">
      <c r="A528" s="134"/>
      <c r="B528" s="134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</row>
    <row r="529">
      <c r="A529" s="134"/>
      <c r="B529" s="134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</row>
    <row r="530">
      <c r="A530" s="134"/>
      <c r="B530" s="134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</row>
    <row r="531">
      <c r="A531" s="134"/>
      <c r="B531" s="134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</row>
    <row r="532">
      <c r="A532" s="134"/>
      <c r="B532" s="134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</row>
    <row r="533">
      <c r="A533" s="134"/>
      <c r="B533" s="134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</row>
    <row r="534">
      <c r="A534" s="134"/>
      <c r="B534" s="134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</row>
    <row r="535">
      <c r="A535" s="134"/>
      <c r="B535" s="134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</row>
    <row r="536">
      <c r="A536" s="134"/>
      <c r="B536" s="134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</row>
    <row r="537">
      <c r="A537" s="134"/>
      <c r="B537" s="134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</row>
    <row r="538">
      <c r="A538" s="134"/>
      <c r="B538" s="134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</row>
    <row r="539">
      <c r="A539" s="134"/>
      <c r="B539" s="134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</row>
    <row r="540">
      <c r="A540" s="134"/>
      <c r="B540" s="134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</row>
    <row r="541">
      <c r="A541" s="134"/>
      <c r="B541" s="134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</row>
    <row r="542">
      <c r="A542" s="134"/>
      <c r="B542" s="134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</row>
    <row r="543">
      <c r="A543" s="134"/>
      <c r="B543" s="134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</row>
    <row r="544">
      <c r="A544" s="134"/>
      <c r="B544" s="134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</row>
    <row r="545">
      <c r="A545" s="134"/>
      <c r="B545" s="134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</row>
    <row r="546">
      <c r="A546" s="134"/>
      <c r="B546" s="134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</row>
    <row r="547">
      <c r="A547" s="134"/>
      <c r="B547" s="134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</row>
    <row r="548">
      <c r="A548" s="134"/>
      <c r="B548" s="134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</row>
    <row r="549">
      <c r="A549" s="134"/>
      <c r="B549" s="134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</row>
    <row r="550">
      <c r="A550" s="134"/>
      <c r="B550" s="134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</row>
    <row r="551">
      <c r="A551" s="134"/>
      <c r="B551" s="134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</row>
    <row r="552">
      <c r="A552" s="134"/>
      <c r="B552" s="134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</row>
    <row r="553">
      <c r="A553" s="134"/>
      <c r="B553" s="134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</row>
    <row r="554">
      <c r="A554" s="134"/>
      <c r="B554" s="134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</row>
    <row r="555">
      <c r="A555" s="134"/>
      <c r="B555" s="134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</row>
    <row r="556">
      <c r="A556" s="134"/>
      <c r="B556" s="134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</row>
    <row r="557">
      <c r="A557" s="134"/>
      <c r="B557" s="134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</row>
    <row r="558">
      <c r="A558" s="134"/>
      <c r="B558" s="134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</row>
    <row r="559">
      <c r="A559" s="134"/>
      <c r="B559" s="134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</row>
    <row r="560">
      <c r="A560" s="134"/>
      <c r="B560" s="134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</row>
    <row r="561">
      <c r="A561" s="134"/>
      <c r="B561" s="134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</row>
    <row r="562">
      <c r="A562" s="134"/>
      <c r="B562" s="134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</row>
    <row r="563">
      <c r="A563" s="134"/>
      <c r="B563" s="134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</row>
    <row r="564">
      <c r="A564" s="134"/>
      <c r="B564" s="134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</row>
    <row r="565">
      <c r="A565" s="134"/>
      <c r="B565" s="134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</row>
    <row r="566">
      <c r="A566" s="134"/>
      <c r="B566" s="134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</row>
    <row r="567">
      <c r="A567" s="134"/>
      <c r="B567" s="134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</row>
    <row r="568">
      <c r="A568" s="134"/>
      <c r="B568" s="134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</row>
    <row r="569">
      <c r="A569" s="134"/>
      <c r="B569" s="134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</row>
    <row r="570">
      <c r="A570" s="134"/>
      <c r="B570" s="134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</row>
    <row r="571">
      <c r="A571" s="134"/>
      <c r="B571" s="134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</row>
    <row r="572">
      <c r="A572" s="134"/>
      <c r="B572" s="134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</row>
    <row r="573">
      <c r="A573" s="134"/>
      <c r="B573" s="134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</row>
    <row r="574">
      <c r="A574" s="134"/>
      <c r="B574" s="134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</row>
    <row r="575">
      <c r="A575" s="134"/>
      <c r="B575" s="134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</row>
    <row r="576">
      <c r="A576" s="134"/>
      <c r="B576" s="134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</row>
    <row r="577">
      <c r="A577" s="134"/>
      <c r="B577" s="134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</row>
    <row r="578">
      <c r="A578" s="134"/>
      <c r="B578" s="134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</row>
    <row r="579">
      <c r="A579" s="134"/>
      <c r="B579" s="134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</row>
    <row r="580">
      <c r="A580" s="134"/>
      <c r="B580" s="134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</row>
    <row r="581">
      <c r="A581" s="134"/>
      <c r="B581" s="134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</row>
    <row r="582">
      <c r="A582" s="134"/>
      <c r="B582" s="134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</row>
    <row r="583">
      <c r="A583" s="134"/>
      <c r="B583" s="134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</row>
    <row r="584">
      <c r="A584" s="134"/>
      <c r="B584" s="134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</row>
    <row r="585">
      <c r="A585" s="134"/>
      <c r="B585" s="134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</row>
    <row r="586">
      <c r="A586" s="134"/>
      <c r="B586" s="134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</row>
    <row r="587">
      <c r="A587" s="134"/>
      <c r="B587" s="134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</row>
    <row r="588">
      <c r="A588" s="134"/>
      <c r="B588" s="134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</row>
    <row r="589">
      <c r="A589" s="134"/>
      <c r="B589" s="134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</row>
    <row r="590">
      <c r="A590" s="134"/>
      <c r="B590" s="134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</row>
    <row r="591">
      <c r="A591" s="134"/>
      <c r="B591" s="134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</row>
    <row r="592">
      <c r="A592" s="134"/>
      <c r="B592" s="134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</row>
    <row r="593">
      <c r="A593" s="134"/>
      <c r="B593" s="134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</row>
    <row r="594">
      <c r="A594" s="134"/>
      <c r="B594" s="134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</row>
    <row r="595">
      <c r="A595" s="134"/>
      <c r="B595" s="134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</row>
    <row r="596">
      <c r="A596" s="134"/>
      <c r="B596" s="134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</row>
    <row r="597">
      <c r="A597" s="134"/>
      <c r="B597" s="134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</row>
    <row r="598">
      <c r="A598" s="134"/>
      <c r="B598" s="134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</row>
    <row r="599">
      <c r="A599" s="134"/>
      <c r="B599" s="134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</row>
    <row r="600">
      <c r="A600" s="134"/>
      <c r="B600" s="134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</row>
    <row r="601">
      <c r="A601" s="134"/>
      <c r="B601" s="134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</row>
    <row r="602">
      <c r="A602" s="134"/>
      <c r="B602" s="134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</row>
    <row r="603">
      <c r="A603" s="134"/>
      <c r="B603" s="134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</row>
    <row r="604">
      <c r="A604" s="134"/>
      <c r="B604" s="134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</row>
    <row r="605">
      <c r="A605" s="134"/>
      <c r="B605" s="134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</row>
    <row r="606">
      <c r="A606" s="134"/>
      <c r="B606" s="134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</row>
    <row r="607">
      <c r="A607" s="134"/>
      <c r="B607" s="134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</row>
    <row r="608">
      <c r="A608" s="134"/>
      <c r="B608" s="134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</row>
    <row r="609">
      <c r="A609" s="134"/>
      <c r="B609" s="134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</row>
    <row r="610">
      <c r="A610" s="134"/>
      <c r="B610" s="134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</row>
    <row r="611">
      <c r="A611" s="134"/>
      <c r="B611" s="134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</row>
    <row r="612">
      <c r="A612" s="134"/>
      <c r="B612" s="134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</row>
    <row r="613">
      <c r="A613" s="134"/>
      <c r="B613" s="134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</row>
    <row r="614">
      <c r="A614" s="134"/>
      <c r="B614" s="134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</row>
    <row r="615">
      <c r="A615" s="134"/>
      <c r="B615" s="134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</row>
    <row r="616">
      <c r="A616" s="134"/>
      <c r="B616" s="134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</row>
    <row r="617">
      <c r="A617" s="134"/>
      <c r="B617" s="134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</row>
    <row r="618">
      <c r="A618" s="134"/>
      <c r="B618" s="134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</row>
    <row r="619">
      <c r="A619" s="134"/>
      <c r="B619" s="134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</row>
    <row r="620">
      <c r="A620" s="134"/>
      <c r="B620" s="134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</row>
    <row r="621">
      <c r="A621" s="134"/>
      <c r="B621" s="134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</row>
    <row r="622">
      <c r="A622" s="134"/>
      <c r="B622" s="134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</row>
    <row r="623">
      <c r="A623" s="134"/>
      <c r="B623" s="134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</row>
    <row r="624">
      <c r="A624" s="134"/>
      <c r="B624" s="134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</row>
    <row r="625">
      <c r="A625" s="134"/>
      <c r="B625" s="134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</row>
    <row r="626">
      <c r="A626" s="134"/>
      <c r="B626" s="134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</row>
    <row r="627">
      <c r="A627" s="134"/>
      <c r="B627" s="134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</row>
    <row r="628">
      <c r="A628" s="134"/>
      <c r="B628" s="134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</row>
    <row r="629">
      <c r="A629" s="134"/>
      <c r="B629" s="134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</row>
    <row r="630">
      <c r="A630" s="134"/>
      <c r="B630" s="134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</row>
    <row r="631">
      <c r="A631" s="134"/>
      <c r="B631" s="134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</row>
    <row r="632">
      <c r="A632" s="134"/>
      <c r="B632" s="134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</row>
    <row r="633">
      <c r="A633" s="134"/>
      <c r="B633" s="134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</row>
    <row r="634">
      <c r="A634" s="134"/>
      <c r="B634" s="134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</row>
    <row r="635">
      <c r="A635" s="134"/>
      <c r="B635" s="134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</row>
    <row r="636">
      <c r="A636" s="134"/>
      <c r="B636" s="134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</row>
    <row r="637">
      <c r="A637" s="134"/>
      <c r="B637" s="134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</row>
    <row r="638">
      <c r="A638" s="134"/>
      <c r="B638" s="134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</row>
    <row r="639">
      <c r="A639" s="134"/>
      <c r="B639" s="134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</row>
    <row r="640">
      <c r="A640" s="134"/>
      <c r="B640" s="134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</row>
    <row r="641">
      <c r="A641" s="134"/>
      <c r="B641" s="134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</row>
    <row r="642">
      <c r="A642" s="134"/>
      <c r="B642" s="134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</row>
    <row r="643">
      <c r="A643" s="134"/>
      <c r="B643" s="134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</row>
    <row r="644">
      <c r="A644" s="134"/>
      <c r="B644" s="134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</row>
    <row r="645">
      <c r="A645" s="134"/>
      <c r="B645" s="134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</row>
    <row r="646">
      <c r="A646" s="134"/>
      <c r="B646" s="134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</row>
    <row r="647">
      <c r="A647" s="134"/>
      <c r="B647" s="134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</row>
    <row r="648">
      <c r="A648" s="134"/>
      <c r="B648" s="134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</row>
    <row r="649">
      <c r="A649" s="134"/>
      <c r="B649" s="134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</row>
    <row r="650">
      <c r="A650" s="134"/>
      <c r="B650" s="134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</row>
    <row r="651">
      <c r="A651" s="134"/>
      <c r="B651" s="134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</row>
    <row r="652">
      <c r="A652" s="134"/>
      <c r="B652" s="134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</row>
    <row r="653">
      <c r="A653" s="134"/>
      <c r="B653" s="134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</row>
    <row r="654">
      <c r="A654" s="134"/>
      <c r="B654" s="134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</row>
    <row r="655">
      <c r="A655" s="134"/>
      <c r="B655" s="134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</row>
    <row r="656">
      <c r="A656" s="134"/>
      <c r="B656" s="134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</row>
    <row r="657">
      <c r="A657" s="134"/>
      <c r="B657" s="134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</row>
    <row r="658">
      <c r="A658" s="134"/>
      <c r="B658" s="134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</row>
    <row r="659">
      <c r="A659" s="134"/>
      <c r="B659" s="134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</row>
    <row r="660">
      <c r="A660" s="134"/>
      <c r="B660" s="134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</row>
    <row r="661">
      <c r="A661" s="134"/>
      <c r="B661" s="134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</row>
    <row r="662">
      <c r="A662" s="134"/>
      <c r="B662" s="134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</row>
    <row r="663">
      <c r="A663" s="134"/>
      <c r="B663" s="134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</row>
    <row r="664">
      <c r="A664" s="134"/>
      <c r="B664" s="134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</row>
    <row r="665">
      <c r="A665" s="134"/>
      <c r="B665" s="134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</row>
    <row r="666">
      <c r="A666" s="134"/>
      <c r="B666" s="134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</row>
    <row r="667">
      <c r="A667" s="134"/>
      <c r="B667" s="134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</row>
    <row r="668">
      <c r="A668" s="134"/>
      <c r="B668" s="134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</row>
    <row r="669">
      <c r="A669" s="134"/>
      <c r="B669" s="134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</row>
    <row r="670">
      <c r="A670" s="134"/>
      <c r="B670" s="134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</row>
    <row r="671">
      <c r="A671" s="134"/>
      <c r="B671" s="134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</row>
    <row r="672">
      <c r="A672" s="134"/>
      <c r="B672" s="134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</row>
    <row r="673">
      <c r="A673" s="134"/>
      <c r="B673" s="134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</row>
    <row r="674">
      <c r="A674" s="134"/>
      <c r="B674" s="134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</row>
    <row r="675">
      <c r="A675" s="134"/>
      <c r="B675" s="134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</row>
    <row r="676">
      <c r="A676" s="134"/>
      <c r="B676" s="134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</row>
    <row r="677">
      <c r="A677" s="134"/>
      <c r="B677" s="134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</row>
    <row r="678">
      <c r="A678" s="134"/>
      <c r="B678" s="134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</row>
    <row r="679">
      <c r="A679" s="134"/>
      <c r="B679" s="134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</row>
    <row r="680">
      <c r="A680" s="134"/>
      <c r="B680" s="134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</row>
    <row r="681">
      <c r="A681" s="134"/>
      <c r="B681" s="134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</row>
    <row r="682">
      <c r="A682" s="134"/>
      <c r="B682" s="134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</row>
    <row r="683">
      <c r="A683" s="134"/>
      <c r="B683" s="134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</row>
    <row r="684">
      <c r="A684" s="134"/>
      <c r="B684" s="134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</row>
    <row r="685">
      <c r="A685" s="134"/>
      <c r="B685" s="134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</row>
    <row r="686">
      <c r="A686" s="134"/>
      <c r="B686" s="134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</row>
    <row r="687">
      <c r="A687" s="134"/>
      <c r="B687" s="134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</row>
    <row r="688">
      <c r="A688" s="134"/>
      <c r="B688" s="134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</row>
    <row r="689">
      <c r="A689" s="134"/>
      <c r="B689" s="134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</row>
    <row r="690">
      <c r="A690" s="134"/>
      <c r="B690" s="134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</row>
    <row r="691">
      <c r="A691" s="134"/>
      <c r="B691" s="134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</row>
    <row r="692">
      <c r="A692" s="134"/>
      <c r="B692" s="134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</row>
    <row r="693">
      <c r="A693" s="134"/>
      <c r="B693" s="134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</row>
    <row r="694">
      <c r="A694" s="134"/>
      <c r="B694" s="134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</row>
    <row r="695">
      <c r="A695" s="134"/>
      <c r="B695" s="134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</row>
    <row r="696">
      <c r="A696" s="134"/>
      <c r="B696" s="134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</row>
    <row r="697">
      <c r="A697" s="134"/>
      <c r="B697" s="134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</row>
    <row r="698">
      <c r="A698" s="134"/>
      <c r="B698" s="134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</row>
    <row r="699">
      <c r="A699" s="134"/>
      <c r="B699" s="134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</row>
    <row r="700">
      <c r="A700" s="134"/>
      <c r="B700" s="134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</row>
    <row r="701">
      <c r="A701" s="134"/>
      <c r="B701" s="134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</row>
    <row r="702">
      <c r="A702" s="134"/>
      <c r="B702" s="134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</row>
    <row r="703">
      <c r="A703" s="134"/>
      <c r="B703" s="134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</row>
    <row r="704">
      <c r="A704" s="134"/>
      <c r="B704" s="134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</row>
    <row r="705">
      <c r="A705" s="134"/>
      <c r="B705" s="134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</row>
    <row r="706">
      <c r="A706" s="134"/>
      <c r="B706" s="134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</row>
    <row r="707">
      <c r="A707" s="134"/>
      <c r="B707" s="134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</row>
    <row r="708">
      <c r="A708" s="134"/>
      <c r="B708" s="134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</row>
    <row r="709">
      <c r="A709" s="134"/>
      <c r="B709" s="134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</row>
    <row r="710">
      <c r="A710" s="134"/>
      <c r="B710" s="134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</row>
    <row r="711">
      <c r="A711" s="134"/>
      <c r="B711" s="134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</row>
    <row r="712">
      <c r="A712" s="134"/>
      <c r="B712" s="134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</row>
    <row r="713">
      <c r="A713" s="134"/>
      <c r="B713" s="134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</row>
    <row r="714">
      <c r="A714" s="134"/>
      <c r="B714" s="134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</row>
    <row r="715">
      <c r="A715" s="134"/>
      <c r="B715" s="134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</row>
    <row r="716">
      <c r="A716" s="134"/>
      <c r="B716" s="134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</row>
    <row r="717">
      <c r="A717" s="134"/>
      <c r="B717" s="134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</row>
    <row r="718">
      <c r="A718" s="134"/>
      <c r="B718" s="134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</row>
    <row r="719">
      <c r="A719" s="134"/>
      <c r="B719" s="134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</row>
    <row r="720">
      <c r="A720" s="134"/>
      <c r="B720" s="134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</row>
    <row r="721">
      <c r="A721" s="134"/>
      <c r="B721" s="134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</row>
    <row r="722">
      <c r="A722" s="134"/>
      <c r="B722" s="134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</row>
    <row r="723">
      <c r="A723" s="134"/>
      <c r="B723" s="134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</row>
    <row r="724">
      <c r="A724" s="134"/>
      <c r="B724" s="134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</row>
    <row r="725">
      <c r="A725" s="134"/>
      <c r="B725" s="134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</row>
    <row r="726">
      <c r="A726" s="134"/>
      <c r="B726" s="134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</row>
    <row r="727">
      <c r="A727" s="134"/>
      <c r="B727" s="134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</row>
    <row r="728">
      <c r="A728" s="134"/>
      <c r="B728" s="134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</row>
    <row r="729">
      <c r="A729" s="134"/>
      <c r="B729" s="134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</row>
    <row r="730">
      <c r="A730" s="134"/>
      <c r="B730" s="134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</row>
    <row r="731">
      <c r="A731" s="134"/>
      <c r="B731" s="134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</row>
    <row r="732">
      <c r="A732" s="134"/>
      <c r="B732" s="134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</row>
    <row r="733">
      <c r="A733" s="134"/>
      <c r="B733" s="134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</row>
    <row r="734">
      <c r="A734" s="134"/>
      <c r="B734" s="134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</row>
    <row r="735">
      <c r="A735" s="134"/>
      <c r="B735" s="134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</row>
    <row r="736">
      <c r="A736" s="134"/>
      <c r="B736" s="134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</row>
    <row r="737">
      <c r="A737" s="134"/>
      <c r="B737" s="134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</row>
    <row r="738">
      <c r="A738" s="134"/>
      <c r="B738" s="134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</row>
    <row r="739">
      <c r="A739" s="134"/>
      <c r="B739" s="134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</row>
    <row r="740">
      <c r="A740" s="134"/>
      <c r="B740" s="134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</row>
    <row r="741">
      <c r="A741" s="134"/>
      <c r="B741" s="134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</row>
    <row r="742">
      <c r="A742" s="134"/>
      <c r="B742" s="134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</row>
    <row r="743">
      <c r="A743" s="134"/>
      <c r="B743" s="134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</row>
    <row r="744">
      <c r="A744" s="134"/>
      <c r="B744" s="134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</row>
    <row r="745">
      <c r="A745" s="134"/>
      <c r="B745" s="134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</row>
    <row r="746">
      <c r="A746" s="134"/>
      <c r="B746" s="134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</row>
    <row r="747">
      <c r="A747" s="134"/>
      <c r="B747" s="134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</row>
    <row r="748">
      <c r="A748" s="134"/>
      <c r="B748" s="134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</row>
    <row r="749">
      <c r="A749" s="134"/>
      <c r="B749" s="134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</row>
    <row r="750">
      <c r="A750" s="134"/>
      <c r="B750" s="134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</row>
    <row r="751">
      <c r="A751" s="134"/>
      <c r="B751" s="134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</row>
    <row r="752">
      <c r="A752" s="134"/>
      <c r="B752" s="134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</row>
    <row r="753">
      <c r="A753" s="134"/>
      <c r="B753" s="134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</row>
    <row r="754">
      <c r="A754" s="134"/>
      <c r="B754" s="134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</row>
    <row r="755">
      <c r="A755" s="134"/>
      <c r="B755" s="134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</row>
    <row r="756">
      <c r="A756" s="134"/>
      <c r="B756" s="134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</row>
    <row r="757">
      <c r="A757" s="134"/>
      <c r="B757" s="134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</row>
    <row r="758">
      <c r="A758" s="134"/>
      <c r="B758" s="134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</row>
    <row r="759">
      <c r="A759" s="134"/>
      <c r="B759" s="134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</row>
    <row r="760">
      <c r="A760" s="134"/>
      <c r="B760" s="134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</row>
    <row r="761">
      <c r="A761" s="134"/>
      <c r="B761" s="134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</row>
    <row r="762">
      <c r="A762" s="134"/>
      <c r="B762" s="134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</row>
    <row r="763">
      <c r="A763" s="134"/>
      <c r="B763" s="134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</row>
    <row r="764">
      <c r="A764" s="134"/>
      <c r="B764" s="134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</row>
    <row r="765">
      <c r="A765" s="134"/>
      <c r="B765" s="134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</row>
    <row r="766">
      <c r="A766" s="134"/>
      <c r="B766" s="134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</row>
    <row r="767">
      <c r="A767" s="134"/>
      <c r="B767" s="134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</row>
    <row r="768">
      <c r="A768" s="134"/>
      <c r="B768" s="134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</row>
    <row r="769">
      <c r="A769" s="134"/>
      <c r="B769" s="134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</row>
    <row r="770">
      <c r="A770" s="134"/>
      <c r="B770" s="134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</row>
    <row r="771">
      <c r="A771" s="134"/>
      <c r="B771" s="134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</row>
    <row r="772">
      <c r="A772" s="134"/>
      <c r="B772" s="134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</row>
    <row r="773">
      <c r="A773" s="134"/>
      <c r="B773" s="134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</row>
    <row r="774">
      <c r="A774" s="134"/>
      <c r="B774" s="134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</row>
    <row r="775">
      <c r="A775" s="134"/>
      <c r="B775" s="134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</row>
    <row r="776">
      <c r="A776" s="134"/>
      <c r="B776" s="134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</row>
    <row r="777">
      <c r="A777" s="134"/>
      <c r="B777" s="134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</row>
    <row r="778">
      <c r="A778" s="134"/>
      <c r="B778" s="134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</row>
    <row r="779">
      <c r="A779" s="134"/>
      <c r="B779" s="134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</row>
    <row r="780">
      <c r="A780" s="134"/>
      <c r="B780" s="134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</row>
    <row r="781">
      <c r="A781" s="134"/>
      <c r="B781" s="134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</row>
    <row r="782">
      <c r="A782" s="134"/>
      <c r="B782" s="134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</row>
    <row r="783">
      <c r="A783" s="134"/>
      <c r="B783" s="134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</row>
    <row r="784">
      <c r="A784" s="134"/>
      <c r="B784" s="134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</row>
    <row r="785">
      <c r="A785" s="134"/>
      <c r="B785" s="134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</row>
    <row r="786">
      <c r="A786" s="134"/>
      <c r="B786" s="134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</row>
    <row r="787">
      <c r="A787" s="134"/>
      <c r="B787" s="134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</row>
    <row r="788">
      <c r="A788" s="134"/>
      <c r="B788" s="134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</row>
    <row r="789">
      <c r="A789" s="134"/>
      <c r="B789" s="134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</row>
    <row r="790">
      <c r="A790" s="134"/>
      <c r="B790" s="134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</row>
    <row r="791">
      <c r="A791" s="134"/>
      <c r="B791" s="134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</row>
    <row r="792">
      <c r="A792" s="134"/>
      <c r="B792" s="134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</row>
    <row r="793">
      <c r="A793" s="134"/>
      <c r="B793" s="134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</row>
    <row r="794">
      <c r="A794" s="134"/>
      <c r="B794" s="134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</row>
    <row r="795">
      <c r="A795" s="134"/>
      <c r="B795" s="134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</row>
    <row r="796">
      <c r="A796" s="134"/>
      <c r="B796" s="134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</row>
    <row r="797">
      <c r="A797" s="134"/>
      <c r="B797" s="134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</row>
    <row r="798">
      <c r="A798" s="134"/>
      <c r="B798" s="134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</row>
    <row r="799">
      <c r="A799" s="134"/>
      <c r="B799" s="134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</row>
    <row r="800">
      <c r="A800" s="134"/>
      <c r="B800" s="134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</row>
    <row r="801">
      <c r="A801" s="134"/>
      <c r="B801" s="134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</row>
    <row r="802">
      <c r="A802" s="134"/>
      <c r="B802" s="134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</row>
    <row r="803">
      <c r="A803" s="134"/>
      <c r="B803" s="134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</row>
    <row r="804">
      <c r="A804" s="134"/>
      <c r="B804" s="134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</row>
    <row r="805">
      <c r="A805" s="134"/>
      <c r="B805" s="134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</row>
    <row r="806">
      <c r="A806" s="134"/>
      <c r="B806" s="134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</row>
    <row r="807">
      <c r="A807" s="134"/>
      <c r="B807" s="134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</row>
    <row r="808">
      <c r="A808" s="134"/>
      <c r="B808" s="134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</row>
    <row r="809">
      <c r="A809" s="134"/>
      <c r="B809" s="134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</row>
    <row r="810">
      <c r="A810" s="134"/>
      <c r="B810" s="134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</row>
    <row r="811">
      <c r="A811" s="134"/>
      <c r="B811" s="134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</row>
    <row r="812">
      <c r="A812" s="134"/>
      <c r="B812" s="134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</row>
    <row r="813">
      <c r="A813" s="134"/>
      <c r="B813" s="134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</row>
    <row r="814">
      <c r="A814" s="134"/>
      <c r="B814" s="134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</row>
    <row r="815">
      <c r="A815" s="134"/>
      <c r="B815" s="134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</row>
    <row r="816">
      <c r="A816" s="134"/>
      <c r="B816" s="134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</row>
    <row r="817">
      <c r="A817" s="134"/>
      <c r="B817" s="134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</row>
    <row r="818">
      <c r="A818" s="134"/>
      <c r="B818" s="134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</row>
    <row r="819">
      <c r="A819" s="134"/>
      <c r="B819" s="134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</row>
    <row r="820">
      <c r="A820" s="134"/>
      <c r="B820" s="134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</row>
    <row r="821">
      <c r="A821" s="134"/>
      <c r="B821" s="134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</row>
    <row r="822">
      <c r="A822" s="134"/>
      <c r="B822" s="134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</row>
    <row r="823">
      <c r="A823" s="134"/>
      <c r="B823" s="134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</row>
    <row r="824">
      <c r="A824" s="134"/>
      <c r="B824" s="134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</row>
    <row r="825">
      <c r="A825" s="134"/>
      <c r="B825" s="134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</row>
    <row r="826">
      <c r="A826" s="134"/>
      <c r="B826" s="134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</row>
    <row r="827">
      <c r="A827" s="134"/>
      <c r="B827" s="134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</row>
    <row r="828">
      <c r="A828" s="134"/>
      <c r="B828" s="134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</row>
    <row r="829">
      <c r="A829" s="134"/>
      <c r="B829" s="134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</row>
    <row r="830">
      <c r="A830" s="134"/>
      <c r="B830" s="134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</row>
    <row r="831">
      <c r="A831" s="134"/>
      <c r="B831" s="134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</row>
    <row r="832">
      <c r="A832" s="134"/>
      <c r="B832" s="134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</row>
    <row r="833">
      <c r="A833" s="134"/>
      <c r="B833" s="134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</row>
    <row r="834">
      <c r="A834" s="134"/>
      <c r="B834" s="134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</row>
    <row r="835">
      <c r="A835" s="134"/>
      <c r="B835" s="134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</row>
    <row r="836">
      <c r="A836" s="134"/>
      <c r="B836" s="134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</row>
    <row r="837">
      <c r="A837" s="134"/>
      <c r="B837" s="134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</row>
    <row r="838">
      <c r="A838" s="134"/>
      <c r="B838" s="134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</row>
    <row r="839">
      <c r="A839" s="134"/>
      <c r="B839" s="134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</row>
    <row r="840">
      <c r="A840" s="134"/>
      <c r="B840" s="134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</row>
    <row r="841">
      <c r="A841" s="134"/>
      <c r="B841" s="134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</row>
    <row r="842">
      <c r="A842" s="134"/>
      <c r="B842" s="134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</row>
    <row r="843">
      <c r="A843" s="134"/>
      <c r="B843" s="134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</row>
    <row r="844">
      <c r="A844" s="134"/>
      <c r="B844" s="134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</row>
    <row r="845">
      <c r="A845" s="134"/>
      <c r="B845" s="134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</row>
    <row r="846">
      <c r="A846" s="134"/>
      <c r="B846" s="134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</row>
    <row r="847">
      <c r="A847" s="134"/>
      <c r="B847" s="134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</row>
    <row r="848">
      <c r="A848" s="134"/>
      <c r="B848" s="134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</row>
    <row r="849">
      <c r="A849" s="134"/>
      <c r="B849" s="134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</row>
    <row r="850">
      <c r="A850" s="134"/>
      <c r="B850" s="134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</row>
    <row r="851">
      <c r="A851" s="134"/>
      <c r="B851" s="134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</row>
    <row r="852">
      <c r="A852" s="134"/>
      <c r="B852" s="134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</row>
    <row r="853">
      <c r="A853" s="134"/>
      <c r="B853" s="134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</row>
    <row r="854">
      <c r="A854" s="134"/>
      <c r="B854" s="134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</row>
    <row r="855">
      <c r="A855" s="134"/>
      <c r="B855" s="134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</row>
    <row r="856">
      <c r="A856" s="134"/>
      <c r="B856" s="134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</row>
    <row r="857">
      <c r="A857" s="134"/>
      <c r="B857" s="134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</row>
    <row r="858">
      <c r="A858" s="134"/>
      <c r="B858" s="134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</row>
    <row r="859">
      <c r="A859" s="134"/>
      <c r="B859" s="134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</row>
    <row r="860">
      <c r="A860" s="134"/>
      <c r="B860" s="134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</row>
    <row r="861">
      <c r="A861" s="134"/>
      <c r="B861" s="134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</row>
    <row r="862">
      <c r="A862" s="134"/>
      <c r="B862" s="134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</row>
    <row r="863">
      <c r="A863" s="134"/>
      <c r="B863" s="134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</row>
    <row r="864">
      <c r="A864" s="134"/>
      <c r="B864" s="134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</row>
    <row r="865">
      <c r="A865" s="134"/>
      <c r="B865" s="134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</row>
    <row r="866">
      <c r="A866" s="134"/>
      <c r="B866" s="134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</row>
    <row r="867">
      <c r="A867" s="134"/>
      <c r="B867" s="134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</row>
    <row r="868">
      <c r="A868" s="134"/>
      <c r="B868" s="134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</row>
    <row r="869">
      <c r="A869" s="134"/>
      <c r="B869" s="134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</row>
    <row r="870">
      <c r="A870" s="134"/>
      <c r="B870" s="134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</row>
    <row r="871">
      <c r="A871" s="134"/>
      <c r="B871" s="134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</row>
    <row r="872">
      <c r="A872" s="134"/>
      <c r="B872" s="134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</row>
    <row r="873">
      <c r="A873" s="134"/>
      <c r="B873" s="134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</row>
    <row r="874">
      <c r="A874" s="134"/>
      <c r="B874" s="134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</row>
    <row r="875">
      <c r="A875" s="134"/>
      <c r="B875" s="134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</row>
    <row r="876">
      <c r="A876" s="134"/>
      <c r="B876" s="134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</row>
    <row r="877">
      <c r="A877" s="134"/>
      <c r="B877" s="134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</row>
    <row r="878">
      <c r="A878" s="134"/>
      <c r="B878" s="134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</row>
    <row r="879">
      <c r="A879" s="134"/>
      <c r="B879" s="134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</row>
    <row r="880">
      <c r="A880" s="134"/>
      <c r="B880" s="134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</row>
    <row r="881">
      <c r="A881" s="134"/>
      <c r="B881" s="134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</row>
    <row r="882">
      <c r="A882" s="134"/>
      <c r="B882" s="134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</row>
    <row r="883">
      <c r="A883" s="134"/>
      <c r="B883" s="134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</row>
    <row r="884">
      <c r="A884" s="134"/>
      <c r="B884" s="134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</row>
    <row r="885">
      <c r="A885" s="134"/>
      <c r="B885" s="134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</row>
    <row r="886">
      <c r="A886" s="134"/>
      <c r="B886" s="134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</row>
    <row r="887">
      <c r="A887" s="134"/>
      <c r="B887" s="134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</row>
    <row r="888">
      <c r="A888" s="134"/>
      <c r="B888" s="134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</row>
    <row r="889">
      <c r="A889" s="134"/>
      <c r="B889" s="134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</row>
    <row r="890">
      <c r="A890" s="134"/>
      <c r="B890" s="134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</row>
    <row r="891">
      <c r="A891" s="134"/>
      <c r="B891" s="134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</row>
    <row r="892">
      <c r="A892" s="134"/>
      <c r="B892" s="134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</row>
    <row r="893">
      <c r="A893" s="134"/>
      <c r="B893" s="134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</row>
    <row r="894">
      <c r="A894" s="134"/>
      <c r="B894" s="134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</row>
    <row r="895">
      <c r="A895" s="134"/>
      <c r="B895" s="134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</row>
    <row r="896">
      <c r="A896" s="134"/>
      <c r="B896" s="134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</row>
    <row r="897">
      <c r="A897" s="134"/>
      <c r="B897" s="134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</row>
    <row r="898">
      <c r="A898" s="134"/>
      <c r="B898" s="134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</row>
    <row r="899">
      <c r="A899" s="134"/>
      <c r="B899" s="134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</row>
    <row r="900">
      <c r="A900" s="134"/>
      <c r="B900" s="134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</row>
    <row r="901">
      <c r="A901" s="134"/>
      <c r="B901" s="134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</row>
    <row r="902">
      <c r="A902" s="134"/>
      <c r="B902" s="134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</row>
    <row r="903">
      <c r="A903" s="134"/>
      <c r="B903" s="134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</row>
    <row r="904">
      <c r="A904" s="134"/>
      <c r="B904" s="134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</row>
    <row r="905">
      <c r="A905" s="134"/>
      <c r="B905" s="134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</row>
    <row r="906">
      <c r="A906" s="134"/>
      <c r="B906" s="134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</row>
    <row r="907">
      <c r="A907" s="134"/>
      <c r="B907" s="134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</row>
    <row r="908">
      <c r="A908" s="134"/>
      <c r="B908" s="134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</row>
    <row r="909">
      <c r="A909" s="134"/>
      <c r="B909" s="134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</row>
    <row r="910">
      <c r="A910" s="134"/>
      <c r="B910" s="134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</row>
    <row r="911">
      <c r="A911" s="134"/>
      <c r="B911" s="134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</row>
    <row r="912">
      <c r="A912" s="134"/>
      <c r="B912" s="134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</row>
    <row r="913">
      <c r="A913" s="134"/>
      <c r="B913" s="134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</row>
    <row r="914">
      <c r="A914" s="134"/>
      <c r="B914" s="134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</row>
    <row r="915">
      <c r="A915" s="134"/>
      <c r="B915" s="134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</row>
    <row r="916">
      <c r="A916" s="134"/>
      <c r="B916" s="134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</row>
    <row r="917">
      <c r="A917" s="134"/>
      <c r="B917" s="134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</row>
    <row r="918">
      <c r="A918" s="134"/>
      <c r="B918" s="134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</row>
    <row r="919">
      <c r="A919" s="134"/>
      <c r="B919" s="134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</row>
    <row r="920">
      <c r="A920" s="134"/>
      <c r="B920" s="134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</row>
    <row r="921">
      <c r="A921" s="134"/>
      <c r="B921" s="134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</row>
    <row r="922">
      <c r="A922" s="134"/>
      <c r="B922" s="134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</row>
    <row r="923">
      <c r="A923" s="134"/>
      <c r="B923" s="134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</row>
    <row r="924">
      <c r="A924" s="134"/>
      <c r="B924" s="134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</row>
    <row r="925">
      <c r="A925" s="134"/>
      <c r="B925" s="134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</row>
    <row r="926">
      <c r="A926" s="134"/>
      <c r="B926" s="134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</row>
    <row r="927">
      <c r="A927" s="134"/>
      <c r="B927" s="134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</row>
    <row r="928">
      <c r="A928" s="134"/>
      <c r="B928" s="134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</row>
    <row r="929">
      <c r="A929" s="134"/>
      <c r="B929" s="134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</row>
    <row r="930">
      <c r="A930" s="134"/>
      <c r="B930" s="134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</row>
    <row r="931">
      <c r="A931" s="134"/>
      <c r="B931" s="134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</row>
    <row r="932">
      <c r="A932" s="134"/>
      <c r="B932" s="134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</row>
    <row r="933">
      <c r="A933" s="134"/>
      <c r="B933" s="134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</row>
    <row r="934">
      <c r="A934" s="134"/>
      <c r="B934" s="134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</row>
    <row r="935">
      <c r="A935" s="134"/>
      <c r="B935" s="134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</row>
    <row r="936">
      <c r="A936" s="134"/>
      <c r="B936" s="134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</row>
    <row r="937">
      <c r="A937" s="134"/>
      <c r="B937" s="134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</row>
    <row r="938">
      <c r="A938" s="134"/>
      <c r="B938" s="134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</row>
    <row r="939">
      <c r="A939" s="134"/>
      <c r="B939" s="134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</row>
    <row r="940">
      <c r="A940" s="134"/>
      <c r="B940" s="134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</row>
    <row r="941">
      <c r="A941" s="134"/>
      <c r="B941" s="134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</row>
    <row r="942">
      <c r="A942" s="134"/>
      <c r="B942" s="134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</row>
    <row r="943">
      <c r="A943" s="134"/>
      <c r="B943" s="134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</row>
    <row r="944">
      <c r="A944" s="134"/>
      <c r="B944" s="134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</row>
    <row r="945">
      <c r="A945" s="134"/>
      <c r="B945" s="134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</row>
    <row r="946">
      <c r="A946" s="134"/>
      <c r="B946" s="134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</row>
    <row r="947">
      <c r="A947" s="134"/>
      <c r="B947" s="134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</row>
    <row r="948">
      <c r="A948" s="134"/>
      <c r="B948" s="134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</row>
    <row r="949">
      <c r="A949" s="134"/>
      <c r="B949" s="134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</row>
    <row r="950">
      <c r="A950" s="134"/>
      <c r="B950" s="134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</row>
    <row r="951">
      <c r="A951" s="134"/>
      <c r="B951" s="134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</row>
    <row r="952">
      <c r="A952" s="134"/>
      <c r="B952" s="134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</row>
    <row r="953">
      <c r="A953" s="134"/>
      <c r="B953" s="134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</row>
    <row r="954">
      <c r="A954" s="134"/>
      <c r="B954" s="134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</row>
    <row r="955">
      <c r="A955" s="134"/>
      <c r="B955" s="134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</row>
    <row r="956">
      <c r="A956" s="134"/>
      <c r="B956" s="134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</row>
    <row r="957">
      <c r="A957" s="134"/>
      <c r="B957" s="134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</row>
    <row r="958">
      <c r="A958" s="134"/>
      <c r="B958" s="134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</row>
    <row r="959">
      <c r="A959" s="134"/>
      <c r="B959" s="134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</row>
    <row r="960">
      <c r="A960" s="134"/>
      <c r="B960" s="134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</row>
    <row r="961">
      <c r="A961" s="134"/>
      <c r="B961" s="134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</row>
    <row r="962">
      <c r="A962" s="134"/>
      <c r="B962" s="134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</row>
    <row r="963">
      <c r="A963" s="134"/>
      <c r="B963" s="134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</row>
    <row r="964">
      <c r="A964" s="134"/>
      <c r="B964" s="134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</row>
    <row r="965">
      <c r="A965" s="134"/>
      <c r="B965" s="134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</row>
    <row r="966">
      <c r="A966" s="134"/>
      <c r="B966" s="134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</row>
    <row r="967">
      <c r="A967" s="134"/>
      <c r="B967" s="134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</row>
    <row r="968">
      <c r="A968" s="134"/>
      <c r="B968" s="134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</row>
    <row r="969">
      <c r="A969" s="134"/>
      <c r="B969" s="134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</row>
    <row r="970">
      <c r="A970" s="134"/>
      <c r="B970" s="134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</row>
    <row r="971">
      <c r="A971" s="134"/>
      <c r="B971" s="134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</row>
    <row r="972">
      <c r="A972" s="134"/>
      <c r="B972" s="134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</row>
    <row r="973">
      <c r="A973" s="134"/>
      <c r="B973" s="134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</row>
    <row r="974">
      <c r="A974" s="134"/>
      <c r="B974" s="134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</row>
    <row r="975">
      <c r="A975" s="134"/>
      <c r="B975" s="134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</row>
    <row r="976">
      <c r="A976" s="134"/>
      <c r="B976" s="134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</row>
    <row r="977">
      <c r="A977" s="134"/>
      <c r="B977" s="134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</row>
    <row r="978">
      <c r="A978" s="134"/>
      <c r="B978" s="134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</row>
    <row r="979">
      <c r="A979" s="134"/>
      <c r="B979" s="134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</row>
    <row r="980">
      <c r="A980" s="134"/>
      <c r="B980" s="134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</row>
    <row r="981">
      <c r="A981" s="134"/>
      <c r="B981" s="134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</row>
    <row r="982">
      <c r="A982" s="134"/>
      <c r="B982" s="134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</row>
  </sheetData>
  <mergeCells count="21">
    <mergeCell ref="A1:C3"/>
    <mergeCell ref="A5:C5"/>
    <mergeCell ref="A6:A7"/>
    <mergeCell ref="B6:B7"/>
    <mergeCell ref="A16:B16"/>
    <mergeCell ref="A17:B17"/>
    <mergeCell ref="A19:C19"/>
    <mergeCell ref="A44:B44"/>
    <mergeCell ref="A45:B45"/>
    <mergeCell ref="A47:C47"/>
    <mergeCell ref="A48:A49"/>
    <mergeCell ref="B48:B49"/>
    <mergeCell ref="A58:B58"/>
    <mergeCell ref="A59:B59"/>
    <mergeCell ref="A20:A21"/>
    <mergeCell ref="B20:B21"/>
    <mergeCell ref="A30:B30"/>
    <mergeCell ref="A31:B31"/>
    <mergeCell ref="A33:C33"/>
    <mergeCell ref="A34:A35"/>
    <mergeCell ref="B34:B35"/>
  </mergeCells>
  <dataValidations>
    <dataValidation type="list" allowBlank="1" showErrorMessage="1" sqref="B10">
      <formula1>"Пчелен мед,Конфитюр (вскякакъв вид),Мармалад (всякакъв вид),Сладко (вскякакъв вид),Кленов сироп - Maple Joe,Конфитюр за диабетици,Локум Сладки времена,Сладко Lowicz Праскова,Сладко Lowicz Малина,Сладко Lowicz Малина,Сладко Lowicz Боровинка,Сладко Lowicz Ч"&amp;"ереша,Сладко Lowicz Ягода"</formula1>
    </dataValidation>
    <dataValidation type="list" allowBlank="1" showErrorMessage="1" sqref="B9">
      <formula1>"Багета на пещ с лук - Кауфланд,Живена - Високопротеинов хляб с жива закваска,Хляб Вита - всички видове,Макарони (сурово състояние),Спагети (сурово състояние),Кус кус (сурово състояние),Лаваш,Протеинов хляб,Точени кори ''Фамилия'',Пълнозърнеста паста,Точен"&amp;"и кори BELLA,Царевична тортила,Оризови кори,Хрупкави хлебчета от ориз и царевица,Брашно от овес,Макарони (сварени),Арабска питка 40г,Арабска питка 62г,Бургер питки,Домашна юфка,Пресован Пълнозърнест хляб - Jean Pierre,Хляб ""Живена"" - тиква и слънчоглед,"&amp;"Паста Divella,Макарони (пълнозърнести - варени),Хляб “Грахам”,Гевреци,Пълнозърнест хляб Симид,Оризови спагети (сурови),Нудли Maggi,Паста Barilla Bucatini 9,Спагети Pmc,Хляб “Бонус”-Омега3,Арабска питка,Паста от пълнозърнест грис (сурова),Ръжен хляб,Нисков"&amp;"ъглехидратен протеинов хляб ""Вита"",Хляб “Живена” - орехи,Канелони Italiamo,Хляб “Зрънко”,Ръжен хляб-“Симид”,Хляб “Вита-Фитнес”,Бриош (шоколадов),Хляб от ""Лимец"",Бял хляб (стандартен),Тракийски хляб - пълнозърнест,Грахатено хлебче,Нудели говеждо на МАГ"&amp;"И,Оризови кори (Rice Paper) Amaizin organic,Хляб Hovis wholemeal,Лаваш Спанак и спирулина,Пълнозърнести тарали,Лаваш (Sar's Food),ХЛЯБ ПЪЛНОЗЪРНЕСТ с ТИКВЕНИ СЕМКИ,Лаваш Dina imagine,Шопски геврек - Медената Питка,Фиде (без яйца),Сухари с пълнозърнесто бр"&amp;"ашно и сусам Lidl,Паста Combino (High Protein) от Lidl (сурово състояние),Гръцка пита,Тортила,Козуначени рулца,Пълнозърнест Хляб,Хляб Вита с 6 зърна,Тортила Poco Loco,Козунак,Кори за лазаня ITALIAMO - LIDL сурови,Паста Combino (Сурово състояние),Хляб ""Жи"&amp;"вена"" - 100 % лимец,Wholemeal wraps ASDA (арабска питка),Fusilli grune erbsen *,Хляб ""Езекил"",Пълнозърнест хляб Tastino - Lidl,Хляб Вита - Фитнес - Нисковъглехидратен,Бриож (ванилов),Протеинов хляб Mestemacher,Оризови кори - ""Грам за килограм"",Фусили"&amp;" от грах  YOU,Хляб Живена- слънчоглед и чиа,Типов хляб,KRISPROLLS wholegrain complets,Хляб Вита- орехи и ленено семе,Хляб Вита- лен, коноп,ов. ядки,Хляб Елиаз 100% Лимец,Крекери Savours ASDA,Хляб с моркови,Точени кори - Турски,Пълнозърнести сухари,Тесто з"&amp;"а пица ЛИДЛ,Хляб 102 зърна Елиаз,Хляб Сладко вдъхновение,Хляб с Квас - Грахам,Пълнозърнест хляб със слънчогледови семки,Пълнозърнест хляб Vital+,Пица домашна Carlito,Ръчно точени кори Хармония,Пълнозърнест с тиквено семе Симид,Хляб пълнозърнест тостер Pan"&amp;"Carre,Протеинов хляб BIO /DM/,Glass Noodles Vitasia, Lidl,Нудли с яйца, Vitasia Lidl,МИО 103 Зърна Хляб,Roll-Ups Лаваш Lidl,Кори за лазаня Италиано Лидл,Brioche rolls Jean Pierre,Хляб “Бонус-6 зърна”,Хляб”Симид”-ръжен-Clean Label,Хляб Живена (Тиква и Слън"&amp;"чоглед),Пица Делочоза 4 сирена Лидъл,Хляб микс плюс 5 брашна,Високопротеинов хляб- “Живена”,Паста (варена със сол),Паста penne glutenfrei kaufland - от царевица,Папарделе с яйца - лидъл (сорово състояние),Пълнозърнеста тортила,Хляб със семена (Кауфланд, Л"&amp;"идл, ФФ),Спагети (Варени),Хляб Добруджа,Хляб ръжен - König Ludwig,Ръжен хляб ""König Ludwig"",Пшенични сухари Elite Classic,BIO Toasties LIDL,Тортила LIDL пълнозърнеста,Хрупкав хляб от лимец LIDL,Хрупкав хляб Südtiroler,Селска франзела LIDL,Хляб за сандви"&amp;"ч от лимец Лидл,Галета,Хляб от елда с орехи,Tastino - Хрупкав ръжен хляб - Lidl,Солети Хрус Хрус,Тортила Лидл (листа),БИО хляб (пълнозърнест) Лидл,Пшеничен хляб с царевичен премикс,Тортила с протеин SINNACK,Паста от нахут Барила,ПРОТЕИНОВ ХЛЯБ ТОСТ ЕЛИАЗ,"&amp;"Паста от леща Vanavita,Високо протеинова пица - Spicy Jackfruit ""Lidl"",Високо протеинова пица - Lentil Curry ""Lidl"",Хляб със семена,Fitnessbrot - пълнозърнест хляб с ръж, овес и пшенични кълнове,Хляб ВИТА Класик,Протеинова паста Kramas"</formula1>
    </dataValidation>
    <dataValidation type="list" allowBlank="1" showErrorMessage="1" sqref="B8">
      <formula1>"SKYR PILOS BLUEBERRY,Крем за мазане Pilos (Light),Скир - плодов 0% (Лидъл),High Protein Pudding (milbona/милбона),Milbona Skyr natur,Mild Skyr Exquisa,Alpro мляко с протеин,Високо протеиново кисело мляко (Mercadona),High Protein Milk Product Различни плод"&amp;"ови варианти,Извара Олимпус,Извара Жоси,Извара Маджаров,Скир - натурален,Котидж сирене-Лидъл (пълномаслено),Котидж сирене-Лидъл (обезмаслено),Бяло сирене (стандартно/пълномаслено),Сирене Рикота (стандартно/пълномаслено),Кашкавал (стандартен/пълномаслен),Г"&amp;"ауда (стандартна/пълномаслена),Кисело мляко 0%,Кисело мляко 2%,Кисело мляко 3,6%,Kисело мляко Верея 5%,Прясно мляко 2%,Прясно мляко 3,6%,Филаделфия ""Милка"",Пилос страчатела,Милбона йогурт,Сладкарска сметана,Сметанов спрей,Плодов Skyr Пилос ЛИДЛ,Извара Д"&amp;"омлян,Йогурт 10% Пилос,Рикота,Филаделфия,Филаделфия Лайт,Exquisa 0.2%,Прясно мляко 3.2%,Мляко Верея 3.7%,Прясно мляко - Олимпус 1.7%,Прясно мляко Верея 1.7%,Вердаре Кисело Мляко - 4.5%,Кисело мляко Боженци 2%,Кисело мляко Боженци 4%,Прясно мляко 0.1%,Пряс"&amp;"но мляко 1.5%,Кисело мляко ""Сребърна"" 3.6%,Кисело мляко 0.1%,Кисело мляко 3.6%,Прясно Мляко 1%,Прясно мляко 3%,Извара Олимпус,Йогурт 10%,Йогурт 2%,Кремообразна извара - LIDL,Пармезан,Извара Пилос 0.5%,Цедено мляко 2%,Заквасена Сметана 20% мазнини,Козе С"&amp;"ирене,Цедено краве мляко, Olympus,Извара 4.2%,Сметана 12%,Крема сирене - Голдеса (Light),Милбона соево мляко,Пилос крема сирене,Голдеса лайт,Извара Брей,Кашкавалена извара,Маскарпоне,Извара Кондов,Нискомаслен кашкавал Маджаров,Извара ДМ,Гауда,Нискомаслен "&amp;"кашкавал Домлян,Бри сирене,Ементал,Извара Жоси,Извара Маджаров,Извара Мероне,Извара Мероне Безмаслена,Маджаров Бяло Сирене,Сирене Маджаров,Пилос кашкавал,Моцарела лайт,Пилос синьо сирене,Скирела,Халуми,Чедър,Едам,Саламурено сирене,Ементал, Arla,Бурата,Каш"&amp;"кавал ,Леердамер сирене,Limburger 9% (сирене),Моцарела,Бяло сирене,Краве сирене Верея,Скир-плодов Лидл,Извара Пилос(обезмаслена)-Лидл,Скир Ванилия - Kaufland,Крема сирене Goldessa (LIDL),Биволско сирене (Маджаров),Кашкавал - Вършец (Обезмаслен),Краве Сире"&amp;"не - Вършец (Обезмаслено),Моцарела от Скир (Skyrella),Протеинова напитка Данон,Извара”Пилос”-4,3%,Извара - пълномаслена,Рикота Lidl,Сирене, фета (Лидл),Kисело мляко Верея 2.9%,Кашкавалена извара Вършец,Извара (обезмаслена) - домашна,Извара Добрев,Крема си"&amp;"рене-Лидъл (light),Краве саламурено сирене (low fat),Кашкавал (low fat),Ниско калоричен Йогурт (манго),Краве сирене Елена (в кутия),Крема сирене-Филаделгия (3% фат),Краве сирене - Родна стряха (домашно в саламура),Данон ЙоПро - банан и ф.масло,Филаделфия "&amp;"(3% фат),Скир - MILDER SKYR EXQUISA,Рикота Formagia,Feta Chesee,Котидж сирене - (плодово-обезмаслено),Извара (обезмаслена-Тwarog),Кисело мляко 0% (високо протеиново),Сметана Pilos 36%,Скир - плодов ”Данон”,Йогурт - High Protein,Плодов скир - Алди,Скир - н"&amp;"атурален (Алди),Котидж сирене- (Лидъл-обезмаслено),Скир плодов череша - MILDER SKYR EXSQUISA,Меко сирене 0% (Quark),Кварк - плодов “Milbona”,Прясно краве сирене Пилос,Крема сирене Пилос (високо протеиново),Милбона крем извара с Ванилия,Маскарпоне K-Classi"&amp;"c,Кварк ванилия Milbona 0,2% Fat,Мини моцарела Lovilio LIDL,Скир - плодов Kaufland,High Protein (извара с йогурт) - Плодов,Крема сирене Goldessa Classic,Cottage cheese ASDA Longley farm,High Protein Quark Праскова и Маракуя,Pilos-Cream spread,Краве сирене"&amp;" ""Vedrare"",СКИР ЗА ПИЕНЕ -МИЛБОНА праскова,YoPro Proteina Bannana Peanut Butter,Моцарела настъргана ASDA,Pilos greek yogurt strawberry,пилос-paprika u pavlici -spicy,Pilos - Yogurt - Strawberry / Николина,Danone YoPro боровинка,Polski Jogurt Mlekovita я"&amp;"года,Alpro Barista Almond,Настърган кашкавал Витоша,Milbona кварк ягода,Кварк - натурален,Извара Кондов (козе мляко),Извара Китан,Скир плодов Лидл Pilos,Извара Родна стряха,Катък,HIGH Protein Vanilla Milbona Лидл,Катък ""Маджаров"",Полумаслено сирене Мадж"&amp;"аров,Извара Сърница (суроватъчна),МОЦАРЕЛА ЛАЙТ Лидл,YoPro Proteina milkshake chocolate,Danone плодов скир,Кокосово мляко ALPRO*,Alpro Vanilla пудинг,Котидж ""Landfrisch"",Pilos мляко с ориз канела,Pilos мляко с ориз шоколад,Pilos Yogurt плодов всички вку"&amp;"сове,Кефир - Лидъл (Натурален),Котидж сирене Филаделфия,Кварк праскова Milbona 0,2% Fat,Скир Danone натурален,Low-fat quark 0.2 Milbona,Извара Био Козе Хармоника,Скир Exquisa Натурален,Млечна салата ""Денито"",Сметана за готвене без лактоза (Meggle),Milbo"&amp;"na High Protein Quark (Малина),Извара Ведраре,Извара Био Хармоника Овче,Топено сирене чийзбургер,Danone YoPRO,Кашкавал краве Ралица,Топено сирене с чедър,Топено сирене със сметана Hochland,Кашкавал Ферия краве,Пудинг “Exquisa”,Кварк Milbona (натурален),Кр"&amp;"аве Сирене Pilos,Скир - MILDER SKYR EXQUISA  VANILLE,Кашкавал краве Ралица,Топено сирене  Milbona,Скир за пиене Milbona LIDL,HIGH Protein pudding Vanilla LIDL,Котидж сирене(обезмаслено) Sainsbury's,KVARG LINDAHLS white chocolate,Кашкавал Ферия краве,Топен"&amp;"о сирене със сметана Hochland,Сметана 22 % - Milbona,Scamorza Lovilio (Lidl),Скирела ЛИДЛ,Пудинг Шоколад милбона протеин,Сирене high protein,Кисело мляко-magermilch,Natural Cottage Cheese Sainsbury'""s,Brooklea PROTEIN soft cheese,Alpro Chocolate coconut,"&amp;"High Protein fat free raspberry,Активия натурална 0.5%,Протеиново мляко шоколад ALPRO,Мляко с ориз-Лидъл,Скир - MILDER SKYR EXQUISA  VANILLE,Eridanous - крем за мазане фета и сушени домати,Eridanous - крем за мазане фета и чушки,Graham's Protein Peach Qua"&amp;"rk,Graham's Protein raspberry  Quark,Pudding High Protein LIDL,Протеинова млечна напитка ном,Alpro Соев с Ягоди,Кварк Exquisa Боровинка,Сирене краве Ферия милк,Топено сирене Milbona,Сирене Котидж Милбона,Mild Skyr Exquisa,Крема сирене Pilos Cream Spread L"&amp;"ight,Извара 1% Родна стряха,Бадемово Мляко Ванилия,Протеинов Кварк Милбона,Кашкавал Домлян обезмаслен,Alpro мляко с протеин,Нискомаслено краве сирене 15%,Прясно сирене,Фитнес - Кварк Mein Protein (сурово състояние),Arla Lactofree,Моцарела лайт Zott,Староп"&amp;"ланински гюбек (Родна стряха),Кефир Pilos,Bircher Muesli Yogurt,Bircher Muesli Yogurt,Гауда / Gouda - Pilos,Coconut &amp; Rice Drink -  Vemondo,Skyr Exquisa с Череши Billa,Пълномаслено кисело мляко Чифлик Ливади,Филаделфия lightest,Higt protein moyyarella,Hig"&amp;"t protein mozarella-ALDI,Cream Spread - with herbs - Pilos,Йогурт Олимпус 2%,Котидж Сирене Philadelphia,High Protein Skyr Raspberry  Milbona,Cottage Cheese Philadelphia,Кашкавал (Димитър Маджаров),Високо протеинов пудинг Milbona ванилия - Lidl,YoPRO Кокос"&amp;",Cottage Classic Olympus,Йогурт нискомаслен 2% Олимпус,Сирене Котидж - Олимпус класик,Exquisa Крема Сирене 0.2% мазнини,Exquisa Quark-Jorgurt Creme 10% Protein Праскова-Маракуя,Краве сирене Ситово лайт,YoPro Danone 25g Proteina,Кашкавал Родопска сълзица,П"&amp;"ротеинов йогурт с банан, манго, ленено семе и зърнени култури,Скир Exquisa Натурален без Лактоза,Бурата Gioiella,Йогурт Олимпус Праскова 0%Fat,Super Spoon Банан Манго Лен,Кашкавал Домлян БДС,Сирене Краве Нискомаслено Light Добрев,Кашкавал Витоша Нискомасл"&amp;"ен Добрев,Крема сирене PHILADELPHIA Light,Топени сиренца PRESIDENT Light,Кварк Exquisa Fitline Печени Бадеми,Кварк Exquisa Fitline Ябълка с Канела,Кварк Exquisa Fitline Праскова и Маракуя,Сирене Exquisa Котидж без Лактоза,Пудинг Exquisa Протеинов Шоколад,"&amp;"Скир-натурален MinusL - без лактоза,Филаделфия - без лактоза,Сирене GAZI - без лактоза,Сметана за кафе MinusL - без лактоза,Протеинова напитка ванилия -""Edeka""-Gut &amp; Günstig,HIGH PROTEIN Caramel pudding Ehrmann,Нискомасшена извара Albe (Al Campo),Котидж"&amp;" Сирене 4% Arla (Mercadona),Нискомасшена извара Albe (Al Campo),Кисело мляко 3.6% БДС - Бор Чвор,Кашкавал eatlean без лактоза, висок протеин,High Protein pudding Exquisa Шоколад,High Protein pudding Exquisa Ванилия,High Protein Chocolate Flavour Pudding,П"&amp;"рясно Мляко пълномаслено Масларски,High protein vanille Drink (Lidl),Ali &amp; Fines herbes,Топено сирене Smoret,Овче сирене LACRIMA,Извара Ситово,Киндер,Кисело мляко Ведраре, овче, 6,5%,Quarkcreme Chokolate Chios MinusL без лактоза,Скир Arla Low Fat,Плодово "&amp;"кисело мляко,Quark Creme Natut MinusL - без лактоза,Скир Arla Low Fat Strawberry,Йогурт Олимпус пълномаслен,Arla Protein Blueberry Yogurt,Arla Skyr Strawberry Yogurt,High Protein Milk Product Различни плодови варианти,Скир с мед  MILSANI,Скир ягода кауфла"&amp;"нд,Скир Bourbon Vanille Kaуфланд,Quark creme Natur HIGH Protein Kaufland,Пудинг ванилия HIGH Protein Кауфланд,Котидж сирене Exquisa,Кашкавал Кенана,Кварк Exquisa Fitline Боровинка,Körniger Frischkäse - без лактоза,EHRMANN ПРОТЕИНОВ ПУДИНГ,Мляко с повишено"&amp;" съдържание на протеин Meggle,Протеинов йогурт Kri Kri Super spoon,Извара (нискомаслена) ""JA!"",Папрука у павлаци,Кокосово мляко Alpro Barista,Обезмаслена извара БИО ""REWE"",Моцарела ""Arla"",Саламурено сирене (натрошено) с повишено водно съдържание LID"&amp;"L,Kварк Zero 0%  кокос Exquisa (без захар),Натрошено Сирене Родопско чудо,Протеинов пудинг карамел (Mercadona),YoPro Боровинка,Плодово протеиново кисело мляко (Mercadona)"</formula1>
    </dataValidation>
    <dataValidation type="list" allowBlank="1" sqref="A8:A15 A22:A29 A36:A43 A50:A57">
      <formula1>Foods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 outlineLevelRow="1"/>
  <cols>
    <col customWidth="1" min="1" max="2" width="25.13"/>
    <col customWidth="1" min="3" max="3" width="13.25"/>
    <col customWidth="1" min="10" max="10" width="11.5"/>
    <col customWidth="1" min="11" max="11" width="8.88"/>
    <col customWidth="1" min="12" max="12" width="7.75"/>
    <col customWidth="1" min="13" max="13" width="6.5"/>
    <col customWidth="1" min="14" max="14" width="6.13"/>
    <col customWidth="1" min="15" max="15" width="6.75"/>
  </cols>
  <sheetData>
    <row r="1">
      <c r="A1" s="298" t="s">
        <v>123</v>
      </c>
      <c r="C1" s="178"/>
      <c r="D1" s="299" t="s">
        <v>19</v>
      </c>
      <c r="E1" s="300" t="s">
        <v>20</v>
      </c>
      <c r="F1" s="300" t="s">
        <v>21</v>
      </c>
      <c r="G1" s="219" t="s">
        <v>22</v>
      </c>
      <c r="H1" s="220" t="s">
        <v>7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</row>
    <row r="2">
      <c r="A2" s="222"/>
      <c r="C2" s="178"/>
      <c r="D2" s="301">
        <f>vlookup(D$5,'Макроси'!O15:S17,2,False)</f>
        <v>0</v>
      </c>
      <c r="E2" s="301">
        <f>vlookup(E$5,'Макроси'!O15:S17,2,False)</f>
        <v>0</v>
      </c>
      <c r="F2" s="301">
        <f>vlookup(F$5,'Макроси'!O15:S17,2,False)</f>
        <v>0</v>
      </c>
      <c r="G2" s="224"/>
      <c r="H2" s="225">
        <f>IF(ISERROR(ROUNDUP((D2+E2)*4+F2*9,0)),"",ROUNDUP((D2+E2)*4+F2*9,0))</f>
        <v>0</v>
      </c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</row>
    <row r="3">
      <c r="A3" s="226"/>
      <c r="B3" s="105"/>
      <c r="C3" s="227"/>
      <c r="D3" s="228">
        <f t="shared" ref="D3:G3" si="1">D7+D21+D35+D49</f>
        <v>0</v>
      </c>
      <c r="E3" s="229">
        <f t="shared" si="1"/>
        <v>0</v>
      </c>
      <c r="F3" s="229">
        <f t="shared" si="1"/>
        <v>0</v>
      </c>
      <c r="G3" s="229">
        <f t="shared" si="1"/>
        <v>0</v>
      </c>
      <c r="H3" s="230">
        <f>SUM(H7+H21+H35+H49)</f>
        <v>0</v>
      </c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</row>
    <row r="4" ht="9.75" customHeight="1">
      <c r="A4" s="68"/>
      <c r="B4" s="68"/>
      <c r="C4" s="68"/>
      <c r="D4" s="78"/>
      <c r="E4" s="78"/>
      <c r="F4" s="78"/>
      <c r="G4" s="78"/>
      <c r="H4" s="7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</row>
    <row r="5">
      <c r="A5" s="302" t="s">
        <v>55</v>
      </c>
      <c r="B5" s="105"/>
      <c r="C5" s="227"/>
      <c r="D5" s="217" t="s">
        <v>19</v>
      </c>
      <c r="E5" s="218" t="s">
        <v>20</v>
      </c>
      <c r="F5" s="218" t="s">
        <v>21</v>
      </c>
      <c r="G5" s="219" t="s">
        <v>22</v>
      </c>
      <c r="H5" s="220" t="s">
        <v>7</v>
      </c>
      <c r="I5" s="60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</row>
    <row r="6">
      <c r="A6" s="303" t="s">
        <v>0</v>
      </c>
      <c r="B6" s="304" t="s">
        <v>17</v>
      </c>
      <c r="C6" s="238" t="s">
        <v>124</v>
      </c>
      <c r="D6" s="305" t="str">
        <f>vlookup(D$5,'Макроси'!O15:S17,3,False)</f>
        <v/>
      </c>
      <c r="E6" s="306" t="str">
        <f>vlookup(E$5,'Макроси'!O15:S17,3,False)</f>
        <v/>
      </c>
      <c r="F6" s="306" t="str">
        <f>vlookup(F$5,'Макроси'!O15:S17,3,False)</f>
        <v/>
      </c>
      <c r="G6" s="306"/>
      <c r="H6" s="307">
        <f>IF(ISERROR(ROUNDUP((D6+E6)*4+F6*9,0)),"",ROUNDUP((D6+E6)*4+F6*9,0))</f>
        <v>0</v>
      </c>
      <c r="I6" s="60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</row>
    <row r="7">
      <c r="A7" s="105"/>
      <c r="B7" s="242"/>
      <c r="C7" s="243" t="s">
        <v>125</v>
      </c>
      <c r="D7" s="228">
        <f t="shared" ref="D7:H7" si="2">SUM(D8:D17)</f>
        <v>0</v>
      </c>
      <c r="E7" s="229">
        <f t="shared" si="2"/>
        <v>0</v>
      </c>
      <c r="F7" s="229">
        <f t="shared" si="2"/>
        <v>0</v>
      </c>
      <c r="G7" s="229">
        <f t="shared" si="2"/>
        <v>0</v>
      </c>
      <c r="H7" s="230">
        <f t="shared" si="2"/>
        <v>0</v>
      </c>
      <c r="I7" s="60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</row>
    <row r="8" outlineLevel="1">
      <c r="A8" s="339"/>
      <c r="B8" s="339"/>
      <c r="C8" s="340"/>
      <c r="D8" s="64" t="str">
        <f>IF(ISNA(($C8/100)*VLOOKUP($B8,DB,3,FALSE)),"",($C8/100)*VLOOKUP($B8,DB,3,FALSE))</f>
        <v/>
      </c>
      <c r="E8" s="64" t="str">
        <f>IF(ISNA(($C8/100)*VLOOKUP($B8,DB,4,FALSE)),"",($C8/100)*VLOOKUP($B8,DB,4,FALSE))</f>
        <v/>
      </c>
      <c r="F8" s="64" t="str">
        <f>IF(ISNA(($C8/100)*VLOOKUP($B8,DB,5,FALSE)),"",($C8/100)*VLOOKUP($B8,DB,5,FALSE))</f>
        <v/>
      </c>
      <c r="G8" s="64" t="str">
        <f>IF(ISNA(($C8/100)*VLOOKUP($B8,DB,6,FALSE)),"",($C8/100)*VLOOKUP($B8,DB,6,FALSE))</f>
        <v/>
      </c>
      <c r="H8" s="341">
        <f t="shared" ref="H8:H17" si="3">IF(ISERROR(ROUNDUP((D8+E8)*4+F8*9,0)),"",ROUNDUP((D8+E8)*4+F8*9,0))</f>
        <v>0</v>
      </c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</row>
    <row r="9" outlineLevel="1">
      <c r="A9" s="339"/>
      <c r="B9" s="339"/>
      <c r="C9" s="340"/>
      <c r="D9" s="64" t="str">
        <f>IF(ISNA(($C9/100)*VLOOKUP($B9,DB,3,FALSE)),"",($C9/100)*VLOOKUP($B9,DB,3,FALSE))</f>
        <v/>
      </c>
      <c r="E9" s="64" t="str">
        <f>IF(ISNA(($C9/100)*VLOOKUP($B9,DB,4,FALSE)),"",($C9/100)*VLOOKUP($B9,DB,4,FALSE))</f>
        <v/>
      </c>
      <c r="F9" s="64" t="str">
        <f>IF(ISNA(($C9/100)*VLOOKUP($B9,DB,5,FALSE)),"",($C9/100)*VLOOKUP($B9,DB,5,FALSE))</f>
        <v/>
      </c>
      <c r="G9" s="64" t="str">
        <f>IF(ISNA(($C9/100)*VLOOKUP($B9,DB,6,FALSE)),"",($C9/100)*VLOOKUP($B9,DB,6,FALSE))</f>
        <v/>
      </c>
      <c r="H9" s="341">
        <f t="shared" si="3"/>
        <v>0</v>
      </c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</row>
    <row r="10" outlineLevel="1">
      <c r="A10" s="339"/>
      <c r="B10" s="339"/>
      <c r="C10" s="340"/>
      <c r="D10" s="64" t="str">
        <f>IF(ISNA(($C10/100)*VLOOKUP($B10,DB,3,FALSE)),"",($C10/100)*VLOOKUP($B10,DB,3,FALSE))</f>
        <v/>
      </c>
      <c r="E10" s="64" t="str">
        <f>IF(ISNA(($C10/100)*VLOOKUP($B10,DB,4,FALSE)),"",($C10/100)*VLOOKUP($B10,DB,4,FALSE))</f>
        <v/>
      </c>
      <c r="F10" s="64" t="str">
        <f>IF(ISNA(($C10/100)*VLOOKUP($B10,DB,5,FALSE)),"",($C10/100)*VLOOKUP($B10,DB,5,FALSE))</f>
        <v/>
      </c>
      <c r="G10" s="64" t="str">
        <f>IF(ISNA(($C10/100)*VLOOKUP($B10,DB,6,FALSE)),"",($C10/100)*VLOOKUP($B10,DB,6,FALSE))</f>
        <v/>
      </c>
      <c r="H10" s="341">
        <f t="shared" si="3"/>
        <v>0</v>
      </c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</row>
    <row r="11" outlineLevel="1">
      <c r="A11" s="339"/>
      <c r="B11" s="339"/>
      <c r="C11" s="340"/>
      <c r="D11" s="64" t="str">
        <f>IF(ISNA(($C11/100)*VLOOKUP($B11,DB,3,FALSE)),"",($C11/100)*VLOOKUP($B11,DB,3,FALSE))</f>
        <v/>
      </c>
      <c r="E11" s="64" t="str">
        <f>IF(ISNA(($C11/100)*VLOOKUP($B11,DB,4,FALSE)),"",($C11/100)*VLOOKUP($B11,DB,4,FALSE))</f>
        <v/>
      </c>
      <c r="F11" s="64" t="str">
        <f>IF(ISNA(($C11/100)*VLOOKUP($B11,DB,5,FALSE)),"",($C11/100)*VLOOKUP($B11,DB,5,FALSE))</f>
        <v/>
      </c>
      <c r="G11" s="64" t="str">
        <f>IF(ISNA(($C11/100)*VLOOKUP($B11,DB,6,FALSE)),"",($C11/100)*VLOOKUP($B11,DB,6,FALSE))</f>
        <v/>
      </c>
      <c r="H11" s="341">
        <f t="shared" si="3"/>
        <v>0</v>
      </c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</row>
    <row r="12" outlineLevel="1">
      <c r="A12" s="339"/>
      <c r="B12" s="339"/>
      <c r="C12" s="340"/>
      <c r="D12" s="64" t="str">
        <f>IF(ISNA(($C12/100)*VLOOKUP($B12,DB,3,FALSE)),"",($C12/100)*VLOOKUP($B12,DB,3,FALSE))</f>
        <v/>
      </c>
      <c r="E12" s="64" t="str">
        <f>IF(ISNA(($C12/100)*VLOOKUP($B12,DB,4,FALSE)),"",($C12/100)*VLOOKUP($B12,DB,4,FALSE))</f>
        <v/>
      </c>
      <c r="F12" s="64" t="str">
        <f>IF(ISNA(($C12/100)*VLOOKUP($B12,DB,5,FALSE)),"",($C12/100)*VLOOKUP($B12,DB,5,FALSE))</f>
        <v/>
      </c>
      <c r="G12" s="64" t="str">
        <f>IF(ISNA(($C12/100)*VLOOKUP($B12,DB,6,FALSE)),"",($C12/100)*VLOOKUP($B12,DB,6,FALSE))</f>
        <v/>
      </c>
      <c r="H12" s="341">
        <f t="shared" si="3"/>
        <v>0</v>
      </c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</row>
    <row r="13" outlineLevel="1">
      <c r="A13" s="339"/>
      <c r="B13" s="339"/>
      <c r="C13" s="340"/>
      <c r="D13" s="64" t="str">
        <f>IF(ISNA(($C13/100)*VLOOKUP($B13,DB,3,FALSE)),"",($C13/100)*VLOOKUP($B13,DB,3,FALSE))</f>
        <v/>
      </c>
      <c r="E13" s="64" t="str">
        <f>IF(ISNA(($C13/100)*VLOOKUP($B13,DB,4,FALSE)),"",($C13/100)*VLOOKUP($B13,DB,4,FALSE))</f>
        <v/>
      </c>
      <c r="F13" s="64" t="str">
        <f>IF(ISNA(($C13/100)*VLOOKUP($B13,DB,5,FALSE)),"",($C13/100)*VLOOKUP($B13,DB,5,FALSE))</f>
        <v/>
      </c>
      <c r="G13" s="64" t="str">
        <f>IF(ISNA(($C13/100)*VLOOKUP($B13,DB,6,FALSE)),"",($C13/100)*VLOOKUP($B13,DB,6,FALSE))</f>
        <v/>
      </c>
      <c r="H13" s="341">
        <f t="shared" si="3"/>
        <v>0</v>
      </c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</row>
    <row r="14" outlineLevel="1">
      <c r="A14" s="339"/>
      <c r="B14" s="339"/>
      <c r="C14" s="340"/>
      <c r="D14" s="64" t="str">
        <f>IF(ISNA(($C14/100)*VLOOKUP($B14,DB,3,FALSE)),"",($C14/100)*VLOOKUP($B14,DB,3,FALSE))</f>
        <v/>
      </c>
      <c r="E14" s="64" t="str">
        <f>IF(ISNA(($C14/100)*VLOOKUP($B14,DB,4,FALSE)),"",($C14/100)*VLOOKUP($B14,DB,4,FALSE))</f>
        <v/>
      </c>
      <c r="F14" s="64" t="str">
        <f>IF(ISNA(($C14/100)*VLOOKUP($B14,DB,5,FALSE)),"",($C14/100)*VLOOKUP($B14,DB,5,FALSE))</f>
        <v/>
      </c>
      <c r="G14" s="64" t="str">
        <f>IF(ISNA(($C14/100)*VLOOKUP($B14,DB,6,FALSE)),"",($C14/100)*VLOOKUP($B14,DB,6,FALSE))</f>
        <v/>
      </c>
      <c r="H14" s="341">
        <f t="shared" si="3"/>
        <v>0</v>
      </c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</row>
    <row r="15" outlineLevel="1">
      <c r="A15" s="342"/>
      <c r="B15" s="342"/>
      <c r="C15" s="343"/>
      <c r="D15" s="349" t="str">
        <f>IF(ISNA(($C15/100)*VLOOKUP($B15,DB,3,FALSE)),"",($C15/100)*VLOOKUP($B15,DB,3,FALSE))</f>
        <v/>
      </c>
      <c r="E15" s="349" t="str">
        <f>IF(ISNA(($C15/100)*VLOOKUP($B15,DB,4,FALSE)),"",($C15/100)*VLOOKUP($B15,DB,4,FALSE))</f>
        <v/>
      </c>
      <c r="F15" s="349" t="str">
        <f>IF(ISNA(($C15/100)*VLOOKUP($B15,DB,5,FALSE)),"",($C15/100)*VLOOKUP($B15,DB,5,FALSE))</f>
        <v/>
      </c>
      <c r="G15" s="349" t="str">
        <f>IF(ISNA(($C15/100)*VLOOKUP($B15,DB,6,FALSE)),"",($C15/100)*VLOOKUP($B15,DB,6,FALSE))</f>
        <v/>
      </c>
      <c r="H15" s="344">
        <f t="shared" si="3"/>
        <v>0</v>
      </c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</row>
    <row r="16" outlineLevel="1">
      <c r="A16" s="311" t="s">
        <v>130</v>
      </c>
      <c r="B16" s="255"/>
      <c r="C16" s="256"/>
      <c r="D16" s="272"/>
      <c r="E16" s="272"/>
      <c r="F16" s="272"/>
      <c r="G16" s="272"/>
      <c r="H16" s="312">
        <f t="shared" si="3"/>
        <v>0</v>
      </c>
      <c r="I16" s="60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</row>
    <row r="17" outlineLevel="1">
      <c r="A17" s="313" t="s">
        <v>130</v>
      </c>
      <c r="B17" s="260"/>
      <c r="C17" s="89"/>
      <c r="D17" s="261"/>
      <c r="E17" s="261"/>
      <c r="F17" s="261"/>
      <c r="G17" s="261"/>
      <c r="H17" s="314">
        <f t="shared" si="3"/>
        <v>0</v>
      </c>
      <c r="I17" s="60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</row>
    <row r="18">
      <c r="A18" s="315"/>
      <c r="B18" s="316"/>
      <c r="C18" s="317"/>
      <c r="D18" s="318"/>
      <c r="E18" s="318"/>
      <c r="F18" s="318"/>
      <c r="G18" s="319"/>
      <c r="H18" s="268">
        <f>(D18+E18)*4+F18*9</f>
        <v>0</v>
      </c>
      <c r="I18" s="60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</row>
    <row r="19">
      <c r="A19" s="302" t="s">
        <v>56</v>
      </c>
      <c r="B19" s="105"/>
      <c r="C19" s="227"/>
      <c r="D19" s="217" t="s">
        <v>19</v>
      </c>
      <c r="E19" s="218" t="s">
        <v>20</v>
      </c>
      <c r="F19" s="218" t="s">
        <v>21</v>
      </c>
      <c r="G19" s="219" t="s">
        <v>22</v>
      </c>
      <c r="H19" s="220" t="s">
        <v>7</v>
      </c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</row>
    <row r="20">
      <c r="A20" s="303" t="s">
        <v>0</v>
      </c>
      <c r="B20" s="304" t="s">
        <v>17</v>
      </c>
      <c r="C20" s="238" t="s">
        <v>124</v>
      </c>
      <c r="D20" s="239" t="str">
        <f>vlookup(D$5,'Макроси'!O15:S17,4,False)</f>
        <v/>
      </c>
      <c r="E20" s="240" t="str">
        <f>vlookup(E$5,'Макроси'!O15:S17,4,False)</f>
        <v/>
      </c>
      <c r="F20" s="240" t="str">
        <f>vlookup(F$5,'Макроси'!O15:S17,4,False)</f>
        <v/>
      </c>
      <c r="G20" s="270"/>
      <c r="H20" s="241">
        <f>IF(ISERROR(ROUNDUP((D20+E20)*4+F20*9,0)),"",ROUNDUP((D20+E20)*4+F20*9,0))</f>
        <v>0</v>
      </c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</row>
    <row r="21">
      <c r="A21" s="105"/>
      <c r="B21" s="242"/>
      <c r="C21" s="243" t="s">
        <v>125</v>
      </c>
      <c r="D21" s="228">
        <f t="shared" ref="D21:H21" si="4">SUM(D22:D31)</f>
        <v>0</v>
      </c>
      <c r="E21" s="229">
        <f t="shared" si="4"/>
        <v>0</v>
      </c>
      <c r="F21" s="229">
        <f t="shared" si="4"/>
        <v>0</v>
      </c>
      <c r="G21" s="229">
        <f t="shared" si="4"/>
        <v>0</v>
      </c>
      <c r="H21" s="230">
        <f t="shared" si="4"/>
        <v>0</v>
      </c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</row>
    <row r="22" outlineLevel="1">
      <c r="A22" s="339"/>
      <c r="B22" s="339"/>
      <c r="C22" s="340"/>
      <c r="D22" s="64" t="str">
        <f>IF(ISNA(($C22/100)*VLOOKUP($B22,DB,3,FALSE)),"",($C22/100)*VLOOKUP($B22,DB,3,FALSE))</f>
        <v/>
      </c>
      <c r="E22" s="64" t="str">
        <f>IF(ISNA(($C22/100)*VLOOKUP($B22,DB,4,FALSE)),"",($C22/100)*VLOOKUP($B22,DB,4,FALSE))</f>
        <v/>
      </c>
      <c r="F22" s="64" t="str">
        <f>IF(ISNA(($C22/100)*VLOOKUP($B22,DB,5,FALSE)),"",($C22/100)*VLOOKUP($B22,DB,5,FALSE))</f>
        <v/>
      </c>
      <c r="G22" s="64" t="str">
        <f>IF(ISNA(($C22/100)*VLOOKUP($B22,DB,6,FALSE)),"",($C22/100)*VLOOKUP($B22,DB,6,FALSE))</f>
        <v/>
      </c>
      <c r="H22" s="341">
        <f t="shared" ref="H22:H31" si="5">IF(ISERROR(ROUNDUP((D22+E22)*4+F22*9,0)),"",ROUNDUP((D22+E22)*4+F22*9,0))</f>
        <v>0</v>
      </c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</row>
    <row r="23" outlineLevel="1">
      <c r="A23" s="339"/>
      <c r="B23" s="339"/>
      <c r="C23" s="340"/>
      <c r="D23" s="64" t="str">
        <f>IF(ISNA(($C23/100)*VLOOKUP($B23,DB,3,FALSE)),"",($C23/100)*VLOOKUP($B23,DB,3,FALSE))</f>
        <v/>
      </c>
      <c r="E23" s="64" t="str">
        <f>IF(ISNA(($C23/100)*VLOOKUP($B23,DB,4,FALSE)),"",($C23/100)*VLOOKUP($B23,DB,4,FALSE))</f>
        <v/>
      </c>
      <c r="F23" s="64" t="str">
        <f>IF(ISNA(($C23/100)*VLOOKUP($B23,DB,5,FALSE)),"",($C23/100)*VLOOKUP($B23,DB,5,FALSE))</f>
        <v/>
      </c>
      <c r="G23" s="64" t="str">
        <f>IF(ISNA(($C23/100)*VLOOKUP($B23,DB,6,FALSE)),"",($C23/100)*VLOOKUP($B23,DB,6,FALSE))</f>
        <v/>
      </c>
      <c r="H23" s="341">
        <f t="shared" si="5"/>
        <v>0</v>
      </c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</row>
    <row r="24" outlineLevel="1">
      <c r="A24" s="339"/>
      <c r="B24" s="339"/>
      <c r="C24" s="340"/>
      <c r="D24" s="64" t="str">
        <f>IF(ISNA(($C24/100)*VLOOKUP($B24,DB,3,FALSE)),"",($C24/100)*VLOOKUP($B24,DB,3,FALSE))</f>
        <v/>
      </c>
      <c r="E24" s="64" t="str">
        <f>IF(ISNA(($C24/100)*VLOOKUP($B24,DB,4,FALSE)),"",($C24/100)*VLOOKUP($B24,DB,4,FALSE))</f>
        <v/>
      </c>
      <c r="F24" s="64" t="str">
        <f>IF(ISNA(($C24/100)*VLOOKUP($B24,DB,5,FALSE)),"",($C24/100)*VLOOKUP($B24,DB,5,FALSE))</f>
        <v/>
      </c>
      <c r="G24" s="64" t="str">
        <f>IF(ISNA(($C24/100)*VLOOKUP($B24,DB,6,FALSE)),"",($C24/100)*VLOOKUP($B24,DB,6,FALSE))</f>
        <v/>
      </c>
      <c r="H24" s="341">
        <f t="shared" si="5"/>
        <v>0</v>
      </c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</row>
    <row r="25" outlineLevel="1">
      <c r="A25" s="339"/>
      <c r="B25" s="339"/>
      <c r="C25" s="340"/>
      <c r="D25" s="64" t="str">
        <f>IF(ISNA(($C25/100)*VLOOKUP($B25,DB,3,FALSE)),"",($C25/100)*VLOOKUP($B25,DB,3,FALSE))</f>
        <v/>
      </c>
      <c r="E25" s="64" t="str">
        <f>IF(ISNA(($C25/100)*VLOOKUP($B25,DB,4,FALSE)),"",($C25/100)*VLOOKUP($B25,DB,4,FALSE))</f>
        <v/>
      </c>
      <c r="F25" s="64" t="str">
        <f>IF(ISNA(($C25/100)*VLOOKUP($B25,DB,5,FALSE)),"",($C25/100)*VLOOKUP($B25,DB,5,FALSE))</f>
        <v/>
      </c>
      <c r="G25" s="64" t="str">
        <f>IF(ISNA(($C25/100)*VLOOKUP($B25,DB,6,FALSE)),"",($C25/100)*VLOOKUP($B25,DB,6,FALSE))</f>
        <v/>
      </c>
      <c r="H25" s="341">
        <f t="shared" si="5"/>
        <v>0</v>
      </c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</row>
    <row r="26" outlineLevel="1">
      <c r="A26" s="339"/>
      <c r="B26" s="339"/>
      <c r="C26" s="340"/>
      <c r="D26" s="64" t="str">
        <f>IF(ISNA(($C26/100)*VLOOKUP($B26,DB,3,FALSE)),"",($C26/100)*VLOOKUP($B26,DB,3,FALSE))</f>
        <v/>
      </c>
      <c r="E26" s="64" t="str">
        <f>IF(ISNA(($C26/100)*VLOOKUP($B26,DB,4,FALSE)),"",($C26/100)*VLOOKUP($B26,DB,4,FALSE))</f>
        <v/>
      </c>
      <c r="F26" s="64" t="str">
        <f>IF(ISNA(($C26/100)*VLOOKUP($B26,DB,5,FALSE)),"",($C26/100)*VLOOKUP($B26,DB,5,FALSE))</f>
        <v/>
      </c>
      <c r="G26" s="64" t="str">
        <f>IF(ISNA(($C26/100)*VLOOKUP($B26,DB,6,FALSE)),"",($C26/100)*VLOOKUP($B26,DB,6,FALSE))</f>
        <v/>
      </c>
      <c r="H26" s="341">
        <f t="shared" si="5"/>
        <v>0</v>
      </c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</row>
    <row r="27" outlineLevel="1">
      <c r="A27" s="339"/>
      <c r="B27" s="339"/>
      <c r="C27" s="340"/>
      <c r="D27" s="64" t="str">
        <f>IF(ISNA(($C27/100)*VLOOKUP($B27,DB,3,FALSE)),"",($C27/100)*VLOOKUP($B27,DB,3,FALSE))</f>
        <v/>
      </c>
      <c r="E27" s="64" t="str">
        <f>IF(ISNA(($C27/100)*VLOOKUP($B27,DB,4,FALSE)),"",($C27/100)*VLOOKUP($B27,DB,4,FALSE))</f>
        <v/>
      </c>
      <c r="F27" s="64" t="str">
        <f>IF(ISNA(($C27/100)*VLOOKUP($B27,DB,5,FALSE)),"",($C27/100)*VLOOKUP($B27,DB,5,FALSE))</f>
        <v/>
      </c>
      <c r="G27" s="64" t="str">
        <f>IF(ISNA(($C27/100)*VLOOKUP($B27,DB,6,FALSE)),"",($C27/100)*VLOOKUP($B27,DB,6,FALSE))</f>
        <v/>
      </c>
      <c r="H27" s="341">
        <f t="shared" si="5"/>
        <v>0</v>
      </c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</row>
    <row r="28" outlineLevel="1">
      <c r="A28" s="339"/>
      <c r="B28" s="339"/>
      <c r="C28" s="340"/>
      <c r="D28" s="64" t="str">
        <f>IF(ISNA(($C28/100)*VLOOKUP($B28,DB,3,FALSE)),"",($C28/100)*VLOOKUP($B28,DB,3,FALSE))</f>
        <v/>
      </c>
      <c r="E28" s="64" t="str">
        <f>IF(ISNA(($C28/100)*VLOOKUP($B28,DB,4,FALSE)),"",($C28/100)*VLOOKUP($B28,DB,4,FALSE))</f>
        <v/>
      </c>
      <c r="F28" s="64" t="str">
        <f>IF(ISNA(($C28/100)*VLOOKUP($B28,DB,5,FALSE)),"",($C28/100)*VLOOKUP($B28,DB,5,FALSE))</f>
        <v/>
      </c>
      <c r="G28" s="64" t="str">
        <f>IF(ISNA(($C28/100)*VLOOKUP($B28,DB,6,FALSE)),"",($C28/100)*VLOOKUP($B28,DB,6,FALSE))</f>
        <v/>
      </c>
      <c r="H28" s="341">
        <f t="shared" si="5"/>
        <v>0</v>
      </c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</row>
    <row r="29" outlineLevel="1">
      <c r="A29" s="342"/>
      <c r="B29" s="345"/>
      <c r="C29" s="346"/>
      <c r="D29" s="347" t="str">
        <f>IF(ISNA(($C29/100)*VLOOKUP($B29,DB,3,FALSE)),"",($C29/100)*VLOOKUP($B29,DB,3,FALSE))</f>
        <v/>
      </c>
      <c r="E29" s="347" t="str">
        <f>IF(ISNA(($C29/100)*VLOOKUP($B29,DB,4,FALSE)),"",($C29/100)*VLOOKUP($B29,DB,4,FALSE))</f>
        <v/>
      </c>
      <c r="F29" s="347" t="str">
        <f>IF(ISNA(($C29/100)*VLOOKUP($B29,DB,5,FALSE)),"",($C29/100)*VLOOKUP($B29,DB,5,FALSE))</f>
        <v/>
      </c>
      <c r="G29" s="347" t="str">
        <f>IF(ISNA(($C29/100)*VLOOKUP($B29,DB,6,FALSE)),"",($C29/100)*VLOOKUP($B29,DB,6,FALSE))</f>
        <v/>
      </c>
      <c r="H29" s="348">
        <f t="shared" si="5"/>
        <v>0</v>
      </c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</row>
    <row r="30">
      <c r="A30" s="311" t="s">
        <v>130</v>
      </c>
      <c r="B30" s="255"/>
      <c r="C30" s="256"/>
      <c r="D30" s="272"/>
      <c r="E30" s="272"/>
      <c r="F30" s="272"/>
      <c r="G30" s="272"/>
      <c r="H30" s="312">
        <f t="shared" si="5"/>
        <v>0</v>
      </c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</row>
    <row r="31">
      <c r="A31" s="313" t="s">
        <v>130</v>
      </c>
      <c r="B31" s="260"/>
      <c r="C31" s="89"/>
      <c r="D31" s="261"/>
      <c r="E31" s="261"/>
      <c r="F31" s="261"/>
      <c r="G31" s="261"/>
      <c r="H31" s="314">
        <f t="shared" si="5"/>
        <v>0</v>
      </c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</row>
    <row r="32">
      <c r="A32" s="315"/>
      <c r="B32" s="316"/>
      <c r="C32" s="317"/>
      <c r="D32" s="318"/>
      <c r="E32" s="318"/>
      <c r="F32" s="318"/>
      <c r="G32" s="319"/>
      <c r="H32" s="268">
        <f>(D32+E32)*4+F32*9</f>
        <v>0</v>
      </c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</row>
    <row r="33">
      <c r="A33" s="302" t="s">
        <v>57</v>
      </c>
      <c r="B33" s="105"/>
      <c r="C33" s="227"/>
      <c r="D33" s="217" t="s">
        <v>19</v>
      </c>
      <c r="E33" s="218" t="s">
        <v>20</v>
      </c>
      <c r="F33" s="218" t="s">
        <v>21</v>
      </c>
      <c r="G33" s="219" t="s">
        <v>22</v>
      </c>
      <c r="H33" s="220" t="s">
        <v>7</v>
      </c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</row>
    <row r="34">
      <c r="A34" s="303" t="s">
        <v>0</v>
      </c>
      <c r="B34" s="304" t="s">
        <v>17</v>
      </c>
      <c r="C34" s="238" t="s">
        <v>124</v>
      </c>
      <c r="D34" s="239" t="str">
        <f>vlookup(D$5,'Макроси'!O15:S17,5,False)</f>
        <v/>
      </c>
      <c r="E34" s="240" t="str">
        <f>vlookup(E$5,'Макроси'!O15:S17,5,False)</f>
        <v/>
      </c>
      <c r="F34" s="240" t="str">
        <f>vlookup(F$5,'Макроси'!O15:S17,5,False)</f>
        <v/>
      </c>
      <c r="G34" s="270"/>
      <c r="H34" s="241">
        <f>IF(ISERROR(ROUNDUP((D34+E34)*4+F34*9,0)),"",ROUNDUP((D34+E34)*4+F34*9,0))</f>
        <v>0</v>
      </c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</row>
    <row r="35">
      <c r="A35" s="105"/>
      <c r="B35" s="242"/>
      <c r="C35" s="243" t="s">
        <v>125</v>
      </c>
      <c r="D35" s="228">
        <f t="shared" ref="D35:H35" si="6">SUM(D36:D45)</f>
        <v>0</v>
      </c>
      <c r="E35" s="229">
        <f t="shared" si="6"/>
        <v>0</v>
      </c>
      <c r="F35" s="229">
        <f t="shared" si="6"/>
        <v>0</v>
      </c>
      <c r="G35" s="229">
        <f t="shared" si="6"/>
        <v>0</v>
      </c>
      <c r="H35" s="230">
        <f t="shared" si="6"/>
        <v>0</v>
      </c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</row>
    <row r="36" outlineLevel="1">
      <c r="A36" s="339"/>
      <c r="B36" s="339"/>
      <c r="C36" s="340"/>
      <c r="D36" s="64" t="str">
        <f>IF(ISNA(($C36/100)*VLOOKUP($B36,DB,3,FALSE)),"",($C36/100)*VLOOKUP($B36,DB,3,FALSE))</f>
        <v/>
      </c>
      <c r="E36" s="64" t="str">
        <f>IF(ISNA(($C36/100)*VLOOKUP($B36,DB,4,FALSE)),"",($C36/100)*VLOOKUP($B36,DB,4,FALSE))</f>
        <v/>
      </c>
      <c r="F36" s="64" t="str">
        <f>IF(ISNA(($C36/100)*VLOOKUP($B36,DB,5,FALSE)),"",($C36/100)*VLOOKUP($B36,DB,5,FALSE))</f>
        <v/>
      </c>
      <c r="G36" s="64" t="str">
        <f>IF(ISNA(($C36/100)*VLOOKUP($B36,DB,6,FALSE)),"",($C36/100)*VLOOKUP($B36,DB,6,FALSE))</f>
        <v/>
      </c>
      <c r="H36" s="341">
        <f t="shared" ref="H36:H45" si="7">IF(ISERROR(ROUNDUP((D36+E36)*4+F36*9,0)),"",ROUNDUP((D36+E36)*4+F36*9,0))</f>
        <v>0</v>
      </c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</row>
    <row r="37" outlineLevel="1">
      <c r="A37" s="339"/>
      <c r="B37" s="339"/>
      <c r="C37" s="340"/>
      <c r="D37" s="64" t="str">
        <f>IF(ISNA(($C37/100)*VLOOKUP($B37,DB,3,FALSE)),"",($C37/100)*VLOOKUP($B37,DB,3,FALSE))</f>
        <v/>
      </c>
      <c r="E37" s="64" t="str">
        <f>IF(ISNA(($C37/100)*VLOOKUP($B37,DB,4,FALSE)),"",($C37/100)*VLOOKUP($B37,DB,4,FALSE))</f>
        <v/>
      </c>
      <c r="F37" s="64" t="str">
        <f>IF(ISNA(($C37/100)*VLOOKUP($B37,DB,5,FALSE)),"",($C37/100)*VLOOKUP($B37,DB,5,FALSE))</f>
        <v/>
      </c>
      <c r="G37" s="64" t="str">
        <f>IF(ISNA(($C37/100)*VLOOKUP($B37,DB,6,FALSE)),"",($C37/100)*VLOOKUP($B37,DB,6,FALSE))</f>
        <v/>
      </c>
      <c r="H37" s="341">
        <f t="shared" si="7"/>
        <v>0</v>
      </c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</row>
    <row r="38" outlineLevel="1">
      <c r="A38" s="339"/>
      <c r="B38" s="339"/>
      <c r="C38" s="340"/>
      <c r="D38" s="64" t="str">
        <f>IF(ISNA(($C38/100)*VLOOKUP($B38,DB,3,FALSE)),"",($C38/100)*VLOOKUP($B38,DB,3,FALSE))</f>
        <v/>
      </c>
      <c r="E38" s="64" t="str">
        <f>IF(ISNA(($C38/100)*VLOOKUP($B38,DB,4,FALSE)),"",($C38/100)*VLOOKUP($B38,DB,4,FALSE))</f>
        <v/>
      </c>
      <c r="F38" s="64" t="str">
        <f>IF(ISNA(($C38/100)*VLOOKUP($B38,DB,5,FALSE)),"",($C38/100)*VLOOKUP($B38,DB,5,FALSE))</f>
        <v/>
      </c>
      <c r="G38" s="64" t="str">
        <f>IF(ISNA(($C38/100)*VLOOKUP($B38,DB,6,FALSE)),"",($C38/100)*VLOOKUP($B38,DB,6,FALSE))</f>
        <v/>
      </c>
      <c r="H38" s="341">
        <f t="shared" si="7"/>
        <v>0</v>
      </c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</row>
    <row r="39" outlineLevel="1">
      <c r="A39" s="339"/>
      <c r="B39" s="339"/>
      <c r="C39" s="340"/>
      <c r="D39" s="64" t="str">
        <f>IF(ISNA(($C39/100)*VLOOKUP($B39,DB,3,FALSE)),"",($C39/100)*VLOOKUP($B39,DB,3,FALSE))</f>
        <v/>
      </c>
      <c r="E39" s="64" t="str">
        <f>IF(ISNA(($C39/100)*VLOOKUP($B39,DB,4,FALSE)),"",($C39/100)*VLOOKUP($B39,DB,4,FALSE))</f>
        <v/>
      </c>
      <c r="F39" s="64" t="str">
        <f>IF(ISNA(($C39/100)*VLOOKUP($B39,DB,5,FALSE)),"",($C39/100)*VLOOKUP($B39,DB,5,FALSE))</f>
        <v/>
      </c>
      <c r="G39" s="64" t="str">
        <f>IF(ISNA(($C39/100)*VLOOKUP($B39,DB,6,FALSE)),"",($C39/100)*VLOOKUP($B39,DB,6,FALSE))</f>
        <v/>
      </c>
      <c r="H39" s="341">
        <f t="shared" si="7"/>
        <v>0</v>
      </c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</row>
    <row r="40" outlineLevel="1">
      <c r="A40" s="339"/>
      <c r="B40" s="339"/>
      <c r="C40" s="340"/>
      <c r="D40" s="64" t="str">
        <f>IF(ISNA(($C40/100)*VLOOKUP($B40,DB,3,FALSE)),"",($C40/100)*VLOOKUP($B40,DB,3,FALSE))</f>
        <v/>
      </c>
      <c r="E40" s="64" t="str">
        <f>IF(ISNA(($C40/100)*VLOOKUP($B40,DB,4,FALSE)),"",($C40/100)*VLOOKUP($B40,DB,4,FALSE))</f>
        <v/>
      </c>
      <c r="F40" s="64" t="str">
        <f>IF(ISNA(($C40/100)*VLOOKUP($B40,DB,5,FALSE)),"",($C40/100)*VLOOKUP($B40,DB,5,FALSE))</f>
        <v/>
      </c>
      <c r="G40" s="64" t="str">
        <f>IF(ISNA(($C40/100)*VLOOKUP($B40,DB,6,FALSE)),"",($C40/100)*VLOOKUP($B40,DB,6,FALSE))</f>
        <v/>
      </c>
      <c r="H40" s="341">
        <f t="shared" si="7"/>
        <v>0</v>
      </c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</row>
    <row r="41" outlineLevel="1">
      <c r="A41" s="339"/>
      <c r="B41" s="339"/>
      <c r="C41" s="340"/>
      <c r="D41" s="64" t="str">
        <f>IF(ISNA(($C41/100)*VLOOKUP($B41,DB,3,FALSE)),"",($C41/100)*VLOOKUP($B41,DB,3,FALSE))</f>
        <v/>
      </c>
      <c r="E41" s="64" t="str">
        <f>IF(ISNA(($C41/100)*VLOOKUP($B41,DB,4,FALSE)),"",($C41/100)*VLOOKUP($B41,DB,4,FALSE))</f>
        <v/>
      </c>
      <c r="F41" s="64" t="str">
        <f>IF(ISNA(($C41/100)*VLOOKUP($B41,DB,5,FALSE)),"",($C41/100)*VLOOKUP($B41,DB,5,FALSE))</f>
        <v/>
      </c>
      <c r="G41" s="64" t="str">
        <f>IF(ISNA(($C41/100)*VLOOKUP($B41,DB,6,FALSE)),"",($C41/100)*VLOOKUP($B41,DB,6,FALSE))</f>
        <v/>
      </c>
      <c r="H41" s="341">
        <f t="shared" si="7"/>
        <v>0</v>
      </c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</row>
    <row r="42" outlineLevel="1">
      <c r="A42" s="339"/>
      <c r="B42" s="339"/>
      <c r="C42" s="340"/>
      <c r="D42" s="64" t="str">
        <f>IF(ISNA(($C42/100)*VLOOKUP($B42,DB,3,FALSE)),"",($C42/100)*VLOOKUP($B42,DB,3,FALSE))</f>
        <v/>
      </c>
      <c r="E42" s="64" t="str">
        <f>IF(ISNA(($C42/100)*VLOOKUP($B42,DB,4,FALSE)),"",($C42/100)*VLOOKUP($B42,DB,4,FALSE))</f>
        <v/>
      </c>
      <c r="F42" s="64" t="str">
        <f>IF(ISNA(($C42/100)*VLOOKUP($B42,DB,5,FALSE)),"",($C42/100)*VLOOKUP($B42,DB,5,FALSE))</f>
        <v/>
      </c>
      <c r="G42" s="64" t="str">
        <f>IF(ISNA(($C42/100)*VLOOKUP($B42,DB,6,FALSE)),"",($C42/100)*VLOOKUP($B42,DB,6,FALSE))</f>
        <v/>
      </c>
      <c r="H42" s="341">
        <f t="shared" si="7"/>
        <v>0</v>
      </c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</row>
    <row r="43" outlineLevel="1">
      <c r="A43" s="342"/>
      <c r="B43" s="342"/>
      <c r="C43" s="343"/>
      <c r="D43" s="64" t="str">
        <f>IF(ISNA(($C43/100)*VLOOKUP($B43,DB,3,FALSE)),"",($C43/100)*VLOOKUP($B43,DB,3,FALSE))</f>
        <v/>
      </c>
      <c r="E43" s="64" t="str">
        <f>IF(ISNA(($C43/100)*VLOOKUP($B43,DB,4,FALSE)),"",($C43/100)*VLOOKUP($B43,DB,4,FALSE))</f>
        <v/>
      </c>
      <c r="F43" s="64" t="str">
        <f>IF(ISNA(($C43/100)*VLOOKUP($B43,DB,5,FALSE)),"",($C43/100)*VLOOKUP($B43,DB,5,FALSE))</f>
        <v/>
      </c>
      <c r="G43" s="64" t="str">
        <f>IF(ISNA(($C43/100)*VLOOKUP($B43,DB,6,FALSE)),"",($C43/100)*VLOOKUP($B43,DB,6,FALSE))</f>
        <v/>
      </c>
      <c r="H43" s="341">
        <f t="shared" si="7"/>
        <v>0</v>
      </c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</row>
    <row r="44" outlineLevel="1">
      <c r="A44" s="311" t="s">
        <v>130</v>
      </c>
      <c r="B44" s="255"/>
      <c r="C44" s="256"/>
      <c r="D44" s="272"/>
      <c r="E44" s="272"/>
      <c r="F44" s="272"/>
      <c r="G44" s="272"/>
      <c r="H44" s="312">
        <f t="shared" si="7"/>
        <v>0</v>
      </c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</row>
    <row r="45" outlineLevel="1">
      <c r="A45" s="313" t="s">
        <v>130</v>
      </c>
      <c r="B45" s="260"/>
      <c r="C45" s="89"/>
      <c r="D45" s="261"/>
      <c r="E45" s="261"/>
      <c r="F45" s="261"/>
      <c r="G45" s="261"/>
      <c r="H45" s="314">
        <f t="shared" si="7"/>
        <v>0</v>
      </c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</row>
    <row r="46">
      <c r="A46" s="315"/>
      <c r="B46" s="316"/>
      <c r="C46" s="317"/>
      <c r="D46" s="318"/>
      <c r="E46" s="318"/>
      <c r="F46" s="318"/>
      <c r="G46" s="319"/>
      <c r="H46" s="268">
        <f>(D46+E46)*4+F46*9</f>
        <v>0</v>
      </c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</row>
    <row r="47">
      <c r="A47" s="302" t="s">
        <v>58</v>
      </c>
      <c r="B47" s="105"/>
      <c r="C47" s="227"/>
      <c r="D47" s="299" t="s">
        <v>19</v>
      </c>
      <c r="E47" s="300" t="s">
        <v>20</v>
      </c>
      <c r="F47" s="300" t="s">
        <v>21</v>
      </c>
      <c r="G47" s="219" t="s">
        <v>22</v>
      </c>
      <c r="H47" s="220" t="s">
        <v>7</v>
      </c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</row>
    <row r="48">
      <c r="A48" s="303" t="s">
        <v>0</v>
      </c>
      <c r="B48" s="304" t="s">
        <v>17</v>
      </c>
      <c r="C48" s="238" t="s">
        <v>124</v>
      </c>
      <c r="D48" s="301" t="str">
        <f>vlookup(D$5,'Макроси'!O15:T17,6,False)</f>
        <v/>
      </c>
      <c r="E48" s="301" t="str">
        <f>vlookup(E$5,'Макроси'!O15:T17,6,False)</f>
        <v/>
      </c>
      <c r="F48" s="301" t="str">
        <f>vlookup(F$5,'Макроси'!O15:T17,6,False)</f>
        <v/>
      </c>
      <c r="G48" s="270"/>
      <c r="H48" s="241">
        <f>IF(ISERROR(ROUNDUP((D48+E48)*4+F48*9,0)),"",ROUNDUP((D48+E48)*4+F48*9,0))</f>
        <v>0</v>
      </c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</row>
    <row r="49">
      <c r="A49" s="105"/>
      <c r="B49" s="242"/>
      <c r="C49" s="243" t="s">
        <v>125</v>
      </c>
      <c r="D49" s="228">
        <f t="shared" ref="D49:H49" si="8">SUM(D50:D59)</f>
        <v>0</v>
      </c>
      <c r="E49" s="229">
        <f t="shared" si="8"/>
        <v>0</v>
      </c>
      <c r="F49" s="229">
        <f t="shared" si="8"/>
        <v>0</v>
      </c>
      <c r="G49" s="229">
        <f t="shared" si="8"/>
        <v>0</v>
      </c>
      <c r="H49" s="230">
        <f t="shared" si="8"/>
        <v>0</v>
      </c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</row>
    <row r="50" outlineLevel="1">
      <c r="A50" s="339"/>
      <c r="B50" s="339"/>
      <c r="C50" s="340"/>
      <c r="D50" s="64" t="str">
        <f>IF(ISNA(($C50/100)*VLOOKUP($B50,DB,3,FALSE)),"",($C50/100)*VLOOKUP($B50,DB,3,FALSE))</f>
        <v/>
      </c>
      <c r="E50" s="64" t="str">
        <f>IF(ISNA(($C50/100)*VLOOKUP($B50,DB,4,FALSE)),"",($C50/100)*VLOOKUP($B50,DB,4,FALSE))</f>
        <v/>
      </c>
      <c r="F50" s="64" t="str">
        <f>IF(ISNA(($C50/100)*VLOOKUP($B50,DB,5,FALSE)),"",($C50/100)*VLOOKUP($B50,DB,5,FALSE))</f>
        <v/>
      </c>
      <c r="G50" s="64" t="str">
        <f>IF(ISNA(($C50/100)*VLOOKUP($B50,DB,6,FALSE)),"",($C50/100)*VLOOKUP($B50,DB,6,FALSE))</f>
        <v/>
      </c>
      <c r="H50" s="341">
        <f t="shared" ref="H50:H59" si="9">IF(ISERROR(ROUNDUP((D50+E50)*4+F50*9,0)),"",ROUNDUP((D50+E50)*4+F50*9,0))</f>
        <v>0</v>
      </c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</row>
    <row r="51" outlineLevel="1">
      <c r="A51" s="339"/>
      <c r="B51" s="339"/>
      <c r="C51" s="340"/>
      <c r="D51" s="64" t="str">
        <f>IF(ISNA(($C51/100)*VLOOKUP($B51,DB,3,FALSE)),"",($C51/100)*VLOOKUP($B51,DB,3,FALSE))</f>
        <v/>
      </c>
      <c r="E51" s="64" t="str">
        <f>IF(ISNA(($C51/100)*VLOOKUP($B51,DB,4,FALSE)),"",($C51/100)*VLOOKUP($B51,DB,4,FALSE))</f>
        <v/>
      </c>
      <c r="F51" s="64" t="str">
        <f>IF(ISNA(($C51/100)*VLOOKUP($B51,DB,5,FALSE)),"",($C51/100)*VLOOKUP($B51,DB,5,FALSE))</f>
        <v/>
      </c>
      <c r="G51" s="64" t="str">
        <f>IF(ISNA(($C51/100)*VLOOKUP($B51,DB,6,FALSE)),"",($C51/100)*VLOOKUP($B51,DB,6,FALSE))</f>
        <v/>
      </c>
      <c r="H51" s="341">
        <f t="shared" si="9"/>
        <v>0</v>
      </c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</row>
    <row r="52" outlineLevel="1">
      <c r="A52" s="339"/>
      <c r="B52" s="339"/>
      <c r="C52" s="340"/>
      <c r="D52" s="64" t="str">
        <f>IF(ISNA(($C52/100)*VLOOKUP($B52,DB,3,FALSE)),"",($C52/100)*VLOOKUP($B52,DB,3,FALSE))</f>
        <v/>
      </c>
      <c r="E52" s="64" t="str">
        <f>IF(ISNA(($C52/100)*VLOOKUP($B52,DB,4,FALSE)),"",($C52/100)*VLOOKUP($B52,DB,4,FALSE))</f>
        <v/>
      </c>
      <c r="F52" s="64" t="str">
        <f>IF(ISNA(($C52/100)*VLOOKUP($B52,DB,5,FALSE)),"",($C52/100)*VLOOKUP($B52,DB,5,FALSE))</f>
        <v/>
      </c>
      <c r="G52" s="64" t="str">
        <f>IF(ISNA(($C52/100)*VLOOKUP($B52,DB,6,FALSE)),"",($C52/100)*VLOOKUP($B52,DB,6,FALSE))</f>
        <v/>
      </c>
      <c r="H52" s="341">
        <f t="shared" si="9"/>
        <v>0</v>
      </c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</row>
    <row r="53" outlineLevel="1">
      <c r="A53" s="339"/>
      <c r="B53" s="339"/>
      <c r="C53" s="340"/>
      <c r="D53" s="64" t="str">
        <f>IF(ISNA(($C53/100)*VLOOKUP($B53,DB,3,FALSE)),"",($C53/100)*VLOOKUP($B53,DB,3,FALSE))</f>
        <v/>
      </c>
      <c r="E53" s="64" t="str">
        <f>IF(ISNA(($C53/100)*VLOOKUP($B53,DB,4,FALSE)),"",($C53/100)*VLOOKUP($B53,DB,4,FALSE))</f>
        <v/>
      </c>
      <c r="F53" s="64" t="str">
        <f>IF(ISNA(($C53/100)*VLOOKUP($B53,DB,5,FALSE)),"",($C53/100)*VLOOKUP($B53,DB,5,FALSE))</f>
        <v/>
      </c>
      <c r="G53" s="64" t="str">
        <f>IF(ISNA(($C53/100)*VLOOKUP($B53,DB,6,FALSE)),"",($C53/100)*VLOOKUP($B53,DB,6,FALSE))</f>
        <v/>
      </c>
      <c r="H53" s="341">
        <f t="shared" si="9"/>
        <v>0</v>
      </c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</row>
    <row r="54" outlineLevel="1">
      <c r="A54" s="339"/>
      <c r="B54" s="339"/>
      <c r="C54" s="340"/>
      <c r="D54" s="64" t="str">
        <f>IF(ISNA(($C54/100)*VLOOKUP($B54,DB,3,FALSE)),"",($C54/100)*VLOOKUP($B54,DB,3,FALSE))</f>
        <v/>
      </c>
      <c r="E54" s="64" t="str">
        <f>IF(ISNA(($C54/100)*VLOOKUP($B54,DB,4,FALSE)),"",($C54/100)*VLOOKUP($B54,DB,4,FALSE))</f>
        <v/>
      </c>
      <c r="F54" s="64" t="str">
        <f>IF(ISNA(($C54/100)*VLOOKUP($B54,DB,5,FALSE)),"",($C54/100)*VLOOKUP($B54,DB,5,FALSE))</f>
        <v/>
      </c>
      <c r="G54" s="64" t="str">
        <f>IF(ISNA(($C54/100)*VLOOKUP($B54,DB,6,FALSE)),"",($C54/100)*VLOOKUP($B54,DB,6,FALSE))</f>
        <v/>
      </c>
      <c r="H54" s="341">
        <f t="shared" si="9"/>
        <v>0</v>
      </c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</row>
    <row r="55" outlineLevel="1">
      <c r="A55" s="339"/>
      <c r="B55" s="339"/>
      <c r="C55" s="340"/>
      <c r="D55" s="64" t="str">
        <f>IF(ISNA(($C55/100)*VLOOKUP($B55,DB,3,FALSE)),"",($C55/100)*VLOOKUP($B55,DB,3,FALSE))</f>
        <v/>
      </c>
      <c r="E55" s="64" t="str">
        <f>IF(ISNA(($C55/100)*VLOOKUP($B55,DB,4,FALSE)),"",($C55/100)*VLOOKUP($B55,DB,4,FALSE))</f>
        <v/>
      </c>
      <c r="F55" s="64" t="str">
        <f>IF(ISNA(($C55/100)*VLOOKUP($B55,DB,5,FALSE)),"",($C55/100)*VLOOKUP($B55,DB,5,FALSE))</f>
        <v/>
      </c>
      <c r="G55" s="64" t="str">
        <f>IF(ISNA(($C55/100)*VLOOKUP($B55,DB,6,FALSE)),"",($C55/100)*VLOOKUP($B55,DB,6,FALSE))</f>
        <v/>
      </c>
      <c r="H55" s="341">
        <f t="shared" si="9"/>
        <v>0</v>
      </c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</row>
    <row r="56" outlineLevel="1">
      <c r="A56" s="339"/>
      <c r="B56" s="339"/>
      <c r="C56" s="340"/>
      <c r="D56" s="64" t="str">
        <f>IF(ISNA(($C56/100)*VLOOKUP($B56,DB,3,FALSE)),"",($C56/100)*VLOOKUP($B56,DB,3,FALSE))</f>
        <v/>
      </c>
      <c r="E56" s="64" t="str">
        <f>IF(ISNA(($C56/100)*VLOOKUP($B56,DB,4,FALSE)),"",($C56/100)*VLOOKUP($B56,DB,4,FALSE))</f>
        <v/>
      </c>
      <c r="F56" s="64" t="str">
        <f>IF(ISNA(($C56/100)*VLOOKUP($B56,DB,5,FALSE)),"",($C56/100)*VLOOKUP($B56,DB,5,FALSE))</f>
        <v/>
      </c>
      <c r="G56" s="64" t="str">
        <f>IF(ISNA(($C56/100)*VLOOKUP($B56,DB,6,FALSE)),"",($C56/100)*VLOOKUP($B56,DB,6,FALSE))</f>
        <v/>
      </c>
      <c r="H56" s="341">
        <f t="shared" si="9"/>
        <v>0</v>
      </c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</row>
    <row r="57" outlineLevel="1">
      <c r="A57" s="342"/>
      <c r="B57" s="345"/>
      <c r="C57" s="346"/>
      <c r="D57" s="347" t="str">
        <f>IF(ISNA(($C57/100)*VLOOKUP($B57,DB,3,FALSE)),"",($C57/100)*VLOOKUP($B57,DB,3,FALSE))</f>
        <v/>
      </c>
      <c r="E57" s="347" t="str">
        <f>IF(ISNA(($C57/100)*VLOOKUP($B57,DB,4,FALSE)),"",($C57/100)*VLOOKUP($B57,DB,4,FALSE))</f>
        <v/>
      </c>
      <c r="F57" s="347" t="str">
        <f>IF(ISNA(($C57/100)*VLOOKUP($B57,DB,5,FALSE)),"",($C57/100)*VLOOKUP($B57,DB,5,FALSE))</f>
        <v/>
      </c>
      <c r="G57" s="347" t="str">
        <f>IF(ISNA(($C57/100)*VLOOKUP($B57,DB,6,FALSE)),"",($C57/100)*VLOOKUP($B57,DB,6,FALSE))</f>
        <v/>
      </c>
      <c r="H57" s="348">
        <f t="shared" si="9"/>
        <v>0</v>
      </c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</row>
    <row r="58">
      <c r="A58" s="311" t="s">
        <v>130</v>
      </c>
      <c r="B58" s="255"/>
      <c r="C58" s="256"/>
      <c r="D58" s="272"/>
      <c r="E58" s="272"/>
      <c r="F58" s="272"/>
      <c r="G58" s="272"/>
      <c r="H58" s="312">
        <f t="shared" si="9"/>
        <v>0</v>
      </c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</row>
    <row r="59">
      <c r="A59" s="313" t="s">
        <v>130</v>
      </c>
      <c r="B59" s="260"/>
      <c r="C59" s="89"/>
      <c r="D59" s="261"/>
      <c r="E59" s="261"/>
      <c r="F59" s="261"/>
      <c r="G59" s="261"/>
      <c r="H59" s="314">
        <f t="shared" si="9"/>
        <v>0</v>
      </c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</row>
    <row r="60">
      <c r="A60" s="315"/>
      <c r="B60" s="316"/>
      <c r="C60" s="317"/>
      <c r="D60" s="318"/>
      <c r="E60" s="318"/>
      <c r="F60" s="318"/>
      <c r="G60" s="319"/>
      <c r="H60" s="268">
        <f>(D60+E60)*4+F60*9</f>
        <v>0</v>
      </c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</row>
    <row r="61">
      <c r="A61" s="134"/>
      <c r="B61" s="134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</row>
    <row r="62">
      <c r="A62" s="134"/>
      <c r="B62" s="134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</row>
    <row r="63">
      <c r="A63" s="134"/>
      <c r="B63" s="134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</row>
    <row r="64">
      <c r="A64" s="134"/>
      <c r="B64" s="134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</row>
    <row r="65">
      <c r="A65" s="134"/>
      <c r="B65" s="134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</row>
    <row r="66">
      <c r="A66" s="134"/>
      <c r="B66" s="134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</row>
    <row r="67">
      <c r="A67" s="134"/>
      <c r="B67" s="134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</row>
    <row r="68">
      <c r="A68" s="134"/>
      <c r="B68" s="134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</row>
    <row r="69">
      <c r="A69" s="134"/>
      <c r="B69" s="134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</row>
    <row r="70">
      <c r="A70" s="134"/>
      <c r="B70" s="134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</row>
    <row r="71">
      <c r="A71" s="134"/>
      <c r="B71" s="134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</row>
    <row r="72">
      <c r="A72" s="134"/>
      <c r="B72" s="134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</row>
    <row r="73">
      <c r="A73" s="134"/>
      <c r="B73" s="134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</row>
    <row r="74">
      <c r="A74" s="134"/>
      <c r="B74" s="134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</row>
    <row r="75">
      <c r="A75" s="134"/>
      <c r="B75" s="134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</row>
    <row r="76">
      <c r="A76" s="134"/>
      <c r="B76" s="134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</row>
    <row r="77">
      <c r="A77" s="134"/>
      <c r="B77" s="134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</row>
    <row r="78">
      <c r="A78" s="134"/>
      <c r="B78" s="134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</row>
    <row r="79">
      <c r="A79" s="134"/>
      <c r="B79" s="134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</row>
    <row r="80">
      <c r="A80" s="134"/>
      <c r="B80" s="134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</row>
    <row r="81">
      <c r="A81" s="134"/>
      <c r="B81" s="134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</row>
    <row r="82">
      <c r="A82" s="134"/>
      <c r="B82" s="134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</row>
    <row r="83">
      <c r="A83" s="134"/>
      <c r="B83" s="134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</row>
    <row r="84">
      <c r="A84" s="134"/>
      <c r="B84" s="134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</row>
    <row r="85">
      <c r="A85" s="134"/>
      <c r="B85" s="134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</row>
    <row r="86">
      <c r="A86" s="134"/>
      <c r="B86" s="134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</row>
    <row r="87">
      <c r="A87" s="134"/>
      <c r="B87" s="134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</row>
    <row r="88">
      <c r="A88" s="134"/>
      <c r="B88" s="134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</row>
    <row r="89">
      <c r="A89" s="134"/>
      <c r="B89" s="134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</row>
    <row r="90">
      <c r="A90" s="134"/>
      <c r="B90" s="134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</row>
    <row r="91">
      <c r="A91" s="134"/>
      <c r="B91" s="134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</row>
    <row r="92">
      <c r="A92" s="134"/>
      <c r="B92" s="134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</row>
    <row r="93">
      <c r="A93" s="134"/>
      <c r="B93" s="134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</row>
    <row r="94">
      <c r="A94" s="134"/>
      <c r="B94" s="134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</row>
    <row r="95">
      <c r="A95" s="134"/>
      <c r="B95" s="134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</row>
    <row r="96">
      <c r="A96" s="134"/>
      <c r="B96" s="134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</row>
    <row r="97">
      <c r="A97" s="134"/>
      <c r="B97" s="134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</row>
    <row r="98">
      <c r="A98" s="134"/>
      <c r="B98" s="134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</row>
    <row r="99">
      <c r="A99" s="134"/>
      <c r="B99" s="134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</row>
    <row r="100">
      <c r="A100" s="134"/>
      <c r="B100" s="134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</row>
    <row r="101">
      <c r="A101" s="134"/>
      <c r="B101" s="134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</row>
    <row r="102">
      <c r="A102" s="134"/>
      <c r="B102" s="134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</row>
    <row r="103">
      <c r="A103" s="134"/>
      <c r="B103" s="134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</row>
    <row r="104">
      <c r="A104" s="134"/>
      <c r="B104" s="134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</row>
    <row r="105">
      <c r="A105" s="134"/>
      <c r="B105" s="134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</row>
    <row r="106">
      <c r="A106" s="134"/>
      <c r="B106" s="134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</row>
    <row r="107">
      <c r="A107" s="134"/>
      <c r="B107" s="134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</row>
    <row r="108">
      <c r="A108" s="134"/>
      <c r="B108" s="134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</row>
    <row r="109">
      <c r="A109" s="134"/>
      <c r="B109" s="134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</row>
    <row r="110">
      <c r="A110" s="134"/>
      <c r="B110" s="134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</row>
    <row r="111">
      <c r="A111" s="134"/>
      <c r="B111" s="134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</row>
    <row r="112">
      <c r="A112" s="134"/>
      <c r="B112" s="134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</row>
    <row r="113">
      <c r="A113" s="134"/>
      <c r="B113" s="134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</row>
    <row r="114">
      <c r="A114" s="134"/>
      <c r="B114" s="134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</row>
    <row r="115">
      <c r="A115" s="134"/>
      <c r="B115" s="134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</row>
    <row r="116">
      <c r="A116" s="134"/>
      <c r="B116" s="134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</row>
    <row r="117">
      <c r="A117" s="134"/>
      <c r="B117" s="134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</row>
    <row r="118">
      <c r="A118" s="134"/>
      <c r="B118" s="134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</row>
    <row r="119">
      <c r="A119" s="134"/>
      <c r="B119" s="134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</row>
    <row r="120">
      <c r="A120" s="134"/>
      <c r="B120" s="134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</row>
    <row r="121">
      <c r="A121" s="134"/>
      <c r="B121" s="134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</row>
    <row r="122">
      <c r="A122" s="134"/>
      <c r="B122" s="134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</row>
    <row r="123">
      <c r="A123" s="134"/>
      <c r="B123" s="134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</row>
    <row r="124">
      <c r="A124" s="134"/>
      <c r="B124" s="134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</row>
    <row r="125">
      <c r="A125" s="134"/>
      <c r="B125" s="134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</row>
    <row r="126">
      <c r="A126" s="134"/>
      <c r="B126" s="134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</row>
    <row r="127">
      <c r="A127" s="134"/>
      <c r="B127" s="134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</row>
    <row r="128">
      <c r="A128" s="134"/>
      <c r="B128" s="134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</row>
    <row r="129">
      <c r="A129" s="134"/>
      <c r="B129" s="134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</row>
    <row r="130">
      <c r="A130" s="134"/>
      <c r="B130" s="134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</row>
    <row r="131">
      <c r="A131" s="134"/>
      <c r="B131" s="134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</row>
    <row r="132">
      <c r="A132" s="134"/>
      <c r="B132" s="134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</row>
    <row r="133">
      <c r="A133" s="134"/>
      <c r="B133" s="134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</row>
    <row r="134">
      <c r="A134" s="134"/>
      <c r="B134" s="134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</row>
    <row r="135">
      <c r="A135" s="134"/>
      <c r="B135" s="134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</row>
    <row r="136">
      <c r="A136" s="134"/>
      <c r="B136" s="134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</row>
    <row r="137">
      <c r="A137" s="134"/>
      <c r="B137" s="134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</row>
    <row r="138">
      <c r="A138" s="134"/>
      <c r="B138" s="134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</row>
    <row r="139">
      <c r="A139" s="134"/>
      <c r="B139" s="134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</row>
    <row r="140">
      <c r="A140" s="134"/>
      <c r="B140" s="134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</row>
    <row r="141">
      <c r="A141" s="134"/>
      <c r="B141" s="134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</row>
    <row r="142">
      <c r="A142" s="134"/>
      <c r="B142" s="134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</row>
    <row r="143">
      <c r="A143" s="134"/>
      <c r="B143" s="134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</row>
    <row r="144">
      <c r="A144" s="134"/>
      <c r="B144" s="134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</row>
    <row r="145">
      <c r="A145" s="134"/>
      <c r="B145" s="134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</row>
    <row r="146">
      <c r="A146" s="134"/>
      <c r="B146" s="134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</row>
    <row r="147">
      <c r="A147" s="134"/>
      <c r="B147" s="134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</row>
    <row r="148">
      <c r="A148" s="134"/>
      <c r="B148" s="134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</row>
    <row r="149">
      <c r="A149" s="134"/>
      <c r="B149" s="134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</row>
    <row r="150">
      <c r="A150" s="134"/>
      <c r="B150" s="134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</row>
    <row r="151">
      <c r="A151" s="134"/>
      <c r="B151" s="134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</row>
    <row r="152">
      <c r="A152" s="134"/>
      <c r="B152" s="134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</row>
    <row r="153">
      <c r="A153" s="134"/>
      <c r="B153" s="134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</row>
    <row r="154">
      <c r="A154" s="134"/>
      <c r="B154" s="134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</row>
    <row r="155">
      <c r="A155" s="134"/>
      <c r="B155" s="134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</row>
    <row r="156">
      <c r="A156" s="134"/>
      <c r="B156" s="134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</row>
    <row r="157">
      <c r="A157" s="134"/>
      <c r="B157" s="134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</row>
    <row r="158">
      <c r="A158" s="134"/>
      <c r="B158" s="134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</row>
    <row r="159">
      <c r="A159" s="134"/>
      <c r="B159" s="134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</row>
    <row r="160">
      <c r="A160" s="134"/>
      <c r="B160" s="134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</row>
    <row r="161">
      <c r="A161" s="134"/>
      <c r="B161" s="134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</row>
    <row r="162">
      <c r="A162" s="134"/>
      <c r="B162" s="134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</row>
    <row r="163">
      <c r="A163" s="134"/>
      <c r="B163" s="134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</row>
    <row r="164">
      <c r="A164" s="134"/>
      <c r="B164" s="134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</row>
    <row r="165">
      <c r="A165" s="134"/>
      <c r="B165" s="134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</row>
    <row r="166">
      <c r="A166" s="134"/>
      <c r="B166" s="134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</row>
    <row r="167">
      <c r="A167" s="134"/>
      <c r="B167" s="134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</row>
    <row r="168">
      <c r="A168" s="134"/>
      <c r="B168" s="134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</row>
    <row r="169">
      <c r="A169" s="134"/>
      <c r="B169" s="134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</row>
    <row r="170">
      <c r="A170" s="134"/>
      <c r="B170" s="134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</row>
    <row r="171">
      <c r="A171" s="134"/>
      <c r="B171" s="134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</row>
    <row r="172">
      <c r="A172" s="134"/>
      <c r="B172" s="134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</row>
    <row r="173">
      <c r="A173" s="134"/>
      <c r="B173" s="134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</row>
    <row r="174">
      <c r="A174" s="134"/>
      <c r="B174" s="134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</row>
    <row r="175">
      <c r="A175" s="134"/>
      <c r="B175" s="134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</row>
    <row r="176">
      <c r="A176" s="134"/>
      <c r="B176" s="134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</row>
    <row r="177">
      <c r="A177" s="134"/>
      <c r="B177" s="134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</row>
    <row r="178">
      <c r="A178" s="134"/>
      <c r="B178" s="134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</row>
    <row r="179">
      <c r="A179" s="134"/>
      <c r="B179" s="134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</row>
    <row r="180">
      <c r="A180" s="134"/>
      <c r="B180" s="134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</row>
    <row r="181">
      <c r="A181" s="134"/>
      <c r="B181" s="134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</row>
    <row r="182">
      <c r="A182" s="134"/>
      <c r="B182" s="134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</row>
    <row r="183">
      <c r="A183" s="134"/>
      <c r="B183" s="134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</row>
    <row r="184">
      <c r="A184" s="134"/>
      <c r="B184" s="134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</row>
    <row r="185">
      <c r="A185" s="134"/>
      <c r="B185" s="134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</row>
    <row r="186">
      <c r="A186" s="134"/>
      <c r="B186" s="134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</row>
    <row r="187">
      <c r="A187" s="134"/>
      <c r="B187" s="134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</row>
    <row r="188">
      <c r="A188" s="134"/>
      <c r="B188" s="134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</row>
    <row r="189">
      <c r="A189" s="134"/>
      <c r="B189" s="134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</row>
    <row r="190">
      <c r="A190" s="134"/>
      <c r="B190" s="134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</row>
    <row r="191">
      <c r="A191" s="134"/>
      <c r="B191" s="134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</row>
    <row r="192">
      <c r="A192" s="134"/>
      <c r="B192" s="134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</row>
    <row r="193">
      <c r="A193" s="134"/>
      <c r="B193" s="134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</row>
    <row r="194">
      <c r="A194" s="134"/>
      <c r="B194" s="134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</row>
    <row r="195">
      <c r="A195" s="134"/>
      <c r="B195" s="134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</row>
    <row r="196">
      <c r="A196" s="134"/>
      <c r="B196" s="134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</row>
    <row r="197">
      <c r="A197" s="134"/>
      <c r="B197" s="134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</row>
    <row r="198">
      <c r="A198" s="134"/>
      <c r="B198" s="134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</row>
    <row r="199">
      <c r="A199" s="134"/>
      <c r="B199" s="134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</row>
    <row r="200">
      <c r="A200" s="134"/>
      <c r="B200" s="134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</row>
    <row r="201">
      <c r="A201" s="134"/>
      <c r="B201" s="134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</row>
    <row r="202">
      <c r="A202" s="134"/>
      <c r="B202" s="134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</row>
    <row r="203">
      <c r="A203" s="134"/>
      <c r="B203" s="134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</row>
    <row r="204">
      <c r="A204" s="134"/>
      <c r="B204" s="134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</row>
    <row r="205">
      <c r="A205" s="134"/>
      <c r="B205" s="134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</row>
    <row r="206">
      <c r="A206" s="134"/>
      <c r="B206" s="134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</row>
    <row r="207">
      <c r="A207" s="134"/>
      <c r="B207" s="134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</row>
    <row r="208">
      <c r="A208" s="134"/>
      <c r="B208" s="134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</row>
    <row r="209">
      <c r="A209" s="134"/>
      <c r="B209" s="134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</row>
    <row r="210">
      <c r="A210" s="134"/>
      <c r="B210" s="134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</row>
    <row r="211">
      <c r="A211" s="134"/>
      <c r="B211" s="134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</row>
    <row r="212">
      <c r="A212" s="134"/>
      <c r="B212" s="134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</row>
    <row r="213">
      <c r="A213" s="134"/>
      <c r="B213" s="134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</row>
    <row r="214">
      <c r="A214" s="134"/>
      <c r="B214" s="134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</row>
    <row r="215">
      <c r="A215" s="134"/>
      <c r="B215" s="134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</row>
    <row r="216">
      <c r="A216" s="134"/>
      <c r="B216" s="134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</row>
    <row r="217">
      <c r="A217" s="134"/>
      <c r="B217" s="134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</row>
    <row r="218">
      <c r="A218" s="134"/>
      <c r="B218" s="134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</row>
    <row r="219">
      <c r="A219" s="134"/>
      <c r="B219" s="134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</row>
    <row r="220">
      <c r="A220" s="134"/>
      <c r="B220" s="134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</row>
    <row r="221">
      <c r="A221" s="134"/>
      <c r="B221" s="134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</row>
    <row r="222">
      <c r="A222" s="134"/>
      <c r="B222" s="134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</row>
    <row r="223">
      <c r="A223" s="134"/>
      <c r="B223" s="134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</row>
    <row r="224">
      <c r="A224" s="134"/>
      <c r="B224" s="134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</row>
    <row r="225">
      <c r="A225" s="134"/>
      <c r="B225" s="134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</row>
    <row r="226">
      <c r="A226" s="134"/>
      <c r="B226" s="134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</row>
    <row r="227">
      <c r="A227" s="134"/>
      <c r="B227" s="134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</row>
    <row r="228">
      <c r="A228" s="134"/>
      <c r="B228" s="134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8"/>
    </row>
    <row r="229">
      <c r="A229" s="134"/>
      <c r="B229" s="134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</row>
    <row r="230">
      <c r="A230" s="134"/>
      <c r="B230" s="134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8"/>
    </row>
    <row r="231">
      <c r="A231" s="134"/>
      <c r="B231" s="134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8"/>
    </row>
    <row r="232">
      <c r="A232" s="134"/>
      <c r="B232" s="134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</row>
    <row r="233">
      <c r="A233" s="134"/>
      <c r="B233" s="134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</row>
    <row r="234">
      <c r="A234" s="134"/>
      <c r="B234" s="134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8"/>
    </row>
    <row r="235">
      <c r="A235" s="134"/>
      <c r="B235" s="134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8"/>
    </row>
    <row r="236">
      <c r="A236" s="134"/>
      <c r="B236" s="134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</row>
    <row r="237">
      <c r="A237" s="134"/>
      <c r="B237" s="134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8"/>
    </row>
    <row r="238">
      <c r="A238" s="134"/>
      <c r="B238" s="134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8"/>
    </row>
    <row r="239">
      <c r="A239" s="134"/>
      <c r="B239" s="134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8"/>
    </row>
    <row r="240">
      <c r="A240" s="134"/>
      <c r="B240" s="134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8"/>
    </row>
    <row r="241">
      <c r="A241" s="134"/>
      <c r="B241" s="134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8"/>
    </row>
    <row r="242">
      <c r="A242" s="134"/>
      <c r="B242" s="134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8"/>
    </row>
    <row r="243">
      <c r="A243" s="134"/>
      <c r="B243" s="134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8"/>
    </row>
    <row r="244">
      <c r="A244" s="134"/>
      <c r="B244" s="134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8"/>
    </row>
    <row r="245">
      <c r="A245" s="134"/>
      <c r="B245" s="134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8"/>
    </row>
    <row r="246">
      <c r="A246" s="134"/>
      <c r="B246" s="134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8"/>
    </row>
    <row r="247">
      <c r="A247" s="134"/>
      <c r="B247" s="134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8"/>
    </row>
    <row r="248">
      <c r="A248" s="134"/>
      <c r="B248" s="134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8"/>
    </row>
    <row r="249">
      <c r="A249" s="134"/>
      <c r="B249" s="134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</row>
    <row r="250">
      <c r="A250" s="134"/>
      <c r="B250" s="134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</row>
    <row r="251">
      <c r="A251" s="134"/>
      <c r="B251" s="134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8"/>
    </row>
    <row r="252">
      <c r="A252" s="134"/>
      <c r="B252" s="134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8"/>
    </row>
    <row r="253">
      <c r="A253" s="134"/>
      <c r="B253" s="134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8"/>
    </row>
    <row r="254">
      <c r="A254" s="134"/>
      <c r="B254" s="134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</row>
    <row r="255">
      <c r="A255" s="134"/>
      <c r="B255" s="134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</row>
    <row r="256">
      <c r="A256" s="134"/>
      <c r="B256" s="134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8"/>
    </row>
    <row r="257">
      <c r="A257" s="134"/>
      <c r="B257" s="134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8"/>
    </row>
    <row r="258">
      <c r="A258" s="134"/>
      <c r="B258" s="134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</row>
    <row r="259">
      <c r="A259" s="134"/>
      <c r="B259" s="134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</row>
    <row r="260">
      <c r="A260" s="134"/>
      <c r="B260" s="134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8"/>
    </row>
    <row r="261">
      <c r="A261" s="134"/>
      <c r="B261" s="134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</row>
    <row r="262">
      <c r="A262" s="134"/>
      <c r="B262" s="134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</row>
    <row r="263">
      <c r="A263" s="134"/>
      <c r="B263" s="134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</row>
    <row r="264">
      <c r="A264" s="134"/>
      <c r="B264" s="134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</row>
    <row r="265">
      <c r="A265" s="134"/>
      <c r="B265" s="134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8"/>
    </row>
    <row r="266">
      <c r="A266" s="134"/>
      <c r="B266" s="134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8"/>
    </row>
    <row r="267">
      <c r="A267" s="134"/>
      <c r="B267" s="134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</row>
    <row r="268">
      <c r="A268" s="134"/>
      <c r="B268" s="134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8"/>
    </row>
    <row r="269">
      <c r="A269" s="134"/>
      <c r="B269" s="134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8"/>
    </row>
    <row r="270">
      <c r="A270" s="134"/>
      <c r="B270" s="134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8"/>
    </row>
    <row r="271">
      <c r="A271" s="134"/>
      <c r="B271" s="134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</row>
    <row r="272">
      <c r="A272" s="134"/>
      <c r="B272" s="134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8"/>
    </row>
    <row r="273">
      <c r="A273" s="134"/>
      <c r="B273" s="134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8"/>
    </row>
    <row r="274">
      <c r="A274" s="134"/>
      <c r="B274" s="134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</row>
    <row r="275">
      <c r="A275" s="134"/>
      <c r="B275" s="134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</row>
    <row r="276">
      <c r="A276" s="134"/>
      <c r="B276" s="134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</row>
    <row r="277">
      <c r="A277" s="134"/>
      <c r="B277" s="134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</row>
    <row r="278">
      <c r="A278" s="134"/>
      <c r="B278" s="134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</row>
    <row r="279">
      <c r="A279" s="134"/>
      <c r="B279" s="134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</row>
    <row r="280">
      <c r="A280" s="134"/>
      <c r="B280" s="134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</row>
    <row r="281">
      <c r="A281" s="134"/>
      <c r="B281" s="134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</row>
    <row r="282">
      <c r="A282" s="134"/>
      <c r="B282" s="134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</row>
    <row r="283">
      <c r="A283" s="134"/>
      <c r="B283" s="134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</row>
    <row r="284">
      <c r="A284" s="134"/>
      <c r="B284" s="134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</row>
    <row r="285">
      <c r="A285" s="134"/>
      <c r="B285" s="134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</row>
    <row r="286">
      <c r="A286" s="134"/>
      <c r="B286" s="134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</row>
    <row r="287">
      <c r="A287" s="134"/>
      <c r="B287" s="134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</row>
    <row r="288">
      <c r="A288" s="134"/>
      <c r="B288" s="134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</row>
    <row r="289">
      <c r="A289" s="134"/>
      <c r="B289" s="134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</row>
    <row r="290">
      <c r="A290" s="134"/>
      <c r="B290" s="134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</row>
    <row r="291">
      <c r="A291" s="134"/>
      <c r="B291" s="134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8"/>
    </row>
    <row r="292">
      <c r="A292" s="134"/>
      <c r="B292" s="134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8"/>
    </row>
    <row r="293">
      <c r="A293" s="134"/>
      <c r="B293" s="134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</row>
    <row r="294">
      <c r="A294" s="134"/>
      <c r="B294" s="134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</row>
    <row r="295">
      <c r="A295" s="134"/>
      <c r="B295" s="134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</row>
    <row r="296">
      <c r="A296" s="134"/>
      <c r="B296" s="134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</row>
    <row r="297">
      <c r="A297" s="134"/>
      <c r="B297" s="134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8"/>
    </row>
    <row r="298">
      <c r="A298" s="134"/>
      <c r="B298" s="134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</row>
    <row r="299">
      <c r="A299" s="134"/>
      <c r="B299" s="134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</row>
    <row r="300">
      <c r="A300" s="134"/>
      <c r="B300" s="134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</row>
    <row r="301">
      <c r="A301" s="134"/>
      <c r="B301" s="134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</row>
    <row r="302">
      <c r="A302" s="134"/>
      <c r="B302" s="134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</row>
    <row r="303">
      <c r="A303" s="134"/>
      <c r="B303" s="134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</row>
    <row r="304">
      <c r="A304" s="134"/>
      <c r="B304" s="134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</row>
    <row r="305">
      <c r="A305" s="134"/>
      <c r="B305" s="134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</row>
    <row r="306">
      <c r="A306" s="134"/>
      <c r="B306" s="134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8"/>
    </row>
    <row r="307">
      <c r="A307" s="134"/>
      <c r="B307" s="134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</row>
    <row r="308">
      <c r="A308" s="134"/>
      <c r="B308" s="134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</row>
    <row r="309">
      <c r="A309" s="134"/>
      <c r="B309" s="134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</row>
    <row r="310">
      <c r="A310" s="134"/>
      <c r="B310" s="134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</row>
    <row r="311">
      <c r="A311" s="134"/>
      <c r="B311" s="134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</row>
    <row r="312">
      <c r="A312" s="134"/>
      <c r="B312" s="134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</row>
    <row r="313">
      <c r="A313" s="134"/>
      <c r="B313" s="134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</row>
    <row r="314">
      <c r="A314" s="134"/>
      <c r="B314" s="134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</row>
    <row r="315">
      <c r="A315" s="134"/>
      <c r="B315" s="134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</row>
    <row r="316">
      <c r="A316" s="134"/>
      <c r="B316" s="134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</row>
    <row r="317">
      <c r="A317" s="134"/>
      <c r="B317" s="134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</row>
    <row r="318">
      <c r="A318" s="134"/>
      <c r="B318" s="134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</row>
    <row r="319">
      <c r="A319" s="134"/>
      <c r="B319" s="134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</row>
    <row r="320">
      <c r="A320" s="134"/>
      <c r="B320" s="134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</row>
    <row r="321">
      <c r="A321" s="134"/>
      <c r="B321" s="134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</row>
    <row r="322">
      <c r="A322" s="134"/>
      <c r="B322" s="134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</row>
    <row r="323">
      <c r="A323" s="134"/>
      <c r="B323" s="134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</row>
    <row r="324">
      <c r="A324" s="134"/>
      <c r="B324" s="134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</row>
    <row r="325">
      <c r="A325" s="134"/>
      <c r="B325" s="134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</row>
    <row r="326">
      <c r="A326" s="134"/>
      <c r="B326" s="134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</row>
    <row r="327">
      <c r="A327" s="134"/>
      <c r="B327" s="134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</row>
    <row r="328">
      <c r="A328" s="134"/>
      <c r="B328" s="134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</row>
    <row r="329">
      <c r="A329" s="134"/>
      <c r="B329" s="134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</row>
    <row r="330">
      <c r="A330" s="134"/>
      <c r="B330" s="134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</row>
    <row r="331">
      <c r="A331" s="134"/>
      <c r="B331" s="134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</row>
    <row r="332">
      <c r="A332" s="134"/>
      <c r="B332" s="134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</row>
    <row r="333">
      <c r="A333" s="134"/>
      <c r="B333" s="134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</row>
    <row r="334">
      <c r="A334" s="134"/>
      <c r="B334" s="134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</row>
    <row r="335">
      <c r="A335" s="134"/>
      <c r="B335" s="134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</row>
    <row r="336">
      <c r="A336" s="134"/>
      <c r="B336" s="134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</row>
    <row r="337">
      <c r="A337" s="134"/>
      <c r="B337" s="134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</row>
    <row r="338">
      <c r="A338" s="134"/>
      <c r="B338" s="134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</row>
    <row r="339">
      <c r="A339" s="134"/>
      <c r="B339" s="134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</row>
    <row r="340">
      <c r="A340" s="134"/>
      <c r="B340" s="134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</row>
    <row r="341">
      <c r="A341" s="134"/>
      <c r="B341" s="134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</row>
    <row r="342">
      <c r="A342" s="134"/>
      <c r="B342" s="134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</row>
    <row r="343">
      <c r="A343" s="134"/>
      <c r="B343" s="134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</row>
    <row r="344">
      <c r="A344" s="134"/>
      <c r="B344" s="134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</row>
    <row r="345">
      <c r="A345" s="134"/>
      <c r="B345" s="134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</row>
    <row r="346">
      <c r="A346" s="134"/>
      <c r="B346" s="134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</row>
    <row r="347">
      <c r="A347" s="134"/>
      <c r="B347" s="134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</row>
    <row r="348">
      <c r="A348" s="134"/>
      <c r="B348" s="134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</row>
    <row r="349">
      <c r="A349" s="134"/>
      <c r="B349" s="134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</row>
    <row r="350">
      <c r="A350" s="134"/>
      <c r="B350" s="134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</row>
    <row r="351">
      <c r="A351" s="134"/>
      <c r="B351" s="134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</row>
    <row r="352">
      <c r="A352" s="134"/>
      <c r="B352" s="134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</row>
    <row r="353">
      <c r="A353" s="134"/>
      <c r="B353" s="134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</row>
    <row r="354">
      <c r="A354" s="134"/>
      <c r="B354" s="134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</row>
    <row r="355">
      <c r="A355" s="134"/>
      <c r="B355" s="134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</row>
    <row r="356">
      <c r="A356" s="134"/>
      <c r="B356" s="134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</row>
    <row r="357">
      <c r="A357" s="134"/>
      <c r="B357" s="134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</row>
    <row r="358">
      <c r="A358" s="134"/>
      <c r="B358" s="134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</row>
    <row r="359">
      <c r="A359" s="134"/>
      <c r="B359" s="134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</row>
    <row r="360">
      <c r="A360" s="134"/>
      <c r="B360" s="134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</row>
    <row r="361">
      <c r="A361" s="134"/>
      <c r="B361" s="134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</row>
    <row r="362">
      <c r="A362" s="134"/>
      <c r="B362" s="134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</row>
    <row r="363">
      <c r="A363" s="134"/>
      <c r="B363" s="134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</row>
    <row r="364">
      <c r="A364" s="134"/>
      <c r="B364" s="134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</row>
    <row r="365">
      <c r="A365" s="134"/>
      <c r="B365" s="134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</row>
    <row r="366">
      <c r="A366" s="134"/>
      <c r="B366" s="134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</row>
    <row r="367">
      <c r="A367" s="134"/>
      <c r="B367" s="134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</row>
    <row r="368">
      <c r="A368" s="134"/>
      <c r="B368" s="134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</row>
    <row r="369">
      <c r="A369" s="134"/>
      <c r="B369" s="134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</row>
    <row r="370">
      <c r="A370" s="134"/>
      <c r="B370" s="134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</row>
    <row r="371">
      <c r="A371" s="134"/>
      <c r="B371" s="134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</row>
    <row r="372">
      <c r="A372" s="134"/>
      <c r="B372" s="134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</row>
    <row r="373">
      <c r="A373" s="134"/>
      <c r="B373" s="134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</row>
    <row r="374">
      <c r="A374" s="134"/>
      <c r="B374" s="134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</row>
    <row r="375">
      <c r="A375" s="134"/>
      <c r="B375" s="134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</row>
    <row r="376">
      <c r="A376" s="134"/>
      <c r="B376" s="134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</row>
    <row r="377">
      <c r="A377" s="134"/>
      <c r="B377" s="134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</row>
    <row r="378">
      <c r="A378" s="134"/>
      <c r="B378" s="134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</row>
    <row r="379">
      <c r="A379" s="134"/>
      <c r="B379" s="134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</row>
    <row r="380">
      <c r="A380" s="134"/>
      <c r="B380" s="134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</row>
    <row r="381">
      <c r="A381" s="134"/>
      <c r="B381" s="134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</row>
    <row r="382">
      <c r="A382" s="134"/>
      <c r="B382" s="134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</row>
    <row r="383">
      <c r="A383" s="134"/>
      <c r="B383" s="134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</row>
    <row r="384">
      <c r="A384" s="134"/>
      <c r="B384" s="134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</row>
    <row r="385">
      <c r="A385" s="134"/>
      <c r="B385" s="134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</row>
    <row r="386">
      <c r="A386" s="134"/>
      <c r="B386" s="134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</row>
    <row r="387">
      <c r="A387" s="134"/>
      <c r="B387" s="134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</row>
    <row r="388">
      <c r="A388" s="134"/>
      <c r="B388" s="134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</row>
    <row r="389">
      <c r="A389" s="134"/>
      <c r="B389" s="134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</row>
    <row r="390">
      <c r="A390" s="134"/>
      <c r="B390" s="134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</row>
    <row r="391">
      <c r="A391" s="134"/>
      <c r="B391" s="134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</row>
    <row r="392">
      <c r="A392" s="134"/>
      <c r="B392" s="134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</row>
    <row r="393">
      <c r="A393" s="134"/>
      <c r="B393" s="134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</row>
    <row r="394">
      <c r="A394" s="134"/>
      <c r="B394" s="134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</row>
    <row r="395">
      <c r="A395" s="134"/>
      <c r="B395" s="134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</row>
    <row r="396">
      <c r="A396" s="134"/>
      <c r="B396" s="134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</row>
    <row r="397">
      <c r="A397" s="134"/>
      <c r="B397" s="134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</row>
    <row r="398">
      <c r="A398" s="134"/>
      <c r="B398" s="134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</row>
    <row r="399">
      <c r="A399" s="134"/>
      <c r="B399" s="134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</row>
    <row r="400">
      <c r="A400" s="134"/>
      <c r="B400" s="134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</row>
    <row r="401">
      <c r="A401" s="134"/>
      <c r="B401" s="134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</row>
    <row r="402">
      <c r="A402" s="134"/>
      <c r="B402" s="134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</row>
    <row r="403">
      <c r="A403" s="134"/>
      <c r="B403" s="134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</row>
    <row r="404">
      <c r="A404" s="134"/>
      <c r="B404" s="134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</row>
    <row r="405">
      <c r="A405" s="134"/>
      <c r="B405" s="134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</row>
    <row r="406">
      <c r="A406" s="134"/>
      <c r="B406" s="134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</row>
    <row r="407">
      <c r="A407" s="134"/>
      <c r="B407" s="134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</row>
    <row r="408">
      <c r="A408" s="134"/>
      <c r="B408" s="134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</row>
    <row r="409">
      <c r="A409" s="134"/>
      <c r="B409" s="134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</row>
    <row r="410">
      <c r="A410" s="134"/>
      <c r="B410" s="134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</row>
    <row r="411">
      <c r="A411" s="134"/>
      <c r="B411" s="134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</row>
    <row r="412">
      <c r="A412" s="134"/>
      <c r="B412" s="134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</row>
    <row r="413">
      <c r="A413" s="134"/>
      <c r="B413" s="134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</row>
    <row r="414">
      <c r="A414" s="134"/>
      <c r="B414" s="134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</row>
    <row r="415">
      <c r="A415" s="134"/>
      <c r="B415" s="134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</row>
    <row r="416">
      <c r="A416" s="134"/>
      <c r="B416" s="134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</row>
    <row r="417">
      <c r="A417" s="134"/>
      <c r="B417" s="134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</row>
    <row r="418">
      <c r="A418" s="134"/>
      <c r="B418" s="134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</row>
    <row r="419">
      <c r="A419" s="134"/>
      <c r="B419" s="134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</row>
    <row r="420">
      <c r="A420" s="134"/>
      <c r="B420" s="134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</row>
    <row r="421">
      <c r="A421" s="134"/>
      <c r="B421" s="134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</row>
    <row r="422">
      <c r="A422" s="134"/>
      <c r="B422" s="134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</row>
    <row r="423">
      <c r="A423" s="134"/>
      <c r="B423" s="134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</row>
    <row r="424">
      <c r="A424" s="134"/>
      <c r="B424" s="134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</row>
    <row r="425">
      <c r="A425" s="134"/>
      <c r="B425" s="134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</row>
    <row r="426">
      <c r="A426" s="134"/>
      <c r="B426" s="134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</row>
    <row r="427">
      <c r="A427" s="134"/>
      <c r="B427" s="134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</row>
    <row r="428">
      <c r="A428" s="134"/>
      <c r="B428" s="134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</row>
    <row r="429">
      <c r="A429" s="134"/>
      <c r="B429" s="134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</row>
    <row r="430">
      <c r="A430" s="134"/>
      <c r="B430" s="134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</row>
    <row r="431">
      <c r="A431" s="134"/>
      <c r="B431" s="134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</row>
    <row r="432">
      <c r="A432" s="134"/>
      <c r="B432" s="134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</row>
    <row r="433">
      <c r="A433" s="134"/>
      <c r="B433" s="134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</row>
    <row r="434">
      <c r="A434" s="134"/>
      <c r="B434" s="134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</row>
    <row r="435">
      <c r="A435" s="134"/>
      <c r="B435" s="134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</row>
    <row r="436">
      <c r="A436" s="134"/>
      <c r="B436" s="134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</row>
    <row r="437">
      <c r="A437" s="134"/>
      <c r="B437" s="134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</row>
    <row r="438">
      <c r="A438" s="134"/>
      <c r="B438" s="134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</row>
    <row r="439">
      <c r="A439" s="134"/>
      <c r="B439" s="134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</row>
    <row r="440">
      <c r="A440" s="134"/>
      <c r="B440" s="134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</row>
    <row r="441">
      <c r="A441" s="134"/>
      <c r="B441" s="134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</row>
    <row r="442">
      <c r="A442" s="134"/>
      <c r="B442" s="134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</row>
    <row r="443">
      <c r="A443" s="134"/>
      <c r="B443" s="134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</row>
    <row r="444">
      <c r="A444" s="134"/>
      <c r="B444" s="134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</row>
    <row r="445">
      <c r="A445" s="134"/>
      <c r="B445" s="134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</row>
    <row r="446">
      <c r="A446" s="134"/>
      <c r="B446" s="134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</row>
    <row r="447">
      <c r="A447" s="134"/>
      <c r="B447" s="134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</row>
    <row r="448">
      <c r="A448" s="134"/>
      <c r="B448" s="134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</row>
    <row r="449">
      <c r="A449" s="134"/>
      <c r="B449" s="134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</row>
    <row r="450">
      <c r="A450" s="134"/>
      <c r="B450" s="134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</row>
    <row r="451">
      <c r="A451" s="134"/>
      <c r="B451" s="134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</row>
    <row r="452">
      <c r="A452" s="134"/>
      <c r="B452" s="134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</row>
    <row r="453">
      <c r="A453" s="134"/>
      <c r="B453" s="134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</row>
    <row r="454">
      <c r="A454" s="134"/>
      <c r="B454" s="134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</row>
    <row r="455">
      <c r="A455" s="134"/>
      <c r="B455" s="134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</row>
    <row r="456">
      <c r="A456" s="134"/>
      <c r="B456" s="134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</row>
    <row r="457">
      <c r="A457" s="134"/>
      <c r="B457" s="134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</row>
    <row r="458">
      <c r="A458" s="134"/>
      <c r="B458" s="134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</row>
    <row r="459">
      <c r="A459" s="134"/>
      <c r="B459" s="134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</row>
    <row r="460">
      <c r="A460" s="134"/>
      <c r="B460" s="134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</row>
    <row r="461">
      <c r="A461" s="134"/>
      <c r="B461" s="134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</row>
    <row r="462">
      <c r="A462" s="134"/>
      <c r="B462" s="134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</row>
    <row r="463">
      <c r="A463" s="134"/>
      <c r="B463" s="134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</row>
    <row r="464">
      <c r="A464" s="134"/>
      <c r="B464" s="134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</row>
    <row r="465">
      <c r="A465" s="134"/>
      <c r="B465" s="134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</row>
    <row r="466">
      <c r="A466" s="134"/>
      <c r="B466" s="134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</row>
    <row r="467">
      <c r="A467" s="134"/>
      <c r="B467" s="134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</row>
    <row r="468">
      <c r="A468" s="134"/>
      <c r="B468" s="134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</row>
    <row r="469">
      <c r="A469" s="134"/>
      <c r="B469" s="134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</row>
    <row r="470">
      <c r="A470" s="134"/>
      <c r="B470" s="134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</row>
    <row r="471">
      <c r="A471" s="134"/>
      <c r="B471" s="134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</row>
    <row r="472">
      <c r="A472" s="134"/>
      <c r="B472" s="134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</row>
    <row r="473">
      <c r="A473" s="134"/>
      <c r="B473" s="134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</row>
    <row r="474">
      <c r="A474" s="134"/>
      <c r="B474" s="134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</row>
    <row r="475">
      <c r="A475" s="134"/>
      <c r="B475" s="134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</row>
    <row r="476">
      <c r="A476" s="134"/>
      <c r="B476" s="134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</row>
    <row r="477">
      <c r="A477" s="134"/>
      <c r="B477" s="134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</row>
    <row r="478">
      <c r="A478" s="134"/>
      <c r="B478" s="134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</row>
    <row r="479">
      <c r="A479" s="134"/>
      <c r="B479" s="134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</row>
    <row r="480">
      <c r="A480" s="134"/>
      <c r="B480" s="134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</row>
    <row r="481">
      <c r="A481" s="134"/>
      <c r="B481" s="134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</row>
    <row r="482">
      <c r="A482" s="134"/>
      <c r="B482" s="134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</row>
    <row r="483">
      <c r="A483" s="134"/>
      <c r="B483" s="134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</row>
    <row r="484">
      <c r="A484" s="134"/>
      <c r="B484" s="134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</row>
    <row r="485">
      <c r="A485" s="134"/>
      <c r="B485" s="134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</row>
    <row r="486">
      <c r="A486" s="134"/>
      <c r="B486" s="134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</row>
    <row r="487">
      <c r="A487" s="134"/>
      <c r="B487" s="134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</row>
    <row r="488">
      <c r="A488" s="134"/>
      <c r="B488" s="134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</row>
    <row r="489">
      <c r="A489" s="134"/>
      <c r="B489" s="134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</row>
    <row r="490">
      <c r="A490" s="134"/>
      <c r="B490" s="134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</row>
    <row r="491">
      <c r="A491" s="134"/>
      <c r="B491" s="134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</row>
    <row r="492">
      <c r="A492" s="134"/>
      <c r="B492" s="134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</row>
    <row r="493">
      <c r="A493" s="134"/>
      <c r="B493" s="134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</row>
    <row r="494">
      <c r="A494" s="134"/>
      <c r="B494" s="134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</row>
    <row r="495">
      <c r="A495" s="134"/>
      <c r="B495" s="134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</row>
    <row r="496">
      <c r="A496" s="134"/>
      <c r="B496" s="134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</row>
    <row r="497">
      <c r="A497" s="134"/>
      <c r="B497" s="134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</row>
    <row r="498">
      <c r="A498" s="134"/>
      <c r="B498" s="134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</row>
    <row r="499">
      <c r="A499" s="134"/>
      <c r="B499" s="134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</row>
    <row r="500">
      <c r="A500" s="134"/>
      <c r="B500" s="134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</row>
    <row r="501">
      <c r="A501" s="134"/>
      <c r="B501" s="134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</row>
    <row r="502">
      <c r="A502" s="134"/>
      <c r="B502" s="134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</row>
    <row r="503">
      <c r="A503" s="134"/>
      <c r="B503" s="134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</row>
    <row r="504">
      <c r="A504" s="134"/>
      <c r="B504" s="134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</row>
    <row r="505">
      <c r="A505" s="134"/>
      <c r="B505" s="134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</row>
    <row r="506">
      <c r="A506" s="134"/>
      <c r="B506" s="134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</row>
    <row r="507">
      <c r="A507" s="134"/>
      <c r="B507" s="134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</row>
    <row r="508">
      <c r="A508" s="134"/>
      <c r="B508" s="134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</row>
    <row r="509">
      <c r="A509" s="134"/>
      <c r="B509" s="134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</row>
    <row r="510">
      <c r="A510" s="134"/>
      <c r="B510" s="134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</row>
    <row r="511">
      <c r="A511" s="134"/>
      <c r="B511" s="134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</row>
    <row r="512">
      <c r="A512" s="134"/>
      <c r="B512" s="134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</row>
    <row r="513">
      <c r="A513" s="134"/>
      <c r="B513" s="134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</row>
    <row r="514">
      <c r="A514" s="134"/>
      <c r="B514" s="134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</row>
    <row r="515">
      <c r="A515" s="134"/>
      <c r="B515" s="134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</row>
    <row r="516">
      <c r="A516" s="134"/>
      <c r="B516" s="134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</row>
    <row r="517">
      <c r="A517" s="134"/>
      <c r="B517" s="134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</row>
    <row r="518">
      <c r="A518" s="134"/>
      <c r="B518" s="134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</row>
    <row r="519">
      <c r="A519" s="134"/>
      <c r="B519" s="134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</row>
    <row r="520">
      <c r="A520" s="134"/>
      <c r="B520" s="134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</row>
    <row r="521">
      <c r="A521" s="134"/>
      <c r="B521" s="134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</row>
    <row r="522">
      <c r="A522" s="134"/>
      <c r="B522" s="134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</row>
    <row r="523">
      <c r="A523" s="134"/>
      <c r="B523" s="134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</row>
    <row r="524">
      <c r="A524" s="134"/>
      <c r="B524" s="134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</row>
    <row r="525">
      <c r="A525" s="134"/>
      <c r="B525" s="134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</row>
    <row r="526">
      <c r="A526" s="134"/>
      <c r="B526" s="134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</row>
    <row r="527">
      <c r="A527" s="134"/>
      <c r="B527" s="134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</row>
    <row r="528">
      <c r="A528" s="134"/>
      <c r="B528" s="134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</row>
    <row r="529">
      <c r="A529" s="134"/>
      <c r="B529" s="134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</row>
    <row r="530">
      <c r="A530" s="134"/>
      <c r="B530" s="134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</row>
    <row r="531">
      <c r="A531" s="134"/>
      <c r="B531" s="134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</row>
    <row r="532">
      <c r="A532" s="134"/>
      <c r="B532" s="134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</row>
    <row r="533">
      <c r="A533" s="134"/>
      <c r="B533" s="134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</row>
    <row r="534">
      <c r="A534" s="134"/>
      <c r="B534" s="134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</row>
    <row r="535">
      <c r="A535" s="134"/>
      <c r="B535" s="134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</row>
    <row r="536">
      <c r="A536" s="134"/>
      <c r="B536" s="134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</row>
    <row r="537">
      <c r="A537" s="134"/>
      <c r="B537" s="134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</row>
    <row r="538">
      <c r="A538" s="134"/>
      <c r="B538" s="134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</row>
    <row r="539">
      <c r="A539" s="134"/>
      <c r="B539" s="134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</row>
    <row r="540">
      <c r="A540" s="134"/>
      <c r="B540" s="134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</row>
    <row r="541">
      <c r="A541" s="134"/>
      <c r="B541" s="134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</row>
    <row r="542">
      <c r="A542" s="134"/>
      <c r="B542" s="134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</row>
    <row r="543">
      <c r="A543" s="134"/>
      <c r="B543" s="134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</row>
    <row r="544">
      <c r="A544" s="134"/>
      <c r="B544" s="134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</row>
    <row r="545">
      <c r="A545" s="134"/>
      <c r="B545" s="134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</row>
    <row r="546">
      <c r="A546" s="134"/>
      <c r="B546" s="134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</row>
    <row r="547">
      <c r="A547" s="134"/>
      <c r="B547" s="134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</row>
    <row r="548">
      <c r="A548" s="134"/>
      <c r="B548" s="134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</row>
    <row r="549">
      <c r="A549" s="134"/>
      <c r="B549" s="134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</row>
    <row r="550">
      <c r="A550" s="134"/>
      <c r="B550" s="134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</row>
    <row r="551">
      <c r="A551" s="134"/>
      <c r="B551" s="134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</row>
    <row r="552">
      <c r="A552" s="134"/>
      <c r="B552" s="134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</row>
    <row r="553">
      <c r="A553" s="134"/>
      <c r="B553" s="134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</row>
    <row r="554">
      <c r="A554" s="134"/>
      <c r="B554" s="134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</row>
    <row r="555">
      <c r="A555" s="134"/>
      <c r="B555" s="134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</row>
    <row r="556">
      <c r="A556" s="134"/>
      <c r="B556" s="134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</row>
    <row r="557">
      <c r="A557" s="134"/>
      <c r="B557" s="134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</row>
    <row r="558">
      <c r="A558" s="134"/>
      <c r="B558" s="134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</row>
    <row r="559">
      <c r="A559" s="134"/>
      <c r="B559" s="134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</row>
    <row r="560">
      <c r="A560" s="134"/>
      <c r="B560" s="134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</row>
    <row r="561">
      <c r="A561" s="134"/>
      <c r="B561" s="134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</row>
    <row r="562">
      <c r="A562" s="134"/>
      <c r="B562" s="134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</row>
    <row r="563">
      <c r="A563" s="134"/>
      <c r="B563" s="134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</row>
    <row r="564">
      <c r="A564" s="134"/>
      <c r="B564" s="134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</row>
    <row r="565">
      <c r="A565" s="134"/>
      <c r="B565" s="134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</row>
    <row r="566">
      <c r="A566" s="134"/>
      <c r="B566" s="134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</row>
    <row r="567">
      <c r="A567" s="134"/>
      <c r="B567" s="134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</row>
    <row r="568">
      <c r="A568" s="134"/>
      <c r="B568" s="134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</row>
    <row r="569">
      <c r="A569" s="134"/>
      <c r="B569" s="134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</row>
    <row r="570">
      <c r="A570" s="134"/>
      <c r="B570" s="134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</row>
    <row r="571">
      <c r="A571" s="134"/>
      <c r="B571" s="134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</row>
    <row r="572">
      <c r="A572" s="134"/>
      <c r="B572" s="134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</row>
    <row r="573">
      <c r="A573" s="134"/>
      <c r="B573" s="134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</row>
    <row r="574">
      <c r="A574" s="134"/>
      <c r="B574" s="134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</row>
    <row r="575">
      <c r="A575" s="134"/>
      <c r="B575" s="134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</row>
    <row r="576">
      <c r="A576" s="134"/>
      <c r="B576" s="134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</row>
    <row r="577">
      <c r="A577" s="134"/>
      <c r="B577" s="134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</row>
    <row r="578">
      <c r="A578" s="134"/>
      <c r="B578" s="134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</row>
    <row r="579">
      <c r="A579" s="134"/>
      <c r="B579" s="134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</row>
    <row r="580">
      <c r="A580" s="134"/>
      <c r="B580" s="134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</row>
    <row r="581">
      <c r="A581" s="134"/>
      <c r="B581" s="134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</row>
    <row r="582">
      <c r="A582" s="134"/>
      <c r="B582" s="134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</row>
    <row r="583">
      <c r="A583" s="134"/>
      <c r="B583" s="134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</row>
    <row r="584">
      <c r="A584" s="134"/>
      <c r="B584" s="134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</row>
    <row r="585">
      <c r="A585" s="134"/>
      <c r="B585" s="134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</row>
    <row r="586">
      <c r="A586" s="134"/>
      <c r="B586" s="134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</row>
    <row r="587">
      <c r="A587" s="134"/>
      <c r="B587" s="134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</row>
    <row r="588">
      <c r="A588" s="134"/>
      <c r="B588" s="134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</row>
    <row r="589">
      <c r="A589" s="134"/>
      <c r="B589" s="134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</row>
    <row r="590">
      <c r="A590" s="134"/>
      <c r="B590" s="134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</row>
    <row r="591">
      <c r="A591" s="134"/>
      <c r="B591" s="134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</row>
    <row r="592">
      <c r="A592" s="134"/>
      <c r="B592" s="134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</row>
    <row r="593">
      <c r="A593" s="134"/>
      <c r="B593" s="134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</row>
    <row r="594">
      <c r="A594" s="134"/>
      <c r="B594" s="134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</row>
    <row r="595">
      <c r="A595" s="134"/>
      <c r="B595" s="134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</row>
    <row r="596">
      <c r="A596" s="134"/>
      <c r="B596" s="134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</row>
    <row r="597">
      <c r="A597" s="134"/>
      <c r="B597" s="134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</row>
    <row r="598">
      <c r="A598" s="134"/>
      <c r="B598" s="134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</row>
    <row r="599">
      <c r="A599" s="134"/>
      <c r="B599" s="134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</row>
    <row r="600">
      <c r="A600" s="134"/>
      <c r="B600" s="134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</row>
    <row r="601">
      <c r="A601" s="134"/>
      <c r="B601" s="134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</row>
    <row r="602">
      <c r="A602" s="134"/>
      <c r="B602" s="134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</row>
    <row r="603">
      <c r="A603" s="134"/>
      <c r="B603" s="134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</row>
    <row r="604">
      <c r="A604" s="134"/>
      <c r="B604" s="134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</row>
    <row r="605">
      <c r="A605" s="134"/>
      <c r="B605" s="134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</row>
    <row r="606">
      <c r="A606" s="134"/>
      <c r="B606" s="134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</row>
    <row r="607">
      <c r="A607" s="134"/>
      <c r="B607" s="134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</row>
    <row r="608">
      <c r="A608" s="134"/>
      <c r="B608" s="134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</row>
    <row r="609">
      <c r="A609" s="134"/>
      <c r="B609" s="134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</row>
    <row r="610">
      <c r="A610" s="134"/>
      <c r="B610" s="134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</row>
    <row r="611">
      <c r="A611" s="134"/>
      <c r="B611" s="134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</row>
    <row r="612">
      <c r="A612" s="134"/>
      <c r="B612" s="134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</row>
    <row r="613">
      <c r="A613" s="134"/>
      <c r="B613" s="134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</row>
    <row r="614">
      <c r="A614" s="134"/>
      <c r="B614" s="134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</row>
    <row r="615">
      <c r="A615" s="134"/>
      <c r="B615" s="134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</row>
    <row r="616">
      <c r="A616" s="134"/>
      <c r="B616" s="134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</row>
    <row r="617">
      <c r="A617" s="134"/>
      <c r="B617" s="134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</row>
    <row r="618">
      <c r="A618" s="134"/>
      <c r="B618" s="134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</row>
    <row r="619">
      <c r="A619" s="134"/>
      <c r="B619" s="134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</row>
    <row r="620">
      <c r="A620" s="134"/>
      <c r="B620" s="134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</row>
    <row r="621">
      <c r="A621" s="134"/>
      <c r="B621" s="134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</row>
    <row r="622">
      <c r="A622" s="134"/>
      <c r="B622" s="134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</row>
    <row r="623">
      <c r="A623" s="134"/>
      <c r="B623" s="134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</row>
    <row r="624">
      <c r="A624" s="134"/>
      <c r="B624" s="134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</row>
    <row r="625">
      <c r="A625" s="134"/>
      <c r="B625" s="134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</row>
    <row r="626">
      <c r="A626" s="134"/>
      <c r="B626" s="134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</row>
    <row r="627">
      <c r="A627" s="134"/>
      <c r="B627" s="134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</row>
    <row r="628">
      <c r="A628" s="134"/>
      <c r="B628" s="134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</row>
    <row r="629">
      <c r="A629" s="134"/>
      <c r="B629" s="134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</row>
    <row r="630">
      <c r="A630" s="134"/>
      <c r="B630" s="134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</row>
    <row r="631">
      <c r="A631" s="134"/>
      <c r="B631" s="134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</row>
    <row r="632">
      <c r="A632" s="134"/>
      <c r="B632" s="134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</row>
    <row r="633">
      <c r="A633" s="134"/>
      <c r="B633" s="134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</row>
    <row r="634">
      <c r="A634" s="134"/>
      <c r="B634" s="134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</row>
    <row r="635">
      <c r="A635" s="134"/>
      <c r="B635" s="134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</row>
    <row r="636">
      <c r="A636" s="134"/>
      <c r="B636" s="134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</row>
    <row r="637">
      <c r="A637" s="134"/>
      <c r="B637" s="134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</row>
    <row r="638">
      <c r="A638" s="134"/>
      <c r="B638" s="134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</row>
    <row r="639">
      <c r="A639" s="134"/>
      <c r="B639" s="134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</row>
    <row r="640">
      <c r="A640" s="134"/>
      <c r="B640" s="134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</row>
    <row r="641">
      <c r="A641" s="134"/>
      <c r="B641" s="134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</row>
    <row r="642">
      <c r="A642" s="134"/>
      <c r="B642" s="134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</row>
    <row r="643">
      <c r="A643" s="134"/>
      <c r="B643" s="134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</row>
    <row r="644">
      <c r="A644" s="134"/>
      <c r="B644" s="134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</row>
    <row r="645">
      <c r="A645" s="134"/>
      <c r="B645" s="134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</row>
    <row r="646">
      <c r="A646" s="134"/>
      <c r="B646" s="134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</row>
    <row r="647">
      <c r="A647" s="134"/>
      <c r="B647" s="134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</row>
    <row r="648">
      <c r="A648" s="134"/>
      <c r="B648" s="134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</row>
    <row r="649">
      <c r="A649" s="134"/>
      <c r="B649" s="134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</row>
    <row r="650">
      <c r="A650" s="134"/>
      <c r="B650" s="134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</row>
    <row r="651">
      <c r="A651" s="134"/>
      <c r="B651" s="134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</row>
    <row r="652">
      <c r="A652" s="134"/>
      <c r="B652" s="134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</row>
    <row r="653">
      <c r="A653" s="134"/>
      <c r="B653" s="134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</row>
    <row r="654">
      <c r="A654" s="134"/>
      <c r="B654" s="134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</row>
    <row r="655">
      <c r="A655" s="134"/>
      <c r="B655" s="134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</row>
    <row r="656">
      <c r="A656" s="134"/>
      <c r="B656" s="134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</row>
    <row r="657">
      <c r="A657" s="134"/>
      <c r="B657" s="134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</row>
    <row r="658">
      <c r="A658" s="134"/>
      <c r="B658" s="134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</row>
    <row r="659">
      <c r="A659" s="134"/>
      <c r="B659" s="134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</row>
    <row r="660">
      <c r="A660" s="134"/>
      <c r="B660" s="134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</row>
    <row r="661">
      <c r="A661" s="134"/>
      <c r="B661" s="134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</row>
    <row r="662">
      <c r="A662" s="134"/>
      <c r="B662" s="134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</row>
    <row r="663">
      <c r="A663" s="134"/>
      <c r="B663" s="134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</row>
    <row r="664">
      <c r="A664" s="134"/>
      <c r="B664" s="134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</row>
    <row r="665">
      <c r="A665" s="134"/>
      <c r="B665" s="134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</row>
    <row r="666">
      <c r="A666" s="134"/>
      <c r="B666" s="134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</row>
    <row r="667">
      <c r="A667" s="134"/>
      <c r="B667" s="134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</row>
    <row r="668">
      <c r="A668" s="134"/>
      <c r="B668" s="134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</row>
    <row r="669">
      <c r="A669" s="134"/>
      <c r="B669" s="134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</row>
    <row r="670">
      <c r="A670" s="134"/>
      <c r="B670" s="134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</row>
    <row r="671">
      <c r="A671" s="134"/>
      <c r="B671" s="134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</row>
    <row r="672">
      <c r="A672" s="134"/>
      <c r="B672" s="134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</row>
    <row r="673">
      <c r="A673" s="134"/>
      <c r="B673" s="134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</row>
    <row r="674">
      <c r="A674" s="134"/>
      <c r="B674" s="134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</row>
    <row r="675">
      <c r="A675" s="134"/>
      <c r="B675" s="134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</row>
    <row r="676">
      <c r="A676" s="134"/>
      <c r="B676" s="134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</row>
    <row r="677">
      <c r="A677" s="134"/>
      <c r="B677" s="134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</row>
    <row r="678">
      <c r="A678" s="134"/>
      <c r="B678" s="134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</row>
    <row r="679">
      <c r="A679" s="134"/>
      <c r="B679" s="134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</row>
    <row r="680">
      <c r="A680" s="134"/>
      <c r="B680" s="134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</row>
    <row r="681">
      <c r="A681" s="134"/>
      <c r="B681" s="134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</row>
    <row r="682">
      <c r="A682" s="134"/>
      <c r="B682" s="134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</row>
    <row r="683">
      <c r="A683" s="134"/>
      <c r="B683" s="134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</row>
    <row r="684">
      <c r="A684" s="134"/>
      <c r="B684" s="134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</row>
    <row r="685">
      <c r="A685" s="134"/>
      <c r="B685" s="134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</row>
    <row r="686">
      <c r="A686" s="134"/>
      <c r="B686" s="134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</row>
    <row r="687">
      <c r="A687" s="134"/>
      <c r="B687" s="134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</row>
    <row r="688">
      <c r="A688" s="134"/>
      <c r="B688" s="134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</row>
    <row r="689">
      <c r="A689" s="134"/>
      <c r="B689" s="134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</row>
    <row r="690">
      <c r="A690" s="134"/>
      <c r="B690" s="134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</row>
    <row r="691">
      <c r="A691" s="134"/>
      <c r="B691" s="134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</row>
    <row r="692">
      <c r="A692" s="134"/>
      <c r="B692" s="134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</row>
    <row r="693">
      <c r="A693" s="134"/>
      <c r="B693" s="134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</row>
    <row r="694">
      <c r="A694" s="134"/>
      <c r="B694" s="134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</row>
    <row r="695">
      <c r="A695" s="134"/>
      <c r="B695" s="134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</row>
    <row r="696">
      <c r="A696" s="134"/>
      <c r="B696" s="134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</row>
    <row r="697">
      <c r="A697" s="134"/>
      <c r="B697" s="134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</row>
    <row r="698">
      <c r="A698" s="134"/>
      <c r="B698" s="134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</row>
    <row r="699">
      <c r="A699" s="134"/>
      <c r="B699" s="134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</row>
    <row r="700">
      <c r="A700" s="134"/>
      <c r="B700" s="134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</row>
    <row r="701">
      <c r="A701" s="134"/>
      <c r="B701" s="134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</row>
    <row r="702">
      <c r="A702" s="134"/>
      <c r="B702" s="134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</row>
    <row r="703">
      <c r="A703" s="134"/>
      <c r="B703" s="134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</row>
    <row r="704">
      <c r="A704" s="134"/>
      <c r="B704" s="134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</row>
    <row r="705">
      <c r="A705" s="134"/>
      <c r="B705" s="134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</row>
    <row r="706">
      <c r="A706" s="134"/>
      <c r="B706" s="134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</row>
    <row r="707">
      <c r="A707" s="134"/>
      <c r="B707" s="134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</row>
    <row r="708">
      <c r="A708" s="134"/>
      <c r="B708" s="134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</row>
    <row r="709">
      <c r="A709" s="134"/>
      <c r="B709" s="134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</row>
    <row r="710">
      <c r="A710" s="134"/>
      <c r="B710" s="134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</row>
    <row r="711">
      <c r="A711" s="134"/>
      <c r="B711" s="134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</row>
    <row r="712">
      <c r="A712" s="134"/>
      <c r="B712" s="134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</row>
    <row r="713">
      <c r="A713" s="134"/>
      <c r="B713" s="134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</row>
    <row r="714">
      <c r="A714" s="134"/>
      <c r="B714" s="134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</row>
    <row r="715">
      <c r="A715" s="134"/>
      <c r="B715" s="134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</row>
    <row r="716">
      <c r="A716" s="134"/>
      <c r="B716" s="134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</row>
    <row r="717">
      <c r="A717" s="134"/>
      <c r="B717" s="134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</row>
    <row r="718">
      <c r="A718" s="134"/>
      <c r="B718" s="134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</row>
    <row r="719">
      <c r="A719" s="134"/>
      <c r="B719" s="134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</row>
    <row r="720">
      <c r="A720" s="134"/>
      <c r="B720" s="134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</row>
    <row r="721">
      <c r="A721" s="134"/>
      <c r="B721" s="134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</row>
    <row r="722">
      <c r="A722" s="134"/>
      <c r="B722" s="134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</row>
    <row r="723">
      <c r="A723" s="134"/>
      <c r="B723" s="134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</row>
    <row r="724">
      <c r="A724" s="134"/>
      <c r="B724" s="134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</row>
    <row r="725">
      <c r="A725" s="134"/>
      <c r="B725" s="134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</row>
    <row r="726">
      <c r="A726" s="134"/>
      <c r="B726" s="134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</row>
    <row r="727">
      <c r="A727" s="134"/>
      <c r="B727" s="134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</row>
    <row r="728">
      <c r="A728" s="134"/>
      <c r="B728" s="134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</row>
    <row r="729">
      <c r="A729" s="134"/>
      <c r="B729" s="134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</row>
    <row r="730">
      <c r="A730" s="134"/>
      <c r="B730" s="134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</row>
    <row r="731">
      <c r="A731" s="134"/>
      <c r="B731" s="134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</row>
    <row r="732">
      <c r="A732" s="134"/>
      <c r="B732" s="134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</row>
    <row r="733">
      <c r="A733" s="134"/>
      <c r="B733" s="134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</row>
    <row r="734">
      <c r="A734" s="134"/>
      <c r="B734" s="134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</row>
    <row r="735">
      <c r="A735" s="134"/>
      <c r="B735" s="134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</row>
    <row r="736">
      <c r="A736" s="134"/>
      <c r="B736" s="134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</row>
    <row r="737">
      <c r="A737" s="134"/>
      <c r="B737" s="134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</row>
    <row r="738">
      <c r="A738" s="134"/>
      <c r="B738" s="134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</row>
    <row r="739">
      <c r="A739" s="134"/>
      <c r="B739" s="134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</row>
    <row r="740">
      <c r="A740" s="134"/>
      <c r="B740" s="134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</row>
    <row r="741">
      <c r="A741" s="134"/>
      <c r="B741" s="134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</row>
    <row r="742">
      <c r="A742" s="134"/>
      <c r="B742" s="134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</row>
    <row r="743">
      <c r="A743" s="134"/>
      <c r="B743" s="134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</row>
    <row r="744">
      <c r="A744" s="134"/>
      <c r="B744" s="134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</row>
    <row r="745">
      <c r="A745" s="134"/>
      <c r="B745" s="134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</row>
    <row r="746">
      <c r="A746" s="134"/>
      <c r="B746" s="134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</row>
    <row r="747">
      <c r="A747" s="134"/>
      <c r="B747" s="134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</row>
    <row r="748">
      <c r="A748" s="134"/>
      <c r="B748" s="134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</row>
    <row r="749">
      <c r="A749" s="134"/>
      <c r="B749" s="134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</row>
    <row r="750">
      <c r="A750" s="134"/>
      <c r="B750" s="134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</row>
    <row r="751">
      <c r="A751" s="134"/>
      <c r="B751" s="134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</row>
    <row r="752">
      <c r="A752" s="134"/>
      <c r="B752" s="134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</row>
    <row r="753">
      <c r="A753" s="134"/>
      <c r="B753" s="134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</row>
    <row r="754">
      <c r="A754" s="134"/>
      <c r="B754" s="134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</row>
    <row r="755">
      <c r="A755" s="134"/>
      <c r="B755" s="134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</row>
    <row r="756">
      <c r="A756" s="134"/>
      <c r="B756" s="134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</row>
    <row r="757">
      <c r="A757" s="134"/>
      <c r="B757" s="134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</row>
    <row r="758">
      <c r="A758" s="134"/>
      <c r="B758" s="134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</row>
    <row r="759">
      <c r="A759" s="134"/>
      <c r="B759" s="134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</row>
    <row r="760">
      <c r="A760" s="134"/>
      <c r="B760" s="134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</row>
    <row r="761">
      <c r="A761" s="134"/>
      <c r="B761" s="134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</row>
    <row r="762">
      <c r="A762" s="134"/>
      <c r="B762" s="134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</row>
    <row r="763">
      <c r="A763" s="134"/>
      <c r="B763" s="134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</row>
    <row r="764">
      <c r="A764" s="134"/>
      <c r="B764" s="134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</row>
    <row r="765">
      <c r="A765" s="134"/>
      <c r="B765" s="134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</row>
    <row r="766">
      <c r="A766" s="134"/>
      <c r="B766" s="134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</row>
    <row r="767">
      <c r="A767" s="134"/>
      <c r="B767" s="134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</row>
    <row r="768">
      <c r="A768" s="134"/>
      <c r="B768" s="134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</row>
    <row r="769">
      <c r="A769" s="134"/>
      <c r="B769" s="134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</row>
    <row r="770">
      <c r="A770" s="134"/>
      <c r="B770" s="134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</row>
    <row r="771">
      <c r="A771" s="134"/>
      <c r="B771" s="134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</row>
    <row r="772">
      <c r="A772" s="134"/>
      <c r="B772" s="134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</row>
    <row r="773">
      <c r="A773" s="134"/>
      <c r="B773" s="134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</row>
    <row r="774">
      <c r="A774" s="134"/>
      <c r="B774" s="134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</row>
    <row r="775">
      <c r="A775" s="134"/>
      <c r="B775" s="134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</row>
    <row r="776">
      <c r="A776" s="134"/>
      <c r="B776" s="134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</row>
    <row r="777">
      <c r="A777" s="134"/>
      <c r="B777" s="134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</row>
    <row r="778">
      <c r="A778" s="134"/>
      <c r="B778" s="134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</row>
    <row r="779">
      <c r="A779" s="134"/>
      <c r="B779" s="134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</row>
    <row r="780">
      <c r="A780" s="134"/>
      <c r="B780" s="134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</row>
    <row r="781">
      <c r="A781" s="134"/>
      <c r="B781" s="134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</row>
    <row r="782">
      <c r="A782" s="134"/>
      <c r="B782" s="134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</row>
    <row r="783">
      <c r="A783" s="134"/>
      <c r="B783" s="134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</row>
    <row r="784">
      <c r="A784" s="134"/>
      <c r="B784" s="134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</row>
    <row r="785">
      <c r="A785" s="134"/>
      <c r="B785" s="134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</row>
    <row r="786">
      <c r="A786" s="134"/>
      <c r="B786" s="134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</row>
    <row r="787">
      <c r="A787" s="134"/>
      <c r="B787" s="134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</row>
    <row r="788">
      <c r="A788" s="134"/>
      <c r="B788" s="134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</row>
    <row r="789">
      <c r="A789" s="134"/>
      <c r="B789" s="134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</row>
    <row r="790">
      <c r="A790" s="134"/>
      <c r="B790" s="134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</row>
    <row r="791">
      <c r="A791" s="134"/>
      <c r="B791" s="134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</row>
    <row r="792">
      <c r="A792" s="134"/>
      <c r="B792" s="134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</row>
    <row r="793">
      <c r="A793" s="134"/>
      <c r="B793" s="134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</row>
    <row r="794">
      <c r="A794" s="134"/>
      <c r="B794" s="134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</row>
    <row r="795">
      <c r="A795" s="134"/>
      <c r="B795" s="134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</row>
    <row r="796">
      <c r="A796" s="134"/>
      <c r="B796" s="134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</row>
    <row r="797">
      <c r="A797" s="134"/>
      <c r="B797" s="134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</row>
    <row r="798">
      <c r="A798" s="134"/>
      <c r="B798" s="134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</row>
    <row r="799">
      <c r="A799" s="134"/>
      <c r="B799" s="134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</row>
    <row r="800">
      <c r="A800" s="134"/>
      <c r="B800" s="134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</row>
    <row r="801">
      <c r="A801" s="134"/>
      <c r="B801" s="134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</row>
    <row r="802">
      <c r="A802" s="134"/>
      <c r="B802" s="134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</row>
    <row r="803">
      <c r="A803" s="134"/>
      <c r="B803" s="134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</row>
    <row r="804">
      <c r="A804" s="134"/>
      <c r="B804" s="134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</row>
    <row r="805">
      <c r="A805" s="134"/>
      <c r="B805" s="134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</row>
    <row r="806">
      <c r="A806" s="134"/>
      <c r="B806" s="134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</row>
    <row r="807">
      <c r="A807" s="134"/>
      <c r="B807" s="134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</row>
    <row r="808">
      <c r="A808" s="134"/>
      <c r="B808" s="134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</row>
    <row r="809">
      <c r="A809" s="134"/>
      <c r="B809" s="134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</row>
    <row r="810">
      <c r="A810" s="134"/>
      <c r="B810" s="134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</row>
    <row r="811">
      <c r="A811" s="134"/>
      <c r="B811" s="134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</row>
    <row r="812">
      <c r="A812" s="134"/>
      <c r="B812" s="134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</row>
    <row r="813">
      <c r="A813" s="134"/>
      <c r="B813" s="134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</row>
    <row r="814">
      <c r="A814" s="134"/>
      <c r="B814" s="134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</row>
    <row r="815">
      <c r="A815" s="134"/>
      <c r="B815" s="134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</row>
    <row r="816">
      <c r="A816" s="134"/>
      <c r="B816" s="134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</row>
    <row r="817">
      <c r="A817" s="134"/>
      <c r="B817" s="134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</row>
    <row r="818">
      <c r="A818" s="134"/>
      <c r="B818" s="134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</row>
    <row r="819">
      <c r="A819" s="134"/>
      <c r="B819" s="134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</row>
    <row r="820">
      <c r="A820" s="134"/>
      <c r="B820" s="134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</row>
    <row r="821">
      <c r="A821" s="134"/>
      <c r="B821" s="134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</row>
    <row r="822">
      <c r="A822" s="134"/>
      <c r="B822" s="134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</row>
    <row r="823">
      <c r="A823" s="134"/>
      <c r="B823" s="134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</row>
    <row r="824">
      <c r="A824" s="134"/>
      <c r="B824" s="134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</row>
    <row r="825">
      <c r="A825" s="134"/>
      <c r="B825" s="134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</row>
    <row r="826">
      <c r="A826" s="134"/>
      <c r="B826" s="134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</row>
    <row r="827">
      <c r="A827" s="134"/>
      <c r="B827" s="134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</row>
    <row r="828">
      <c r="A828" s="134"/>
      <c r="B828" s="134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</row>
    <row r="829">
      <c r="A829" s="134"/>
      <c r="B829" s="134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</row>
    <row r="830">
      <c r="A830" s="134"/>
      <c r="B830" s="134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</row>
    <row r="831">
      <c r="A831" s="134"/>
      <c r="B831" s="134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</row>
    <row r="832">
      <c r="A832" s="134"/>
      <c r="B832" s="134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</row>
    <row r="833">
      <c r="A833" s="134"/>
      <c r="B833" s="134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</row>
    <row r="834">
      <c r="A834" s="134"/>
      <c r="B834" s="134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</row>
    <row r="835">
      <c r="A835" s="134"/>
      <c r="B835" s="134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</row>
    <row r="836">
      <c r="A836" s="134"/>
      <c r="B836" s="134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</row>
    <row r="837">
      <c r="A837" s="134"/>
      <c r="B837" s="134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</row>
    <row r="838">
      <c r="A838" s="134"/>
      <c r="B838" s="134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</row>
    <row r="839">
      <c r="A839" s="134"/>
      <c r="B839" s="134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</row>
    <row r="840">
      <c r="A840" s="134"/>
      <c r="B840" s="134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</row>
    <row r="841">
      <c r="A841" s="134"/>
      <c r="B841" s="134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</row>
    <row r="842">
      <c r="A842" s="134"/>
      <c r="B842" s="134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</row>
    <row r="843">
      <c r="A843" s="134"/>
      <c r="B843" s="134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</row>
    <row r="844">
      <c r="A844" s="134"/>
      <c r="B844" s="134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</row>
    <row r="845">
      <c r="A845" s="134"/>
      <c r="B845" s="134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</row>
    <row r="846">
      <c r="A846" s="134"/>
      <c r="B846" s="134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</row>
    <row r="847">
      <c r="A847" s="134"/>
      <c r="B847" s="134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</row>
    <row r="848">
      <c r="A848" s="134"/>
      <c r="B848" s="134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</row>
    <row r="849">
      <c r="A849" s="134"/>
      <c r="B849" s="134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</row>
    <row r="850">
      <c r="A850" s="134"/>
      <c r="B850" s="134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</row>
    <row r="851">
      <c r="A851" s="134"/>
      <c r="B851" s="134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</row>
    <row r="852">
      <c r="A852" s="134"/>
      <c r="B852" s="134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</row>
    <row r="853">
      <c r="A853" s="134"/>
      <c r="B853" s="134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</row>
    <row r="854">
      <c r="A854" s="134"/>
      <c r="B854" s="134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</row>
    <row r="855">
      <c r="A855" s="134"/>
      <c r="B855" s="134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</row>
    <row r="856">
      <c r="A856" s="134"/>
      <c r="B856" s="134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</row>
    <row r="857">
      <c r="A857" s="134"/>
      <c r="B857" s="134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</row>
    <row r="858">
      <c r="A858" s="134"/>
      <c r="B858" s="134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</row>
    <row r="859">
      <c r="A859" s="134"/>
      <c r="B859" s="134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</row>
    <row r="860">
      <c r="A860" s="134"/>
      <c r="B860" s="134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</row>
    <row r="861">
      <c r="A861" s="134"/>
      <c r="B861" s="134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</row>
    <row r="862">
      <c r="A862" s="134"/>
      <c r="B862" s="134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</row>
    <row r="863">
      <c r="A863" s="134"/>
      <c r="B863" s="134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</row>
    <row r="864">
      <c r="A864" s="134"/>
      <c r="B864" s="134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</row>
    <row r="865">
      <c r="A865" s="134"/>
      <c r="B865" s="134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</row>
    <row r="866">
      <c r="A866" s="134"/>
      <c r="B866" s="134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</row>
    <row r="867">
      <c r="A867" s="134"/>
      <c r="B867" s="134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</row>
    <row r="868">
      <c r="A868" s="134"/>
      <c r="B868" s="134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</row>
    <row r="869">
      <c r="A869" s="134"/>
      <c r="B869" s="134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</row>
    <row r="870">
      <c r="A870" s="134"/>
      <c r="B870" s="134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</row>
    <row r="871">
      <c r="A871" s="134"/>
      <c r="B871" s="134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</row>
    <row r="872">
      <c r="A872" s="134"/>
      <c r="B872" s="134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</row>
    <row r="873">
      <c r="A873" s="134"/>
      <c r="B873" s="134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</row>
    <row r="874">
      <c r="A874" s="134"/>
      <c r="B874" s="134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</row>
    <row r="875">
      <c r="A875" s="134"/>
      <c r="B875" s="134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</row>
    <row r="876">
      <c r="A876" s="134"/>
      <c r="B876" s="134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</row>
    <row r="877">
      <c r="A877" s="134"/>
      <c r="B877" s="134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</row>
    <row r="878">
      <c r="A878" s="134"/>
      <c r="B878" s="134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</row>
    <row r="879">
      <c r="A879" s="134"/>
      <c r="B879" s="134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</row>
    <row r="880">
      <c r="A880" s="134"/>
      <c r="B880" s="134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</row>
    <row r="881">
      <c r="A881" s="134"/>
      <c r="B881" s="134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</row>
    <row r="882">
      <c r="A882" s="134"/>
      <c r="B882" s="134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</row>
    <row r="883">
      <c r="A883" s="134"/>
      <c r="B883" s="134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</row>
    <row r="884">
      <c r="A884" s="134"/>
      <c r="B884" s="134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</row>
    <row r="885">
      <c r="A885" s="134"/>
      <c r="B885" s="134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</row>
    <row r="886">
      <c r="A886" s="134"/>
      <c r="B886" s="134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</row>
    <row r="887">
      <c r="A887" s="134"/>
      <c r="B887" s="134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</row>
    <row r="888">
      <c r="A888" s="134"/>
      <c r="B888" s="134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</row>
    <row r="889">
      <c r="A889" s="134"/>
      <c r="B889" s="134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</row>
    <row r="890">
      <c r="A890" s="134"/>
      <c r="B890" s="134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</row>
    <row r="891">
      <c r="A891" s="134"/>
      <c r="B891" s="134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</row>
    <row r="892">
      <c r="A892" s="134"/>
      <c r="B892" s="134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</row>
    <row r="893">
      <c r="A893" s="134"/>
      <c r="B893" s="134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</row>
    <row r="894">
      <c r="A894" s="134"/>
      <c r="B894" s="134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</row>
    <row r="895">
      <c r="A895" s="134"/>
      <c r="B895" s="134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</row>
    <row r="896">
      <c r="A896" s="134"/>
      <c r="B896" s="134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</row>
    <row r="897">
      <c r="A897" s="134"/>
      <c r="B897" s="134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</row>
    <row r="898">
      <c r="A898" s="134"/>
      <c r="B898" s="134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</row>
    <row r="899">
      <c r="A899" s="134"/>
      <c r="B899" s="134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</row>
    <row r="900">
      <c r="A900" s="134"/>
      <c r="B900" s="134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</row>
    <row r="901">
      <c r="A901" s="134"/>
      <c r="B901" s="134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</row>
    <row r="902">
      <c r="A902" s="134"/>
      <c r="B902" s="134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</row>
    <row r="903">
      <c r="A903" s="134"/>
      <c r="B903" s="134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</row>
    <row r="904">
      <c r="A904" s="134"/>
      <c r="B904" s="134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</row>
    <row r="905">
      <c r="A905" s="134"/>
      <c r="B905" s="134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</row>
    <row r="906">
      <c r="A906" s="134"/>
      <c r="B906" s="134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</row>
    <row r="907">
      <c r="A907" s="134"/>
      <c r="B907" s="134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</row>
    <row r="908">
      <c r="A908" s="134"/>
      <c r="B908" s="134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</row>
    <row r="909">
      <c r="A909" s="134"/>
      <c r="B909" s="134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</row>
    <row r="910">
      <c r="A910" s="134"/>
      <c r="B910" s="134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</row>
    <row r="911">
      <c r="A911" s="134"/>
      <c r="B911" s="134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</row>
    <row r="912">
      <c r="A912" s="134"/>
      <c r="B912" s="134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</row>
    <row r="913">
      <c r="A913" s="134"/>
      <c r="B913" s="134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</row>
    <row r="914">
      <c r="A914" s="134"/>
      <c r="B914" s="134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</row>
    <row r="915">
      <c r="A915" s="134"/>
      <c r="B915" s="134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</row>
    <row r="916">
      <c r="A916" s="134"/>
      <c r="B916" s="134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</row>
    <row r="917">
      <c r="A917" s="134"/>
      <c r="B917" s="134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</row>
    <row r="918">
      <c r="A918" s="134"/>
      <c r="B918" s="134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</row>
    <row r="919">
      <c r="A919" s="134"/>
      <c r="B919" s="134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</row>
    <row r="920">
      <c r="A920" s="134"/>
      <c r="B920" s="134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</row>
    <row r="921">
      <c r="A921" s="134"/>
      <c r="B921" s="134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</row>
    <row r="922">
      <c r="A922" s="134"/>
      <c r="B922" s="134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</row>
    <row r="923">
      <c r="A923" s="134"/>
      <c r="B923" s="134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</row>
    <row r="924">
      <c r="A924" s="134"/>
      <c r="B924" s="134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</row>
    <row r="925">
      <c r="A925" s="134"/>
      <c r="B925" s="134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</row>
    <row r="926">
      <c r="A926" s="134"/>
      <c r="B926" s="134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</row>
    <row r="927">
      <c r="A927" s="134"/>
      <c r="B927" s="134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</row>
    <row r="928">
      <c r="A928" s="134"/>
      <c r="B928" s="134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</row>
    <row r="929">
      <c r="A929" s="134"/>
      <c r="B929" s="134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</row>
    <row r="930">
      <c r="A930" s="134"/>
      <c r="B930" s="134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</row>
    <row r="931">
      <c r="A931" s="134"/>
      <c r="B931" s="134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</row>
    <row r="932">
      <c r="A932" s="134"/>
      <c r="B932" s="134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</row>
    <row r="933">
      <c r="A933" s="134"/>
      <c r="B933" s="134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</row>
    <row r="934">
      <c r="A934" s="134"/>
      <c r="B934" s="134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</row>
    <row r="935">
      <c r="A935" s="134"/>
      <c r="B935" s="134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</row>
    <row r="936">
      <c r="A936" s="134"/>
      <c r="B936" s="134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</row>
    <row r="937">
      <c r="A937" s="134"/>
      <c r="B937" s="134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</row>
    <row r="938">
      <c r="A938" s="134"/>
      <c r="B938" s="134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</row>
    <row r="939">
      <c r="A939" s="134"/>
      <c r="B939" s="134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</row>
    <row r="940">
      <c r="A940" s="134"/>
      <c r="B940" s="134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</row>
    <row r="941">
      <c r="A941" s="134"/>
      <c r="B941" s="134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</row>
    <row r="942">
      <c r="A942" s="134"/>
      <c r="B942" s="134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</row>
    <row r="943">
      <c r="A943" s="134"/>
      <c r="B943" s="134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</row>
    <row r="944">
      <c r="A944" s="134"/>
      <c r="B944" s="134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</row>
    <row r="945">
      <c r="A945" s="134"/>
      <c r="B945" s="134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</row>
    <row r="946">
      <c r="A946" s="134"/>
      <c r="B946" s="134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</row>
    <row r="947">
      <c r="A947" s="134"/>
      <c r="B947" s="134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</row>
    <row r="948">
      <c r="A948" s="134"/>
      <c r="B948" s="134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</row>
    <row r="949">
      <c r="A949" s="134"/>
      <c r="B949" s="134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</row>
    <row r="950">
      <c r="A950" s="134"/>
      <c r="B950" s="134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</row>
    <row r="951">
      <c r="A951" s="134"/>
      <c r="B951" s="134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</row>
    <row r="952">
      <c r="A952" s="134"/>
      <c r="B952" s="134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</row>
    <row r="953">
      <c r="A953" s="134"/>
      <c r="B953" s="134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</row>
    <row r="954">
      <c r="A954" s="134"/>
      <c r="B954" s="134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</row>
    <row r="955">
      <c r="A955" s="134"/>
      <c r="B955" s="134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</row>
    <row r="956">
      <c r="A956" s="134"/>
      <c r="B956" s="134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</row>
    <row r="957">
      <c r="A957" s="134"/>
      <c r="B957" s="134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</row>
    <row r="958">
      <c r="A958" s="134"/>
      <c r="B958" s="134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</row>
    <row r="959">
      <c r="A959" s="134"/>
      <c r="B959" s="134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</row>
    <row r="960">
      <c r="A960" s="134"/>
      <c r="B960" s="134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</row>
    <row r="961">
      <c r="A961" s="134"/>
      <c r="B961" s="134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</row>
    <row r="962">
      <c r="A962" s="134"/>
      <c r="B962" s="134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</row>
    <row r="963">
      <c r="A963" s="134"/>
      <c r="B963" s="134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</row>
    <row r="964">
      <c r="A964" s="134"/>
      <c r="B964" s="134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</row>
    <row r="965">
      <c r="A965" s="134"/>
      <c r="B965" s="134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</row>
    <row r="966">
      <c r="A966" s="134"/>
      <c r="B966" s="134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</row>
    <row r="967">
      <c r="A967" s="134"/>
      <c r="B967" s="134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</row>
    <row r="968">
      <c r="A968" s="134"/>
      <c r="B968" s="134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</row>
    <row r="969">
      <c r="A969" s="134"/>
      <c r="B969" s="134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</row>
    <row r="970">
      <c r="A970" s="134"/>
      <c r="B970" s="134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</row>
    <row r="971">
      <c r="A971" s="134"/>
      <c r="B971" s="134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</row>
    <row r="972">
      <c r="A972" s="134"/>
      <c r="B972" s="134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</row>
    <row r="973">
      <c r="A973" s="134"/>
      <c r="B973" s="134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</row>
    <row r="974">
      <c r="A974" s="134"/>
      <c r="B974" s="134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</row>
    <row r="975">
      <c r="A975" s="134"/>
      <c r="B975" s="134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</row>
    <row r="976">
      <c r="A976" s="134"/>
      <c r="B976" s="134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</row>
    <row r="977">
      <c r="A977" s="134"/>
      <c r="B977" s="134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</row>
    <row r="978">
      <c r="A978" s="134"/>
      <c r="B978" s="134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</row>
    <row r="979">
      <c r="A979" s="134"/>
      <c r="B979" s="134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</row>
    <row r="980">
      <c r="A980" s="134"/>
      <c r="B980" s="134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</row>
    <row r="981">
      <c r="A981" s="134"/>
      <c r="B981" s="134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</row>
    <row r="982">
      <c r="A982" s="134"/>
      <c r="B982" s="134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</row>
  </sheetData>
  <mergeCells count="21">
    <mergeCell ref="A1:C3"/>
    <mergeCell ref="A5:C5"/>
    <mergeCell ref="A6:A7"/>
    <mergeCell ref="B6:B7"/>
    <mergeCell ref="A16:B16"/>
    <mergeCell ref="A17:B17"/>
    <mergeCell ref="A19:C19"/>
    <mergeCell ref="A44:B44"/>
    <mergeCell ref="A45:B45"/>
    <mergeCell ref="A47:C47"/>
    <mergeCell ref="A48:A49"/>
    <mergeCell ref="B48:B49"/>
    <mergeCell ref="A58:B58"/>
    <mergeCell ref="A59:B59"/>
    <mergeCell ref="A20:A21"/>
    <mergeCell ref="B20:B21"/>
    <mergeCell ref="A30:B30"/>
    <mergeCell ref="A31:B31"/>
    <mergeCell ref="A33:C33"/>
    <mergeCell ref="A34:A35"/>
    <mergeCell ref="B34:B35"/>
  </mergeCells>
  <dataValidations>
    <dataValidation type="list" allowBlank="1" sqref="A8:A15 A22:A29 A36:A43 A50:A57">
      <formula1>Foods</formula1>
    </dataValidation>
  </dataValidations>
  <drawing r:id="rId1"/>
</worksheet>
</file>