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fileSharing userName="Tatiane Pinho Teixeira" algorithmName="SHA-512" hashValue="5GreDNLn5VzAsMip782Bfx6l7OUDvZ1HXfnK598LLUSH7O+gnXTu0P6not4b6tjF/vvZX6xhfkNic8qDMC5OrA==" saltValue="crHRgFWj0p2FxdGtSRJxmw==" spinCount="10000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X:\Energia\3. COMERCIALIZAÇAO\BALANÇO DE ENERGIA\Curto Prazo\2019\Balanço\Realizado\"/>
    </mc:Choice>
  </mc:AlternateContent>
  <xr:revisionPtr revIDLastSave="0" documentId="8_{C9A36877-AFBD-407F-A19B-2E7647A1DC8C}" xr6:coauthVersionLast="31" xr6:coauthVersionMax="31" xr10:uidLastSave="{00000000-0000-0000-0000-000000000000}"/>
  <bookViews>
    <workbookView xWindow="0" yWindow="0" windowWidth="20490" windowHeight="7455" firstSheet="1" activeTab="3" xr2:uid="{00000000-000D-0000-FFFF-FFFF00000000}"/>
  </bookViews>
  <sheets>
    <sheet name="Lista" sheetId="4" state="hidden" r:id="rId1"/>
    <sheet name="Balanço_MRE" sheetId="10" r:id="rId2"/>
    <sheet name="Balanço_Lastro" sheetId="2" r:id="rId3"/>
    <sheet name="Balanço_FAT" sheetId="18" r:id="rId4"/>
    <sheet name="Fertilizantes" sheetId="19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3" hidden="1">Balanço_FAT!$A$2:$G$37</definedName>
    <definedName name="_xlnm.Print_Area" localSheetId="1">Balanço_MRE!$A$1:$H$34</definedName>
  </definedNames>
  <calcPr calcId="179017"/>
</workbook>
</file>

<file path=xl/calcChain.xml><?xml version="1.0" encoding="utf-8"?>
<calcChain xmlns="http://schemas.openxmlformats.org/spreadsheetml/2006/main">
  <c r="F23" i="10" l="1"/>
  <c r="F22" i="10"/>
  <c r="F11" i="10"/>
  <c r="F10" i="10"/>
  <c r="F9" i="10"/>
  <c r="G719" i="10" l="1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18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10" i="10"/>
  <c r="H973" i="10" l="1"/>
  <c r="H972" i="10"/>
  <c r="H971" i="10"/>
  <c r="H970" i="10"/>
  <c r="H968" i="10"/>
  <c r="H897" i="10"/>
  <c r="H896" i="10"/>
  <c r="F590" i="10"/>
  <c r="N590" i="10"/>
  <c r="N589" i="10"/>
  <c r="I162" i="10" l="1"/>
  <c r="G141" i="10"/>
  <c r="F141" i="10"/>
  <c r="G140" i="10" l="1"/>
  <c r="F140" i="10"/>
  <c r="H973" i="2" l="1"/>
  <c r="D973" i="2"/>
  <c r="C973" i="2"/>
  <c r="Q752" i="10"/>
  <c r="A861" i="10" l="1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G855" i="10"/>
  <c r="G856" i="10"/>
  <c r="G857" i="10"/>
  <c r="G858" i="10"/>
  <c r="G859" i="10"/>
  <c r="G860" i="10"/>
  <c r="G861" i="10"/>
  <c r="G854" i="10"/>
  <c r="G850" i="10"/>
  <c r="G851" i="10"/>
  <c r="G852" i="10"/>
  <c r="G853" i="10"/>
  <c r="G849" i="10"/>
  <c r="H1036" i="2" l="1"/>
  <c r="G1036" i="2"/>
  <c r="F1036" i="2"/>
  <c r="E1036" i="2"/>
  <c r="D1036" i="2"/>
  <c r="C1036" i="2"/>
  <c r="B1036" i="2"/>
  <c r="A1036" i="2"/>
  <c r="H1035" i="2"/>
  <c r="G1035" i="2"/>
  <c r="F1035" i="2"/>
  <c r="E1035" i="2"/>
  <c r="D1035" i="2"/>
  <c r="C1035" i="2"/>
  <c r="B1035" i="2"/>
  <c r="A1035" i="2"/>
  <c r="H1029" i="2"/>
  <c r="G1029" i="2"/>
  <c r="F1029" i="2"/>
  <c r="E1029" i="2"/>
  <c r="D1029" i="2"/>
  <c r="C1029" i="2"/>
  <c r="B1029" i="2"/>
  <c r="A1029" i="2"/>
  <c r="H1028" i="2"/>
  <c r="G1028" i="2"/>
  <c r="F1028" i="2"/>
  <c r="E1028" i="2"/>
  <c r="D1028" i="2"/>
  <c r="C1028" i="2"/>
  <c r="B1028" i="2"/>
  <c r="A1028" i="2"/>
  <c r="G1027" i="2"/>
  <c r="D1027" i="2"/>
  <c r="C1027" i="2"/>
  <c r="B1027" i="2"/>
  <c r="A1027" i="2"/>
  <c r="H1021" i="2"/>
  <c r="G1021" i="2"/>
  <c r="D1021" i="2"/>
  <c r="C1021" i="2"/>
  <c r="B1021" i="2"/>
  <c r="A1021" i="2"/>
  <c r="H998" i="2"/>
  <c r="G998" i="2"/>
  <c r="F998" i="2"/>
  <c r="E998" i="2"/>
  <c r="D998" i="2"/>
  <c r="C998" i="2"/>
  <c r="B998" i="2"/>
  <c r="A998" i="2"/>
  <c r="H997" i="2"/>
  <c r="G997" i="2"/>
  <c r="F997" i="2"/>
  <c r="E997" i="2"/>
  <c r="D997" i="2"/>
  <c r="C997" i="2"/>
  <c r="B997" i="2"/>
  <c r="A997" i="2"/>
  <c r="H996" i="2"/>
  <c r="G996" i="2"/>
  <c r="F996" i="2"/>
  <c r="E996" i="2"/>
  <c r="D996" i="2"/>
  <c r="C996" i="2"/>
  <c r="B996" i="2"/>
  <c r="A996" i="2"/>
  <c r="G990" i="2"/>
  <c r="F990" i="2"/>
  <c r="E990" i="2"/>
  <c r="D990" i="2"/>
  <c r="C990" i="2"/>
  <c r="B990" i="2"/>
  <c r="A990" i="2"/>
  <c r="G989" i="2"/>
  <c r="F989" i="2"/>
  <c r="E989" i="2"/>
  <c r="D989" i="2"/>
  <c r="C989" i="2"/>
  <c r="B989" i="2"/>
  <c r="A989" i="2"/>
  <c r="H988" i="2"/>
  <c r="G988" i="2"/>
  <c r="F988" i="2"/>
  <c r="E988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G984" i="2"/>
  <c r="F984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G981" i="2"/>
  <c r="E981" i="2"/>
  <c r="D981" i="2"/>
  <c r="C981" i="2"/>
  <c r="B981" i="2"/>
  <c r="A981" i="2"/>
  <c r="G980" i="2"/>
  <c r="D980" i="2"/>
  <c r="C980" i="2"/>
  <c r="B980" i="2"/>
  <c r="A980" i="2"/>
  <c r="G979" i="2"/>
  <c r="D979" i="2"/>
  <c r="C979" i="2"/>
  <c r="B979" i="2"/>
  <c r="A979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H969" i="2"/>
  <c r="D969" i="2"/>
  <c r="C969" i="2"/>
  <c r="B969" i="2"/>
  <c r="A969" i="2"/>
  <c r="D968" i="2"/>
  <c r="C968" i="2"/>
  <c r="B968" i="2"/>
  <c r="A968" i="2"/>
  <c r="H967" i="2"/>
  <c r="D967" i="2"/>
  <c r="C967" i="2"/>
  <c r="B967" i="2"/>
  <c r="A967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G939" i="2"/>
  <c r="D939" i="2"/>
  <c r="C939" i="2"/>
  <c r="B939" i="2"/>
  <c r="A939" i="2"/>
  <c r="H933" i="2"/>
  <c r="D933" i="2"/>
  <c r="C933" i="2"/>
  <c r="B933" i="2"/>
  <c r="A933" i="2"/>
  <c r="H909" i="2"/>
  <c r="G909" i="2"/>
  <c r="F909" i="2"/>
  <c r="E909" i="2"/>
  <c r="D909" i="2"/>
  <c r="C909" i="2"/>
  <c r="B909" i="2"/>
  <c r="A909" i="2"/>
  <c r="G908" i="2"/>
  <c r="F908" i="2"/>
  <c r="E908" i="2"/>
  <c r="D908" i="2"/>
  <c r="C908" i="2"/>
  <c r="B908" i="2"/>
  <c r="A908" i="2"/>
  <c r="H907" i="2"/>
  <c r="G907" i="2"/>
  <c r="F907" i="2"/>
  <c r="E907" i="2"/>
  <c r="D907" i="2"/>
  <c r="C907" i="2"/>
  <c r="B907" i="2"/>
  <c r="A907" i="2"/>
  <c r="D906" i="2"/>
  <c r="C906" i="2"/>
  <c r="B906" i="2"/>
  <c r="A906" i="2"/>
  <c r="G905" i="2"/>
  <c r="F905" i="2"/>
  <c r="D905" i="2"/>
  <c r="C905" i="2"/>
  <c r="B905" i="2"/>
  <c r="A905" i="2"/>
  <c r="G904" i="2"/>
  <c r="D904" i="2"/>
  <c r="C904" i="2"/>
  <c r="B904" i="2"/>
  <c r="A904" i="2"/>
  <c r="H898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H872" i="2"/>
  <c r="G872" i="2"/>
  <c r="F872" i="2"/>
  <c r="E872" i="2"/>
  <c r="D872" i="2"/>
  <c r="C872" i="2"/>
  <c r="B872" i="2"/>
  <c r="A872" i="2"/>
  <c r="H871" i="2"/>
  <c r="G871" i="2"/>
  <c r="F871" i="2"/>
  <c r="E871" i="2"/>
  <c r="D871" i="2"/>
  <c r="C871" i="2"/>
  <c r="B871" i="2"/>
  <c r="A871" i="2"/>
  <c r="H870" i="2"/>
  <c r="G870" i="2"/>
  <c r="F870" i="2"/>
  <c r="E870" i="2"/>
  <c r="D870" i="2"/>
  <c r="C870" i="2"/>
  <c r="B870" i="2"/>
  <c r="A870" i="2"/>
  <c r="H869" i="2"/>
  <c r="G869" i="2"/>
  <c r="F869" i="2"/>
  <c r="E869" i="2"/>
  <c r="D869" i="2"/>
  <c r="C869" i="2"/>
  <c r="B869" i="2"/>
  <c r="A869" i="2"/>
  <c r="H868" i="2"/>
  <c r="G868" i="2"/>
  <c r="F868" i="2"/>
  <c r="E868" i="2"/>
  <c r="D868" i="2"/>
  <c r="C868" i="2"/>
  <c r="B868" i="2"/>
  <c r="A868" i="2"/>
  <c r="H867" i="2"/>
  <c r="G867" i="2"/>
  <c r="F867" i="2"/>
  <c r="E867" i="2"/>
  <c r="D867" i="2"/>
  <c r="C867" i="2"/>
  <c r="B867" i="2"/>
  <c r="A867" i="2"/>
  <c r="H866" i="2"/>
  <c r="G866" i="2"/>
  <c r="F866" i="2"/>
  <c r="E866" i="2"/>
  <c r="D866" i="2"/>
  <c r="C866" i="2"/>
  <c r="B866" i="2"/>
  <c r="A866" i="2"/>
  <c r="H865" i="2"/>
  <c r="G865" i="2"/>
  <c r="F865" i="2"/>
  <c r="E865" i="2"/>
  <c r="D865" i="2"/>
  <c r="C865" i="2"/>
  <c r="B865" i="2"/>
  <c r="A865" i="2"/>
  <c r="H864" i="2"/>
  <c r="G864" i="2"/>
  <c r="F864" i="2"/>
  <c r="E864" i="2"/>
  <c r="D864" i="2"/>
  <c r="C864" i="2"/>
  <c r="B864" i="2"/>
  <c r="A864" i="2"/>
  <c r="H863" i="2"/>
  <c r="G863" i="2"/>
  <c r="F863" i="2"/>
  <c r="E863" i="2"/>
  <c r="D863" i="2"/>
  <c r="C863" i="2"/>
  <c r="B863" i="2"/>
  <c r="A863" i="2"/>
  <c r="H862" i="2"/>
  <c r="G862" i="2"/>
  <c r="F862" i="2"/>
  <c r="E862" i="2"/>
  <c r="D862" i="2"/>
  <c r="C862" i="2"/>
  <c r="B862" i="2"/>
  <c r="A862" i="2"/>
  <c r="C861" i="2"/>
  <c r="B861" i="2"/>
  <c r="A861" i="2"/>
  <c r="C860" i="2"/>
  <c r="B860" i="2"/>
  <c r="A860" i="2"/>
  <c r="C859" i="2"/>
  <c r="B859" i="2"/>
  <c r="A859" i="2"/>
  <c r="C858" i="2"/>
  <c r="B858" i="2"/>
  <c r="A858" i="2"/>
  <c r="C857" i="2"/>
  <c r="B857" i="2"/>
  <c r="A857" i="2"/>
  <c r="C856" i="2"/>
  <c r="B856" i="2"/>
  <c r="A856" i="2"/>
  <c r="C855" i="2"/>
  <c r="B855" i="2"/>
  <c r="A855" i="2"/>
  <c r="C854" i="2"/>
  <c r="B854" i="2"/>
  <c r="A854" i="2"/>
  <c r="C853" i="2"/>
  <c r="B853" i="2"/>
  <c r="A853" i="2"/>
  <c r="C852" i="2"/>
  <c r="B852" i="2"/>
  <c r="A852" i="2"/>
  <c r="C851" i="2"/>
  <c r="B851" i="2"/>
  <c r="A851" i="2"/>
  <c r="C850" i="2"/>
  <c r="B850" i="2"/>
  <c r="A850" i="2"/>
  <c r="C849" i="2"/>
  <c r="B849" i="2"/>
  <c r="A849" i="2"/>
  <c r="G848" i="2"/>
  <c r="F848" i="2"/>
  <c r="D848" i="2"/>
  <c r="C848" i="2"/>
  <c r="B848" i="2"/>
  <c r="D847" i="2"/>
  <c r="C847" i="2"/>
  <c r="B847" i="2"/>
  <c r="A847" i="2"/>
  <c r="D846" i="2"/>
  <c r="C846" i="2"/>
  <c r="B846" i="2"/>
  <c r="A846" i="2"/>
  <c r="G845" i="2"/>
  <c r="F845" i="2"/>
  <c r="D845" i="2"/>
  <c r="C845" i="2"/>
  <c r="B845" i="2"/>
  <c r="A845" i="2"/>
  <c r="G844" i="2"/>
  <c r="F844" i="2"/>
  <c r="D844" i="2"/>
  <c r="C844" i="2"/>
  <c r="B844" i="2"/>
  <c r="A844" i="2"/>
  <c r="G843" i="2"/>
  <c r="F843" i="2"/>
  <c r="D843" i="2"/>
  <c r="C843" i="2"/>
  <c r="B843" i="2"/>
  <c r="A843" i="2"/>
  <c r="G842" i="2"/>
  <c r="D842" i="2"/>
  <c r="C842" i="2"/>
  <c r="B842" i="2"/>
  <c r="A842" i="2"/>
  <c r="G841" i="2"/>
  <c r="D841" i="2"/>
  <c r="C841" i="2"/>
  <c r="B841" i="2"/>
  <c r="A841" i="2"/>
  <c r="G840" i="2"/>
  <c r="D840" i="2"/>
  <c r="C840" i="2"/>
  <c r="B840" i="2"/>
  <c r="A840" i="2"/>
  <c r="G839" i="2"/>
  <c r="F839" i="2"/>
  <c r="D839" i="2"/>
  <c r="C839" i="2"/>
  <c r="B839" i="2"/>
  <c r="A839" i="2"/>
  <c r="D838" i="2"/>
  <c r="C838" i="2"/>
  <c r="B838" i="2"/>
  <c r="A838" i="2"/>
  <c r="G837" i="2"/>
  <c r="F837" i="2"/>
  <c r="D837" i="2"/>
  <c r="C837" i="2"/>
  <c r="B837" i="2"/>
  <c r="A837" i="2"/>
  <c r="G836" i="2"/>
  <c r="F836" i="2"/>
  <c r="D836" i="2"/>
  <c r="C836" i="2"/>
  <c r="B836" i="2"/>
  <c r="A836" i="2"/>
  <c r="G835" i="2"/>
  <c r="F835" i="2"/>
  <c r="D835" i="2"/>
  <c r="C835" i="2"/>
  <c r="B835" i="2"/>
  <c r="A835" i="2"/>
  <c r="D834" i="2"/>
  <c r="C834" i="2"/>
  <c r="B834" i="2"/>
  <c r="A834" i="2"/>
  <c r="G833" i="2"/>
  <c r="F833" i="2"/>
  <c r="D833" i="2"/>
  <c r="C833" i="2"/>
  <c r="B833" i="2"/>
  <c r="A833" i="2"/>
  <c r="G832" i="2"/>
  <c r="F832" i="2"/>
  <c r="D832" i="2"/>
  <c r="C832" i="2"/>
  <c r="B832" i="2"/>
  <c r="A832" i="2"/>
  <c r="G831" i="2"/>
  <c r="F831" i="2"/>
  <c r="D831" i="2"/>
  <c r="C831" i="2"/>
  <c r="B831" i="2"/>
  <c r="A831" i="2"/>
  <c r="G830" i="2"/>
  <c r="F830" i="2"/>
  <c r="D830" i="2"/>
  <c r="C830" i="2"/>
  <c r="B830" i="2"/>
  <c r="A830" i="2"/>
  <c r="G829" i="2"/>
  <c r="F829" i="2"/>
  <c r="D829" i="2"/>
  <c r="C829" i="2"/>
  <c r="B829" i="2"/>
  <c r="A829" i="2"/>
  <c r="G828" i="2"/>
  <c r="F828" i="2"/>
  <c r="D828" i="2"/>
  <c r="C828" i="2"/>
  <c r="B828" i="2"/>
  <c r="A828" i="2"/>
  <c r="G827" i="2"/>
  <c r="F827" i="2"/>
  <c r="D827" i="2"/>
  <c r="C827" i="2"/>
  <c r="B827" i="2"/>
  <c r="A827" i="2"/>
  <c r="G826" i="2"/>
  <c r="F826" i="2"/>
  <c r="D826" i="2"/>
  <c r="C826" i="2"/>
  <c r="B826" i="2"/>
  <c r="A826" i="2"/>
  <c r="G825" i="2"/>
  <c r="F825" i="2"/>
  <c r="D825" i="2"/>
  <c r="C825" i="2"/>
  <c r="B825" i="2"/>
  <c r="A825" i="2"/>
  <c r="G824" i="2"/>
  <c r="F824" i="2"/>
  <c r="D824" i="2"/>
  <c r="C824" i="2"/>
  <c r="B824" i="2"/>
  <c r="A824" i="2"/>
  <c r="G823" i="2"/>
  <c r="F823" i="2"/>
  <c r="D823" i="2"/>
  <c r="C823" i="2"/>
  <c r="B823" i="2"/>
  <c r="A823" i="2"/>
  <c r="H817" i="2"/>
  <c r="G817" i="2"/>
  <c r="F817" i="2"/>
  <c r="E817" i="2"/>
  <c r="D817" i="2"/>
  <c r="C817" i="2"/>
  <c r="B817" i="2"/>
  <c r="A817" i="2"/>
  <c r="H816" i="2"/>
  <c r="G816" i="2"/>
  <c r="F816" i="2"/>
  <c r="E816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H771" i="2"/>
  <c r="G771" i="2"/>
  <c r="F771" i="2"/>
  <c r="E771" i="2"/>
  <c r="D771" i="2"/>
  <c r="C771" i="2"/>
  <c r="B771" i="2"/>
  <c r="A771" i="2"/>
  <c r="H770" i="2"/>
  <c r="G770" i="2"/>
  <c r="F770" i="2"/>
  <c r="E770" i="2"/>
  <c r="D770" i="2"/>
  <c r="C770" i="2"/>
  <c r="B770" i="2"/>
  <c r="A770" i="2"/>
  <c r="H769" i="2"/>
  <c r="G769" i="2"/>
  <c r="F769" i="2"/>
  <c r="E769" i="2"/>
  <c r="D769" i="2"/>
  <c r="C769" i="2"/>
  <c r="B769" i="2"/>
  <c r="A769" i="2"/>
  <c r="H768" i="2"/>
  <c r="G768" i="2"/>
  <c r="F768" i="2"/>
  <c r="E768" i="2"/>
  <c r="D768" i="2"/>
  <c r="C768" i="2"/>
  <c r="B768" i="2"/>
  <c r="A768" i="2"/>
  <c r="H767" i="2"/>
  <c r="G767" i="2"/>
  <c r="F767" i="2"/>
  <c r="E767" i="2"/>
  <c r="D767" i="2"/>
  <c r="C767" i="2"/>
  <c r="B767" i="2"/>
  <c r="A767" i="2"/>
  <c r="H766" i="2"/>
  <c r="G766" i="2"/>
  <c r="F766" i="2"/>
  <c r="E766" i="2"/>
  <c r="D766" i="2"/>
  <c r="C766" i="2"/>
  <c r="B766" i="2"/>
  <c r="A766" i="2"/>
  <c r="H765" i="2"/>
  <c r="G765" i="2"/>
  <c r="F765" i="2"/>
  <c r="E765" i="2"/>
  <c r="D765" i="2"/>
  <c r="C765" i="2"/>
  <c r="B765" i="2"/>
  <c r="A765" i="2"/>
  <c r="H764" i="2"/>
  <c r="G764" i="2"/>
  <c r="F764" i="2"/>
  <c r="E764" i="2"/>
  <c r="D764" i="2"/>
  <c r="C764" i="2"/>
  <c r="B764" i="2"/>
  <c r="A764" i="2"/>
  <c r="G763" i="2"/>
  <c r="F763" i="2"/>
  <c r="D763" i="2"/>
  <c r="C763" i="2"/>
  <c r="B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G759" i="2"/>
  <c r="D759" i="2"/>
  <c r="C759" i="2"/>
  <c r="B759" i="2"/>
  <c r="A759" i="2"/>
  <c r="D758" i="2"/>
  <c r="C758" i="2"/>
  <c r="B758" i="2"/>
  <c r="A758" i="2"/>
  <c r="G757" i="2"/>
  <c r="D757" i="2"/>
  <c r="C757" i="2"/>
  <c r="B757" i="2"/>
  <c r="A757" i="2"/>
  <c r="G756" i="2"/>
  <c r="F756" i="2"/>
  <c r="D756" i="2"/>
  <c r="C756" i="2"/>
  <c r="B756" i="2"/>
  <c r="A756" i="2"/>
  <c r="G755" i="2"/>
  <c r="F755" i="2"/>
  <c r="D755" i="2"/>
  <c r="C755" i="2"/>
  <c r="B755" i="2"/>
  <c r="A755" i="2"/>
  <c r="G754" i="2"/>
  <c r="F754" i="2"/>
  <c r="D754" i="2"/>
  <c r="C754" i="2"/>
  <c r="B754" i="2"/>
  <c r="A754" i="2"/>
  <c r="G753" i="2"/>
  <c r="F753" i="2"/>
  <c r="D753" i="2"/>
  <c r="C753" i="2"/>
  <c r="B753" i="2"/>
  <c r="A753" i="2"/>
  <c r="G752" i="2"/>
  <c r="F752" i="2"/>
  <c r="D752" i="2"/>
  <c r="C752" i="2"/>
  <c r="B752" i="2"/>
  <c r="A752" i="2"/>
  <c r="G751" i="2"/>
  <c r="F751" i="2"/>
  <c r="D751" i="2"/>
  <c r="C751" i="2"/>
  <c r="B751" i="2"/>
  <c r="A751" i="2"/>
  <c r="G750" i="2"/>
  <c r="F750" i="2"/>
  <c r="D750" i="2"/>
  <c r="C750" i="2"/>
  <c r="B750" i="2"/>
  <c r="A750" i="2"/>
  <c r="G749" i="2"/>
  <c r="F749" i="2"/>
  <c r="D749" i="2"/>
  <c r="C749" i="2"/>
  <c r="B749" i="2"/>
  <c r="A749" i="2"/>
  <c r="G748" i="2"/>
  <c r="F748" i="2"/>
  <c r="D748" i="2"/>
  <c r="C748" i="2"/>
  <c r="B748" i="2"/>
  <c r="A748" i="2"/>
  <c r="G747" i="2"/>
  <c r="F747" i="2"/>
  <c r="D747" i="2"/>
  <c r="C747" i="2"/>
  <c r="B747" i="2"/>
  <c r="A747" i="2"/>
  <c r="G746" i="2"/>
  <c r="F746" i="2"/>
  <c r="D746" i="2"/>
  <c r="C746" i="2"/>
  <c r="B746" i="2"/>
  <c r="A746" i="2"/>
  <c r="G745" i="2"/>
  <c r="F745" i="2"/>
  <c r="D745" i="2"/>
  <c r="C745" i="2"/>
  <c r="B745" i="2"/>
  <c r="A745" i="2"/>
  <c r="G744" i="2"/>
  <c r="F744" i="2"/>
  <c r="D744" i="2"/>
  <c r="C744" i="2"/>
  <c r="B744" i="2"/>
  <c r="A744" i="2"/>
  <c r="G743" i="2"/>
  <c r="F743" i="2"/>
  <c r="D743" i="2"/>
  <c r="C743" i="2"/>
  <c r="B743" i="2"/>
  <c r="A743" i="2"/>
  <c r="G742" i="2"/>
  <c r="F742" i="2"/>
  <c r="D742" i="2"/>
  <c r="C742" i="2"/>
  <c r="B742" i="2"/>
  <c r="A742" i="2"/>
  <c r="G736" i="2"/>
  <c r="F736" i="2"/>
  <c r="E736" i="2"/>
  <c r="D736" i="2"/>
  <c r="C736" i="2"/>
  <c r="B736" i="2"/>
  <c r="A736" i="2"/>
  <c r="G735" i="2"/>
  <c r="F735" i="2"/>
  <c r="E735" i="2"/>
  <c r="D735" i="2"/>
  <c r="C735" i="2"/>
  <c r="B735" i="2"/>
  <c r="A735" i="2"/>
  <c r="G734" i="2"/>
  <c r="F734" i="2"/>
  <c r="E734" i="2"/>
  <c r="D734" i="2"/>
  <c r="C734" i="2"/>
  <c r="B734" i="2"/>
  <c r="A734" i="2"/>
  <c r="G733" i="2"/>
  <c r="F733" i="2"/>
  <c r="E733" i="2"/>
  <c r="D733" i="2"/>
  <c r="C733" i="2"/>
  <c r="B733" i="2"/>
  <c r="A733" i="2"/>
  <c r="E732" i="2"/>
  <c r="D732" i="2"/>
  <c r="C732" i="2"/>
  <c r="B732" i="2"/>
  <c r="A732" i="2"/>
  <c r="E731" i="2"/>
  <c r="D731" i="2"/>
  <c r="C731" i="2"/>
  <c r="B731" i="2"/>
  <c r="A731" i="2"/>
  <c r="E730" i="2"/>
  <c r="D730" i="2"/>
  <c r="C730" i="2"/>
  <c r="B730" i="2"/>
  <c r="A730" i="2"/>
  <c r="E729" i="2"/>
  <c r="D729" i="2"/>
  <c r="C729" i="2"/>
  <c r="B729" i="2"/>
  <c r="A729" i="2"/>
  <c r="E728" i="2"/>
  <c r="D728" i="2"/>
  <c r="C728" i="2"/>
  <c r="B728" i="2"/>
  <c r="A728" i="2"/>
  <c r="E727" i="2"/>
  <c r="D727" i="2"/>
  <c r="C727" i="2"/>
  <c r="B727" i="2"/>
  <c r="A727" i="2"/>
  <c r="E726" i="2"/>
  <c r="D726" i="2"/>
  <c r="C726" i="2"/>
  <c r="B726" i="2"/>
  <c r="A726" i="2"/>
  <c r="E725" i="2"/>
  <c r="D725" i="2"/>
  <c r="C725" i="2"/>
  <c r="B725" i="2"/>
  <c r="A725" i="2"/>
  <c r="E724" i="2"/>
  <c r="D724" i="2"/>
  <c r="C724" i="2"/>
  <c r="B724" i="2"/>
  <c r="A724" i="2"/>
  <c r="E723" i="2"/>
  <c r="D723" i="2"/>
  <c r="C723" i="2"/>
  <c r="B723" i="2"/>
  <c r="A723" i="2"/>
  <c r="E722" i="2"/>
  <c r="D722" i="2"/>
  <c r="C722" i="2"/>
  <c r="B722" i="2"/>
  <c r="A722" i="2"/>
  <c r="E721" i="2"/>
  <c r="D721" i="2"/>
  <c r="C721" i="2"/>
  <c r="B721" i="2"/>
  <c r="A721" i="2"/>
  <c r="E720" i="2"/>
  <c r="D720" i="2"/>
  <c r="C720" i="2"/>
  <c r="B720" i="2"/>
  <c r="A720" i="2"/>
  <c r="E719" i="2"/>
  <c r="D719" i="2"/>
  <c r="C719" i="2"/>
  <c r="B719" i="2"/>
  <c r="A719" i="2"/>
  <c r="E718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H713" i="2"/>
  <c r="G713" i="2"/>
  <c r="F713" i="2"/>
  <c r="E713" i="2"/>
  <c r="D713" i="2"/>
  <c r="C713" i="2"/>
  <c r="B713" i="2"/>
  <c r="A713" i="2"/>
  <c r="D712" i="2"/>
  <c r="C712" i="2"/>
  <c r="B712" i="2"/>
  <c r="A712" i="2"/>
  <c r="H688" i="2"/>
  <c r="G688" i="2"/>
  <c r="F688" i="2"/>
  <c r="E688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G681" i="2"/>
  <c r="D681" i="2"/>
  <c r="C681" i="2"/>
  <c r="B681" i="2"/>
  <c r="A681" i="2"/>
  <c r="H675" i="2"/>
  <c r="D675" i="2"/>
  <c r="C675" i="2"/>
  <c r="B675" i="2"/>
  <c r="A675" i="2"/>
  <c r="H651" i="2"/>
  <c r="G651" i="2"/>
  <c r="F651" i="2"/>
  <c r="E651" i="2"/>
  <c r="D651" i="2"/>
  <c r="C651" i="2"/>
  <c r="B651" i="2"/>
  <c r="A651" i="2"/>
  <c r="H650" i="2"/>
  <c r="G650" i="2"/>
  <c r="F650" i="2"/>
  <c r="E650" i="2"/>
  <c r="D650" i="2"/>
  <c r="C650" i="2"/>
  <c r="B650" i="2"/>
  <c r="A650" i="2"/>
  <c r="H649" i="2"/>
  <c r="E649" i="2"/>
  <c r="D649" i="2"/>
  <c r="C649" i="2"/>
  <c r="B649" i="2"/>
  <c r="A649" i="2"/>
  <c r="H648" i="2"/>
  <c r="E648" i="2"/>
  <c r="D648" i="2"/>
  <c r="C648" i="2"/>
  <c r="B648" i="2"/>
  <c r="A648" i="2"/>
  <c r="H647" i="2"/>
  <c r="E647" i="2"/>
  <c r="D647" i="2"/>
  <c r="C647" i="2"/>
  <c r="B647" i="2"/>
  <c r="A647" i="2"/>
  <c r="E646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G641" i="2"/>
  <c r="D641" i="2"/>
  <c r="C641" i="2"/>
  <c r="B641" i="2"/>
  <c r="A641" i="2"/>
  <c r="H635" i="2"/>
  <c r="D635" i="2"/>
  <c r="C635" i="2"/>
  <c r="B635" i="2"/>
  <c r="A635" i="2"/>
  <c r="H611" i="2"/>
  <c r="G611" i="2"/>
  <c r="F611" i="2"/>
  <c r="E611" i="2"/>
  <c r="D611" i="2"/>
  <c r="C611" i="2"/>
  <c r="B611" i="2"/>
  <c r="A611" i="2"/>
  <c r="H610" i="2"/>
  <c r="G610" i="2"/>
  <c r="F610" i="2"/>
  <c r="E610" i="2"/>
  <c r="D610" i="2"/>
  <c r="C610" i="2"/>
  <c r="B610" i="2"/>
  <c r="A610" i="2"/>
  <c r="G604" i="2"/>
  <c r="F604" i="2"/>
  <c r="E604" i="2"/>
  <c r="D604" i="2"/>
  <c r="C604" i="2"/>
  <c r="B604" i="2"/>
  <c r="A604" i="2"/>
  <c r="H603" i="2"/>
  <c r="G603" i="2"/>
  <c r="E603" i="2"/>
  <c r="D603" i="2"/>
  <c r="C603" i="2"/>
  <c r="B603" i="2"/>
  <c r="A603" i="2"/>
  <c r="H602" i="2"/>
  <c r="E602" i="2"/>
  <c r="D602" i="2"/>
  <c r="C602" i="2"/>
  <c r="B602" i="2"/>
  <c r="A602" i="2"/>
  <c r="H601" i="2"/>
  <c r="E601" i="2"/>
  <c r="D601" i="2"/>
  <c r="C601" i="2"/>
  <c r="B601" i="2"/>
  <c r="A601" i="2"/>
  <c r="E600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G597" i="2"/>
  <c r="D597" i="2"/>
  <c r="C597" i="2"/>
  <c r="B597" i="2"/>
  <c r="A597" i="2"/>
  <c r="G596" i="2"/>
  <c r="D596" i="2"/>
  <c r="C596" i="2"/>
  <c r="B596" i="2"/>
  <c r="A596" i="2"/>
  <c r="H590" i="2"/>
  <c r="D590" i="2"/>
  <c r="C590" i="2"/>
  <c r="B590" i="2"/>
  <c r="A590" i="2"/>
  <c r="H566" i="2"/>
  <c r="G566" i="2"/>
  <c r="F566" i="2"/>
  <c r="E566" i="2"/>
  <c r="D566" i="2"/>
  <c r="C566" i="2"/>
  <c r="B566" i="2"/>
  <c r="A566" i="2"/>
  <c r="H565" i="2"/>
  <c r="G565" i="2"/>
  <c r="F565" i="2"/>
  <c r="E565" i="2"/>
  <c r="D565" i="2"/>
  <c r="C565" i="2"/>
  <c r="B565" i="2"/>
  <c r="A565" i="2"/>
  <c r="E564" i="2"/>
  <c r="D564" i="2"/>
  <c r="C564" i="2"/>
  <c r="B564" i="2"/>
  <c r="A564" i="2"/>
  <c r="D563" i="2"/>
  <c r="C563" i="2"/>
  <c r="B563" i="2"/>
  <c r="A563" i="2"/>
  <c r="G562" i="2"/>
  <c r="D562" i="2"/>
  <c r="C562" i="2"/>
  <c r="B562" i="2"/>
  <c r="A562" i="2"/>
  <c r="H556" i="2"/>
  <c r="D556" i="2"/>
  <c r="C556" i="2"/>
  <c r="B556" i="2"/>
  <c r="A556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G528" i="2"/>
  <c r="D528" i="2"/>
  <c r="C528" i="2"/>
  <c r="B528" i="2"/>
  <c r="A528" i="2"/>
  <c r="H522" i="2"/>
  <c r="D522" i="2"/>
  <c r="C522" i="2"/>
  <c r="B522" i="2"/>
  <c r="A522" i="2"/>
  <c r="H521" i="2"/>
  <c r="D521" i="2"/>
  <c r="C521" i="2"/>
  <c r="B521" i="2"/>
  <c r="A521" i="2"/>
  <c r="H520" i="2"/>
  <c r="D520" i="2"/>
  <c r="C520" i="2"/>
  <c r="B520" i="2"/>
  <c r="A520" i="2"/>
  <c r="H497" i="2"/>
  <c r="G497" i="2"/>
  <c r="F497" i="2"/>
  <c r="E497" i="2"/>
  <c r="D497" i="2"/>
  <c r="C497" i="2"/>
  <c r="B497" i="2"/>
  <c r="A497" i="2"/>
  <c r="H496" i="2"/>
  <c r="G496" i="2"/>
  <c r="C496" i="2"/>
  <c r="G495" i="2"/>
  <c r="F495" i="2"/>
  <c r="D495" i="2"/>
  <c r="C495" i="2"/>
  <c r="B495" i="2"/>
  <c r="A495" i="2"/>
  <c r="G494" i="2"/>
  <c r="F494" i="2"/>
  <c r="D494" i="2"/>
  <c r="C494" i="2"/>
  <c r="B494" i="2"/>
  <c r="A494" i="2"/>
  <c r="G493" i="2"/>
  <c r="D493" i="2"/>
  <c r="C493" i="2"/>
  <c r="B493" i="2"/>
  <c r="A493" i="2"/>
  <c r="G492" i="2"/>
  <c r="F492" i="2"/>
  <c r="D492" i="2"/>
  <c r="C492" i="2"/>
  <c r="B492" i="2"/>
  <c r="A492" i="2"/>
  <c r="G491" i="2"/>
  <c r="F491" i="2"/>
  <c r="D491" i="2"/>
  <c r="C491" i="2"/>
  <c r="B491" i="2"/>
  <c r="A491" i="2"/>
  <c r="G490" i="2"/>
  <c r="D490" i="2"/>
  <c r="C490" i="2"/>
  <c r="B490" i="2"/>
  <c r="A490" i="2"/>
  <c r="H484" i="2"/>
  <c r="D484" i="2"/>
  <c r="C484" i="2"/>
  <c r="B484" i="2"/>
  <c r="A484" i="2"/>
  <c r="H461" i="2"/>
  <c r="G461" i="2"/>
  <c r="F461" i="2"/>
  <c r="E461" i="2"/>
  <c r="D461" i="2"/>
  <c r="C461" i="2"/>
  <c r="B461" i="2"/>
  <c r="A461" i="2"/>
  <c r="H460" i="2"/>
  <c r="G460" i="2"/>
  <c r="F460" i="2"/>
  <c r="E460" i="2"/>
  <c r="D460" i="2"/>
  <c r="C460" i="2"/>
  <c r="B460" i="2"/>
  <c r="A460" i="2"/>
  <c r="H459" i="2"/>
  <c r="G459" i="2"/>
  <c r="F459" i="2"/>
  <c r="E459" i="2"/>
  <c r="D459" i="2"/>
  <c r="C459" i="2"/>
  <c r="B459" i="2"/>
  <c r="A459" i="2"/>
  <c r="H458" i="2"/>
  <c r="G458" i="2"/>
  <c r="F458" i="2"/>
  <c r="E458" i="2"/>
  <c r="D458" i="2"/>
  <c r="C458" i="2"/>
  <c r="B458" i="2"/>
  <c r="A458" i="2"/>
  <c r="H457" i="2"/>
  <c r="G457" i="2"/>
  <c r="F457" i="2"/>
  <c r="E457" i="2"/>
  <c r="D457" i="2"/>
  <c r="C457" i="2"/>
  <c r="B457" i="2"/>
  <c r="A457" i="2"/>
  <c r="H456" i="2"/>
  <c r="G456" i="2"/>
  <c r="F456" i="2"/>
  <c r="E456" i="2"/>
  <c r="D456" i="2"/>
  <c r="C456" i="2"/>
  <c r="B456" i="2"/>
  <c r="A456" i="2"/>
  <c r="H455" i="2"/>
  <c r="G455" i="2"/>
  <c r="F455" i="2"/>
  <c r="E455" i="2"/>
  <c r="D455" i="2"/>
  <c r="C455" i="2"/>
  <c r="B455" i="2"/>
  <c r="A455" i="2"/>
  <c r="H454" i="2"/>
  <c r="G454" i="2"/>
  <c r="F454" i="2"/>
  <c r="E454" i="2"/>
  <c r="D454" i="2"/>
  <c r="C454" i="2"/>
  <c r="B454" i="2"/>
  <c r="A454" i="2"/>
  <c r="H453" i="2"/>
  <c r="G453" i="2"/>
  <c r="F453" i="2"/>
  <c r="E453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G446" i="2"/>
  <c r="D446" i="2"/>
  <c r="C446" i="2"/>
  <c r="B446" i="2"/>
  <c r="A446" i="2"/>
  <c r="H440" i="2"/>
  <c r="D440" i="2"/>
  <c r="C440" i="2"/>
  <c r="B440" i="2"/>
  <c r="A440" i="2"/>
  <c r="H439" i="2"/>
  <c r="D439" i="2"/>
  <c r="C439" i="2"/>
  <c r="B439" i="2"/>
  <c r="A439" i="2"/>
  <c r="H438" i="2"/>
  <c r="G438" i="2"/>
  <c r="D438" i="2"/>
  <c r="C438" i="2"/>
  <c r="B438" i="2"/>
  <c r="A438" i="2"/>
  <c r="H437" i="2"/>
  <c r="D437" i="2"/>
  <c r="C437" i="2"/>
  <c r="B437" i="2"/>
  <c r="A437" i="2"/>
  <c r="H436" i="2"/>
  <c r="D436" i="2"/>
  <c r="C436" i="2"/>
  <c r="B436" i="2"/>
  <c r="A436" i="2"/>
  <c r="H435" i="2"/>
  <c r="D435" i="2"/>
  <c r="C435" i="2"/>
  <c r="B435" i="2"/>
  <c r="A435" i="2"/>
  <c r="H434" i="2"/>
  <c r="D434" i="2"/>
  <c r="C434" i="2"/>
  <c r="B434" i="2"/>
  <c r="A434" i="2"/>
  <c r="H433" i="2"/>
  <c r="D433" i="2"/>
  <c r="C433" i="2"/>
  <c r="B433" i="2"/>
  <c r="A433" i="2"/>
  <c r="H432" i="2"/>
  <c r="D432" i="2"/>
  <c r="C432" i="2"/>
  <c r="B432" i="2"/>
  <c r="A432" i="2"/>
  <c r="H431" i="2"/>
  <c r="D431" i="2"/>
  <c r="C431" i="2"/>
  <c r="B431" i="2"/>
  <c r="A431" i="2"/>
  <c r="H407" i="2"/>
  <c r="G407" i="2"/>
  <c r="F407" i="2"/>
  <c r="E407" i="2"/>
  <c r="D407" i="2"/>
  <c r="C407" i="2"/>
  <c r="B407" i="2"/>
  <c r="A407" i="2"/>
  <c r="H406" i="2"/>
  <c r="G406" i="2"/>
  <c r="F406" i="2"/>
  <c r="E406" i="2"/>
  <c r="D406" i="2"/>
  <c r="C406" i="2"/>
  <c r="B406" i="2"/>
  <c r="A406" i="2"/>
  <c r="H405" i="2"/>
  <c r="G405" i="2"/>
  <c r="F405" i="2"/>
  <c r="E405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G394" i="2"/>
  <c r="D394" i="2"/>
  <c r="C394" i="2"/>
  <c r="B394" i="2"/>
  <c r="A394" i="2"/>
  <c r="G393" i="2"/>
  <c r="D393" i="2"/>
  <c r="C393" i="2"/>
  <c r="B393" i="2"/>
  <c r="A393" i="2"/>
  <c r="H387" i="2"/>
  <c r="D387" i="2"/>
  <c r="C387" i="2"/>
  <c r="B387" i="2"/>
  <c r="A387" i="2"/>
  <c r="H386" i="2"/>
  <c r="D386" i="2"/>
  <c r="C386" i="2"/>
  <c r="B386" i="2"/>
  <c r="A386" i="2"/>
  <c r="H385" i="2"/>
  <c r="D385" i="2"/>
  <c r="C385" i="2"/>
  <c r="B385" i="2"/>
  <c r="A385" i="2"/>
  <c r="H384" i="2"/>
  <c r="D384" i="2"/>
  <c r="C384" i="2"/>
  <c r="B384" i="2"/>
  <c r="A384" i="2"/>
  <c r="H383" i="2"/>
  <c r="D383" i="2"/>
  <c r="C383" i="2"/>
  <c r="B383" i="2"/>
  <c r="A383" i="2"/>
  <c r="H359" i="2"/>
  <c r="G359" i="2"/>
  <c r="F359" i="2"/>
  <c r="E359" i="2"/>
  <c r="D359" i="2"/>
  <c r="C359" i="2"/>
  <c r="B359" i="2"/>
  <c r="A359" i="2"/>
  <c r="H358" i="2"/>
  <c r="G358" i="2"/>
  <c r="F358" i="2"/>
  <c r="E358" i="2"/>
  <c r="D358" i="2"/>
  <c r="C358" i="2"/>
  <c r="B358" i="2"/>
  <c r="A358" i="2"/>
  <c r="H357" i="2"/>
  <c r="G357" i="2"/>
  <c r="F357" i="2"/>
  <c r="E357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G354" i="2"/>
  <c r="D354" i="2"/>
  <c r="C354" i="2"/>
  <c r="B354" i="2"/>
  <c r="A354" i="2"/>
  <c r="H348" i="2"/>
  <c r="D348" i="2"/>
  <c r="C348" i="2"/>
  <c r="B348" i="2"/>
  <c r="A348" i="2"/>
  <c r="H347" i="2"/>
  <c r="D347" i="2"/>
  <c r="C347" i="2"/>
  <c r="B347" i="2"/>
  <c r="A347" i="2"/>
  <c r="H323" i="2"/>
  <c r="G323" i="2"/>
  <c r="F323" i="2"/>
  <c r="E323" i="2"/>
  <c r="D323" i="2"/>
  <c r="C323" i="2"/>
  <c r="B323" i="2"/>
  <c r="A323" i="2"/>
  <c r="G322" i="2"/>
  <c r="D322" i="2"/>
  <c r="C322" i="2"/>
  <c r="B322" i="2"/>
  <c r="A322" i="2"/>
  <c r="H316" i="2"/>
  <c r="G316" i="2"/>
  <c r="F316" i="2"/>
  <c r="E316" i="2"/>
  <c r="D316" i="2"/>
  <c r="C316" i="2"/>
  <c r="B316" i="2"/>
  <c r="A316" i="2"/>
  <c r="H315" i="2"/>
  <c r="G315" i="2"/>
  <c r="F315" i="2"/>
  <c r="E315" i="2"/>
  <c r="D315" i="2"/>
  <c r="C315" i="2"/>
  <c r="B315" i="2"/>
  <c r="A315" i="2"/>
  <c r="H314" i="2"/>
  <c r="G314" i="2"/>
  <c r="F314" i="2"/>
  <c r="E314" i="2"/>
  <c r="D314" i="2"/>
  <c r="C314" i="2"/>
  <c r="B314" i="2"/>
  <c r="A314" i="2"/>
  <c r="H313" i="2"/>
  <c r="G313" i="2"/>
  <c r="F313" i="2"/>
  <c r="E313" i="2"/>
  <c r="D313" i="2"/>
  <c r="C313" i="2"/>
  <c r="B313" i="2"/>
  <c r="A313" i="2"/>
  <c r="H312" i="2"/>
  <c r="G312" i="2"/>
  <c r="F312" i="2"/>
  <c r="E312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G309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H304" i="2"/>
  <c r="G304" i="2"/>
  <c r="F304" i="2"/>
  <c r="E304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H300" i="2"/>
  <c r="G300" i="2"/>
  <c r="F300" i="2"/>
  <c r="E300" i="2"/>
  <c r="D300" i="2"/>
  <c r="C300" i="2"/>
  <c r="B300" i="2"/>
  <c r="A300" i="2"/>
  <c r="G299" i="2"/>
  <c r="D299" i="2"/>
  <c r="C299" i="2"/>
  <c r="B299" i="2"/>
  <c r="A299" i="2"/>
  <c r="G298" i="2"/>
  <c r="D298" i="2"/>
  <c r="C298" i="2"/>
  <c r="B298" i="2"/>
  <c r="A298" i="2"/>
  <c r="H289" i="2"/>
  <c r="D289" i="2"/>
  <c r="C289" i="2"/>
  <c r="B289" i="2"/>
  <c r="A289" i="2"/>
  <c r="H288" i="2"/>
  <c r="D288" i="2"/>
  <c r="C288" i="2"/>
  <c r="B288" i="2"/>
  <c r="A288" i="2"/>
  <c r="H287" i="2"/>
  <c r="D287" i="2"/>
  <c r="C287" i="2"/>
  <c r="B287" i="2"/>
  <c r="A287" i="2"/>
  <c r="H286" i="2"/>
  <c r="D286" i="2"/>
  <c r="C286" i="2"/>
  <c r="B286" i="2"/>
  <c r="A286" i="2"/>
  <c r="H285" i="2"/>
  <c r="D285" i="2"/>
  <c r="C285" i="2"/>
  <c r="B285" i="2"/>
  <c r="A285" i="2"/>
  <c r="H284" i="2"/>
  <c r="D284" i="2"/>
  <c r="C284" i="2"/>
  <c r="B284" i="2"/>
  <c r="A284" i="2"/>
  <c r="H283" i="2"/>
  <c r="D283" i="2"/>
  <c r="C283" i="2"/>
  <c r="B283" i="2"/>
  <c r="A283" i="2"/>
  <c r="H282" i="2"/>
  <c r="D282" i="2"/>
  <c r="C282" i="2"/>
  <c r="B282" i="2"/>
  <c r="A282" i="2"/>
  <c r="H281" i="2"/>
  <c r="D281" i="2"/>
  <c r="C281" i="2"/>
  <c r="B281" i="2"/>
  <c r="A281" i="2"/>
  <c r="H280" i="2"/>
  <c r="D280" i="2"/>
  <c r="C280" i="2"/>
  <c r="B280" i="2"/>
  <c r="A280" i="2"/>
  <c r="H279" i="2"/>
  <c r="D279" i="2"/>
  <c r="C279" i="2"/>
  <c r="B279" i="2"/>
  <c r="A279" i="2"/>
  <c r="H278" i="2"/>
  <c r="D278" i="2"/>
  <c r="C278" i="2"/>
  <c r="B278" i="2"/>
  <c r="A278" i="2"/>
  <c r="H277" i="2"/>
  <c r="D277" i="2"/>
  <c r="C277" i="2"/>
  <c r="B277" i="2"/>
  <c r="A277" i="2"/>
  <c r="H276" i="2"/>
  <c r="D276" i="2"/>
  <c r="C276" i="2"/>
  <c r="B276" i="2"/>
  <c r="A276" i="2"/>
  <c r="H275" i="2"/>
  <c r="G275" i="2"/>
  <c r="D275" i="2"/>
  <c r="C275" i="2"/>
  <c r="B275" i="2"/>
  <c r="A275" i="2"/>
  <c r="H274" i="2"/>
  <c r="D274" i="2"/>
  <c r="C274" i="2"/>
  <c r="B274" i="2"/>
  <c r="A274" i="2"/>
  <c r="H273" i="2"/>
  <c r="D273" i="2"/>
  <c r="C273" i="2"/>
  <c r="B273" i="2"/>
  <c r="A273" i="2"/>
  <c r="H272" i="2"/>
  <c r="D272" i="2"/>
  <c r="C272" i="2"/>
  <c r="B272" i="2"/>
  <c r="A272" i="2"/>
  <c r="H271" i="2"/>
  <c r="D271" i="2"/>
  <c r="C271" i="2"/>
  <c r="B271" i="2"/>
  <c r="A271" i="2"/>
  <c r="C246" i="2"/>
  <c r="A246" i="2"/>
  <c r="G245" i="2"/>
  <c r="F245" i="2"/>
  <c r="D245" i="2"/>
  <c r="C245" i="2"/>
  <c r="B245" i="2"/>
  <c r="A245" i="2"/>
  <c r="G244" i="2"/>
  <c r="D244" i="2"/>
  <c r="C244" i="2"/>
  <c r="B244" i="2"/>
  <c r="A244" i="2"/>
  <c r="H238" i="2"/>
  <c r="D238" i="2"/>
  <c r="C238" i="2"/>
  <c r="B238" i="2"/>
  <c r="A238" i="2"/>
  <c r="H214" i="2"/>
  <c r="G214" i="2"/>
  <c r="F214" i="2"/>
  <c r="D214" i="2"/>
  <c r="C214" i="2"/>
  <c r="B214" i="2"/>
  <c r="H213" i="2"/>
  <c r="G213" i="2"/>
  <c r="F213" i="2"/>
  <c r="E213" i="2"/>
  <c r="D213" i="2"/>
  <c r="C213" i="2"/>
  <c r="B213" i="2"/>
  <c r="A213" i="2"/>
  <c r="G212" i="2"/>
  <c r="F212" i="2"/>
  <c r="D212" i="2"/>
  <c r="C212" i="2"/>
  <c r="B212" i="2"/>
  <c r="A212" i="2"/>
  <c r="G211" i="2"/>
  <c r="F211" i="2"/>
  <c r="D211" i="2"/>
  <c r="C211" i="2"/>
  <c r="B211" i="2"/>
  <c r="A211" i="2"/>
  <c r="G210" i="2"/>
  <c r="F210" i="2"/>
  <c r="D210" i="2"/>
  <c r="C210" i="2"/>
  <c r="B210" i="2"/>
  <c r="A210" i="2"/>
  <c r="G209" i="2"/>
  <c r="F209" i="2"/>
  <c r="D209" i="2"/>
  <c r="C209" i="2"/>
  <c r="B209" i="2"/>
  <c r="A209" i="2"/>
  <c r="G208" i="2"/>
  <c r="F208" i="2"/>
  <c r="D208" i="2"/>
  <c r="C208" i="2"/>
  <c r="B208" i="2"/>
  <c r="A208" i="2"/>
  <c r="G207" i="2"/>
  <c r="F207" i="2"/>
  <c r="D207" i="2"/>
  <c r="C207" i="2"/>
  <c r="B207" i="2"/>
  <c r="A207" i="2"/>
  <c r="G206" i="2"/>
  <c r="F206" i="2"/>
  <c r="D206" i="2"/>
  <c r="C206" i="2"/>
  <c r="B206" i="2"/>
  <c r="A206" i="2"/>
  <c r="G205" i="2"/>
  <c r="F205" i="2"/>
  <c r="D205" i="2"/>
  <c r="C205" i="2"/>
  <c r="B205" i="2"/>
  <c r="A205" i="2"/>
  <c r="G204" i="2"/>
  <c r="F204" i="2"/>
  <c r="D204" i="2"/>
  <c r="C204" i="2"/>
  <c r="B204" i="2"/>
  <c r="A204" i="2"/>
  <c r="G203" i="2"/>
  <c r="F203" i="2"/>
  <c r="D203" i="2"/>
  <c r="C203" i="2"/>
  <c r="B203" i="2"/>
  <c r="A203" i="2"/>
  <c r="G202" i="2"/>
  <c r="F202" i="2"/>
  <c r="D202" i="2"/>
  <c r="C202" i="2"/>
  <c r="B202" i="2"/>
  <c r="A202" i="2"/>
  <c r="H196" i="2"/>
  <c r="G196" i="2"/>
  <c r="F196" i="2"/>
  <c r="E196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H168" i="2"/>
  <c r="G168" i="2"/>
  <c r="F168" i="2"/>
  <c r="E168" i="2"/>
  <c r="D168" i="2"/>
  <c r="C168" i="2"/>
  <c r="B168" i="2"/>
  <c r="A168" i="2"/>
  <c r="H167" i="2"/>
  <c r="G167" i="2"/>
  <c r="F167" i="2"/>
  <c r="E167" i="2"/>
  <c r="D167" i="2"/>
  <c r="C167" i="2"/>
  <c r="B167" i="2"/>
  <c r="A167" i="2"/>
  <c r="H166" i="2"/>
  <c r="G166" i="2"/>
  <c r="F166" i="2"/>
  <c r="E166" i="2"/>
  <c r="D166" i="2"/>
  <c r="C166" i="2"/>
  <c r="B166" i="2"/>
  <c r="A166" i="2"/>
  <c r="H165" i="2"/>
  <c r="G165" i="2"/>
  <c r="F165" i="2"/>
  <c r="E165" i="2"/>
  <c r="D165" i="2"/>
  <c r="C165" i="2"/>
  <c r="B165" i="2"/>
  <c r="A165" i="2"/>
  <c r="H164" i="2"/>
  <c r="G164" i="2"/>
  <c r="F164" i="2"/>
  <c r="E164" i="2"/>
  <c r="D164" i="2"/>
  <c r="C164" i="2"/>
  <c r="B164" i="2"/>
  <c r="A164" i="2"/>
  <c r="G163" i="2"/>
  <c r="F163" i="2"/>
  <c r="D163" i="2"/>
  <c r="C163" i="2"/>
  <c r="B163" i="2"/>
  <c r="G162" i="2"/>
  <c r="D162" i="2"/>
  <c r="C162" i="2"/>
  <c r="B162" i="2"/>
  <c r="A162" i="2"/>
  <c r="G161" i="2"/>
  <c r="D161" i="2"/>
  <c r="C161" i="2"/>
  <c r="B161" i="2"/>
  <c r="A161" i="2"/>
  <c r="H160" i="2"/>
  <c r="G160" i="2"/>
  <c r="F160" i="2"/>
  <c r="E160" i="2"/>
  <c r="D160" i="2"/>
  <c r="C160" i="2"/>
  <c r="B160" i="2"/>
  <c r="A160" i="2"/>
  <c r="G159" i="2"/>
  <c r="F159" i="2"/>
  <c r="E159" i="2"/>
  <c r="D159" i="2"/>
  <c r="C159" i="2"/>
  <c r="B159" i="2"/>
  <c r="A159" i="2"/>
  <c r="H158" i="2"/>
  <c r="G158" i="2"/>
  <c r="F158" i="2"/>
  <c r="E158" i="2"/>
  <c r="D158" i="2"/>
  <c r="C158" i="2"/>
  <c r="B158" i="2"/>
  <c r="A158" i="2"/>
  <c r="G157" i="2"/>
  <c r="D157" i="2"/>
  <c r="C157" i="2"/>
  <c r="B157" i="2"/>
  <c r="A157" i="2"/>
  <c r="G156" i="2"/>
  <c r="D156" i="2"/>
  <c r="C156" i="2"/>
  <c r="B156" i="2"/>
  <c r="A156" i="2"/>
  <c r="G155" i="2"/>
  <c r="D155" i="2"/>
  <c r="C155" i="2"/>
  <c r="B155" i="2"/>
  <c r="A155" i="2"/>
  <c r="H154" i="2"/>
  <c r="G154" i="2"/>
  <c r="F154" i="2"/>
  <c r="E154" i="2"/>
  <c r="D154" i="2"/>
  <c r="C154" i="2"/>
  <c r="B154" i="2"/>
  <c r="A154" i="2"/>
  <c r="G153" i="2"/>
  <c r="D153" i="2"/>
  <c r="C153" i="2"/>
  <c r="B153" i="2"/>
  <c r="A153" i="2"/>
  <c r="H152" i="2"/>
  <c r="G152" i="2"/>
  <c r="F152" i="2"/>
  <c r="E152" i="2"/>
  <c r="D152" i="2"/>
  <c r="C152" i="2"/>
  <c r="B152" i="2"/>
  <c r="A152" i="2"/>
  <c r="H151" i="2"/>
  <c r="G151" i="2"/>
  <c r="F151" i="2"/>
  <c r="E151" i="2"/>
  <c r="D151" i="2"/>
  <c r="C151" i="2"/>
  <c r="B151" i="2"/>
  <c r="A151" i="2"/>
  <c r="H150" i="2"/>
  <c r="G150" i="2"/>
  <c r="F150" i="2"/>
  <c r="E150" i="2"/>
  <c r="D150" i="2"/>
  <c r="C150" i="2"/>
  <c r="B150" i="2"/>
  <c r="A150" i="2"/>
  <c r="H149" i="2"/>
  <c r="G149" i="2"/>
  <c r="F149" i="2"/>
  <c r="E149" i="2"/>
  <c r="D149" i="2"/>
  <c r="C149" i="2"/>
  <c r="B149" i="2"/>
  <c r="A149" i="2"/>
  <c r="G148" i="2"/>
  <c r="D148" i="2"/>
  <c r="C148" i="2"/>
  <c r="B148" i="2"/>
  <c r="A148" i="2"/>
  <c r="H147" i="2"/>
  <c r="G147" i="2"/>
  <c r="F147" i="2"/>
  <c r="E147" i="2"/>
  <c r="D147" i="2"/>
  <c r="C147" i="2"/>
  <c r="B147" i="2"/>
  <c r="A147" i="2"/>
  <c r="H146" i="2"/>
  <c r="G146" i="2"/>
  <c r="F146" i="2"/>
  <c r="E146" i="2"/>
  <c r="D146" i="2"/>
  <c r="C146" i="2"/>
  <c r="B146" i="2"/>
  <c r="A146" i="2"/>
  <c r="G141" i="2"/>
  <c r="F141" i="2"/>
  <c r="E141" i="2"/>
  <c r="D141" i="2"/>
  <c r="C141" i="2"/>
  <c r="B141" i="2"/>
  <c r="A141" i="2"/>
  <c r="G140" i="2"/>
  <c r="F140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F92" i="2"/>
  <c r="F43" i="2"/>
  <c r="F42" i="2"/>
  <c r="F41" i="2"/>
  <c r="H972" i="2" l="1"/>
  <c r="H971" i="2"/>
  <c r="H970" i="2"/>
  <c r="H968" i="2"/>
  <c r="H897" i="2"/>
  <c r="H896" i="2"/>
  <c r="G972" i="10" l="1"/>
  <c r="G972" i="2" s="1"/>
  <c r="G971" i="10"/>
  <c r="G971" i="2" s="1"/>
  <c r="G970" i="10"/>
  <c r="G970" i="2" s="1"/>
  <c r="G969" i="10"/>
  <c r="G969" i="2" s="1"/>
  <c r="G968" i="10"/>
  <c r="G967" i="10"/>
  <c r="G967" i="2" s="1"/>
  <c r="G933" i="10"/>
  <c r="G933" i="2" s="1"/>
  <c r="G898" i="10"/>
  <c r="G898" i="2" s="1"/>
  <c r="G897" i="10"/>
  <c r="G897" i="2" s="1"/>
  <c r="G896" i="10"/>
  <c r="G896" i="2" s="1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E849" i="10"/>
  <c r="E849" i="2" s="1"/>
  <c r="E850" i="10"/>
  <c r="E850" i="2" s="1"/>
  <c r="E851" i="10"/>
  <c r="E851" i="2" s="1"/>
  <c r="E852" i="10"/>
  <c r="E852" i="2" s="1"/>
  <c r="E853" i="10"/>
  <c r="E853" i="2" s="1"/>
  <c r="E854" i="10"/>
  <c r="E854" i="2" s="1"/>
  <c r="E855" i="10"/>
  <c r="E855" i="2" s="1"/>
  <c r="E856" i="10"/>
  <c r="E856" i="2" s="1"/>
  <c r="E857" i="10"/>
  <c r="E857" i="2" s="1"/>
  <c r="E858" i="10"/>
  <c r="E858" i="2" s="1"/>
  <c r="E859" i="10"/>
  <c r="E859" i="2" s="1"/>
  <c r="E860" i="10"/>
  <c r="E860" i="2" s="1"/>
  <c r="E861" i="10"/>
  <c r="E861" i="2" s="1"/>
  <c r="D850" i="10"/>
  <c r="D850" i="2" s="1"/>
  <c r="D851" i="10"/>
  <c r="D851" i="2" s="1"/>
  <c r="D852" i="10"/>
  <c r="D852" i="2" s="1"/>
  <c r="D853" i="10"/>
  <c r="D853" i="2" s="1"/>
  <c r="D854" i="10"/>
  <c r="D854" i="2" s="1"/>
  <c r="D855" i="10"/>
  <c r="D855" i="2" s="1"/>
  <c r="D856" i="10"/>
  <c r="D856" i="2" s="1"/>
  <c r="D857" i="10"/>
  <c r="D857" i="2" s="1"/>
  <c r="D858" i="10"/>
  <c r="D858" i="2" s="1"/>
  <c r="D859" i="10"/>
  <c r="D859" i="2" s="1"/>
  <c r="D860" i="10"/>
  <c r="D860" i="2" s="1"/>
  <c r="D861" i="10"/>
  <c r="D861" i="2" s="1"/>
  <c r="D849" i="10"/>
  <c r="D849" i="2" s="1"/>
  <c r="A848" i="10"/>
  <c r="A848" i="2" s="1"/>
  <c r="H848" i="10"/>
  <c r="H848" i="2" s="1"/>
  <c r="G847" i="10"/>
  <c r="G847" i="2" s="1"/>
  <c r="G846" i="10"/>
  <c r="G846" i="2" s="1"/>
  <c r="G717" i="10"/>
  <c r="G717" i="2" s="1"/>
  <c r="G968" i="2" l="1"/>
  <c r="G859" i="2"/>
  <c r="G851" i="2"/>
  <c r="G858" i="2"/>
  <c r="G850" i="2"/>
  <c r="G861" i="2"/>
  <c r="G857" i="2"/>
  <c r="G853" i="2"/>
  <c r="G855" i="2"/>
  <c r="G849" i="2"/>
  <c r="G854" i="2"/>
  <c r="G860" i="2"/>
  <c r="G856" i="2"/>
  <c r="G852" i="2"/>
  <c r="G675" i="10"/>
  <c r="G675" i="2" s="1"/>
  <c r="G647" i="10"/>
  <c r="G647" i="2" s="1"/>
  <c r="G636" i="2"/>
  <c r="G635" i="10"/>
  <c r="G635" i="2" s="1"/>
  <c r="G590" i="10"/>
  <c r="G590" i="2" s="1"/>
  <c r="G557" i="2" l="1"/>
  <c r="G556" i="10"/>
  <c r="G556" i="2" s="1"/>
  <c r="G523" i="2"/>
  <c r="G522" i="10"/>
  <c r="G522" i="2" s="1"/>
  <c r="G521" i="10"/>
  <c r="G521" i="2" s="1"/>
  <c r="G520" i="10"/>
  <c r="G520" i="2" s="1"/>
  <c r="A496" i="10"/>
  <c r="A496" i="2" s="1"/>
  <c r="D496" i="10"/>
  <c r="D496" i="2" s="1"/>
  <c r="B496" i="10"/>
  <c r="B496" i="2" s="1"/>
  <c r="G485" i="2"/>
  <c r="G484" i="10"/>
  <c r="G484" i="2" s="1"/>
  <c r="G439" i="10"/>
  <c r="G439" i="2" s="1"/>
  <c r="G388" i="2"/>
  <c r="G387" i="10"/>
  <c r="G387" i="2" s="1"/>
  <c r="G386" i="10"/>
  <c r="G386" i="2" s="1"/>
  <c r="G385" i="10"/>
  <c r="G385" i="2" s="1"/>
  <c r="G384" i="10"/>
  <c r="G384" i="2" s="1"/>
  <c r="G383" i="10"/>
  <c r="G383" i="2" s="1"/>
  <c r="G349" i="2"/>
  <c r="G348" i="10"/>
  <c r="G348" i="2" s="1"/>
  <c r="G347" i="10"/>
  <c r="G347" i="2" s="1"/>
  <c r="J323" i="2"/>
  <c r="K322" i="2"/>
  <c r="K323" i="2" s="1"/>
  <c r="J322" i="2"/>
  <c r="M322" i="10"/>
  <c r="L322" i="10"/>
  <c r="K322" i="10"/>
  <c r="J322" i="10"/>
  <c r="G284" i="10" l="1"/>
  <c r="G284" i="2" s="1"/>
  <c r="G286" i="10"/>
  <c r="G286" i="2" s="1"/>
  <c r="G285" i="10"/>
  <c r="G285" i="2" s="1"/>
  <c r="G283" i="10"/>
  <c r="G283" i="2" s="1"/>
  <c r="G282" i="10"/>
  <c r="G282" i="2" s="1"/>
  <c r="G281" i="10"/>
  <c r="G281" i="2" s="1"/>
  <c r="G278" i="10"/>
  <c r="G278" i="2" s="1"/>
  <c r="G277" i="10"/>
  <c r="G277" i="2" s="1"/>
  <c r="G276" i="10"/>
  <c r="G276" i="2" s="1"/>
  <c r="G274" i="10"/>
  <c r="G274" i="2" s="1"/>
  <c r="G273" i="10"/>
  <c r="G273" i="2" s="1"/>
  <c r="G272" i="10"/>
  <c r="G272" i="2" s="1"/>
  <c r="G271" i="10"/>
  <c r="G271" i="2" s="1"/>
  <c r="G238" i="10"/>
  <c r="G238" i="2" s="1"/>
  <c r="H140" i="10" l="1"/>
  <c r="H140" i="2" s="1"/>
  <c r="H141" i="10"/>
  <c r="H141" i="2" s="1"/>
  <c r="G110" i="2" l="1"/>
  <c r="G128" i="2"/>
  <c r="G129" i="2"/>
  <c r="G133" i="2"/>
  <c r="G137" i="2"/>
  <c r="G118" i="2"/>
  <c r="G136" i="2"/>
  <c r="G115" i="2"/>
  <c r="G125" i="2"/>
  <c r="G112" i="2"/>
  <c r="G116" i="2"/>
  <c r="G120" i="2"/>
  <c r="G122" i="2"/>
  <c r="G126" i="2"/>
  <c r="G130" i="2"/>
  <c r="G134" i="2"/>
  <c r="G138" i="2"/>
  <c r="G114" i="2"/>
  <c r="G124" i="2"/>
  <c r="G132" i="2"/>
  <c r="G111" i="2"/>
  <c r="G119" i="2"/>
  <c r="G121" i="2"/>
  <c r="G113" i="2"/>
  <c r="G117" i="2"/>
  <c r="G123" i="2"/>
  <c r="G127" i="2"/>
  <c r="G131" i="2"/>
  <c r="G135" i="2"/>
  <c r="G139" i="2"/>
  <c r="G646" i="10"/>
  <c r="G646" i="2" s="1"/>
  <c r="G564" i="10"/>
  <c r="G564" i="2" s="1"/>
  <c r="G99" i="10"/>
  <c r="F92" i="10" l="1"/>
  <c r="I68" i="10"/>
  <c r="F43" i="10"/>
  <c r="F42" i="10"/>
  <c r="F41" i="10"/>
  <c r="E33" i="10" l="1"/>
  <c r="H5" i="10" l="1"/>
  <c r="J5" i="10"/>
  <c r="L5" i="10"/>
  <c r="N5" i="10"/>
  <c r="A3" i="2" l="1"/>
  <c r="L689" i="10" l="1"/>
  <c r="K689" i="10"/>
  <c r="J689" i="10"/>
  <c r="L688" i="10"/>
  <c r="K688" i="10"/>
  <c r="J688" i="10"/>
  <c r="L687" i="10"/>
  <c r="K687" i="10"/>
  <c r="J687" i="10"/>
  <c r="L686" i="10"/>
  <c r="K686" i="10"/>
  <c r="J686" i="10"/>
  <c r="L685" i="10"/>
  <c r="K685" i="10"/>
  <c r="J685" i="10"/>
  <c r="L684" i="10"/>
  <c r="K684" i="10"/>
  <c r="J684" i="10"/>
  <c r="L683" i="10"/>
  <c r="K683" i="10"/>
  <c r="J683" i="10"/>
  <c r="L682" i="10"/>
  <c r="K682" i="10"/>
  <c r="J682" i="10"/>
  <c r="L650" i="10"/>
  <c r="K650" i="10"/>
  <c r="J650" i="10"/>
  <c r="L647" i="10"/>
  <c r="K647" i="10"/>
  <c r="J647" i="10"/>
  <c r="L646" i="10"/>
  <c r="K646" i="10"/>
  <c r="J646" i="10"/>
  <c r="L645" i="10"/>
  <c r="K645" i="10"/>
  <c r="J645" i="10"/>
  <c r="L644" i="10"/>
  <c r="K644" i="10"/>
  <c r="J644" i="10"/>
  <c r="L643" i="10"/>
  <c r="K643" i="10"/>
  <c r="J643" i="10"/>
  <c r="L642" i="10"/>
  <c r="K642" i="10"/>
  <c r="J642" i="10"/>
  <c r="L604" i="10"/>
  <c r="K604" i="10"/>
  <c r="J604" i="10"/>
  <c r="L601" i="10"/>
  <c r="K601" i="10"/>
  <c r="J601" i="10"/>
  <c r="L600" i="10"/>
  <c r="K600" i="10"/>
  <c r="J600" i="10"/>
  <c r="L599" i="10"/>
  <c r="K599" i="10"/>
  <c r="J599" i="10"/>
  <c r="L598" i="10"/>
  <c r="K598" i="10"/>
  <c r="J598" i="10"/>
  <c r="L597" i="10"/>
  <c r="K597" i="10"/>
  <c r="J597" i="10"/>
  <c r="L566" i="10"/>
  <c r="K566" i="10"/>
  <c r="J566" i="10"/>
  <c r="L565" i="10"/>
  <c r="K565" i="10"/>
  <c r="J565" i="10"/>
  <c r="L564" i="10"/>
  <c r="K564" i="10"/>
  <c r="J564" i="10"/>
  <c r="L563" i="10"/>
  <c r="K563" i="10"/>
  <c r="J563" i="10"/>
  <c r="L246" i="10"/>
  <c r="K246" i="10"/>
  <c r="J246" i="10"/>
  <c r="L245" i="10"/>
  <c r="K245" i="10"/>
  <c r="J245" i="10"/>
  <c r="M1036" i="10"/>
  <c r="L1036" i="10"/>
  <c r="K1036" i="10"/>
  <c r="J1036" i="10"/>
  <c r="M1035" i="10"/>
  <c r="L1035" i="10"/>
  <c r="K1035" i="10"/>
  <c r="J1035" i="10"/>
  <c r="M1029" i="10"/>
  <c r="L1029" i="10"/>
  <c r="K1029" i="10"/>
  <c r="J1029" i="10"/>
  <c r="M1028" i="10"/>
  <c r="L1028" i="10"/>
  <c r="K1028" i="10"/>
  <c r="J1028" i="10"/>
  <c r="M998" i="10"/>
  <c r="L998" i="10"/>
  <c r="K998" i="10"/>
  <c r="J998" i="10"/>
  <c r="M997" i="10"/>
  <c r="L997" i="10"/>
  <c r="K997" i="10"/>
  <c r="J997" i="10"/>
  <c r="M996" i="10"/>
  <c r="L996" i="10"/>
  <c r="K996" i="10"/>
  <c r="J996" i="10"/>
  <c r="M990" i="10"/>
  <c r="L990" i="10"/>
  <c r="K990" i="10"/>
  <c r="J990" i="10"/>
  <c r="M989" i="10"/>
  <c r="L989" i="10"/>
  <c r="K989" i="10"/>
  <c r="J989" i="10"/>
  <c r="M988" i="10"/>
  <c r="L988" i="10"/>
  <c r="K988" i="10"/>
  <c r="J988" i="10"/>
  <c r="M987" i="10"/>
  <c r="L987" i="10"/>
  <c r="K987" i="10"/>
  <c r="J987" i="10"/>
  <c r="M986" i="10"/>
  <c r="L986" i="10"/>
  <c r="K986" i="10"/>
  <c r="J986" i="10"/>
  <c r="M985" i="10"/>
  <c r="L985" i="10"/>
  <c r="K985" i="10"/>
  <c r="J985" i="10"/>
  <c r="M984" i="10"/>
  <c r="L984" i="10"/>
  <c r="K984" i="10"/>
  <c r="J984" i="10"/>
  <c r="M983" i="10"/>
  <c r="L983" i="10"/>
  <c r="K983" i="10"/>
  <c r="J983" i="10"/>
  <c r="M982" i="10"/>
  <c r="L982" i="10"/>
  <c r="K982" i="10"/>
  <c r="J982" i="10"/>
  <c r="M981" i="10"/>
  <c r="L981" i="10"/>
  <c r="K981" i="10"/>
  <c r="J981" i="10"/>
  <c r="M943" i="10"/>
  <c r="L943" i="10"/>
  <c r="K943" i="10"/>
  <c r="J943" i="10"/>
  <c r="M942" i="10"/>
  <c r="L942" i="10"/>
  <c r="K942" i="10"/>
  <c r="J942" i="10"/>
  <c r="M941" i="10"/>
  <c r="L941" i="10"/>
  <c r="K941" i="10"/>
  <c r="J941" i="10"/>
  <c r="M940" i="10"/>
  <c r="L940" i="10"/>
  <c r="K940" i="10"/>
  <c r="J940" i="10"/>
  <c r="M908" i="10"/>
  <c r="L908" i="10"/>
  <c r="K908" i="10"/>
  <c r="J908" i="10"/>
  <c r="M907" i="10"/>
  <c r="L907" i="10"/>
  <c r="K907" i="10"/>
  <c r="J907" i="10"/>
  <c r="M906" i="10"/>
  <c r="L906" i="10"/>
  <c r="K906" i="10"/>
  <c r="J906" i="10"/>
  <c r="M905" i="10"/>
  <c r="L905" i="10"/>
  <c r="K905" i="10"/>
  <c r="J905" i="10"/>
  <c r="M872" i="10"/>
  <c r="L872" i="10"/>
  <c r="K872" i="10"/>
  <c r="J872" i="10"/>
  <c r="M871" i="10"/>
  <c r="L871" i="10"/>
  <c r="K871" i="10"/>
  <c r="J871" i="10"/>
  <c r="M870" i="10"/>
  <c r="L870" i="10"/>
  <c r="K870" i="10"/>
  <c r="J870" i="10"/>
  <c r="M869" i="10"/>
  <c r="L869" i="10"/>
  <c r="K869" i="10"/>
  <c r="J869" i="10"/>
  <c r="M868" i="10"/>
  <c r="L868" i="10"/>
  <c r="K868" i="10"/>
  <c r="J868" i="10"/>
  <c r="M867" i="10"/>
  <c r="L867" i="10"/>
  <c r="K867" i="10"/>
  <c r="J867" i="10"/>
  <c r="M866" i="10"/>
  <c r="L866" i="10"/>
  <c r="K866" i="10"/>
  <c r="J866" i="10"/>
  <c r="M865" i="10"/>
  <c r="L865" i="10"/>
  <c r="K865" i="10"/>
  <c r="J865" i="10"/>
  <c r="M864" i="10"/>
  <c r="L864" i="10"/>
  <c r="K864" i="10"/>
  <c r="J864" i="10"/>
  <c r="M863" i="10"/>
  <c r="L863" i="10"/>
  <c r="K863" i="10"/>
  <c r="J863" i="10"/>
  <c r="M862" i="10"/>
  <c r="L862" i="10"/>
  <c r="K862" i="10"/>
  <c r="J862" i="10"/>
  <c r="M861" i="10"/>
  <c r="L861" i="10"/>
  <c r="K861" i="10"/>
  <c r="J861" i="10"/>
  <c r="M860" i="10"/>
  <c r="L860" i="10"/>
  <c r="K860" i="10"/>
  <c r="J860" i="10"/>
  <c r="M859" i="10"/>
  <c r="L859" i="10"/>
  <c r="K859" i="10"/>
  <c r="J859" i="10"/>
  <c r="M858" i="10"/>
  <c r="L858" i="10"/>
  <c r="K858" i="10"/>
  <c r="J858" i="10"/>
  <c r="M857" i="10"/>
  <c r="L857" i="10"/>
  <c r="K857" i="10"/>
  <c r="J857" i="10"/>
  <c r="M855" i="10"/>
  <c r="L855" i="10"/>
  <c r="K855" i="10"/>
  <c r="J855" i="10"/>
  <c r="M854" i="10"/>
  <c r="L854" i="10"/>
  <c r="K854" i="10"/>
  <c r="J854" i="10"/>
  <c r="M853" i="10"/>
  <c r="L853" i="10"/>
  <c r="K853" i="10"/>
  <c r="J853" i="10"/>
  <c r="M852" i="10"/>
  <c r="L852" i="10"/>
  <c r="K852" i="10"/>
  <c r="J852" i="10"/>
  <c r="M851" i="10"/>
  <c r="L851" i="10"/>
  <c r="K851" i="10"/>
  <c r="J851" i="10"/>
  <c r="M850" i="10"/>
  <c r="L850" i="10"/>
  <c r="K850" i="10"/>
  <c r="J850" i="10"/>
  <c r="M849" i="10"/>
  <c r="L849" i="10"/>
  <c r="K849" i="10"/>
  <c r="J849" i="10"/>
  <c r="M848" i="10"/>
  <c r="L848" i="10"/>
  <c r="K848" i="10"/>
  <c r="J848" i="10"/>
  <c r="M847" i="10"/>
  <c r="L847" i="10"/>
  <c r="K847" i="10"/>
  <c r="J847" i="10"/>
  <c r="M846" i="10"/>
  <c r="L846" i="10"/>
  <c r="K846" i="10"/>
  <c r="J846" i="10"/>
  <c r="M845" i="10"/>
  <c r="L845" i="10"/>
  <c r="K845" i="10"/>
  <c r="J845" i="10"/>
  <c r="M844" i="10"/>
  <c r="L844" i="10"/>
  <c r="K844" i="10"/>
  <c r="J844" i="10"/>
  <c r="M843" i="10"/>
  <c r="L843" i="10"/>
  <c r="K843" i="10"/>
  <c r="J843" i="10"/>
  <c r="M842" i="10"/>
  <c r="L842" i="10"/>
  <c r="K842" i="10"/>
  <c r="J842" i="10"/>
  <c r="M841" i="10"/>
  <c r="L841" i="10"/>
  <c r="K841" i="10"/>
  <c r="J841" i="10"/>
  <c r="M840" i="10"/>
  <c r="L840" i="10"/>
  <c r="K840" i="10"/>
  <c r="J840" i="10"/>
  <c r="M839" i="10"/>
  <c r="L839" i="10"/>
  <c r="K839" i="10"/>
  <c r="J839" i="10"/>
  <c r="M838" i="10"/>
  <c r="L838" i="10"/>
  <c r="K838" i="10"/>
  <c r="J838" i="10"/>
  <c r="M837" i="10"/>
  <c r="L837" i="10"/>
  <c r="K837" i="10"/>
  <c r="J837" i="10"/>
  <c r="M836" i="10"/>
  <c r="L836" i="10"/>
  <c r="K836" i="10"/>
  <c r="J836" i="10"/>
  <c r="M835" i="10"/>
  <c r="L835" i="10"/>
  <c r="K835" i="10"/>
  <c r="J835" i="10"/>
  <c r="M834" i="10"/>
  <c r="L834" i="10"/>
  <c r="K834" i="10"/>
  <c r="J834" i="10"/>
  <c r="M833" i="10"/>
  <c r="L833" i="10"/>
  <c r="K833" i="10"/>
  <c r="J833" i="10"/>
  <c r="M832" i="10"/>
  <c r="L832" i="10"/>
  <c r="K832" i="10"/>
  <c r="J832" i="10"/>
  <c r="M831" i="10"/>
  <c r="L831" i="10"/>
  <c r="K831" i="10"/>
  <c r="J831" i="10"/>
  <c r="M830" i="10"/>
  <c r="L830" i="10"/>
  <c r="K830" i="10"/>
  <c r="J830" i="10"/>
  <c r="M829" i="10"/>
  <c r="L829" i="10"/>
  <c r="K829" i="10"/>
  <c r="J829" i="10"/>
  <c r="M828" i="10"/>
  <c r="L828" i="10"/>
  <c r="K828" i="10"/>
  <c r="J828" i="10"/>
  <c r="M827" i="10"/>
  <c r="L827" i="10"/>
  <c r="K827" i="10"/>
  <c r="J827" i="10"/>
  <c r="M826" i="10"/>
  <c r="L826" i="10"/>
  <c r="K826" i="10"/>
  <c r="J826" i="10"/>
  <c r="M825" i="10"/>
  <c r="L825" i="10"/>
  <c r="K825" i="10"/>
  <c r="J825" i="10"/>
  <c r="M824" i="10"/>
  <c r="L824" i="10"/>
  <c r="K824" i="10"/>
  <c r="J824" i="10"/>
  <c r="M823" i="10"/>
  <c r="L823" i="10"/>
  <c r="K823" i="10"/>
  <c r="J823" i="10"/>
  <c r="M817" i="10"/>
  <c r="L817" i="10"/>
  <c r="K817" i="10"/>
  <c r="J817" i="10"/>
  <c r="M816" i="10"/>
  <c r="L816" i="10"/>
  <c r="K816" i="10"/>
  <c r="J816" i="10"/>
  <c r="M815" i="10"/>
  <c r="L815" i="10"/>
  <c r="K815" i="10"/>
  <c r="J815" i="10"/>
  <c r="M814" i="10"/>
  <c r="L814" i="10"/>
  <c r="K814" i="10"/>
  <c r="J814" i="10"/>
  <c r="M813" i="10"/>
  <c r="L813" i="10"/>
  <c r="K813" i="10"/>
  <c r="J813" i="10"/>
  <c r="M812" i="10"/>
  <c r="L812" i="10"/>
  <c r="K812" i="10"/>
  <c r="J812" i="10"/>
  <c r="M811" i="10"/>
  <c r="L811" i="10"/>
  <c r="K811" i="10"/>
  <c r="J811" i="10"/>
  <c r="M810" i="10"/>
  <c r="L810" i="10"/>
  <c r="K810" i="10"/>
  <c r="J810" i="10"/>
  <c r="M809" i="10"/>
  <c r="L809" i="10"/>
  <c r="K809" i="10"/>
  <c r="J809" i="10"/>
  <c r="M808" i="10"/>
  <c r="L808" i="10"/>
  <c r="K808" i="10"/>
  <c r="J808" i="10"/>
  <c r="M807" i="10"/>
  <c r="L807" i="10"/>
  <c r="K807" i="10"/>
  <c r="J807" i="10"/>
  <c r="M806" i="10"/>
  <c r="L806" i="10"/>
  <c r="K806" i="10"/>
  <c r="J806" i="10"/>
  <c r="M805" i="10"/>
  <c r="L805" i="10"/>
  <c r="K805" i="10"/>
  <c r="J805" i="10"/>
  <c r="M804" i="10"/>
  <c r="L804" i="10"/>
  <c r="K804" i="10"/>
  <c r="J804" i="10"/>
  <c r="M803" i="10"/>
  <c r="L803" i="10"/>
  <c r="K803" i="10"/>
  <c r="J803" i="10"/>
  <c r="M802" i="10"/>
  <c r="L802" i="10"/>
  <c r="K802" i="10"/>
  <c r="J802" i="10"/>
  <c r="M801" i="10"/>
  <c r="L801" i="10"/>
  <c r="K801" i="10"/>
  <c r="J801" i="10"/>
  <c r="M800" i="10"/>
  <c r="L800" i="10"/>
  <c r="K800" i="10"/>
  <c r="J800" i="10"/>
  <c r="M799" i="10"/>
  <c r="L799" i="10"/>
  <c r="K799" i="10"/>
  <c r="J799" i="10"/>
  <c r="M798" i="10"/>
  <c r="L798" i="10"/>
  <c r="K798" i="10"/>
  <c r="J798" i="10"/>
  <c r="M797" i="10"/>
  <c r="L797" i="10"/>
  <c r="K797" i="10"/>
  <c r="J797" i="10"/>
  <c r="M796" i="10"/>
  <c r="L796" i="10"/>
  <c r="K796" i="10"/>
  <c r="J796" i="10"/>
  <c r="M795" i="10"/>
  <c r="L795" i="10"/>
  <c r="K795" i="10"/>
  <c r="J795" i="10"/>
  <c r="M771" i="10"/>
  <c r="L771" i="10"/>
  <c r="K771" i="10"/>
  <c r="J771" i="10"/>
  <c r="M770" i="10"/>
  <c r="L770" i="10"/>
  <c r="K770" i="10"/>
  <c r="J770" i="10"/>
  <c r="M769" i="10"/>
  <c r="L769" i="10"/>
  <c r="K769" i="10"/>
  <c r="J769" i="10"/>
  <c r="M768" i="10"/>
  <c r="L768" i="10"/>
  <c r="K768" i="10"/>
  <c r="J768" i="10"/>
  <c r="M767" i="10"/>
  <c r="L767" i="10"/>
  <c r="K767" i="10"/>
  <c r="J767" i="10"/>
  <c r="M766" i="10"/>
  <c r="L766" i="10"/>
  <c r="K766" i="10"/>
  <c r="J766" i="10"/>
  <c r="M765" i="10"/>
  <c r="L765" i="10"/>
  <c r="K765" i="10"/>
  <c r="J765" i="10"/>
  <c r="M764" i="10"/>
  <c r="L764" i="10"/>
  <c r="K764" i="10"/>
  <c r="J764" i="10"/>
  <c r="M762" i="10"/>
  <c r="L762" i="10"/>
  <c r="K762" i="10"/>
  <c r="J762" i="10"/>
  <c r="M761" i="10"/>
  <c r="L761" i="10"/>
  <c r="K761" i="10"/>
  <c r="J761" i="10"/>
  <c r="M760" i="10"/>
  <c r="L760" i="10"/>
  <c r="K760" i="10"/>
  <c r="J760" i="10"/>
  <c r="M759" i="10"/>
  <c r="L759" i="10"/>
  <c r="K759" i="10"/>
  <c r="J759" i="10"/>
  <c r="M758" i="10"/>
  <c r="L758" i="10"/>
  <c r="K758" i="10"/>
  <c r="J758" i="10"/>
  <c r="M757" i="10"/>
  <c r="L757" i="10"/>
  <c r="K757" i="10"/>
  <c r="J757" i="10"/>
  <c r="M756" i="10"/>
  <c r="L756" i="10"/>
  <c r="K756" i="10"/>
  <c r="J756" i="10"/>
  <c r="M755" i="10"/>
  <c r="L755" i="10"/>
  <c r="K755" i="10"/>
  <c r="J755" i="10"/>
  <c r="M754" i="10"/>
  <c r="L754" i="10"/>
  <c r="K754" i="10"/>
  <c r="J754" i="10"/>
  <c r="M753" i="10"/>
  <c r="L753" i="10"/>
  <c r="K753" i="10"/>
  <c r="J753" i="10"/>
  <c r="M752" i="10"/>
  <c r="L752" i="10"/>
  <c r="K752" i="10"/>
  <c r="J752" i="10"/>
  <c r="M751" i="10"/>
  <c r="L751" i="10"/>
  <c r="K751" i="10"/>
  <c r="J751" i="10"/>
  <c r="M750" i="10"/>
  <c r="L750" i="10"/>
  <c r="K750" i="10"/>
  <c r="J750" i="10"/>
  <c r="M749" i="10"/>
  <c r="L749" i="10"/>
  <c r="K749" i="10"/>
  <c r="J749" i="10"/>
  <c r="M748" i="10"/>
  <c r="L748" i="10"/>
  <c r="K748" i="10"/>
  <c r="J748" i="10"/>
  <c r="M747" i="10"/>
  <c r="L747" i="10"/>
  <c r="K747" i="10"/>
  <c r="J747" i="10"/>
  <c r="M746" i="10"/>
  <c r="L746" i="10"/>
  <c r="K746" i="10"/>
  <c r="J746" i="10"/>
  <c r="M745" i="10"/>
  <c r="L745" i="10"/>
  <c r="K745" i="10"/>
  <c r="J745" i="10"/>
  <c r="M744" i="10"/>
  <c r="L744" i="10"/>
  <c r="K744" i="10"/>
  <c r="J744" i="10"/>
  <c r="M743" i="10"/>
  <c r="L743" i="10"/>
  <c r="K743" i="10"/>
  <c r="J743" i="10"/>
  <c r="M742" i="10"/>
  <c r="L742" i="10"/>
  <c r="K742" i="10"/>
  <c r="J742" i="10"/>
  <c r="M736" i="10"/>
  <c r="L736" i="10"/>
  <c r="K736" i="10"/>
  <c r="J736" i="10"/>
  <c r="M735" i="10"/>
  <c r="L735" i="10"/>
  <c r="K735" i="10"/>
  <c r="J735" i="10"/>
  <c r="M734" i="10"/>
  <c r="L734" i="10"/>
  <c r="K734" i="10"/>
  <c r="J734" i="10"/>
  <c r="M733" i="10"/>
  <c r="L733" i="10"/>
  <c r="K733" i="10"/>
  <c r="J733" i="10"/>
  <c r="M721" i="10"/>
  <c r="L721" i="10"/>
  <c r="K721" i="10"/>
  <c r="J721" i="10"/>
  <c r="M720" i="10"/>
  <c r="L720" i="10"/>
  <c r="K720" i="10"/>
  <c r="J720" i="10"/>
  <c r="M719" i="10"/>
  <c r="L719" i="10"/>
  <c r="K719" i="10"/>
  <c r="J719" i="10"/>
  <c r="M718" i="10"/>
  <c r="L718" i="10"/>
  <c r="K718" i="10"/>
  <c r="J718" i="10"/>
  <c r="M717" i="10"/>
  <c r="L717" i="10"/>
  <c r="K717" i="10"/>
  <c r="J717" i="10"/>
  <c r="M716" i="10"/>
  <c r="L716" i="10"/>
  <c r="K716" i="10"/>
  <c r="J716" i="10"/>
  <c r="M715" i="10"/>
  <c r="L715" i="10"/>
  <c r="K715" i="10"/>
  <c r="J715" i="10"/>
  <c r="M714" i="10"/>
  <c r="L714" i="10"/>
  <c r="K714" i="10"/>
  <c r="J714" i="10"/>
  <c r="M713" i="10"/>
  <c r="L713" i="10"/>
  <c r="K713" i="10"/>
  <c r="J713" i="10"/>
  <c r="M712" i="10"/>
  <c r="L712" i="10"/>
  <c r="K712" i="10"/>
  <c r="J712" i="10"/>
  <c r="M689" i="10"/>
  <c r="M688" i="10"/>
  <c r="M687" i="10"/>
  <c r="M686" i="10"/>
  <c r="M685" i="10"/>
  <c r="M684" i="10"/>
  <c r="M683" i="10"/>
  <c r="M682" i="10"/>
  <c r="M650" i="10"/>
  <c r="M647" i="10"/>
  <c r="M646" i="10"/>
  <c r="M645" i="10"/>
  <c r="M644" i="10"/>
  <c r="M643" i="10"/>
  <c r="M642" i="10"/>
  <c r="M611" i="10"/>
  <c r="L611" i="10"/>
  <c r="K611" i="10"/>
  <c r="J611" i="10"/>
  <c r="M610" i="10"/>
  <c r="L610" i="10"/>
  <c r="K610" i="10"/>
  <c r="J610" i="10"/>
  <c r="M604" i="10"/>
  <c r="M601" i="10"/>
  <c r="M600" i="10"/>
  <c r="M599" i="10"/>
  <c r="M598" i="10"/>
  <c r="M597" i="10"/>
  <c r="M566" i="10"/>
  <c r="M565" i="10"/>
  <c r="M564" i="10"/>
  <c r="M563" i="10"/>
  <c r="M532" i="10"/>
  <c r="L532" i="10"/>
  <c r="K532" i="10"/>
  <c r="J532" i="10"/>
  <c r="M531" i="10"/>
  <c r="L531" i="10"/>
  <c r="K531" i="10"/>
  <c r="J531" i="10"/>
  <c r="M530" i="10"/>
  <c r="L530" i="10"/>
  <c r="K530" i="10"/>
  <c r="J530" i="10"/>
  <c r="M529" i="10"/>
  <c r="L529" i="10"/>
  <c r="K529" i="10"/>
  <c r="J529" i="10"/>
  <c r="M528" i="10"/>
  <c r="L528" i="10"/>
  <c r="K528" i="10"/>
  <c r="J528" i="10"/>
  <c r="M496" i="10"/>
  <c r="L496" i="10"/>
  <c r="K496" i="10"/>
  <c r="J496" i="10"/>
  <c r="M495" i="10"/>
  <c r="L495" i="10"/>
  <c r="K495" i="10"/>
  <c r="J495" i="10"/>
  <c r="M494" i="10"/>
  <c r="L494" i="10"/>
  <c r="K494" i="10"/>
  <c r="J494" i="10"/>
  <c r="M493" i="10"/>
  <c r="L493" i="10"/>
  <c r="K493" i="10"/>
  <c r="J493" i="10"/>
  <c r="M492" i="10"/>
  <c r="L492" i="10"/>
  <c r="K492" i="10"/>
  <c r="J492" i="10"/>
  <c r="M491" i="10"/>
  <c r="L491" i="10"/>
  <c r="K491" i="10"/>
  <c r="J491" i="10"/>
  <c r="M490" i="10"/>
  <c r="L490" i="10"/>
  <c r="K490" i="10"/>
  <c r="J490" i="10"/>
  <c r="M461" i="10"/>
  <c r="L461" i="10"/>
  <c r="K461" i="10"/>
  <c r="J461" i="10"/>
  <c r="M460" i="10"/>
  <c r="L460" i="10"/>
  <c r="K460" i="10"/>
  <c r="J460" i="10"/>
  <c r="M459" i="10"/>
  <c r="L459" i="10"/>
  <c r="K459" i="10"/>
  <c r="J459" i="10"/>
  <c r="M458" i="10"/>
  <c r="L458" i="10"/>
  <c r="K458" i="10"/>
  <c r="J458" i="10"/>
  <c r="M457" i="10"/>
  <c r="L457" i="10"/>
  <c r="K457" i="10"/>
  <c r="J457" i="10"/>
  <c r="M456" i="10"/>
  <c r="L456" i="10"/>
  <c r="K456" i="10"/>
  <c r="J456" i="10"/>
  <c r="M455" i="10"/>
  <c r="L455" i="10"/>
  <c r="K455" i="10"/>
  <c r="J455" i="10"/>
  <c r="M454" i="10"/>
  <c r="L454" i="10"/>
  <c r="K454" i="10"/>
  <c r="J454" i="10"/>
  <c r="M453" i="10"/>
  <c r="L453" i="10"/>
  <c r="K453" i="10"/>
  <c r="J453" i="10"/>
  <c r="M452" i="10"/>
  <c r="L452" i="10"/>
  <c r="K452" i="10"/>
  <c r="J452" i="10"/>
  <c r="M451" i="10"/>
  <c r="L451" i="10"/>
  <c r="K451" i="10"/>
  <c r="J451" i="10"/>
  <c r="M450" i="10"/>
  <c r="L450" i="10"/>
  <c r="K450" i="10"/>
  <c r="J450" i="10"/>
  <c r="M449" i="10"/>
  <c r="L449" i="10"/>
  <c r="K449" i="10"/>
  <c r="J449" i="10"/>
  <c r="M448" i="10"/>
  <c r="L448" i="10"/>
  <c r="K448" i="10"/>
  <c r="J448" i="10"/>
  <c r="M447" i="10"/>
  <c r="L447" i="10"/>
  <c r="K447" i="10"/>
  <c r="J447" i="10"/>
  <c r="M446" i="10"/>
  <c r="L446" i="10"/>
  <c r="K446" i="10"/>
  <c r="J446" i="10"/>
  <c r="M407" i="10"/>
  <c r="L407" i="10"/>
  <c r="K407" i="10"/>
  <c r="J407" i="10"/>
  <c r="M406" i="10"/>
  <c r="L406" i="10"/>
  <c r="K406" i="10"/>
  <c r="J406" i="10"/>
  <c r="M405" i="10"/>
  <c r="L405" i="10"/>
  <c r="K405" i="10"/>
  <c r="J405" i="10"/>
  <c r="M404" i="10"/>
  <c r="L404" i="10"/>
  <c r="K404" i="10"/>
  <c r="J404" i="10"/>
  <c r="M403" i="10"/>
  <c r="L403" i="10"/>
  <c r="K403" i="10"/>
  <c r="J403" i="10"/>
  <c r="M402" i="10"/>
  <c r="L402" i="10"/>
  <c r="K402" i="10"/>
  <c r="J402" i="10"/>
  <c r="M401" i="10"/>
  <c r="L401" i="10"/>
  <c r="K401" i="10"/>
  <c r="J401" i="10"/>
  <c r="M400" i="10"/>
  <c r="L400" i="10"/>
  <c r="K400" i="10"/>
  <c r="J400" i="10"/>
  <c r="M399" i="10"/>
  <c r="L399" i="10"/>
  <c r="K399" i="10"/>
  <c r="J399" i="10"/>
  <c r="M398" i="10"/>
  <c r="L398" i="10"/>
  <c r="K398" i="10"/>
  <c r="J398" i="10"/>
  <c r="M397" i="10"/>
  <c r="L397" i="10"/>
  <c r="K397" i="10"/>
  <c r="J397" i="10"/>
  <c r="M396" i="10"/>
  <c r="L396" i="10"/>
  <c r="K396" i="10"/>
  <c r="J396" i="10"/>
  <c r="M395" i="10"/>
  <c r="L395" i="10"/>
  <c r="K395" i="10"/>
  <c r="J395" i="10"/>
  <c r="M394" i="10"/>
  <c r="L394" i="10"/>
  <c r="K394" i="10"/>
  <c r="J394" i="10"/>
  <c r="M393" i="10"/>
  <c r="L393" i="10"/>
  <c r="K393" i="10"/>
  <c r="J393" i="10"/>
  <c r="M359" i="10"/>
  <c r="L359" i="10"/>
  <c r="K359" i="10"/>
  <c r="J359" i="10"/>
  <c r="M358" i="10"/>
  <c r="L358" i="10"/>
  <c r="K358" i="10"/>
  <c r="J358" i="10"/>
  <c r="M357" i="10"/>
  <c r="L357" i="10"/>
  <c r="K357" i="10"/>
  <c r="J357" i="10"/>
  <c r="M356" i="10"/>
  <c r="L356" i="10"/>
  <c r="K356" i="10"/>
  <c r="J356" i="10"/>
  <c r="M355" i="10"/>
  <c r="L355" i="10"/>
  <c r="K355" i="10"/>
  <c r="J355" i="10"/>
  <c r="M354" i="10"/>
  <c r="L354" i="10"/>
  <c r="K354" i="10"/>
  <c r="J354" i="10"/>
  <c r="M316" i="10"/>
  <c r="L316" i="10"/>
  <c r="K316" i="10"/>
  <c r="J316" i="10"/>
  <c r="M315" i="10"/>
  <c r="L315" i="10"/>
  <c r="K315" i="10"/>
  <c r="J315" i="10"/>
  <c r="M314" i="10"/>
  <c r="L314" i="10"/>
  <c r="K314" i="10"/>
  <c r="J314" i="10"/>
  <c r="M313" i="10"/>
  <c r="L313" i="10"/>
  <c r="K313" i="10"/>
  <c r="J313" i="10"/>
  <c r="M312" i="10"/>
  <c r="L312" i="10"/>
  <c r="K312" i="10"/>
  <c r="J312" i="10"/>
  <c r="M311" i="10"/>
  <c r="L311" i="10"/>
  <c r="K311" i="10"/>
  <c r="J311" i="10"/>
  <c r="M310" i="10"/>
  <c r="L310" i="10"/>
  <c r="K310" i="10"/>
  <c r="J310" i="10"/>
  <c r="M309" i="10"/>
  <c r="L309" i="10"/>
  <c r="K309" i="10"/>
  <c r="J309" i="10"/>
  <c r="M308" i="10"/>
  <c r="L308" i="10"/>
  <c r="K308" i="10"/>
  <c r="J308" i="10"/>
  <c r="M307" i="10"/>
  <c r="L307" i="10"/>
  <c r="K307" i="10"/>
  <c r="J307" i="10"/>
  <c r="M306" i="10"/>
  <c r="L306" i="10"/>
  <c r="K306" i="10"/>
  <c r="J306" i="10"/>
  <c r="M305" i="10"/>
  <c r="L305" i="10"/>
  <c r="K305" i="10"/>
  <c r="J305" i="10"/>
  <c r="M304" i="10"/>
  <c r="L304" i="10"/>
  <c r="K304" i="10"/>
  <c r="J304" i="10"/>
  <c r="M303" i="10"/>
  <c r="L303" i="10"/>
  <c r="K303" i="10"/>
  <c r="J303" i="10"/>
  <c r="M302" i="10"/>
  <c r="L302" i="10"/>
  <c r="K302" i="10"/>
  <c r="J302" i="10"/>
  <c r="M301" i="10"/>
  <c r="L301" i="10"/>
  <c r="K301" i="10"/>
  <c r="J301" i="10"/>
  <c r="M300" i="10"/>
  <c r="L300" i="10"/>
  <c r="K300" i="10"/>
  <c r="J300" i="10"/>
  <c r="M299" i="10"/>
  <c r="L299" i="10"/>
  <c r="K299" i="10"/>
  <c r="J299" i="10"/>
  <c r="M298" i="10"/>
  <c r="L298" i="10"/>
  <c r="K298" i="10"/>
  <c r="J298" i="10"/>
  <c r="M246" i="10"/>
  <c r="M245" i="10"/>
  <c r="M213" i="10"/>
  <c r="L213" i="10"/>
  <c r="K213" i="10"/>
  <c r="J213" i="10"/>
  <c r="M212" i="10"/>
  <c r="L212" i="10"/>
  <c r="K212" i="10"/>
  <c r="J212" i="10"/>
  <c r="M211" i="10"/>
  <c r="L211" i="10"/>
  <c r="K211" i="10"/>
  <c r="J211" i="10"/>
  <c r="M210" i="10"/>
  <c r="L210" i="10"/>
  <c r="K210" i="10"/>
  <c r="J210" i="10"/>
  <c r="M209" i="10"/>
  <c r="L209" i="10"/>
  <c r="K209" i="10"/>
  <c r="J209" i="10"/>
  <c r="M208" i="10"/>
  <c r="L208" i="10"/>
  <c r="K208" i="10"/>
  <c r="J208" i="10"/>
  <c r="M207" i="10"/>
  <c r="L207" i="10"/>
  <c r="K207" i="10"/>
  <c r="J207" i="10"/>
  <c r="M206" i="10"/>
  <c r="L206" i="10"/>
  <c r="K206" i="10"/>
  <c r="J206" i="10"/>
  <c r="M205" i="10"/>
  <c r="L205" i="10"/>
  <c r="K205" i="10"/>
  <c r="J205" i="10"/>
  <c r="M204" i="10"/>
  <c r="L204" i="10"/>
  <c r="K204" i="10"/>
  <c r="J204" i="10"/>
  <c r="M203" i="10"/>
  <c r="L203" i="10"/>
  <c r="K203" i="10"/>
  <c r="J203" i="10"/>
  <c r="M202" i="10"/>
  <c r="L202" i="10"/>
  <c r="K202" i="10"/>
  <c r="J202" i="10"/>
  <c r="M196" i="10"/>
  <c r="L196" i="10"/>
  <c r="K196" i="10"/>
  <c r="J196" i="10"/>
  <c r="M195" i="10"/>
  <c r="L195" i="10"/>
  <c r="K195" i="10"/>
  <c r="J195" i="10"/>
  <c r="M194" i="10"/>
  <c r="L194" i="10"/>
  <c r="K194" i="10"/>
  <c r="J194" i="10"/>
  <c r="M193" i="10"/>
  <c r="L193" i="10"/>
  <c r="K193" i="10"/>
  <c r="J193" i="10"/>
  <c r="M192" i="10"/>
  <c r="L192" i="10"/>
  <c r="K192" i="10"/>
  <c r="J192" i="10"/>
  <c r="M168" i="10"/>
  <c r="L168" i="10"/>
  <c r="K168" i="10"/>
  <c r="J168" i="10"/>
  <c r="M167" i="10"/>
  <c r="L167" i="10"/>
  <c r="K167" i="10"/>
  <c r="J167" i="10"/>
  <c r="M166" i="10"/>
  <c r="L166" i="10"/>
  <c r="K166" i="10"/>
  <c r="J166" i="10"/>
  <c r="M165" i="10"/>
  <c r="L165" i="10"/>
  <c r="K165" i="10"/>
  <c r="J165" i="10"/>
  <c r="M164" i="10"/>
  <c r="L164" i="10"/>
  <c r="K164" i="10"/>
  <c r="J164" i="10"/>
  <c r="M162" i="10"/>
  <c r="L162" i="10"/>
  <c r="K162" i="10"/>
  <c r="J162" i="10"/>
  <c r="M161" i="10"/>
  <c r="L161" i="10"/>
  <c r="K161" i="10"/>
  <c r="J161" i="10"/>
  <c r="M160" i="10"/>
  <c r="L160" i="10"/>
  <c r="K160" i="10"/>
  <c r="J160" i="10"/>
  <c r="M159" i="10"/>
  <c r="L159" i="10"/>
  <c r="K159" i="10"/>
  <c r="J159" i="10"/>
  <c r="M158" i="10"/>
  <c r="L158" i="10"/>
  <c r="K158" i="10"/>
  <c r="J158" i="10"/>
  <c r="M157" i="10"/>
  <c r="L157" i="10"/>
  <c r="K157" i="10"/>
  <c r="J157" i="10"/>
  <c r="M156" i="10"/>
  <c r="L156" i="10"/>
  <c r="K156" i="10"/>
  <c r="J156" i="10"/>
  <c r="M155" i="10"/>
  <c r="L155" i="10"/>
  <c r="K155" i="10"/>
  <c r="J155" i="10"/>
  <c r="M154" i="10"/>
  <c r="L154" i="10"/>
  <c r="K154" i="10"/>
  <c r="J154" i="10"/>
  <c r="M153" i="10"/>
  <c r="L153" i="10"/>
  <c r="K153" i="10"/>
  <c r="J153" i="10"/>
  <c r="M152" i="10"/>
  <c r="L152" i="10"/>
  <c r="K152" i="10"/>
  <c r="J152" i="10"/>
  <c r="M151" i="10"/>
  <c r="L151" i="10"/>
  <c r="K151" i="10"/>
  <c r="J151" i="10"/>
  <c r="M150" i="10"/>
  <c r="L150" i="10"/>
  <c r="K150" i="10"/>
  <c r="J150" i="10"/>
  <c r="M149" i="10"/>
  <c r="L149" i="10"/>
  <c r="K149" i="10"/>
  <c r="J149" i="10"/>
  <c r="M148" i="10"/>
  <c r="L148" i="10"/>
  <c r="K148" i="10"/>
  <c r="J148" i="10"/>
  <c r="M147" i="10"/>
  <c r="L147" i="10"/>
  <c r="K147" i="10"/>
  <c r="J147" i="10"/>
  <c r="M142" i="10"/>
  <c r="L142" i="10"/>
  <c r="K142" i="10"/>
  <c r="J142" i="10"/>
  <c r="M141" i="10"/>
  <c r="L141" i="10"/>
  <c r="K141" i="10"/>
  <c r="J141" i="10"/>
  <c r="M140" i="10"/>
  <c r="L140" i="10"/>
  <c r="K140" i="10"/>
  <c r="J140" i="10"/>
  <c r="M129" i="10"/>
  <c r="L129" i="10"/>
  <c r="K129" i="10"/>
  <c r="J129" i="10"/>
  <c r="M124" i="10"/>
  <c r="L124" i="10"/>
  <c r="K124" i="10"/>
  <c r="J124" i="10"/>
  <c r="M123" i="10"/>
  <c r="L123" i="10"/>
  <c r="K123" i="10"/>
  <c r="J123" i="10"/>
  <c r="M122" i="10"/>
  <c r="L122" i="10"/>
  <c r="K122" i="10"/>
  <c r="J122" i="10"/>
  <c r="M114" i="10"/>
  <c r="L114" i="10"/>
  <c r="K114" i="10"/>
  <c r="J114" i="10"/>
  <c r="M112" i="10"/>
  <c r="L112" i="10"/>
  <c r="K112" i="10"/>
  <c r="J112" i="10"/>
  <c r="M111" i="10"/>
  <c r="L111" i="10"/>
  <c r="K111" i="10"/>
  <c r="J111" i="10"/>
  <c r="M110" i="10"/>
  <c r="L110" i="10"/>
  <c r="K110" i="10"/>
  <c r="J110" i="10"/>
  <c r="M109" i="10"/>
  <c r="L109" i="10"/>
  <c r="K109" i="10"/>
  <c r="J109" i="10"/>
  <c r="M108" i="10"/>
  <c r="L108" i="10"/>
  <c r="K108" i="10"/>
  <c r="J108" i="10"/>
  <c r="M107" i="10"/>
  <c r="L107" i="10"/>
  <c r="K107" i="10"/>
  <c r="J107" i="10"/>
  <c r="M106" i="10"/>
  <c r="L106" i="10"/>
  <c r="K106" i="10"/>
  <c r="J106" i="10"/>
  <c r="M105" i="10"/>
  <c r="L105" i="10"/>
  <c r="K105" i="10"/>
  <c r="J105" i="10"/>
  <c r="M104" i="10"/>
  <c r="L104" i="10"/>
  <c r="K104" i="10"/>
  <c r="J104" i="10"/>
  <c r="M103" i="10"/>
  <c r="L103" i="10"/>
  <c r="K103" i="10"/>
  <c r="J103" i="10"/>
  <c r="M102" i="10"/>
  <c r="L102" i="10"/>
  <c r="K102" i="10"/>
  <c r="J102" i="10"/>
  <c r="M101" i="10"/>
  <c r="L101" i="10"/>
  <c r="K101" i="10"/>
  <c r="J101" i="10"/>
  <c r="M100" i="10"/>
  <c r="L100" i="10"/>
  <c r="K100" i="10"/>
  <c r="J100" i="10"/>
  <c r="M99" i="10"/>
  <c r="L99" i="10"/>
  <c r="K99" i="10"/>
  <c r="J99" i="10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64" i="10"/>
  <c r="L64" i="10"/>
  <c r="K64" i="10"/>
  <c r="J64" i="10"/>
  <c r="M63" i="10"/>
  <c r="L63" i="10"/>
  <c r="K63" i="10"/>
  <c r="J63" i="10"/>
  <c r="M62" i="10"/>
  <c r="L62" i="10"/>
  <c r="K62" i="10"/>
  <c r="J62" i="10"/>
  <c r="M61" i="10"/>
  <c r="L61" i="10"/>
  <c r="K61" i="10"/>
  <c r="J6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56" i="10"/>
  <c r="L56" i="10"/>
  <c r="K56" i="10"/>
  <c r="J56" i="10"/>
  <c r="M50" i="10"/>
  <c r="L50" i="10"/>
  <c r="K50" i="10"/>
  <c r="J50" i="10"/>
  <c r="M49" i="10"/>
  <c r="L49" i="10"/>
  <c r="K49" i="10"/>
  <c r="J49" i="10"/>
  <c r="N1036" i="10" l="1"/>
  <c r="N1035" i="10"/>
  <c r="N1029" i="10"/>
  <c r="N998" i="10"/>
  <c r="N997" i="10"/>
  <c r="N996" i="10"/>
  <c r="N990" i="10"/>
  <c r="N989" i="10"/>
  <c r="N981" i="10"/>
  <c r="N908" i="10"/>
  <c r="N872" i="10"/>
  <c r="N871" i="10"/>
  <c r="N870" i="10"/>
  <c r="N869" i="10"/>
  <c r="N868" i="10"/>
  <c r="N867" i="10"/>
  <c r="N866" i="10"/>
  <c r="N865" i="10"/>
  <c r="N864" i="10"/>
  <c r="N863" i="10"/>
  <c r="N862" i="10"/>
  <c r="N861" i="10"/>
  <c r="N860" i="10"/>
  <c r="N859" i="10"/>
  <c r="N858" i="10"/>
  <c r="N857" i="10"/>
  <c r="N855" i="10"/>
  <c r="N817" i="10"/>
  <c r="N816" i="10"/>
  <c r="N771" i="10"/>
  <c r="N770" i="10"/>
  <c r="N769" i="10"/>
  <c r="N768" i="10"/>
  <c r="N767" i="10"/>
  <c r="N766" i="10"/>
  <c r="N765" i="10"/>
  <c r="N764" i="10"/>
  <c r="N736" i="10"/>
  <c r="N735" i="10"/>
  <c r="N734" i="10"/>
  <c r="N733" i="10"/>
  <c r="N721" i="10"/>
  <c r="N720" i="10"/>
  <c r="N719" i="10"/>
  <c r="N718" i="10"/>
  <c r="N713" i="10"/>
  <c r="N689" i="10"/>
  <c r="N688" i="10"/>
  <c r="N650" i="10"/>
  <c r="N647" i="10"/>
  <c r="N646" i="10"/>
  <c r="N611" i="10"/>
  <c r="N610" i="10"/>
  <c r="N604" i="10"/>
  <c r="N601" i="10"/>
  <c r="N600" i="10"/>
  <c r="N566" i="10"/>
  <c r="N565" i="10"/>
  <c r="N564" i="10"/>
  <c r="N461" i="10"/>
  <c r="N460" i="10"/>
  <c r="N459" i="10"/>
  <c r="N458" i="10"/>
  <c r="N457" i="10"/>
  <c r="N456" i="10"/>
  <c r="N455" i="10"/>
  <c r="N454" i="10"/>
  <c r="N453" i="10"/>
  <c r="N407" i="10"/>
  <c r="N406" i="10"/>
  <c r="N405" i="10"/>
  <c r="N359" i="10"/>
  <c r="N358" i="10"/>
  <c r="N357" i="10"/>
  <c r="N316" i="10"/>
  <c r="N315" i="10"/>
  <c r="N314" i="10"/>
  <c r="N313" i="10"/>
  <c r="N312" i="10"/>
  <c r="N304" i="10"/>
  <c r="N300" i="10"/>
  <c r="L898" i="10" l="1"/>
  <c r="G838" i="10" l="1"/>
  <c r="G838" i="2" s="1"/>
  <c r="N168" i="10" l="1"/>
  <c r="K590" i="10" l="1"/>
  <c r="K589" i="10"/>
  <c r="N167" i="10" l="1"/>
  <c r="C13" i="19" l="1"/>
  <c r="G716" i="10" l="1"/>
  <c r="G716" i="2" s="1"/>
  <c r="L1036" i="2" l="1"/>
  <c r="L1035" i="2"/>
  <c r="L1029" i="2"/>
  <c r="K1028" i="2"/>
  <c r="K1027" i="2"/>
  <c r="J1027" i="2"/>
  <c r="L1048" i="10"/>
  <c r="K1048" i="10"/>
  <c r="J1048" i="10"/>
  <c r="I1048" i="10"/>
  <c r="H1048" i="10"/>
  <c r="G1048" i="10"/>
  <c r="F1048" i="10"/>
  <c r="E1048" i="10"/>
  <c r="L1047" i="10"/>
  <c r="K1047" i="10"/>
  <c r="J1047" i="10"/>
  <c r="I1047" i="10"/>
  <c r="H1047" i="10"/>
  <c r="G1047" i="10"/>
  <c r="F1047" i="10"/>
  <c r="E1047" i="10"/>
  <c r="L1046" i="10"/>
  <c r="K1046" i="10"/>
  <c r="F1046" i="10"/>
  <c r="E1046" i="10"/>
  <c r="L1045" i="10"/>
  <c r="K1045" i="10"/>
  <c r="F1045" i="10"/>
  <c r="E1045" i="10"/>
  <c r="L1044" i="10"/>
  <c r="K1044" i="10"/>
  <c r="J1044" i="10"/>
  <c r="I1044" i="10"/>
  <c r="H1044" i="10"/>
  <c r="G1044" i="10"/>
  <c r="F1044" i="10"/>
  <c r="E1044" i="10"/>
  <c r="L1043" i="10"/>
  <c r="K1043" i="10"/>
  <c r="J1043" i="10"/>
  <c r="I1043" i="10"/>
  <c r="H1043" i="10"/>
  <c r="G1043" i="10"/>
  <c r="F1043" i="10"/>
  <c r="E1043" i="10"/>
  <c r="L1042" i="10"/>
  <c r="K1042" i="10"/>
  <c r="J1042" i="10"/>
  <c r="I1042" i="10"/>
  <c r="H1042" i="10"/>
  <c r="G1042" i="10"/>
  <c r="F1042" i="10"/>
  <c r="E1042" i="10"/>
  <c r="E1038" i="10"/>
  <c r="B1048" i="10" s="1"/>
  <c r="L1028" i="2" l="1"/>
  <c r="L1049" i="10"/>
  <c r="L1050" i="10" s="1"/>
  <c r="E1049" i="10"/>
  <c r="E1050" i="10" s="1"/>
  <c r="M1028" i="2"/>
  <c r="E1038" i="2"/>
  <c r="B1048" i="2" s="1"/>
  <c r="K1029" i="2"/>
  <c r="M1035" i="2"/>
  <c r="M1029" i="2"/>
  <c r="M1036" i="2"/>
  <c r="F1027" i="10"/>
  <c r="F1027" i="2" s="1"/>
  <c r="G1023" i="10"/>
  <c r="H1038" i="10"/>
  <c r="H1038" i="2"/>
  <c r="F1038" i="10"/>
  <c r="C1048" i="10" s="1"/>
  <c r="F1049" i="10"/>
  <c r="K1049" i="10"/>
  <c r="K1050" i="10" s="1"/>
  <c r="J1028" i="2"/>
  <c r="J1029" i="2"/>
  <c r="J1035" i="2"/>
  <c r="J1036" i="2"/>
  <c r="F1038" i="2"/>
  <c r="C1048" i="2" s="1"/>
  <c r="K1035" i="2"/>
  <c r="K1036" i="2"/>
  <c r="G1038" i="2" l="1"/>
  <c r="F1050" i="10"/>
  <c r="G1038" i="10"/>
  <c r="G1023" i="2"/>
  <c r="H1027" i="10"/>
  <c r="H1027" i="2" s="1"/>
  <c r="N164" i="10" l="1"/>
  <c r="N165" i="10"/>
  <c r="N166" i="10"/>
  <c r="C12" i="19" l="1"/>
  <c r="C8" i="19"/>
  <c r="C9" i="19"/>
  <c r="C10" i="19"/>
  <c r="C11" i="19"/>
  <c r="C7" i="19"/>
  <c r="D23" i="18" l="1"/>
  <c r="G12" i="19" l="1"/>
  <c r="G11" i="19"/>
  <c r="G10" i="19"/>
  <c r="G9" i="19"/>
  <c r="G8" i="19"/>
  <c r="G7" i="19"/>
  <c r="D26" i="18" l="1"/>
  <c r="N213" i="10" l="1"/>
  <c r="N196" i="10"/>
  <c r="N160" i="10"/>
  <c r="N159" i="10"/>
  <c r="N158" i="10"/>
  <c r="N154" i="10"/>
  <c r="N152" i="10"/>
  <c r="N151" i="10"/>
  <c r="N150" i="10"/>
  <c r="N149" i="10"/>
  <c r="N147" i="10"/>
  <c r="H1010" i="10" l="1"/>
  <c r="G1010" i="10"/>
  <c r="J997" i="2"/>
  <c r="M998" i="2"/>
  <c r="L996" i="2"/>
  <c r="J996" i="2" l="1"/>
  <c r="M997" i="2"/>
  <c r="L997" i="2"/>
  <c r="K997" i="2"/>
  <c r="K996" i="2"/>
  <c r="M996" i="2"/>
  <c r="J998" i="2"/>
  <c r="K998" i="2"/>
  <c r="L998" i="2"/>
  <c r="A763" i="10" l="1"/>
  <c r="A763" i="2" s="1"/>
  <c r="A163" i="10"/>
  <c r="A163" i="2" s="1"/>
  <c r="A214" i="10"/>
  <c r="A214" i="2" s="1"/>
  <c r="M214" i="10" l="1"/>
  <c r="L214" i="10"/>
  <c r="K214" i="10"/>
  <c r="J214" i="10"/>
  <c r="M163" i="10"/>
  <c r="L163" i="10"/>
  <c r="K163" i="10"/>
  <c r="J163" i="10"/>
  <c r="J763" i="10"/>
  <c r="M763" i="10"/>
  <c r="L763" i="10"/>
  <c r="K763" i="10"/>
  <c r="J856" i="10"/>
  <c r="M856" i="10"/>
  <c r="L856" i="10"/>
  <c r="K856" i="10"/>
  <c r="A68" i="2" l="1"/>
  <c r="B68" i="2"/>
  <c r="C68" i="2"/>
  <c r="D68" i="2"/>
  <c r="G68" i="2"/>
  <c r="H68" i="2"/>
  <c r="D31" i="18" l="1"/>
  <c r="K491" i="2"/>
  <c r="J492" i="2"/>
  <c r="M493" i="2"/>
  <c r="L494" i="2"/>
  <c r="K495" i="2"/>
  <c r="J393" i="2"/>
  <c r="K393" i="2"/>
  <c r="M400" i="2"/>
  <c r="M401" i="2"/>
  <c r="J401" i="2"/>
  <c r="K402" i="2"/>
  <c r="J402" i="2"/>
  <c r="K403" i="2"/>
  <c r="J403" i="2"/>
  <c r="G400" i="10"/>
  <c r="G400" i="2" s="1"/>
  <c r="F401" i="10"/>
  <c r="F401" i="2" s="1"/>
  <c r="G401" i="10"/>
  <c r="G401" i="2" s="1"/>
  <c r="G402" i="10"/>
  <c r="G402" i="2" s="1"/>
  <c r="F403" i="10"/>
  <c r="F403" i="2" s="1"/>
  <c r="G403" i="10"/>
  <c r="G403" i="2" s="1"/>
  <c r="G404" i="10"/>
  <c r="G404" i="2" s="1"/>
  <c r="K490" i="2"/>
  <c r="J490" i="2"/>
  <c r="L508" i="10"/>
  <c r="K508" i="10"/>
  <c r="J508" i="10"/>
  <c r="I508" i="10"/>
  <c r="H508" i="10"/>
  <c r="G508" i="10"/>
  <c r="F508" i="10"/>
  <c r="E508" i="10"/>
  <c r="L507" i="10"/>
  <c r="K507" i="10"/>
  <c r="J507" i="10"/>
  <c r="I507" i="10"/>
  <c r="H507" i="10"/>
  <c r="G507" i="10"/>
  <c r="F507" i="10"/>
  <c r="E507" i="10"/>
  <c r="L506" i="10"/>
  <c r="K506" i="10"/>
  <c r="H506" i="10"/>
  <c r="G506" i="10"/>
  <c r="L505" i="10"/>
  <c r="K505" i="10"/>
  <c r="L504" i="10"/>
  <c r="K504" i="10"/>
  <c r="J504" i="10"/>
  <c r="I504" i="10"/>
  <c r="H504" i="10"/>
  <c r="G504" i="10"/>
  <c r="F504" i="10"/>
  <c r="E504" i="10"/>
  <c r="L503" i="10"/>
  <c r="K503" i="10"/>
  <c r="J503" i="10"/>
  <c r="I503" i="10"/>
  <c r="H503" i="10"/>
  <c r="G503" i="10"/>
  <c r="F503" i="10"/>
  <c r="E503" i="10"/>
  <c r="L502" i="10"/>
  <c r="K502" i="10"/>
  <c r="J502" i="10"/>
  <c r="I502" i="10"/>
  <c r="H502" i="10"/>
  <c r="G502" i="10"/>
  <c r="F502" i="10"/>
  <c r="E502" i="10"/>
  <c r="J400" i="2" l="1"/>
  <c r="D32" i="18"/>
  <c r="F490" i="10"/>
  <c r="F490" i="2" s="1"/>
  <c r="F393" i="10"/>
  <c r="F393" i="2" s="1"/>
  <c r="G389" i="10"/>
  <c r="F394" i="10"/>
  <c r="F394" i="2" s="1"/>
  <c r="H401" i="10"/>
  <c r="H401" i="2" s="1"/>
  <c r="L400" i="2"/>
  <c r="K400" i="2"/>
  <c r="L401" i="2"/>
  <c r="L402" i="2"/>
  <c r="M402" i="2"/>
  <c r="H403" i="10"/>
  <c r="H403" i="2" s="1"/>
  <c r="M403" i="2"/>
  <c r="K401" i="2"/>
  <c r="L403" i="2"/>
  <c r="K492" i="2"/>
  <c r="L495" i="2"/>
  <c r="L492" i="2"/>
  <c r="M495" i="2"/>
  <c r="K509" i="10"/>
  <c r="K510" i="10" s="1"/>
  <c r="L491" i="2"/>
  <c r="M492" i="2"/>
  <c r="L509" i="10"/>
  <c r="L510" i="10" s="1"/>
  <c r="M491" i="2"/>
  <c r="M494" i="2"/>
  <c r="G486" i="10"/>
  <c r="H491" i="10"/>
  <c r="H491" i="2" s="1"/>
  <c r="H495" i="10"/>
  <c r="H495" i="2" s="1"/>
  <c r="G486" i="2"/>
  <c r="H492" i="10"/>
  <c r="H492" i="2" s="1"/>
  <c r="J493" i="2"/>
  <c r="K493" i="2"/>
  <c r="J494" i="2"/>
  <c r="J491" i="2"/>
  <c r="L493" i="2"/>
  <c r="K494" i="2"/>
  <c r="J495" i="2"/>
  <c r="H393" i="10" l="1"/>
  <c r="H393" i="2" s="1"/>
  <c r="H490" i="10"/>
  <c r="H490" i="2" s="1"/>
  <c r="E613" i="2" l="1"/>
  <c r="B623" i="2" s="1"/>
  <c r="J610" i="2"/>
  <c r="L618" i="10"/>
  <c r="L619" i="10"/>
  <c r="L620" i="10"/>
  <c r="L621" i="10"/>
  <c r="L622" i="10"/>
  <c r="L623" i="10"/>
  <c r="L617" i="10"/>
  <c r="K618" i="10"/>
  <c r="K619" i="10"/>
  <c r="K620" i="10"/>
  <c r="K621" i="10"/>
  <c r="K622" i="10"/>
  <c r="K623" i="10"/>
  <c r="K617" i="10"/>
  <c r="J618" i="10"/>
  <c r="J619" i="10"/>
  <c r="J620" i="10"/>
  <c r="J621" i="10"/>
  <c r="J622" i="10"/>
  <c r="J623" i="10"/>
  <c r="J617" i="10"/>
  <c r="I618" i="10"/>
  <c r="I619" i="10"/>
  <c r="I620" i="10"/>
  <c r="I621" i="10"/>
  <c r="I622" i="10"/>
  <c r="I623" i="10"/>
  <c r="I617" i="10"/>
  <c r="H618" i="10"/>
  <c r="H619" i="10"/>
  <c r="H622" i="10"/>
  <c r="H617" i="10"/>
  <c r="G618" i="10"/>
  <c r="G619" i="10"/>
  <c r="G622" i="10"/>
  <c r="G623" i="10"/>
  <c r="G617" i="10"/>
  <c r="F618" i="10"/>
  <c r="F619" i="10"/>
  <c r="F620" i="10"/>
  <c r="F621" i="10"/>
  <c r="F622" i="10"/>
  <c r="F623" i="10"/>
  <c r="F617" i="10"/>
  <c r="E618" i="10"/>
  <c r="E619" i="10"/>
  <c r="E620" i="10"/>
  <c r="E621" i="10"/>
  <c r="E622" i="10"/>
  <c r="E623" i="10"/>
  <c r="E617" i="10"/>
  <c r="E613" i="10"/>
  <c r="B623" i="10" s="1"/>
  <c r="M611" i="2"/>
  <c r="L611" i="2"/>
  <c r="K611" i="2"/>
  <c r="J611" i="2"/>
  <c r="K610" i="2" l="1"/>
  <c r="L610" i="2"/>
  <c r="M610" i="2"/>
  <c r="F506" i="10" l="1"/>
  <c r="Q751" i="10" l="1"/>
  <c r="R751" i="10"/>
  <c r="R750" i="10"/>
  <c r="R749" i="10"/>
  <c r="Q750" i="10"/>
  <c r="Q749" i="10"/>
  <c r="Q748" i="10" l="1"/>
  <c r="Q747" i="10"/>
  <c r="Q746" i="10"/>
  <c r="Q745" i="10"/>
  <c r="Q744" i="10"/>
  <c r="Q743" i="10"/>
  <c r="R745" i="10"/>
  <c r="R746" i="10"/>
  <c r="R747" i="10"/>
  <c r="R748" i="10"/>
  <c r="R744" i="10"/>
  <c r="G834" i="10" l="1"/>
  <c r="G834" i="2" s="1"/>
  <c r="G1004" i="10" l="1"/>
  <c r="F1004" i="10"/>
  <c r="E1004" i="10"/>
  <c r="L1004" i="10"/>
  <c r="K1004" i="10"/>
  <c r="J1004" i="10"/>
  <c r="I1004" i="10"/>
  <c r="H1004" i="10"/>
  <c r="E949" i="10"/>
  <c r="L949" i="10"/>
  <c r="K949" i="10"/>
  <c r="J949" i="10"/>
  <c r="I949" i="10"/>
  <c r="H949" i="10"/>
  <c r="G949" i="10"/>
  <c r="F949" i="10"/>
  <c r="E915" i="10"/>
  <c r="L915" i="10"/>
  <c r="K915" i="10"/>
  <c r="J915" i="10"/>
  <c r="I915" i="10"/>
  <c r="H915" i="10"/>
  <c r="G915" i="10"/>
  <c r="F915" i="10"/>
  <c r="L878" i="10"/>
  <c r="K878" i="10"/>
  <c r="J878" i="10"/>
  <c r="I878" i="10"/>
  <c r="H878" i="10"/>
  <c r="G878" i="10"/>
  <c r="F878" i="10"/>
  <c r="E878" i="10"/>
  <c r="L777" i="10"/>
  <c r="K777" i="10"/>
  <c r="J777" i="10"/>
  <c r="I777" i="10"/>
  <c r="H777" i="10"/>
  <c r="G777" i="10"/>
  <c r="F777" i="10"/>
  <c r="E777" i="10"/>
  <c r="E694" i="10"/>
  <c r="L694" i="10"/>
  <c r="K694" i="10"/>
  <c r="J694" i="10"/>
  <c r="I694" i="10"/>
  <c r="H694" i="10"/>
  <c r="G694" i="10"/>
  <c r="F694" i="10"/>
  <c r="G657" i="10"/>
  <c r="F657" i="10"/>
  <c r="E657" i="10"/>
  <c r="L657" i="10"/>
  <c r="K657" i="10"/>
  <c r="J657" i="10"/>
  <c r="I657" i="10"/>
  <c r="H657" i="10"/>
  <c r="L572" i="10"/>
  <c r="K572" i="10"/>
  <c r="J572" i="10"/>
  <c r="I572" i="10"/>
  <c r="H572" i="10"/>
  <c r="G572" i="10"/>
  <c r="F572" i="10"/>
  <c r="E572" i="10"/>
  <c r="L544" i="10"/>
  <c r="L543" i="10"/>
  <c r="L542" i="10"/>
  <c r="L541" i="10"/>
  <c r="L540" i="10"/>
  <c r="L539" i="10"/>
  <c r="L538" i="10"/>
  <c r="K544" i="10"/>
  <c r="K543" i="10"/>
  <c r="K542" i="10"/>
  <c r="K541" i="10"/>
  <c r="K540" i="10"/>
  <c r="K539" i="10"/>
  <c r="K538" i="10"/>
  <c r="J544" i="10"/>
  <c r="J543" i="10"/>
  <c r="J540" i="10"/>
  <c r="J539" i="10"/>
  <c r="J538" i="10"/>
  <c r="I544" i="10"/>
  <c r="I543" i="10"/>
  <c r="I540" i="10"/>
  <c r="I539" i="10"/>
  <c r="I538" i="10"/>
  <c r="H544" i="10"/>
  <c r="H543" i="10"/>
  <c r="H542" i="10"/>
  <c r="H541" i="10"/>
  <c r="H540" i="10"/>
  <c r="H539" i="10"/>
  <c r="H538" i="10"/>
  <c r="G544" i="10"/>
  <c r="G543" i="10"/>
  <c r="G542" i="10"/>
  <c r="G541" i="10"/>
  <c r="G540" i="10"/>
  <c r="G539" i="10"/>
  <c r="G538" i="10"/>
  <c r="F544" i="10"/>
  <c r="F543" i="10"/>
  <c r="F542" i="10"/>
  <c r="F541" i="10"/>
  <c r="F540" i="10"/>
  <c r="F539" i="10"/>
  <c r="F538" i="10"/>
  <c r="E544" i="10"/>
  <c r="E543" i="10"/>
  <c r="E542" i="10"/>
  <c r="E541" i="10"/>
  <c r="E540" i="10"/>
  <c r="E539" i="10"/>
  <c r="E538" i="10"/>
  <c r="L467" i="10"/>
  <c r="K467" i="10"/>
  <c r="J467" i="10"/>
  <c r="I467" i="10"/>
  <c r="H467" i="10"/>
  <c r="G467" i="10"/>
  <c r="F467" i="10"/>
  <c r="E467" i="10"/>
  <c r="L413" i="10"/>
  <c r="K413" i="10"/>
  <c r="J413" i="10"/>
  <c r="I413" i="10"/>
  <c r="H413" i="10"/>
  <c r="G413" i="10"/>
  <c r="F413" i="10"/>
  <c r="E413" i="10"/>
  <c r="K365" i="10"/>
  <c r="J365" i="10"/>
  <c r="I365" i="10"/>
  <c r="H365" i="10"/>
  <c r="G365" i="10"/>
  <c r="F365" i="10"/>
  <c r="E365" i="10"/>
  <c r="L365" i="10"/>
  <c r="L329" i="10"/>
  <c r="K329" i="10"/>
  <c r="J329" i="10"/>
  <c r="I329" i="10"/>
  <c r="H329" i="10"/>
  <c r="G329" i="10"/>
  <c r="F329" i="10"/>
  <c r="E329" i="10"/>
  <c r="L253" i="10"/>
  <c r="K253" i="10"/>
  <c r="J253" i="10"/>
  <c r="I253" i="10"/>
  <c r="H253" i="10"/>
  <c r="G253" i="10"/>
  <c r="F253" i="10"/>
  <c r="E253" i="10"/>
  <c r="L220" i="10"/>
  <c r="K220" i="10"/>
  <c r="J220" i="10"/>
  <c r="I220" i="10"/>
  <c r="H220" i="10"/>
  <c r="G220" i="10"/>
  <c r="F220" i="10"/>
  <c r="E220" i="10"/>
  <c r="G80" i="10"/>
  <c r="G79" i="10"/>
  <c r="G78" i="10"/>
  <c r="G77" i="10"/>
  <c r="G76" i="10"/>
  <c r="G75" i="10"/>
  <c r="G74" i="10"/>
  <c r="F80" i="10"/>
  <c r="F79" i="10"/>
  <c r="F78" i="10"/>
  <c r="F77" i="10"/>
  <c r="F76" i="10"/>
  <c r="F75" i="10"/>
  <c r="F74" i="10"/>
  <c r="E80" i="10"/>
  <c r="E79" i="10"/>
  <c r="E78" i="10"/>
  <c r="E77" i="10"/>
  <c r="E76" i="10"/>
  <c r="E75" i="10"/>
  <c r="E74" i="10"/>
  <c r="E81" i="10" l="1"/>
  <c r="F81" i="10"/>
  <c r="F82" i="10" s="1"/>
  <c r="G532" i="10" l="1"/>
  <c r="G532" i="2" s="1"/>
  <c r="G531" i="10"/>
  <c r="G531" i="2" s="1"/>
  <c r="L590" i="10" l="1"/>
  <c r="L589" i="10"/>
  <c r="H763" i="10" l="1"/>
  <c r="H763" i="2" s="1"/>
  <c r="G687" i="10"/>
  <c r="G687" i="2" s="1"/>
  <c r="G452" i="10"/>
  <c r="G452" i="2" s="1"/>
  <c r="G451" i="10"/>
  <c r="G451" i="2" s="1"/>
  <c r="G450" i="10"/>
  <c r="G450" i="2" s="1"/>
  <c r="G449" i="10"/>
  <c r="G449" i="2" s="1"/>
  <c r="G448" i="10"/>
  <c r="G448" i="2" s="1"/>
  <c r="G447" i="10"/>
  <c r="G447" i="2" s="1"/>
  <c r="F452" i="10"/>
  <c r="F452" i="2" s="1"/>
  <c r="F450" i="10"/>
  <c r="F450" i="2" s="1"/>
  <c r="F448" i="10"/>
  <c r="F448" i="2" s="1"/>
  <c r="F447" i="10"/>
  <c r="F447" i="2" s="1"/>
  <c r="G246" i="10"/>
  <c r="G246" i="2" s="1"/>
  <c r="D246" i="10"/>
  <c r="D246" i="2" s="1"/>
  <c r="B246" i="10"/>
  <c r="B246" i="2" s="1"/>
  <c r="F904" i="10" l="1"/>
  <c r="F904" i="2" s="1"/>
  <c r="H447" i="10"/>
  <c r="H447" i="2" s="1"/>
  <c r="H452" i="10"/>
  <c r="H452" i="2" s="1"/>
  <c r="H448" i="10"/>
  <c r="H448" i="2" s="1"/>
  <c r="H450" i="10"/>
  <c r="H450" i="2" s="1"/>
  <c r="B10" i="4" l="1"/>
  <c r="B11" i="4"/>
  <c r="G985" i="10" l="1"/>
  <c r="G985" i="2" s="1"/>
  <c r="F983" i="10"/>
  <c r="F983" i="2" s="1"/>
  <c r="W753" i="10" l="1"/>
  <c r="W754" i="10"/>
  <c r="W755" i="10"/>
  <c r="W756" i="10"/>
  <c r="G772" i="2" l="1"/>
  <c r="E772" i="2"/>
  <c r="D772" i="2"/>
  <c r="C772" i="2"/>
  <c r="B772" i="2"/>
  <c r="A772" i="2"/>
  <c r="N5" i="2" l="1"/>
  <c r="J1010" i="10"/>
  <c r="I1010" i="10"/>
  <c r="J1009" i="10"/>
  <c r="I1009" i="10"/>
  <c r="J1006" i="10"/>
  <c r="I1006" i="10"/>
  <c r="J1005" i="10"/>
  <c r="I1005" i="10"/>
  <c r="J955" i="10"/>
  <c r="I955" i="10"/>
  <c r="J954" i="10"/>
  <c r="I954" i="10"/>
  <c r="J951" i="10"/>
  <c r="I951" i="10"/>
  <c r="J950" i="10"/>
  <c r="I950" i="10"/>
  <c r="J921" i="10"/>
  <c r="I921" i="10"/>
  <c r="J920" i="10"/>
  <c r="I920" i="10"/>
  <c r="J917" i="10"/>
  <c r="I917" i="10"/>
  <c r="J916" i="10"/>
  <c r="I916" i="10"/>
  <c r="J883" i="10"/>
  <c r="I883" i="10"/>
  <c r="J882" i="10"/>
  <c r="I882" i="10"/>
  <c r="J880" i="10"/>
  <c r="I880" i="10"/>
  <c r="J879" i="10"/>
  <c r="I879" i="10"/>
  <c r="J782" i="10"/>
  <c r="I782" i="10"/>
  <c r="J781" i="10"/>
  <c r="I781" i="10"/>
  <c r="J779" i="10"/>
  <c r="I779" i="10"/>
  <c r="J778" i="10"/>
  <c r="I778" i="10"/>
  <c r="J700" i="10"/>
  <c r="I700" i="10"/>
  <c r="J699" i="10"/>
  <c r="I699" i="10"/>
  <c r="J698" i="10"/>
  <c r="I698" i="10"/>
  <c r="J696" i="10"/>
  <c r="I696" i="10"/>
  <c r="J695" i="10"/>
  <c r="I695" i="10"/>
  <c r="J663" i="10"/>
  <c r="I663" i="10"/>
  <c r="J662" i="10"/>
  <c r="I662" i="10"/>
  <c r="J659" i="10"/>
  <c r="I659" i="10"/>
  <c r="J658" i="10"/>
  <c r="I658" i="10"/>
  <c r="J578" i="10"/>
  <c r="I578" i="10"/>
  <c r="J577" i="10"/>
  <c r="I577" i="10"/>
  <c r="J574" i="10"/>
  <c r="I574" i="10"/>
  <c r="J573" i="10"/>
  <c r="I573" i="10"/>
  <c r="J473" i="10"/>
  <c r="I473" i="10"/>
  <c r="J472" i="10"/>
  <c r="I472" i="10"/>
  <c r="J469" i="10"/>
  <c r="I469" i="10"/>
  <c r="J468" i="10"/>
  <c r="I468" i="10"/>
  <c r="J419" i="10"/>
  <c r="I419" i="10"/>
  <c r="J418" i="10"/>
  <c r="I418" i="10"/>
  <c r="J415" i="10"/>
  <c r="I415" i="10"/>
  <c r="J414" i="10"/>
  <c r="I414" i="10"/>
  <c r="J371" i="10"/>
  <c r="I371" i="10"/>
  <c r="J370" i="10"/>
  <c r="I370" i="10"/>
  <c r="J367" i="10"/>
  <c r="I367" i="10"/>
  <c r="J366" i="10"/>
  <c r="I366" i="10"/>
  <c r="J335" i="10"/>
  <c r="I335" i="10"/>
  <c r="J334" i="10"/>
  <c r="I334" i="10"/>
  <c r="J331" i="10"/>
  <c r="I331" i="10"/>
  <c r="J330" i="10"/>
  <c r="I330" i="10"/>
  <c r="J258" i="10"/>
  <c r="I258" i="10"/>
  <c r="J255" i="10"/>
  <c r="I255" i="10"/>
  <c r="J254" i="10"/>
  <c r="I254" i="10"/>
  <c r="J179" i="10"/>
  <c r="I179" i="10"/>
  <c r="J178" i="10"/>
  <c r="I178" i="10"/>
  <c r="J176" i="10"/>
  <c r="I176" i="10"/>
  <c r="J175" i="10"/>
  <c r="I175" i="10"/>
  <c r="J174" i="10"/>
  <c r="J79" i="10"/>
  <c r="I79" i="10"/>
  <c r="J78" i="10"/>
  <c r="I78" i="10"/>
  <c r="J76" i="10"/>
  <c r="I76" i="10"/>
  <c r="J75" i="10"/>
  <c r="I75" i="10"/>
  <c r="J5" i="2" l="1"/>
  <c r="H5" i="2"/>
  <c r="K394" i="2"/>
  <c r="K980" i="2"/>
  <c r="K904" i="2"/>
  <c r="F955" i="10" l="1"/>
  <c r="F954" i="10"/>
  <c r="F953" i="10"/>
  <c r="F952" i="10"/>
  <c r="F951" i="10"/>
  <c r="F950" i="10"/>
  <c r="E955" i="10"/>
  <c r="E954" i="10"/>
  <c r="E953" i="10"/>
  <c r="E952" i="10"/>
  <c r="E951" i="10"/>
  <c r="E950" i="10"/>
  <c r="L921" i="10"/>
  <c r="K921" i="10"/>
  <c r="L920" i="10"/>
  <c r="K920" i="10"/>
  <c r="L919" i="10"/>
  <c r="K919" i="10"/>
  <c r="L918" i="10"/>
  <c r="K918" i="10"/>
  <c r="L917" i="10"/>
  <c r="K917" i="10"/>
  <c r="L916" i="10"/>
  <c r="K916" i="10"/>
  <c r="H921" i="10"/>
  <c r="H920" i="10"/>
  <c r="H919" i="10"/>
  <c r="H918" i="10"/>
  <c r="H917" i="10"/>
  <c r="H916" i="10"/>
  <c r="G921" i="10"/>
  <c r="G920" i="10"/>
  <c r="G919" i="10"/>
  <c r="G918" i="10"/>
  <c r="G917" i="10"/>
  <c r="G916" i="10"/>
  <c r="F884" i="10"/>
  <c r="F883" i="10"/>
  <c r="F882" i="10"/>
  <c r="F881" i="10"/>
  <c r="F880" i="10"/>
  <c r="F879" i="10"/>
  <c r="E883" i="10"/>
  <c r="E882" i="10"/>
  <c r="E881" i="10"/>
  <c r="E880" i="10"/>
  <c r="E879" i="10"/>
  <c r="F921" i="10"/>
  <c r="F920" i="10"/>
  <c r="F919" i="10"/>
  <c r="F918" i="10"/>
  <c r="F917" i="10"/>
  <c r="F916" i="10"/>
  <c r="E921" i="10"/>
  <c r="E920" i="10"/>
  <c r="E919" i="10"/>
  <c r="E918" i="10"/>
  <c r="E917" i="10"/>
  <c r="E916" i="10"/>
  <c r="O19" i="18" l="1"/>
  <c r="O7" i="18"/>
  <c r="J898" i="2" l="1"/>
  <c r="J897" i="2"/>
  <c r="J896" i="2"/>
  <c r="J904" i="2" l="1"/>
  <c r="F684" i="10"/>
  <c r="F684" i="2" s="1"/>
  <c r="F683" i="10"/>
  <c r="F683" i="2" s="1"/>
  <c r="F645" i="10"/>
  <c r="F645" i="2" s="1"/>
  <c r="F644" i="10"/>
  <c r="F644" i="2" s="1"/>
  <c r="F643" i="10"/>
  <c r="F643" i="2" s="1"/>
  <c r="F642" i="10"/>
  <c r="F642" i="2" s="1"/>
  <c r="F599" i="10"/>
  <c r="F599" i="2" s="1"/>
  <c r="M905" i="2" l="1"/>
  <c r="K905" i="2"/>
  <c r="J905" i="2"/>
  <c r="L905" i="2"/>
  <c r="K908" i="2"/>
  <c r="J908" i="2"/>
  <c r="M908" i="2"/>
  <c r="L908" i="2"/>
  <c r="K907" i="2"/>
  <c r="M907" i="2"/>
  <c r="J907" i="2"/>
  <c r="L907" i="2"/>
  <c r="L897" i="2"/>
  <c r="L896" i="2"/>
  <c r="L898" i="2"/>
  <c r="L921" i="2"/>
  <c r="H921" i="2"/>
  <c r="L920" i="2"/>
  <c r="H920" i="2"/>
  <c r="L919" i="2"/>
  <c r="F919" i="2"/>
  <c r="H918" i="2"/>
  <c r="L917" i="2"/>
  <c r="H917" i="2"/>
  <c r="L916" i="2"/>
  <c r="H916" i="2"/>
  <c r="L915" i="2"/>
  <c r="H915" i="2"/>
  <c r="K918" i="2"/>
  <c r="E917" i="2"/>
  <c r="E916" i="2"/>
  <c r="K921" i="2"/>
  <c r="G921" i="2"/>
  <c r="K920" i="2"/>
  <c r="G920" i="2"/>
  <c r="K919" i="2"/>
  <c r="E919" i="2"/>
  <c r="G918" i="2"/>
  <c r="K917" i="2"/>
  <c r="G917" i="2"/>
  <c r="K916" i="2"/>
  <c r="G916" i="2"/>
  <c r="K915" i="2"/>
  <c r="G915" i="2"/>
  <c r="E920" i="2"/>
  <c r="I917" i="2"/>
  <c r="E915" i="2"/>
  <c r="J921" i="2"/>
  <c r="F921" i="2"/>
  <c r="J920" i="2"/>
  <c r="F920" i="2"/>
  <c r="H919" i="2"/>
  <c r="L918" i="2"/>
  <c r="F918" i="2"/>
  <c r="J917" i="2"/>
  <c r="F917" i="2"/>
  <c r="J916" i="2"/>
  <c r="F916" i="2"/>
  <c r="J915" i="2"/>
  <c r="F915" i="2"/>
  <c r="I921" i="2"/>
  <c r="E921" i="2"/>
  <c r="I920" i="2"/>
  <c r="G919" i="2"/>
  <c r="E918" i="2"/>
  <c r="I916" i="2"/>
  <c r="I915" i="2"/>
  <c r="H905" i="10"/>
  <c r="H905" i="2" s="1"/>
  <c r="K922" i="10"/>
  <c r="L922" i="10"/>
  <c r="G900" i="10"/>
  <c r="K923" i="10" l="1"/>
  <c r="M24" i="10"/>
  <c r="L923" i="10"/>
  <c r="N24" i="10"/>
  <c r="G900" i="2"/>
  <c r="H904" i="10"/>
  <c r="H904" i="2" s="1"/>
  <c r="E922" i="10" l="1"/>
  <c r="E923" i="10" l="1"/>
  <c r="G24" i="10"/>
  <c r="D76" i="18" l="1"/>
  <c r="D73" i="18"/>
  <c r="G529" i="10" l="1"/>
  <c r="G529" i="2" s="1"/>
  <c r="F529" i="10"/>
  <c r="F529" i="2" s="1"/>
  <c r="D44" i="18"/>
  <c r="D43" i="18"/>
  <c r="D99" i="2" l="1"/>
  <c r="C99" i="2"/>
  <c r="B99" i="2"/>
  <c r="G93" i="2"/>
  <c r="G92" i="2"/>
  <c r="D93" i="2"/>
  <c r="C93" i="2"/>
  <c r="B93" i="2"/>
  <c r="A93" i="2"/>
  <c r="D92" i="2"/>
  <c r="C92" i="2"/>
  <c r="B92" i="2"/>
  <c r="A92" i="2"/>
  <c r="G67" i="2"/>
  <c r="F67" i="2"/>
  <c r="D67" i="2"/>
  <c r="C67" i="2"/>
  <c r="B67" i="2"/>
  <c r="A67" i="2"/>
  <c r="G66" i="2"/>
  <c r="F66" i="2"/>
  <c r="D66" i="2"/>
  <c r="C66" i="2"/>
  <c r="B66" i="2"/>
  <c r="A66" i="2"/>
  <c r="G65" i="2"/>
  <c r="F65" i="2"/>
  <c r="D65" i="2"/>
  <c r="C65" i="2"/>
  <c r="B65" i="2"/>
  <c r="A65" i="2"/>
  <c r="G64" i="2"/>
  <c r="F64" i="2"/>
  <c r="D64" i="2"/>
  <c r="C64" i="2"/>
  <c r="B64" i="2"/>
  <c r="A64" i="2"/>
  <c r="G63" i="2"/>
  <c r="F63" i="2"/>
  <c r="D63" i="2"/>
  <c r="C63" i="2"/>
  <c r="B63" i="2"/>
  <c r="A63" i="2"/>
  <c r="G62" i="2"/>
  <c r="F62" i="2"/>
  <c r="D62" i="2"/>
  <c r="C62" i="2"/>
  <c r="B62" i="2"/>
  <c r="A62" i="2"/>
  <c r="G61" i="2"/>
  <c r="D61" i="2"/>
  <c r="C61" i="2"/>
  <c r="B61" i="2"/>
  <c r="A61" i="2"/>
  <c r="G60" i="2"/>
  <c r="F60" i="2"/>
  <c r="D60" i="2"/>
  <c r="C60" i="2"/>
  <c r="B60" i="2"/>
  <c r="A60" i="2"/>
  <c r="F59" i="2"/>
  <c r="D59" i="2"/>
  <c r="C59" i="2"/>
  <c r="B59" i="2"/>
  <c r="A59" i="2"/>
  <c r="D58" i="2"/>
  <c r="C58" i="2"/>
  <c r="B58" i="2"/>
  <c r="A58" i="2"/>
  <c r="G57" i="2"/>
  <c r="F57" i="2"/>
  <c r="D57" i="2"/>
  <c r="C57" i="2"/>
  <c r="B57" i="2"/>
  <c r="A57" i="2"/>
  <c r="G56" i="2"/>
  <c r="F56" i="2"/>
  <c r="D56" i="2"/>
  <c r="C56" i="2"/>
  <c r="B56" i="2"/>
  <c r="A56" i="2"/>
  <c r="D50" i="2"/>
  <c r="C50" i="2"/>
  <c r="B50" i="2"/>
  <c r="A50" i="2"/>
  <c r="D49" i="2"/>
  <c r="C49" i="2"/>
  <c r="B49" i="2"/>
  <c r="A49" i="2"/>
  <c r="G43" i="2"/>
  <c r="G42" i="2"/>
  <c r="G41" i="2"/>
  <c r="D43" i="2"/>
  <c r="C43" i="2"/>
  <c r="B43" i="2"/>
  <c r="A43" i="2"/>
  <c r="D42" i="2"/>
  <c r="C42" i="2"/>
  <c r="B42" i="2"/>
  <c r="A42" i="2"/>
  <c r="D41" i="2"/>
  <c r="C41" i="2"/>
  <c r="B41" i="2"/>
  <c r="I1048" i="2" l="1"/>
  <c r="E1048" i="2"/>
  <c r="K1047" i="2"/>
  <c r="G1047" i="2"/>
  <c r="K1046" i="2"/>
  <c r="E1045" i="2"/>
  <c r="K1044" i="2"/>
  <c r="G1044" i="2"/>
  <c r="K1043" i="2"/>
  <c r="G1043" i="2"/>
  <c r="K1042" i="2"/>
  <c r="G1042" i="2"/>
  <c r="L1048" i="2"/>
  <c r="H1048" i="2"/>
  <c r="J1047" i="2"/>
  <c r="F1047" i="2"/>
  <c r="F1046" i="2"/>
  <c r="L1045" i="2"/>
  <c r="J1044" i="2"/>
  <c r="F1044" i="2"/>
  <c r="J1043" i="2"/>
  <c r="F1043" i="2"/>
  <c r="J1042" i="2"/>
  <c r="F1042" i="2"/>
  <c r="K1048" i="2"/>
  <c r="G1048" i="2"/>
  <c r="I1047" i="2"/>
  <c r="E1047" i="2"/>
  <c r="E1046" i="2"/>
  <c r="K1045" i="2"/>
  <c r="I1044" i="2"/>
  <c r="E1044" i="2"/>
  <c r="I1043" i="2"/>
  <c r="E1043" i="2"/>
  <c r="I1042" i="2"/>
  <c r="E1042" i="2"/>
  <c r="J1048" i="2"/>
  <c r="F1048" i="2"/>
  <c r="L1047" i="2"/>
  <c r="H1047" i="2"/>
  <c r="L1046" i="2"/>
  <c r="F1045" i="2"/>
  <c r="L1044" i="2"/>
  <c r="H1044" i="2"/>
  <c r="L1043" i="2"/>
  <c r="H1043" i="2"/>
  <c r="L1042" i="2"/>
  <c r="H1042" i="2"/>
  <c r="H1010" i="2"/>
  <c r="G1010" i="2"/>
  <c r="I508" i="2"/>
  <c r="E508" i="2"/>
  <c r="I507" i="2"/>
  <c r="E507" i="2"/>
  <c r="K505" i="2"/>
  <c r="I504" i="2"/>
  <c r="E504" i="2"/>
  <c r="I503" i="2"/>
  <c r="E503" i="2"/>
  <c r="I502" i="2"/>
  <c r="E502" i="2"/>
  <c r="L508" i="2"/>
  <c r="H508" i="2"/>
  <c r="L507" i="2"/>
  <c r="H507" i="2"/>
  <c r="L506" i="2"/>
  <c r="H506" i="2"/>
  <c r="L504" i="2"/>
  <c r="H504" i="2"/>
  <c r="L503" i="2"/>
  <c r="H503" i="2"/>
  <c r="L502" i="2"/>
  <c r="H502" i="2"/>
  <c r="K508" i="2"/>
  <c r="G508" i="2"/>
  <c r="K507" i="2"/>
  <c r="G507" i="2"/>
  <c r="K506" i="2"/>
  <c r="G506" i="2"/>
  <c r="K504" i="2"/>
  <c r="G504" i="2"/>
  <c r="K503" i="2"/>
  <c r="G503" i="2"/>
  <c r="K502" i="2"/>
  <c r="G502" i="2"/>
  <c r="J508" i="2"/>
  <c r="F508" i="2"/>
  <c r="J507" i="2"/>
  <c r="F507" i="2"/>
  <c r="L505" i="2"/>
  <c r="J504" i="2"/>
  <c r="F504" i="2"/>
  <c r="J503" i="2"/>
  <c r="F503" i="2"/>
  <c r="J502" i="2"/>
  <c r="F502" i="2"/>
  <c r="L618" i="2"/>
  <c r="L622" i="2"/>
  <c r="L617" i="2"/>
  <c r="K620" i="2"/>
  <c r="J618" i="2"/>
  <c r="J622" i="2"/>
  <c r="J617" i="2"/>
  <c r="I620" i="2"/>
  <c r="H618" i="2"/>
  <c r="H622" i="2"/>
  <c r="H617" i="2"/>
  <c r="F618" i="2"/>
  <c r="F622" i="2"/>
  <c r="F617" i="2"/>
  <c r="E620" i="2"/>
  <c r="L619" i="2"/>
  <c r="L623" i="2"/>
  <c r="K621" i="2"/>
  <c r="J619" i="2"/>
  <c r="J623" i="2"/>
  <c r="I621" i="2"/>
  <c r="H619" i="2"/>
  <c r="F619" i="2"/>
  <c r="F623" i="2"/>
  <c r="E621" i="2"/>
  <c r="L620" i="2"/>
  <c r="K618" i="2"/>
  <c r="K622" i="2"/>
  <c r="K617" i="2"/>
  <c r="J620" i="2"/>
  <c r="I618" i="2"/>
  <c r="I622" i="2"/>
  <c r="I617" i="2"/>
  <c r="G618" i="2"/>
  <c r="G622" i="2"/>
  <c r="G617" i="2"/>
  <c r="F620" i="2"/>
  <c r="E618" i="2"/>
  <c r="E622" i="2"/>
  <c r="E617" i="2"/>
  <c r="L621" i="2"/>
  <c r="K619" i="2"/>
  <c r="K623" i="2"/>
  <c r="J621" i="2"/>
  <c r="I619" i="2"/>
  <c r="I623" i="2"/>
  <c r="G619" i="2"/>
  <c r="G623" i="2"/>
  <c r="F621" i="2"/>
  <c r="E619" i="2"/>
  <c r="E623" i="2"/>
  <c r="L50" i="2"/>
  <c r="K50" i="2"/>
  <c r="J50" i="2"/>
  <c r="M50" i="2"/>
  <c r="L156" i="2"/>
  <c r="J156" i="2"/>
  <c r="K156" i="2"/>
  <c r="M156" i="2"/>
  <c r="L207" i="2"/>
  <c r="K207" i="2"/>
  <c r="J207" i="2"/>
  <c r="M207" i="2"/>
  <c r="M300" i="2"/>
  <c r="J300" i="2"/>
  <c r="L300" i="2"/>
  <c r="K300" i="2"/>
  <c r="K530" i="2"/>
  <c r="L530" i="2"/>
  <c r="J530" i="2"/>
  <c r="M530" i="2"/>
  <c r="L989" i="2"/>
  <c r="J989" i="2"/>
  <c r="M989" i="2"/>
  <c r="K989" i="2"/>
  <c r="L102" i="2"/>
  <c r="K102" i="2"/>
  <c r="M102" i="2"/>
  <c r="J102" i="2"/>
  <c r="L104" i="2"/>
  <c r="K104" i="2"/>
  <c r="J104" i="2"/>
  <c r="M104" i="2"/>
  <c r="L106" i="2"/>
  <c r="K106" i="2"/>
  <c r="J106" i="2"/>
  <c r="M106" i="2"/>
  <c r="L66" i="2"/>
  <c r="K66" i="2"/>
  <c r="J66" i="2"/>
  <c r="M66" i="2"/>
  <c r="L150" i="2"/>
  <c r="J150" i="2"/>
  <c r="K150" i="2"/>
  <c r="M150" i="2"/>
  <c r="L356" i="2"/>
  <c r="K356" i="2"/>
  <c r="J356" i="2"/>
  <c r="M356" i="2"/>
  <c r="J396" i="2"/>
  <c r="M396" i="2"/>
  <c r="L396" i="2"/>
  <c r="K396" i="2"/>
  <c r="K599" i="2"/>
  <c r="J599" i="2"/>
  <c r="M599" i="2"/>
  <c r="L599" i="2"/>
  <c r="L717" i="2"/>
  <c r="K717" i="2"/>
  <c r="M717" i="2"/>
  <c r="J717" i="2"/>
  <c r="L742" i="2"/>
  <c r="K742" i="2"/>
  <c r="J742" i="2"/>
  <c r="M742" i="2"/>
  <c r="L744" i="2"/>
  <c r="K744" i="2"/>
  <c r="J744" i="2"/>
  <c r="M744" i="2"/>
  <c r="L746" i="2"/>
  <c r="K746" i="2"/>
  <c r="J746" i="2"/>
  <c r="M746" i="2"/>
  <c r="L748" i="2"/>
  <c r="K748" i="2"/>
  <c r="J748" i="2"/>
  <c r="M748" i="2"/>
  <c r="L752" i="2"/>
  <c r="K752" i="2"/>
  <c r="J752" i="2"/>
  <c r="M752" i="2"/>
  <c r="L756" i="2"/>
  <c r="K756" i="2"/>
  <c r="J756" i="2"/>
  <c r="M756" i="2"/>
  <c r="K835" i="2"/>
  <c r="J835" i="2"/>
  <c r="M835" i="2"/>
  <c r="L835" i="2"/>
  <c r="K837" i="2"/>
  <c r="J837" i="2"/>
  <c r="M837" i="2"/>
  <c r="L837" i="2"/>
  <c r="L982" i="2"/>
  <c r="J982" i="2"/>
  <c r="M982" i="2"/>
  <c r="K982" i="2"/>
  <c r="M984" i="2"/>
  <c r="L984" i="2"/>
  <c r="K984" i="2"/>
  <c r="J984" i="2"/>
  <c r="L49" i="2"/>
  <c r="K49" i="2"/>
  <c r="J49" i="2"/>
  <c r="M49" i="2"/>
  <c r="L56" i="2"/>
  <c r="K56" i="2"/>
  <c r="J56" i="2"/>
  <c r="M56" i="2"/>
  <c r="L58" i="2"/>
  <c r="K58" i="2"/>
  <c r="J58" i="2"/>
  <c r="M58" i="2"/>
  <c r="J154" i="2"/>
  <c r="L154" i="2"/>
  <c r="K154" i="2"/>
  <c r="M154" i="2"/>
  <c r="L203" i="2"/>
  <c r="K203" i="2"/>
  <c r="J203" i="2"/>
  <c r="M203" i="2"/>
  <c r="L209" i="2"/>
  <c r="K209" i="2"/>
  <c r="J209" i="2"/>
  <c r="M209" i="2"/>
  <c r="L211" i="2"/>
  <c r="K211" i="2"/>
  <c r="J211" i="2"/>
  <c r="M211" i="2"/>
  <c r="M311" i="2"/>
  <c r="L311" i="2"/>
  <c r="K311" i="2"/>
  <c r="J311" i="2"/>
  <c r="L103" i="2"/>
  <c r="K103" i="2"/>
  <c r="J103" i="2"/>
  <c r="M103" i="2"/>
  <c r="L105" i="2"/>
  <c r="K105" i="2"/>
  <c r="J105" i="2"/>
  <c r="M105" i="2"/>
  <c r="L107" i="2"/>
  <c r="K107" i="2"/>
  <c r="J107" i="2"/>
  <c r="M107" i="2"/>
  <c r="L67" i="2"/>
  <c r="K67" i="2"/>
  <c r="J67" i="2"/>
  <c r="M67" i="2"/>
  <c r="M303" i="2"/>
  <c r="L303" i="2"/>
  <c r="K303" i="2"/>
  <c r="J303" i="2"/>
  <c r="L355" i="2"/>
  <c r="K355" i="2"/>
  <c r="J355" i="2"/>
  <c r="M355" i="2"/>
  <c r="J397" i="2"/>
  <c r="M397" i="2"/>
  <c r="L397" i="2"/>
  <c r="K397" i="2"/>
  <c r="J399" i="2"/>
  <c r="M399" i="2"/>
  <c r="L399" i="2"/>
  <c r="K399" i="2"/>
  <c r="L714" i="2"/>
  <c r="K714" i="2"/>
  <c r="M714" i="2"/>
  <c r="J714" i="2"/>
  <c r="K824" i="2"/>
  <c r="J824" i="2"/>
  <c r="M824" i="2"/>
  <c r="L824" i="2"/>
  <c r="K826" i="2"/>
  <c r="J826" i="2"/>
  <c r="M826" i="2"/>
  <c r="L826" i="2"/>
  <c r="K828" i="2"/>
  <c r="J828" i="2"/>
  <c r="M828" i="2"/>
  <c r="L828" i="2"/>
  <c r="K830" i="2"/>
  <c r="J830" i="2"/>
  <c r="M830" i="2"/>
  <c r="L830" i="2"/>
  <c r="K843" i="2"/>
  <c r="J843" i="2"/>
  <c r="M843" i="2"/>
  <c r="L843" i="2"/>
  <c r="K845" i="2"/>
  <c r="J845" i="2"/>
  <c r="M845" i="2"/>
  <c r="L845" i="2"/>
  <c r="J983" i="2"/>
  <c r="L983" i="2"/>
  <c r="M983" i="2"/>
  <c r="K983" i="2"/>
  <c r="L101" i="2"/>
  <c r="K101" i="2"/>
  <c r="J101" i="2"/>
  <c r="M101" i="2"/>
  <c r="L194" i="2"/>
  <c r="K194" i="2"/>
  <c r="J194" i="2"/>
  <c r="M194" i="2"/>
  <c r="L204" i="2"/>
  <c r="K204" i="2"/>
  <c r="J204" i="2"/>
  <c r="M204" i="2"/>
  <c r="L206" i="2"/>
  <c r="K206" i="2"/>
  <c r="J206" i="2"/>
  <c r="M206" i="2"/>
  <c r="L208" i="2"/>
  <c r="K208" i="2"/>
  <c r="J208" i="2"/>
  <c r="M208" i="2"/>
  <c r="L210" i="2"/>
  <c r="K210" i="2"/>
  <c r="J210" i="2"/>
  <c r="M210" i="2"/>
  <c r="L212" i="2"/>
  <c r="K212" i="2"/>
  <c r="J212" i="2"/>
  <c r="M212" i="2"/>
  <c r="M301" i="2"/>
  <c r="K301" i="2"/>
  <c r="J301" i="2"/>
  <c r="L301" i="2"/>
  <c r="M302" i="2"/>
  <c r="L302" i="2"/>
  <c r="K302" i="2"/>
  <c r="J302" i="2"/>
  <c r="L563" i="2"/>
  <c r="K563" i="2"/>
  <c r="J563" i="2"/>
  <c r="M563" i="2"/>
  <c r="L59" i="2"/>
  <c r="K59" i="2"/>
  <c r="J59" i="2"/>
  <c r="M59" i="2"/>
  <c r="L149" i="2"/>
  <c r="K149" i="2"/>
  <c r="J149" i="2"/>
  <c r="M149" i="2"/>
  <c r="L157" i="2"/>
  <c r="K157" i="2"/>
  <c r="J157" i="2"/>
  <c r="M157" i="2"/>
  <c r="M310" i="2"/>
  <c r="L310" i="2"/>
  <c r="K310" i="2"/>
  <c r="J310" i="2"/>
  <c r="J529" i="2"/>
  <c r="M529" i="2"/>
  <c r="L529" i="2"/>
  <c r="K529" i="2"/>
  <c r="L108" i="2"/>
  <c r="K108" i="2"/>
  <c r="J108" i="2"/>
  <c r="M108" i="2"/>
  <c r="L60" i="2"/>
  <c r="K60" i="2"/>
  <c r="J60" i="2"/>
  <c r="M60" i="2"/>
  <c r="L63" i="2"/>
  <c r="K63" i="2"/>
  <c r="J63" i="2"/>
  <c r="M63" i="2"/>
  <c r="M304" i="2"/>
  <c r="J304" i="2"/>
  <c r="L304" i="2"/>
  <c r="K304" i="2"/>
  <c r="J395" i="2"/>
  <c r="M395" i="2"/>
  <c r="L395" i="2"/>
  <c r="K395" i="2"/>
  <c r="J398" i="2"/>
  <c r="M398" i="2"/>
  <c r="L398" i="2"/>
  <c r="K398" i="2"/>
  <c r="K598" i="2"/>
  <c r="J598" i="2"/>
  <c r="M598" i="2"/>
  <c r="L598" i="2"/>
  <c r="L715" i="2"/>
  <c r="K715" i="2"/>
  <c r="J715" i="2"/>
  <c r="M715" i="2"/>
  <c r="L750" i="2"/>
  <c r="J750" i="2"/>
  <c r="K750" i="2"/>
  <c r="M750" i="2"/>
  <c r="K832" i="2"/>
  <c r="J832" i="2"/>
  <c r="M832" i="2"/>
  <c r="L832" i="2"/>
  <c r="K834" i="2"/>
  <c r="J834" i="2"/>
  <c r="M834" i="2"/>
  <c r="L834" i="2"/>
  <c r="L57" i="2"/>
  <c r="K57" i="2"/>
  <c r="J57" i="2"/>
  <c r="M57" i="2"/>
  <c r="L100" i="2"/>
  <c r="K100" i="2"/>
  <c r="J100" i="2"/>
  <c r="M100" i="2"/>
  <c r="L151" i="2"/>
  <c r="K151" i="2"/>
  <c r="J151" i="2"/>
  <c r="M151" i="2"/>
  <c r="L192" i="2"/>
  <c r="K192" i="2"/>
  <c r="J192" i="2"/>
  <c r="M192" i="2"/>
  <c r="L193" i="2"/>
  <c r="K193" i="2"/>
  <c r="J193" i="2"/>
  <c r="M193" i="2"/>
  <c r="L195" i="2"/>
  <c r="K195" i="2"/>
  <c r="J195" i="2"/>
  <c r="M195" i="2"/>
  <c r="L202" i="2"/>
  <c r="K202" i="2"/>
  <c r="J202" i="2"/>
  <c r="M202" i="2"/>
  <c r="L62" i="2"/>
  <c r="K62" i="2"/>
  <c r="J62" i="2"/>
  <c r="M62" i="2"/>
  <c r="L64" i="2"/>
  <c r="K64" i="2"/>
  <c r="J64" i="2"/>
  <c r="M64" i="2"/>
  <c r="L61" i="2"/>
  <c r="K61" i="2"/>
  <c r="J61" i="2"/>
  <c r="M61" i="2"/>
  <c r="L147" i="2"/>
  <c r="K147" i="2"/>
  <c r="J147" i="2"/>
  <c r="M147" i="2"/>
  <c r="L148" i="2"/>
  <c r="J148" i="2"/>
  <c r="K148" i="2"/>
  <c r="M148" i="2"/>
  <c r="L152" i="2"/>
  <c r="J152" i="2"/>
  <c r="K152" i="2"/>
  <c r="M152" i="2"/>
  <c r="L153" i="2"/>
  <c r="K153" i="2"/>
  <c r="J153" i="2"/>
  <c r="M153" i="2"/>
  <c r="M305" i="2"/>
  <c r="K305" i="2"/>
  <c r="J305" i="2"/>
  <c r="L305" i="2"/>
  <c r="M306" i="2"/>
  <c r="L306" i="2"/>
  <c r="K306" i="2"/>
  <c r="J306" i="2"/>
  <c r="M307" i="2"/>
  <c r="L307" i="2"/>
  <c r="K307" i="2"/>
  <c r="J307" i="2"/>
  <c r="M308" i="2"/>
  <c r="J308" i="2"/>
  <c r="L308" i="2"/>
  <c r="K308" i="2"/>
  <c r="M309" i="2"/>
  <c r="K309" i="2"/>
  <c r="J309" i="2"/>
  <c r="L309" i="2"/>
  <c r="J447" i="2"/>
  <c r="M447" i="2"/>
  <c r="L447" i="2"/>
  <c r="K447" i="2"/>
  <c r="J448" i="2"/>
  <c r="M448" i="2"/>
  <c r="L448" i="2"/>
  <c r="K448" i="2"/>
  <c r="M449" i="2"/>
  <c r="J449" i="2"/>
  <c r="L449" i="2"/>
  <c r="K449" i="2"/>
  <c r="M450" i="2"/>
  <c r="K450" i="2"/>
  <c r="J450" i="2"/>
  <c r="L450" i="2"/>
  <c r="M451" i="2"/>
  <c r="L451" i="2"/>
  <c r="K451" i="2"/>
  <c r="J451" i="2"/>
  <c r="M452" i="2"/>
  <c r="L452" i="2"/>
  <c r="K452" i="2"/>
  <c r="J452" i="2"/>
  <c r="K642" i="2"/>
  <c r="J642" i="2"/>
  <c r="M642" i="2"/>
  <c r="L642" i="2"/>
  <c r="K643" i="2"/>
  <c r="J643" i="2"/>
  <c r="M643" i="2"/>
  <c r="L643" i="2"/>
  <c r="K644" i="2"/>
  <c r="J644" i="2"/>
  <c r="M644" i="2"/>
  <c r="L644" i="2"/>
  <c r="K645" i="2"/>
  <c r="J645" i="2"/>
  <c r="M645" i="2"/>
  <c r="L645" i="2"/>
  <c r="K682" i="2"/>
  <c r="J682" i="2"/>
  <c r="M682" i="2"/>
  <c r="L682" i="2"/>
  <c r="K683" i="2"/>
  <c r="J683" i="2"/>
  <c r="M683" i="2"/>
  <c r="L683" i="2"/>
  <c r="K684" i="2"/>
  <c r="J684" i="2"/>
  <c r="M684" i="2"/>
  <c r="L684" i="2"/>
  <c r="K685" i="2"/>
  <c r="J685" i="2"/>
  <c r="M685" i="2"/>
  <c r="L685" i="2"/>
  <c r="L712" i="2"/>
  <c r="K712" i="2"/>
  <c r="J712" i="2"/>
  <c r="M712" i="2"/>
  <c r="L713" i="2"/>
  <c r="K713" i="2"/>
  <c r="J713" i="2"/>
  <c r="M713" i="2"/>
  <c r="L743" i="2"/>
  <c r="K743" i="2"/>
  <c r="M743" i="2"/>
  <c r="J743" i="2"/>
  <c r="L745" i="2"/>
  <c r="K745" i="2"/>
  <c r="M745" i="2"/>
  <c r="J745" i="2"/>
  <c r="L747" i="2"/>
  <c r="K747" i="2"/>
  <c r="J747" i="2"/>
  <c r="M747" i="2"/>
  <c r="L749" i="2"/>
  <c r="K749" i="2"/>
  <c r="M749" i="2"/>
  <c r="J749" i="2"/>
  <c r="L751" i="2"/>
  <c r="K751" i="2"/>
  <c r="J751" i="2"/>
  <c r="M751" i="2"/>
  <c r="L753" i="2"/>
  <c r="J753" i="2"/>
  <c r="K753" i="2"/>
  <c r="M753" i="2"/>
  <c r="L755" i="2"/>
  <c r="K755" i="2"/>
  <c r="J755" i="2"/>
  <c r="M755" i="2"/>
  <c r="K795" i="2"/>
  <c r="J795" i="2"/>
  <c r="M795" i="2"/>
  <c r="L795" i="2"/>
  <c r="K796" i="2"/>
  <c r="J796" i="2"/>
  <c r="M796" i="2"/>
  <c r="L796" i="2"/>
  <c r="K797" i="2"/>
  <c r="J797" i="2"/>
  <c r="M797" i="2"/>
  <c r="L797" i="2"/>
  <c r="K798" i="2"/>
  <c r="J798" i="2"/>
  <c r="M798" i="2"/>
  <c r="L798" i="2"/>
  <c r="K799" i="2"/>
  <c r="J799" i="2"/>
  <c r="M799" i="2"/>
  <c r="L799" i="2"/>
  <c r="K800" i="2"/>
  <c r="J800" i="2"/>
  <c r="M800" i="2"/>
  <c r="L800" i="2"/>
  <c r="K801" i="2"/>
  <c r="J801" i="2"/>
  <c r="M801" i="2"/>
  <c r="L801" i="2"/>
  <c r="K802" i="2"/>
  <c r="J802" i="2"/>
  <c r="M802" i="2"/>
  <c r="L802" i="2"/>
  <c r="K803" i="2"/>
  <c r="J803" i="2"/>
  <c r="M803" i="2"/>
  <c r="L803" i="2"/>
  <c r="K804" i="2"/>
  <c r="J804" i="2"/>
  <c r="M804" i="2"/>
  <c r="L804" i="2"/>
  <c r="K805" i="2"/>
  <c r="J805" i="2"/>
  <c r="M805" i="2"/>
  <c r="L805" i="2"/>
  <c r="K806" i="2"/>
  <c r="J806" i="2"/>
  <c r="M806" i="2"/>
  <c r="L806" i="2"/>
  <c r="K807" i="2"/>
  <c r="J807" i="2"/>
  <c r="M807" i="2"/>
  <c r="L807" i="2"/>
  <c r="K808" i="2"/>
  <c r="J808" i="2"/>
  <c r="M808" i="2"/>
  <c r="L808" i="2"/>
  <c r="K809" i="2"/>
  <c r="J809" i="2"/>
  <c r="M809" i="2"/>
  <c r="L809" i="2"/>
  <c r="K810" i="2"/>
  <c r="J810" i="2"/>
  <c r="M810" i="2"/>
  <c r="L810" i="2"/>
  <c r="K811" i="2"/>
  <c r="J811" i="2"/>
  <c r="M811" i="2"/>
  <c r="L811" i="2"/>
  <c r="K823" i="2"/>
  <c r="J823" i="2"/>
  <c r="M823" i="2"/>
  <c r="L823" i="2"/>
  <c r="K825" i="2"/>
  <c r="J825" i="2"/>
  <c r="M825" i="2"/>
  <c r="L825" i="2"/>
  <c r="K827" i="2"/>
  <c r="J827" i="2"/>
  <c r="M827" i="2"/>
  <c r="L827" i="2"/>
  <c r="K829" i="2"/>
  <c r="J829" i="2"/>
  <c r="M829" i="2"/>
  <c r="L829" i="2"/>
  <c r="K833" i="2"/>
  <c r="J833" i="2"/>
  <c r="M833" i="2"/>
  <c r="L833" i="2"/>
  <c r="K836" i="2"/>
  <c r="J836" i="2"/>
  <c r="M836" i="2"/>
  <c r="L836" i="2"/>
  <c r="K838" i="2"/>
  <c r="J838" i="2"/>
  <c r="M838" i="2"/>
  <c r="L838" i="2"/>
  <c r="K844" i="2"/>
  <c r="J844" i="2"/>
  <c r="M844" i="2"/>
  <c r="L844" i="2"/>
  <c r="M981" i="2"/>
  <c r="L981" i="2"/>
  <c r="K981" i="2"/>
  <c r="J981" i="2"/>
  <c r="M985" i="2"/>
  <c r="J985" i="2"/>
  <c r="L985" i="2"/>
  <c r="K985" i="2"/>
  <c r="L988" i="2"/>
  <c r="J988" i="2"/>
  <c r="M988" i="2"/>
  <c r="K988" i="2"/>
  <c r="M940" i="2"/>
  <c r="K940" i="2"/>
  <c r="J940" i="2"/>
  <c r="L940" i="2"/>
  <c r="M941" i="2"/>
  <c r="L941" i="2"/>
  <c r="K941" i="2"/>
  <c r="J941" i="2"/>
  <c r="M942" i="2"/>
  <c r="L942" i="2"/>
  <c r="K942" i="2"/>
  <c r="J942" i="2"/>
  <c r="M943" i="2"/>
  <c r="J943" i="2"/>
  <c r="L943" i="2"/>
  <c r="K943" i="2"/>
  <c r="L972" i="2"/>
  <c r="L971" i="2"/>
  <c r="L970" i="2"/>
  <c r="F980" i="10"/>
  <c r="F980" i="2" s="1"/>
  <c r="F979" i="10"/>
  <c r="F979" i="2" s="1"/>
  <c r="H65" i="10"/>
  <c r="H65" i="2" s="1"/>
  <c r="F1049" i="2" l="1"/>
  <c r="F1050" i="2" s="1"/>
  <c r="L1049" i="2"/>
  <c r="L1050" i="2" s="1"/>
  <c r="E1049" i="2"/>
  <c r="E1050" i="2" s="1"/>
  <c r="K1049" i="2"/>
  <c r="K1050" i="2" s="1"/>
  <c r="L509" i="2"/>
  <c r="L510" i="2" s="1"/>
  <c r="K509" i="2"/>
  <c r="K510" i="2" s="1"/>
  <c r="L922" i="2"/>
  <c r="E922" i="2"/>
  <c r="K922" i="2"/>
  <c r="A99" i="2"/>
  <c r="L99" i="2" l="1"/>
  <c r="K99" i="2"/>
  <c r="J99" i="2"/>
  <c r="M99" i="2"/>
  <c r="L146" i="2"/>
  <c r="J146" i="2"/>
  <c r="K146" i="2"/>
  <c r="M146" i="2"/>
  <c r="K923" i="2"/>
  <c r="M24" i="2"/>
  <c r="E923" i="2"/>
  <c r="G24" i="2"/>
  <c r="L923" i="2"/>
  <c r="N24" i="2"/>
  <c r="G49" i="10" l="1"/>
  <c r="G49" i="2" s="1"/>
  <c r="F49" i="10"/>
  <c r="F49" i="2" s="1"/>
  <c r="L955" i="10" l="1"/>
  <c r="K955" i="10"/>
  <c r="L954" i="10"/>
  <c r="K954" i="10"/>
  <c r="L953" i="10"/>
  <c r="K953" i="10"/>
  <c r="L952" i="10"/>
  <c r="K952" i="10"/>
  <c r="L951" i="10"/>
  <c r="K951" i="10"/>
  <c r="L950" i="10"/>
  <c r="K950" i="10"/>
  <c r="L1010" i="10"/>
  <c r="K1010" i="10"/>
  <c r="L1009" i="10"/>
  <c r="K1009" i="10"/>
  <c r="L1008" i="10"/>
  <c r="K1008" i="10"/>
  <c r="L1007" i="10"/>
  <c r="K1007" i="10"/>
  <c r="L1006" i="10"/>
  <c r="K1006" i="10"/>
  <c r="L1005" i="10"/>
  <c r="K1005" i="10"/>
  <c r="L884" i="10"/>
  <c r="K884" i="10"/>
  <c r="L883" i="10"/>
  <c r="K883" i="10"/>
  <c r="L882" i="10"/>
  <c r="K882" i="10"/>
  <c r="L881" i="10"/>
  <c r="K881" i="10"/>
  <c r="L880" i="10"/>
  <c r="K880" i="10"/>
  <c r="L879" i="10"/>
  <c r="K879" i="10"/>
  <c r="L783" i="10"/>
  <c r="K783" i="10"/>
  <c r="L782" i="10"/>
  <c r="K782" i="10"/>
  <c r="L781" i="10"/>
  <c r="K781" i="10"/>
  <c r="L780" i="10"/>
  <c r="K780" i="10"/>
  <c r="L779" i="10"/>
  <c r="K779" i="10"/>
  <c r="L778" i="10"/>
  <c r="K778" i="10"/>
  <c r="L700" i="10"/>
  <c r="K700" i="10"/>
  <c r="L699" i="10"/>
  <c r="K699" i="10"/>
  <c r="L698" i="10"/>
  <c r="K698" i="10"/>
  <c r="L697" i="10"/>
  <c r="K697" i="10"/>
  <c r="L696" i="10"/>
  <c r="K696" i="10"/>
  <c r="L695" i="10"/>
  <c r="K695" i="10"/>
  <c r="L663" i="10"/>
  <c r="K663" i="10"/>
  <c r="L662" i="10"/>
  <c r="K662" i="10"/>
  <c r="L661" i="10"/>
  <c r="K661" i="10"/>
  <c r="L660" i="10"/>
  <c r="K660" i="10"/>
  <c r="L659" i="10"/>
  <c r="K659" i="10"/>
  <c r="L658" i="10"/>
  <c r="K658" i="10"/>
  <c r="L578" i="10"/>
  <c r="K578" i="10"/>
  <c r="L577" i="10"/>
  <c r="K577" i="10"/>
  <c r="L576" i="10"/>
  <c r="K576" i="10"/>
  <c r="L575" i="10"/>
  <c r="K575" i="10"/>
  <c r="L574" i="10"/>
  <c r="K574" i="10"/>
  <c r="L573" i="10"/>
  <c r="K573" i="10"/>
  <c r="L473" i="10"/>
  <c r="K473" i="10"/>
  <c r="L472" i="10"/>
  <c r="K472" i="10"/>
  <c r="L471" i="10"/>
  <c r="K471" i="10"/>
  <c r="L470" i="10"/>
  <c r="K470" i="10"/>
  <c r="L469" i="10"/>
  <c r="K469" i="10"/>
  <c r="L468" i="10"/>
  <c r="K468" i="10"/>
  <c r="L419" i="10"/>
  <c r="K419" i="10"/>
  <c r="L418" i="10"/>
  <c r="K418" i="10"/>
  <c r="L417" i="10"/>
  <c r="K417" i="10"/>
  <c r="L416" i="10"/>
  <c r="K416" i="10"/>
  <c r="L415" i="10"/>
  <c r="K415" i="10"/>
  <c r="L414" i="10"/>
  <c r="K414" i="10"/>
  <c r="L371" i="10"/>
  <c r="K371" i="10"/>
  <c r="L370" i="10"/>
  <c r="K370" i="10"/>
  <c r="L369" i="10"/>
  <c r="K369" i="10"/>
  <c r="L368" i="10"/>
  <c r="K368" i="10"/>
  <c r="L367" i="10"/>
  <c r="K367" i="10"/>
  <c r="L366" i="10"/>
  <c r="K366" i="10"/>
  <c r="L335" i="10"/>
  <c r="K335" i="10"/>
  <c r="L334" i="10"/>
  <c r="K334" i="10"/>
  <c r="L333" i="10"/>
  <c r="K333" i="10"/>
  <c r="L331" i="10"/>
  <c r="K331" i="10"/>
  <c r="L330" i="10"/>
  <c r="K330" i="10"/>
  <c r="L259" i="10"/>
  <c r="K259" i="10"/>
  <c r="L258" i="10"/>
  <c r="K258" i="10"/>
  <c r="L257" i="10"/>
  <c r="K257" i="10"/>
  <c r="L256" i="10"/>
  <c r="K256" i="10"/>
  <c r="L255" i="10"/>
  <c r="K255" i="10"/>
  <c r="L254" i="10"/>
  <c r="K254" i="10"/>
  <c r="L180" i="10"/>
  <c r="K180" i="10"/>
  <c r="L179" i="10"/>
  <c r="K179" i="10"/>
  <c r="L178" i="10"/>
  <c r="K178" i="10"/>
  <c r="L177" i="10"/>
  <c r="K177" i="10"/>
  <c r="L176" i="10"/>
  <c r="K176" i="10"/>
  <c r="L175" i="10"/>
  <c r="K175" i="10"/>
  <c r="L174" i="10"/>
  <c r="K174" i="10"/>
  <c r="L80" i="10"/>
  <c r="K80" i="10"/>
  <c r="L79" i="10"/>
  <c r="K79" i="10"/>
  <c r="L78" i="10"/>
  <c r="K78" i="10"/>
  <c r="L77" i="10"/>
  <c r="K77" i="10"/>
  <c r="L76" i="10"/>
  <c r="K76" i="10"/>
  <c r="L75" i="10"/>
  <c r="K75" i="10"/>
  <c r="L74" i="10"/>
  <c r="K74" i="10"/>
  <c r="J528" i="2"/>
  <c r="G524" i="2"/>
  <c r="F546" i="10"/>
  <c r="F545" i="10"/>
  <c r="H17" i="10" s="1"/>
  <c r="G59" i="2" l="1"/>
  <c r="G58" i="2"/>
  <c r="L545" i="10"/>
  <c r="N17" i="10" s="1"/>
  <c r="H545" i="10"/>
  <c r="J17" i="10" s="1"/>
  <c r="K545" i="10"/>
  <c r="M17" i="10" s="1"/>
  <c r="G545" i="10"/>
  <c r="I17" i="10" s="1"/>
  <c r="G546" i="10" l="1"/>
  <c r="K546" i="10"/>
  <c r="H546" i="10"/>
  <c r="L546" i="10"/>
  <c r="G686" i="10" l="1"/>
  <c r="G686" i="2" l="1"/>
  <c r="S715" i="2" l="1"/>
  <c r="U715" i="2" s="1"/>
  <c r="S714" i="2"/>
  <c r="A41" i="2"/>
  <c r="K939" i="2"/>
  <c r="J939" i="2"/>
  <c r="J980" i="2"/>
  <c r="K979" i="2"/>
  <c r="J979" i="2"/>
  <c r="C882" i="2"/>
  <c r="B882" i="2"/>
  <c r="U838" i="2"/>
  <c r="V838" i="2" s="1"/>
  <c r="U837" i="2"/>
  <c r="U829" i="2" s="1"/>
  <c r="U836" i="2"/>
  <c r="U830" i="2" s="1"/>
  <c r="U834" i="2"/>
  <c r="U833" i="2"/>
  <c r="U824" i="2" s="1"/>
  <c r="T827" i="2"/>
  <c r="U826" i="2"/>
  <c r="C781" i="2"/>
  <c r="B781" i="2"/>
  <c r="T714" i="2"/>
  <c r="U713" i="2"/>
  <c r="K681" i="2"/>
  <c r="J681" i="2"/>
  <c r="K675" i="2"/>
  <c r="K641" i="2"/>
  <c r="J641" i="2"/>
  <c r="K596" i="2"/>
  <c r="J596" i="2"/>
  <c r="K562" i="2"/>
  <c r="J562" i="2"/>
  <c r="J446" i="2"/>
  <c r="J394" i="2"/>
  <c r="J353" i="2"/>
  <c r="J299" i="2"/>
  <c r="K298" i="2"/>
  <c r="K299" i="2" s="1"/>
  <c r="J298" i="2"/>
  <c r="K258" i="2" l="1"/>
  <c r="K256" i="2"/>
  <c r="K254" i="2"/>
  <c r="L259" i="2"/>
  <c r="L257" i="2"/>
  <c r="L255" i="2"/>
  <c r="L253" i="2"/>
  <c r="K259" i="2"/>
  <c r="K257" i="2"/>
  <c r="K255" i="2"/>
  <c r="K253" i="2"/>
  <c r="L258" i="2"/>
  <c r="L256" i="2"/>
  <c r="L254" i="2"/>
  <c r="K782" i="2"/>
  <c r="K780" i="2"/>
  <c r="K778" i="2"/>
  <c r="L783" i="2"/>
  <c r="L781" i="2"/>
  <c r="L779" i="2"/>
  <c r="L777" i="2"/>
  <c r="K783" i="2"/>
  <c r="K781" i="2"/>
  <c r="K779" i="2"/>
  <c r="K777" i="2"/>
  <c r="L782" i="2"/>
  <c r="L778" i="2"/>
  <c r="L780" i="2"/>
  <c r="K180" i="2"/>
  <c r="K178" i="2"/>
  <c r="K176" i="2"/>
  <c r="K174" i="2"/>
  <c r="L179" i="2"/>
  <c r="L177" i="2"/>
  <c r="L175" i="2"/>
  <c r="K179" i="2"/>
  <c r="K177" i="2"/>
  <c r="K175" i="2"/>
  <c r="L178" i="2"/>
  <c r="L176" i="2"/>
  <c r="L180" i="2"/>
  <c r="L174" i="2"/>
  <c r="K419" i="2"/>
  <c r="K417" i="2"/>
  <c r="K415" i="2"/>
  <c r="K413" i="2"/>
  <c r="L418" i="2"/>
  <c r="L416" i="2"/>
  <c r="L414" i="2"/>
  <c r="K418" i="2"/>
  <c r="K416" i="2"/>
  <c r="K414" i="2"/>
  <c r="L413" i="2"/>
  <c r="L419" i="2"/>
  <c r="L415" i="2"/>
  <c r="L417" i="2"/>
  <c r="K577" i="2"/>
  <c r="K575" i="2"/>
  <c r="K573" i="2"/>
  <c r="L578" i="2"/>
  <c r="L576" i="2"/>
  <c r="L574" i="2"/>
  <c r="L572" i="2"/>
  <c r="K578" i="2"/>
  <c r="K576" i="2"/>
  <c r="K574" i="2"/>
  <c r="K572" i="2"/>
  <c r="L575" i="2"/>
  <c r="L577" i="2"/>
  <c r="L573" i="2"/>
  <c r="K955" i="2"/>
  <c r="K953" i="2"/>
  <c r="K951" i="2"/>
  <c r="K949" i="2"/>
  <c r="L954" i="2"/>
  <c r="L952" i="2"/>
  <c r="L950" i="2"/>
  <c r="K954" i="2"/>
  <c r="K952" i="2"/>
  <c r="K950" i="2"/>
  <c r="L955" i="2"/>
  <c r="L953" i="2"/>
  <c r="L951" i="2"/>
  <c r="L949" i="2"/>
  <c r="K335" i="2"/>
  <c r="K333" i="2"/>
  <c r="K331" i="2"/>
  <c r="K329" i="2"/>
  <c r="L334" i="2"/>
  <c r="L330" i="2"/>
  <c r="K334" i="2"/>
  <c r="K330" i="2"/>
  <c r="L335" i="2"/>
  <c r="L333" i="2"/>
  <c r="L331" i="2"/>
  <c r="L329" i="2"/>
  <c r="K884" i="2"/>
  <c r="K882" i="2"/>
  <c r="K880" i="2"/>
  <c r="K878" i="2"/>
  <c r="L883" i="2"/>
  <c r="L881" i="2"/>
  <c r="L879" i="2"/>
  <c r="K883" i="2"/>
  <c r="K881" i="2"/>
  <c r="K879" i="2"/>
  <c r="L884" i="2"/>
  <c r="L880" i="2"/>
  <c r="L878" i="2"/>
  <c r="L882" i="2"/>
  <c r="K662" i="2"/>
  <c r="K660" i="2"/>
  <c r="K658" i="2"/>
  <c r="L663" i="2"/>
  <c r="L661" i="2"/>
  <c r="L659" i="2"/>
  <c r="L657" i="2"/>
  <c r="K663" i="2"/>
  <c r="K661" i="2"/>
  <c r="K659" i="2"/>
  <c r="K657" i="2"/>
  <c r="L662" i="2"/>
  <c r="L660" i="2"/>
  <c r="L658" i="2"/>
  <c r="K700" i="2"/>
  <c r="K698" i="2"/>
  <c r="K696" i="2"/>
  <c r="K694" i="2"/>
  <c r="L699" i="2"/>
  <c r="L697" i="2"/>
  <c r="L695" i="2"/>
  <c r="K699" i="2"/>
  <c r="K697" i="2"/>
  <c r="K695" i="2"/>
  <c r="L700" i="2"/>
  <c r="L698" i="2"/>
  <c r="L696" i="2"/>
  <c r="L694" i="2"/>
  <c r="K544" i="2"/>
  <c r="K542" i="2"/>
  <c r="K540" i="2"/>
  <c r="K538" i="2"/>
  <c r="K370" i="2"/>
  <c r="K368" i="2"/>
  <c r="K366" i="2"/>
  <c r="L543" i="2"/>
  <c r="L541" i="2"/>
  <c r="L539" i="2"/>
  <c r="L371" i="2"/>
  <c r="L369" i="2"/>
  <c r="L367" i="2"/>
  <c r="L365" i="2"/>
  <c r="K543" i="2"/>
  <c r="K541" i="2"/>
  <c r="K539" i="2"/>
  <c r="K371" i="2"/>
  <c r="K369" i="2"/>
  <c r="K367" i="2"/>
  <c r="K365" i="2"/>
  <c r="L540" i="2"/>
  <c r="L366" i="2"/>
  <c r="L538" i="2"/>
  <c r="L370" i="2"/>
  <c r="L542" i="2"/>
  <c r="L544" i="2"/>
  <c r="L368" i="2"/>
  <c r="K79" i="2"/>
  <c r="K77" i="2"/>
  <c r="K75" i="2"/>
  <c r="L80" i="2"/>
  <c r="L78" i="2"/>
  <c r="L76" i="2"/>
  <c r="L74" i="2"/>
  <c r="K80" i="2"/>
  <c r="K78" i="2"/>
  <c r="K76" i="2"/>
  <c r="K74" i="2"/>
  <c r="L77" i="2"/>
  <c r="L79" i="2"/>
  <c r="L75" i="2"/>
  <c r="K472" i="2"/>
  <c r="K470" i="2"/>
  <c r="K468" i="2"/>
  <c r="L473" i="2"/>
  <c r="L471" i="2"/>
  <c r="L469" i="2"/>
  <c r="L467" i="2"/>
  <c r="K473" i="2"/>
  <c r="K471" i="2"/>
  <c r="K469" i="2"/>
  <c r="K467" i="2"/>
  <c r="L468" i="2"/>
  <c r="L470" i="2"/>
  <c r="L472" i="2"/>
  <c r="K1009" i="2"/>
  <c r="K1007" i="2"/>
  <c r="K1005" i="2"/>
  <c r="L1010" i="2"/>
  <c r="L1008" i="2"/>
  <c r="L1006" i="2"/>
  <c r="L1004" i="2"/>
  <c r="K1010" i="2"/>
  <c r="K1008" i="2"/>
  <c r="K1006" i="2"/>
  <c r="K1004" i="2"/>
  <c r="L1009" i="2"/>
  <c r="L1007" i="2"/>
  <c r="L1005" i="2"/>
  <c r="I544" i="2"/>
  <c r="E544" i="2"/>
  <c r="I543" i="2"/>
  <c r="E543" i="2"/>
  <c r="E542" i="2"/>
  <c r="G541" i="2"/>
  <c r="I540" i="2"/>
  <c r="E540" i="2"/>
  <c r="I539" i="2"/>
  <c r="E539" i="2"/>
  <c r="I538" i="2"/>
  <c r="E538" i="2"/>
  <c r="F545" i="2"/>
  <c r="H17" i="2" s="1"/>
  <c r="H544" i="2"/>
  <c r="H542" i="2"/>
  <c r="F541" i="2"/>
  <c r="H540" i="2"/>
  <c r="H539" i="2"/>
  <c r="H538" i="2"/>
  <c r="G544" i="2"/>
  <c r="G543" i="2"/>
  <c r="G542" i="2"/>
  <c r="E541" i="2"/>
  <c r="G540" i="2"/>
  <c r="G539" i="2"/>
  <c r="G538" i="2"/>
  <c r="F546" i="2"/>
  <c r="J544" i="2"/>
  <c r="F544" i="2"/>
  <c r="J543" i="2"/>
  <c r="F543" i="2"/>
  <c r="F542" i="2"/>
  <c r="H541" i="2"/>
  <c r="J540" i="2"/>
  <c r="F540" i="2"/>
  <c r="J539" i="2"/>
  <c r="F539" i="2"/>
  <c r="J538" i="2"/>
  <c r="F538" i="2"/>
  <c r="H543" i="2"/>
  <c r="E221" i="2"/>
  <c r="F782" i="2"/>
  <c r="J258" i="2"/>
  <c r="E224" i="2"/>
  <c r="E253" i="2"/>
  <c r="U828" i="2"/>
  <c r="V828" i="2" s="1"/>
  <c r="F258" i="2"/>
  <c r="H371" i="2"/>
  <c r="H469" i="2"/>
  <c r="I221" i="2"/>
  <c r="J782" i="2"/>
  <c r="E261" i="2"/>
  <c r="I253" i="2"/>
  <c r="E255" i="2"/>
  <c r="J78" i="2"/>
  <c r="F216" i="2"/>
  <c r="C226" i="2" s="1"/>
  <c r="K225" i="2"/>
  <c r="J330" i="2"/>
  <c r="F369" i="2"/>
  <c r="F414" i="2"/>
  <c r="G471" i="2"/>
  <c r="G76" i="2"/>
  <c r="I224" i="2"/>
  <c r="I255" i="2"/>
  <c r="U832" i="2"/>
  <c r="E74" i="2"/>
  <c r="E220" i="2"/>
  <c r="E222" i="2"/>
  <c r="E225" i="2"/>
  <c r="E254" i="2"/>
  <c r="F256" i="2"/>
  <c r="F259" i="2"/>
  <c r="I220" i="2"/>
  <c r="I222" i="2"/>
  <c r="I225" i="2"/>
  <c r="I254" i="2"/>
  <c r="H257" i="2"/>
  <c r="E78" i="2"/>
  <c r="H220" i="2"/>
  <c r="L220" i="2"/>
  <c r="H221" i="2"/>
  <c r="L221" i="2"/>
  <c r="H222" i="2"/>
  <c r="L222" i="2"/>
  <c r="H224" i="2"/>
  <c r="L224" i="2"/>
  <c r="H225" i="2"/>
  <c r="L225" i="2"/>
  <c r="H253" i="2"/>
  <c r="H254" i="2"/>
  <c r="H255" i="2"/>
  <c r="G257" i="2"/>
  <c r="E258" i="2"/>
  <c r="I258" i="2"/>
  <c r="E259" i="2"/>
  <c r="E260" i="2"/>
  <c r="G11" i="2" s="1"/>
  <c r="H370" i="2"/>
  <c r="F415" i="2"/>
  <c r="F468" i="2"/>
  <c r="H777" i="2"/>
  <c r="H333" i="2"/>
  <c r="F334" i="2"/>
  <c r="H419" i="2"/>
  <c r="F575" i="2"/>
  <c r="G657" i="2"/>
  <c r="J698" i="2"/>
  <c r="I699" i="2"/>
  <c r="F1008" i="2"/>
  <c r="G79" i="2"/>
  <c r="F220" i="2"/>
  <c r="J220" i="2"/>
  <c r="F221" i="2"/>
  <c r="J221" i="2"/>
  <c r="F222" i="2"/>
  <c r="J222" i="2"/>
  <c r="F224" i="2"/>
  <c r="J224" i="2"/>
  <c r="F225" i="2"/>
  <c r="J225" i="2"/>
  <c r="F253" i="2"/>
  <c r="J253" i="2"/>
  <c r="F254" i="2"/>
  <c r="J254" i="2"/>
  <c r="F255" i="2"/>
  <c r="J255" i="2"/>
  <c r="E257" i="2"/>
  <c r="G258" i="2"/>
  <c r="G259" i="2"/>
  <c r="F413" i="2"/>
  <c r="J418" i="2"/>
  <c r="G659" i="2"/>
  <c r="H779" i="2"/>
  <c r="G75" i="2"/>
  <c r="G77" i="2"/>
  <c r="G220" i="2"/>
  <c r="K220" i="2"/>
  <c r="G221" i="2"/>
  <c r="K221" i="2"/>
  <c r="G222" i="2"/>
  <c r="K222" i="2"/>
  <c r="G224" i="2"/>
  <c r="K224" i="2"/>
  <c r="G225" i="2"/>
  <c r="G253" i="2"/>
  <c r="G254" i="2"/>
  <c r="G255" i="2"/>
  <c r="F257" i="2"/>
  <c r="H258" i="2"/>
  <c r="H259" i="2"/>
  <c r="E80" i="2"/>
  <c r="I79" i="2"/>
  <c r="E79" i="2"/>
  <c r="I78" i="2"/>
  <c r="H176" i="2"/>
  <c r="H178" i="2"/>
  <c r="G473" i="2"/>
  <c r="G472" i="2"/>
  <c r="E471" i="2"/>
  <c r="E470" i="2"/>
  <c r="I469" i="2"/>
  <c r="E469" i="2"/>
  <c r="I468" i="2"/>
  <c r="E468" i="2"/>
  <c r="I467" i="2"/>
  <c r="E467" i="2"/>
  <c r="F473" i="2"/>
  <c r="I472" i="2"/>
  <c r="F469" i="2"/>
  <c r="H468" i="2"/>
  <c r="F467" i="2"/>
  <c r="J473" i="2"/>
  <c r="E473" i="2"/>
  <c r="H472" i="2"/>
  <c r="H471" i="2"/>
  <c r="J469" i="2"/>
  <c r="G468" i="2"/>
  <c r="J467" i="2"/>
  <c r="F373" i="2"/>
  <c r="J371" i="2"/>
  <c r="F371" i="2"/>
  <c r="J370" i="2"/>
  <c r="F370" i="2"/>
  <c r="H369" i="2"/>
  <c r="F368" i="2"/>
  <c r="J367" i="2"/>
  <c r="F367" i="2"/>
  <c r="J366" i="2"/>
  <c r="F366" i="2"/>
  <c r="J365" i="2"/>
  <c r="F365" i="2"/>
  <c r="F372" i="2"/>
  <c r="H13" i="2" s="1"/>
  <c r="I371" i="2"/>
  <c r="E371" i="2"/>
  <c r="I370" i="2"/>
  <c r="E370" i="2"/>
  <c r="G369" i="2"/>
  <c r="E368" i="2"/>
  <c r="I367" i="2"/>
  <c r="E367" i="2"/>
  <c r="I366" i="2"/>
  <c r="E366" i="2"/>
  <c r="I365" i="2"/>
  <c r="E365" i="2"/>
  <c r="H417" i="2"/>
  <c r="G417" i="2"/>
  <c r="F578" i="2"/>
  <c r="H577" i="2"/>
  <c r="G574" i="2"/>
  <c r="J573" i="2"/>
  <c r="G572" i="2"/>
  <c r="J578" i="2"/>
  <c r="G577" i="2"/>
  <c r="H576" i="2"/>
  <c r="F574" i="2"/>
  <c r="H573" i="2"/>
  <c r="F572" i="2"/>
  <c r="H578" i="2"/>
  <c r="F577" i="2"/>
  <c r="F576" i="2"/>
  <c r="J574" i="2"/>
  <c r="G573" i="2"/>
  <c r="F74" i="2"/>
  <c r="H75" i="2"/>
  <c r="H76" i="2"/>
  <c r="H79" i="2"/>
  <c r="G366" i="2"/>
  <c r="I413" i="2"/>
  <c r="I415" i="2"/>
  <c r="F419" i="2"/>
  <c r="H473" i="2"/>
  <c r="H574" i="2"/>
  <c r="G660" i="2"/>
  <c r="I698" i="2"/>
  <c r="G74" i="2"/>
  <c r="I75" i="2"/>
  <c r="I76" i="2"/>
  <c r="E77" i="2"/>
  <c r="G78" i="2"/>
  <c r="J79" i="2"/>
  <c r="G80" i="2"/>
  <c r="H179" i="2"/>
  <c r="H365" i="2"/>
  <c r="H366" i="2"/>
  <c r="H367" i="2"/>
  <c r="H368" i="2"/>
  <c r="J413" i="2"/>
  <c r="J414" i="2"/>
  <c r="J415" i="2"/>
  <c r="E418" i="2"/>
  <c r="H467" i="2"/>
  <c r="F470" i="2"/>
  <c r="F472" i="2"/>
  <c r="I473" i="2"/>
  <c r="J572" i="2"/>
  <c r="G578" i="2"/>
  <c r="K226" i="2"/>
  <c r="L226" i="2"/>
  <c r="H226" i="2"/>
  <c r="H256" i="2"/>
  <c r="G256" i="2"/>
  <c r="F335" i="2"/>
  <c r="J331" i="2"/>
  <c r="J329" i="2"/>
  <c r="J334" i="2"/>
  <c r="F331" i="2"/>
  <c r="F329" i="2"/>
  <c r="J419" i="2"/>
  <c r="E419" i="2"/>
  <c r="H418" i="2"/>
  <c r="H415" i="2"/>
  <c r="H414" i="2"/>
  <c r="H413" i="2"/>
  <c r="I419" i="2"/>
  <c r="F418" i="2"/>
  <c r="G415" i="2"/>
  <c r="G414" i="2"/>
  <c r="G413" i="2"/>
  <c r="H575" i="2"/>
  <c r="G575" i="2"/>
  <c r="H661" i="2"/>
  <c r="E661" i="2"/>
  <c r="J663" i="2"/>
  <c r="J662" i="2"/>
  <c r="F660" i="2"/>
  <c r="F659" i="2"/>
  <c r="F658" i="2"/>
  <c r="F657" i="2"/>
  <c r="G663" i="2"/>
  <c r="G662" i="2"/>
  <c r="F663" i="2"/>
  <c r="F662" i="2"/>
  <c r="J659" i="2"/>
  <c r="J658" i="2"/>
  <c r="J657" i="2"/>
  <c r="F700" i="2"/>
  <c r="F699" i="2"/>
  <c r="H696" i="2"/>
  <c r="H695" i="2"/>
  <c r="H694" i="2"/>
  <c r="E700" i="2"/>
  <c r="E699" i="2"/>
  <c r="G696" i="2"/>
  <c r="G695" i="2"/>
  <c r="G694" i="2"/>
  <c r="J700" i="2"/>
  <c r="J699" i="2"/>
  <c r="H880" i="2"/>
  <c r="F882" i="2"/>
  <c r="H879" i="2"/>
  <c r="J1006" i="2"/>
  <c r="J1005" i="2"/>
  <c r="J1004" i="2"/>
  <c r="G955" i="2"/>
  <c r="E953" i="2"/>
  <c r="H77" i="2"/>
  <c r="F78" i="2"/>
  <c r="F80" i="2"/>
  <c r="G365" i="2"/>
  <c r="G367" i="2"/>
  <c r="G368" i="2"/>
  <c r="I414" i="2"/>
  <c r="G467" i="2"/>
  <c r="J468" i="2"/>
  <c r="E472" i="2"/>
  <c r="H572" i="2"/>
  <c r="J577" i="2"/>
  <c r="E75" i="2"/>
  <c r="E76" i="2"/>
  <c r="H74" i="2"/>
  <c r="F75" i="2"/>
  <c r="J75" i="2"/>
  <c r="F76" i="2"/>
  <c r="J76" i="2"/>
  <c r="F77" i="2"/>
  <c r="H78" i="2"/>
  <c r="F79" i="2"/>
  <c r="H80" i="2"/>
  <c r="H175" i="2"/>
  <c r="E256" i="2"/>
  <c r="F330" i="2"/>
  <c r="J335" i="2"/>
  <c r="E369" i="2"/>
  <c r="G370" i="2"/>
  <c r="G371" i="2"/>
  <c r="E413" i="2"/>
  <c r="E414" i="2"/>
  <c r="E415" i="2"/>
  <c r="I418" i="2"/>
  <c r="G469" i="2"/>
  <c r="F471" i="2"/>
  <c r="J472" i="2"/>
  <c r="F573" i="2"/>
  <c r="E576" i="2"/>
  <c r="G658" i="2"/>
  <c r="I700" i="2"/>
  <c r="G419" i="2"/>
  <c r="G418" i="2"/>
  <c r="G576" i="2"/>
  <c r="I578" i="2"/>
  <c r="E578" i="2"/>
  <c r="I577" i="2"/>
  <c r="E577" i="2"/>
  <c r="E575" i="2"/>
  <c r="I574" i="2"/>
  <c r="E574" i="2"/>
  <c r="I573" i="2"/>
  <c r="E573" i="2"/>
  <c r="I572" i="2"/>
  <c r="E572" i="2"/>
  <c r="I663" i="2"/>
  <c r="E663" i="2"/>
  <c r="I662" i="2"/>
  <c r="E662" i="2"/>
  <c r="G661" i="2"/>
  <c r="E660" i="2"/>
  <c r="I659" i="2"/>
  <c r="E659" i="2"/>
  <c r="I658" i="2"/>
  <c r="E658" i="2"/>
  <c r="I657" i="2"/>
  <c r="E657" i="2"/>
  <c r="H663" i="2"/>
  <c r="H662" i="2"/>
  <c r="F661" i="2"/>
  <c r="H660" i="2"/>
  <c r="H659" i="2"/>
  <c r="H658" i="2"/>
  <c r="H657" i="2"/>
  <c r="H700" i="2"/>
  <c r="H699" i="2"/>
  <c r="H698" i="2"/>
  <c r="H697" i="2"/>
  <c r="J696" i="2"/>
  <c r="F696" i="2"/>
  <c r="J695" i="2"/>
  <c r="F695" i="2"/>
  <c r="J694" i="2"/>
  <c r="F694" i="2"/>
  <c r="G700" i="2"/>
  <c r="G699" i="2"/>
  <c r="G698" i="2"/>
  <c r="G697" i="2"/>
  <c r="I696" i="2"/>
  <c r="E696" i="2"/>
  <c r="I695" i="2"/>
  <c r="E695" i="2"/>
  <c r="I694" i="2"/>
  <c r="E694" i="2"/>
  <c r="J781" i="2"/>
  <c r="H778" i="2"/>
  <c r="F781" i="2"/>
  <c r="H878" i="2"/>
  <c r="F883" i="2"/>
  <c r="I335" i="2"/>
  <c r="J955" i="2"/>
  <c r="F955" i="2"/>
  <c r="J954" i="2"/>
  <c r="F954" i="2"/>
  <c r="H953" i="2"/>
  <c r="F952" i="2"/>
  <c r="J951" i="2"/>
  <c r="F951" i="2"/>
  <c r="J950" i="2"/>
  <c r="F950" i="2"/>
  <c r="J949" i="2"/>
  <c r="F949" i="2"/>
  <c r="I955" i="2"/>
  <c r="E955" i="2"/>
  <c r="I954" i="2"/>
  <c r="E954" i="2"/>
  <c r="G953" i="2"/>
  <c r="E952" i="2"/>
  <c r="I951" i="2"/>
  <c r="E951" i="2"/>
  <c r="I950" i="2"/>
  <c r="E950" i="2"/>
  <c r="I949" i="2"/>
  <c r="E949" i="2"/>
  <c r="H955" i="2"/>
  <c r="H954" i="2"/>
  <c r="F953" i="2"/>
  <c r="H952" i="2"/>
  <c r="H951" i="2"/>
  <c r="H950" i="2"/>
  <c r="H949" i="2"/>
  <c r="G174" i="2"/>
  <c r="E175" i="2"/>
  <c r="I175" i="2"/>
  <c r="E176" i="2"/>
  <c r="I176" i="2"/>
  <c r="E178" i="2"/>
  <c r="I178" i="2"/>
  <c r="E179" i="2"/>
  <c r="I179" i="2"/>
  <c r="G180" i="2"/>
  <c r="E226" i="2"/>
  <c r="I226" i="2"/>
  <c r="G329" i="2"/>
  <c r="G330" i="2"/>
  <c r="G331" i="2"/>
  <c r="G334" i="2"/>
  <c r="G335" i="2"/>
  <c r="E777" i="2"/>
  <c r="I777" i="2"/>
  <c r="E778" i="2"/>
  <c r="I778" i="2"/>
  <c r="E779" i="2"/>
  <c r="I779" i="2"/>
  <c r="G781" i="2"/>
  <c r="G782" i="2"/>
  <c r="I882" i="2"/>
  <c r="I883" i="2"/>
  <c r="G949" i="2"/>
  <c r="G951" i="2"/>
  <c r="E1008" i="2"/>
  <c r="J1010" i="2"/>
  <c r="F1010" i="2"/>
  <c r="J1009" i="2"/>
  <c r="F1009" i="2"/>
  <c r="I1010" i="2"/>
  <c r="E1010" i="2"/>
  <c r="I1009" i="2"/>
  <c r="E1009" i="2"/>
  <c r="E1007" i="2"/>
  <c r="I1006" i="2"/>
  <c r="E1006" i="2"/>
  <c r="I1005" i="2"/>
  <c r="E1005" i="2"/>
  <c r="I1004" i="2"/>
  <c r="E1004" i="2"/>
  <c r="H1009" i="2"/>
  <c r="H1006" i="2"/>
  <c r="H1005" i="2"/>
  <c r="H1004" i="2"/>
  <c r="H174" i="2"/>
  <c r="F175" i="2"/>
  <c r="J175" i="2"/>
  <c r="F176" i="2"/>
  <c r="J176" i="2"/>
  <c r="F178" i="2"/>
  <c r="J178" i="2"/>
  <c r="F179" i="2"/>
  <c r="J179" i="2"/>
  <c r="H180" i="2"/>
  <c r="F226" i="2"/>
  <c r="J226" i="2"/>
  <c r="H329" i="2"/>
  <c r="H330" i="2"/>
  <c r="H331" i="2"/>
  <c r="H334" i="2"/>
  <c r="H335" i="2"/>
  <c r="F777" i="2"/>
  <c r="J777" i="2"/>
  <c r="F778" i="2"/>
  <c r="J778" i="2"/>
  <c r="F779" i="2"/>
  <c r="J779" i="2"/>
  <c r="H781" i="2"/>
  <c r="H782" i="2"/>
  <c r="F878" i="2"/>
  <c r="J882" i="2"/>
  <c r="J883" i="2"/>
  <c r="F1004" i="2"/>
  <c r="F1005" i="2"/>
  <c r="F1006" i="2"/>
  <c r="G1009" i="2"/>
  <c r="G954" i="2"/>
  <c r="H883" i="2"/>
  <c r="H882" i="2"/>
  <c r="F881" i="2"/>
  <c r="J880" i="2"/>
  <c r="F880" i="2"/>
  <c r="J879" i="2"/>
  <c r="F879" i="2"/>
  <c r="J878" i="2"/>
  <c r="G883" i="2"/>
  <c r="G882" i="2"/>
  <c r="E881" i="2"/>
  <c r="I880" i="2"/>
  <c r="E880" i="2"/>
  <c r="I879" i="2"/>
  <c r="E879" i="2"/>
  <c r="I878" i="2"/>
  <c r="E878" i="2"/>
  <c r="G175" i="2"/>
  <c r="G176" i="2"/>
  <c r="G178" i="2"/>
  <c r="G179" i="2"/>
  <c r="G226" i="2"/>
  <c r="E329" i="2"/>
  <c r="I329" i="2"/>
  <c r="E330" i="2"/>
  <c r="I330" i="2"/>
  <c r="E331" i="2"/>
  <c r="I331" i="2"/>
  <c r="G333" i="2"/>
  <c r="E334" i="2"/>
  <c r="I334" i="2"/>
  <c r="E335" i="2"/>
  <c r="G777" i="2"/>
  <c r="G778" i="2"/>
  <c r="G779" i="2"/>
  <c r="E781" i="2"/>
  <c r="I781" i="2"/>
  <c r="E782" i="2"/>
  <c r="I782" i="2"/>
  <c r="G878" i="2"/>
  <c r="G879" i="2"/>
  <c r="G880" i="2"/>
  <c r="E882" i="2"/>
  <c r="E883" i="2"/>
  <c r="G1004" i="2"/>
  <c r="G1005" i="2"/>
  <c r="G1006" i="2"/>
  <c r="G950" i="2"/>
  <c r="G952" i="2"/>
  <c r="S717" i="2"/>
  <c r="T829" i="2"/>
  <c r="V829" i="2" s="1"/>
  <c r="F174" i="2"/>
  <c r="U714" i="2"/>
  <c r="U717" i="2" s="1"/>
  <c r="U835" i="2"/>
  <c r="U827" i="2" s="1"/>
  <c r="V827" i="2" s="1"/>
  <c r="U825" i="2"/>
  <c r="H754" i="10"/>
  <c r="H754" i="2" s="1"/>
  <c r="H839" i="10"/>
  <c r="H839" i="2" s="1"/>
  <c r="G545" i="2" l="1"/>
  <c r="I17" i="2" s="1"/>
  <c r="K545" i="2"/>
  <c r="M17" i="2" s="1"/>
  <c r="L545" i="2"/>
  <c r="N17" i="2" s="1"/>
  <c r="H545" i="2"/>
  <c r="J17" i="2" s="1"/>
  <c r="H260" i="2"/>
  <c r="J11" i="2" s="1"/>
  <c r="G579" i="2"/>
  <c r="I18" i="2" s="1"/>
  <c r="L81" i="2"/>
  <c r="N8" i="2" s="1"/>
  <c r="G701" i="2"/>
  <c r="I21" i="2" s="1"/>
  <c r="G664" i="2"/>
  <c r="I20" i="2" s="1"/>
  <c r="K624" i="2"/>
  <c r="M19" i="2" s="1"/>
  <c r="K260" i="2"/>
  <c r="M11" i="2" s="1"/>
  <c r="N28" i="2"/>
  <c r="F956" i="2"/>
  <c r="K701" i="2"/>
  <c r="M21" i="2" s="1"/>
  <c r="E579" i="2"/>
  <c r="G18" i="2" s="1"/>
  <c r="K372" i="2"/>
  <c r="M13" i="2" s="1"/>
  <c r="K664" i="2"/>
  <c r="M20" i="2" s="1"/>
  <c r="E624" i="2"/>
  <c r="G19" i="2" s="1"/>
  <c r="L420" i="2"/>
  <c r="N14" i="2" s="1"/>
  <c r="G260" i="2"/>
  <c r="I11" i="2" s="1"/>
  <c r="E81" i="2"/>
  <c r="G8" i="2" s="1"/>
  <c r="H81" i="2"/>
  <c r="J8" i="2" s="1"/>
  <c r="L579" i="2"/>
  <c r="L474" i="2"/>
  <c r="N15" i="2" s="1"/>
  <c r="E474" i="2"/>
  <c r="G15" i="2" s="1"/>
  <c r="F260" i="2"/>
  <c r="G81" i="2"/>
  <c r="I8" i="2" s="1"/>
  <c r="F579" i="2"/>
  <c r="H18" i="2" s="1"/>
  <c r="L260" i="2"/>
  <c r="N11" i="2" s="1"/>
  <c r="L372" i="2"/>
  <c r="N13" i="2" s="1"/>
  <c r="L664" i="2"/>
  <c r="N20" i="2" s="1"/>
  <c r="F474" i="2"/>
  <c r="H15" i="2" s="1"/>
  <c r="H579" i="2"/>
  <c r="J18" i="2" s="1"/>
  <c r="K181" i="2"/>
  <c r="M9" i="2" s="1"/>
  <c r="M28" i="2"/>
  <c r="E1011" i="2"/>
  <c r="G26" i="2" s="1"/>
  <c r="G956" i="2"/>
  <c r="I25" i="2" s="1"/>
  <c r="K885" i="2"/>
  <c r="M23" i="2" s="1"/>
  <c r="H664" i="2"/>
  <c r="J20" i="2" s="1"/>
  <c r="E664" i="2"/>
  <c r="G20" i="2" s="1"/>
  <c r="F81" i="2"/>
  <c r="H8" i="2" s="1"/>
  <c r="L701" i="2"/>
  <c r="N21" i="2" s="1"/>
  <c r="H701" i="2"/>
  <c r="J21" i="2" s="1"/>
  <c r="F664" i="2"/>
  <c r="I624" i="2"/>
  <c r="K19" i="2" s="1"/>
  <c r="K420" i="2"/>
  <c r="M14" i="2" s="1"/>
  <c r="L624" i="2"/>
  <c r="N19" i="2" s="1"/>
  <c r="H372" i="2"/>
  <c r="J13" i="2" s="1"/>
  <c r="K81" i="2"/>
  <c r="M8" i="2" s="1"/>
  <c r="G372" i="2"/>
  <c r="I13" i="2" s="1"/>
  <c r="K579" i="2"/>
  <c r="M18" i="2" s="1"/>
  <c r="K474" i="2"/>
  <c r="M15" i="2" s="1"/>
  <c r="L181" i="2"/>
  <c r="N9" i="2" s="1"/>
  <c r="K1011" i="2"/>
  <c r="M26" i="2" s="1"/>
  <c r="K956" i="2"/>
  <c r="M25" i="2" s="1"/>
  <c r="L885" i="2"/>
  <c r="N23" i="2" s="1"/>
  <c r="L784" i="2"/>
  <c r="N22" i="2" s="1"/>
  <c r="K28" i="2"/>
  <c r="G28" i="2"/>
  <c r="L1011" i="2"/>
  <c r="N26" i="2" s="1"/>
  <c r="K784" i="2"/>
  <c r="M22" i="2" s="1"/>
  <c r="H956" i="2"/>
  <c r="J25" i="2" s="1"/>
  <c r="L956" i="2"/>
  <c r="N25" i="2" s="1"/>
  <c r="E956" i="2"/>
  <c r="G25" i="2" s="1"/>
  <c r="J174" i="2"/>
  <c r="F95" i="2"/>
  <c r="C174" i="2" s="1"/>
  <c r="G356" i="10"/>
  <c r="G356" i="2" s="1"/>
  <c r="L580" i="2" l="1"/>
  <c r="N18" i="2"/>
  <c r="F261" i="2"/>
  <c r="H11" i="2"/>
  <c r="F957" i="2"/>
  <c r="H25" i="2"/>
  <c r="F665" i="2"/>
  <c r="H20" i="2"/>
  <c r="V824" i="10"/>
  <c r="V825" i="10"/>
  <c r="H546" i="2"/>
  <c r="L546" i="2"/>
  <c r="K546" i="2"/>
  <c r="G546" i="2"/>
  <c r="J74" i="2"/>
  <c r="F45" i="2"/>
  <c r="L82" i="2"/>
  <c r="H261" i="2"/>
  <c r="F580" i="2"/>
  <c r="G702" i="2"/>
  <c r="L475" i="2"/>
  <c r="E475" i="2"/>
  <c r="K261" i="2"/>
  <c r="K625" i="2"/>
  <c r="G580" i="2"/>
  <c r="H665" i="2"/>
  <c r="K82" i="2"/>
  <c r="G665" i="2"/>
  <c r="K886" i="2"/>
  <c r="L1012" i="2"/>
  <c r="K421" i="2"/>
  <c r="G373" i="2"/>
  <c r="L421" i="2"/>
  <c r="H702" i="2"/>
  <c r="G82" i="2"/>
  <c r="L957" i="2"/>
  <c r="E580" i="2"/>
  <c r="G261" i="2"/>
  <c r="F475" i="2"/>
  <c r="K580" i="2"/>
  <c r="L625" i="2"/>
  <c r="K373" i="2"/>
  <c r="E82" i="2"/>
  <c r="K665" i="2"/>
  <c r="L182" i="2"/>
  <c r="L373" i="2"/>
  <c r="E625" i="2"/>
  <c r="K702" i="2"/>
  <c r="L702" i="2"/>
  <c r="K182" i="2"/>
  <c r="H82" i="2"/>
  <c r="L261" i="2"/>
  <c r="H580" i="2"/>
  <c r="I625" i="2"/>
  <c r="L665" i="2"/>
  <c r="K1012" i="2"/>
  <c r="E665" i="2"/>
  <c r="E1012" i="2"/>
  <c r="L886" i="2"/>
  <c r="L785" i="2"/>
  <c r="K785" i="2"/>
  <c r="G957" i="2"/>
  <c r="H373" i="2"/>
  <c r="F82" i="2"/>
  <c r="K475" i="2"/>
  <c r="H957" i="2"/>
  <c r="K957" i="2"/>
  <c r="E957" i="2"/>
  <c r="G350" i="2"/>
  <c r="F216" i="10"/>
  <c r="C74" i="2" l="1"/>
  <c r="O17" i="18"/>
  <c r="O16" i="18"/>
  <c r="D29" i="18"/>
  <c r="H529" i="10" l="1"/>
  <c r="H529" i="2" s="1"/>
  <c r="D11" i="18"/>
  <c r="D5" i="18"/>
  <c r="D24" i="18"/>
  <c r="D28" i="18"/>
  <c r="D13" i="18"/>
  <c r="D6" i="18"/>
  <c r="D33" i="18"/>
  <c r="D4" i="18"/>
  <c r="D27" i="18"/>
  <c r="D15" i="18"/>
  <c r="D30" i="18"/>
  <c r="D25" i="18"/>
  <c r="D14" i="18"/>
  <c r="D3" i="18"/>
  <c r="F354" i="10"/>
  <c r="F354" i="2" s="1"/>
  <c r="F298" i="10"/>
  <c r="F298" i="2" s="1"/>
  <c r="C76" i="18" l="1"/>
  <c r="H159" i="10"/>
  <c r="H159" i="2" s="1"/>
  <c r="E254" i="10"/>
  <c r="F254" i="10"/>
  <c r="G254" i="10"/>
  <c r="H254" i="10"/>
  <c r="E255" i="10"/>
  <c r="F255" i="10"/>
  <c r="G255" i="10"/>
  <c r="H255" i="10"/>
  <c r="E257" i="10"/>
  <c r="F257" i="10"/>
  <c r="G257" i="10"/>
  <c r="H257" i="10"/>
  <c r="E258" i="10"/>
  <c r="F258" i="10"/>
  <c r="G258" i="10"/>
  <c r="H258" i="10"/>
  <c r="E259" i="10"/>
  <c r="F259" i="10"/>
  <c r="H259" i="10"/>
  <c r="G950" i="10"/>
  <c r="H950" i="10"/>
  <c r="G951" i="10"/>
  <c r="H951" i="10"/>
  <c r="G952" i="10"/>
  <c r="H952" i="10"/>
  <c r="G953" i="10"/>
  <c r="H953" i="10"/>
  <c r="G954" i="10"/>
  <c r="H954" i="10"/>
  <c r="G955" i="10"/>
  <c r="H955" i="10"/>
  <c r="G240" i="2"/>
  <c r="G940" i="10"/>
  <c r="G940" i="2" s="1"/>
  <c r="F940" i="10"/>
  <c r="F940" i="2" s="1"/>
  <c r="G942" i="10"/>
  <c r="G942" i="2" s="1"/>
  <c r="F942" i="10"/>
  <c r="F942" i="2" s="1"/>
  <c r="G941" i="10"/>
  <c r="G941" i="2" s="1"/>
  <c r="F941" i="10"/>
  <c r="F941" i="2" s="1"/>
  <c r="H1009" i="10"/>
  <c r="H1006" i="10"/>
  <c r="H1005" i="10"/>
  <c r="G1009" i="10"/>
  <c r="G1006" i="10"/>
  <c r="G1005" i="10"/>
  <c r="F1010" i="10"/>
  <c r="F1009" i="10"/>
  <c r="F1008" i="10"/>
  <c r="F1006" i="10"/>
  <c r="F1005" i="10"/>
  <c r="E1010" i="10"/>
  <c r="E1009" i="10"/>
  <c r="E1008" i="10"/>
  <c r="E1006" i="10"/>
  <c r="E1005" i="10"/>
  <c r="G983" i="10"/>
  <c r="G983" i="2" s="1"/>
  <c r="G982" i="10"/>
  <c r="G982" i="2" s="1"/>
  <c r="F982" i="10"/>
  <c r="F982" i="2" s="1"/>
  <c r="G879" i="10"/>
  <c r="H879" i="10"/>
  <c r="G880" i="10"/>
  <c r="H880" i="10"/>
  <c r="G882" i="10"/>
  <c r="H882" i="10"/>
  <c r="G883" i="10"/>
  <c r="H883" i="10"/>
  <c r="G804" i="10"/>
  <c r="G804" i="2" s="1"/>
  <c r="F804" i="10"/>
  <c r="F804" i="2" s="1"/>
  <c r="G803" i="10"/>
  <c r="G803" i="2" s="1"/>
  <c r="F803" i="10"/>
  <c r="F803" i="2" s="1"/>
  <c r="E778" i="10"/>
  <c r="F778" i="10"/>
  <c r="G778" i="10"/>
  <c r="H778" i="10"/>
  <c r="E779" i="10"/>
  <c r="F779" i="10"/>
  <c r="G779" i="10"/>
  <c r="H779" i="10"/>
  <c r="E781" i="10"/>
  <c r="F781" i="10"/>
  <c r="G781" i="10"/>
  <c r="H781" i="10"/>
  <c r="E782" i="10"/>
  <c r="F782" i="10"/>
  <c r="G782" i="10"/>
  <c r="H782" i="10"/>
  <c r="G715" i="10"/>
  <c r="G715" i="2" s="1"/>
  <c r="G714" i="10"/>
  <c r="G714" i="2" s="1"/>
  <c r="F715" i="10"/>
  <c r="F715" i="2" s="1"/>
  <c r="F714" i="10"/>
  <c r="F714" i="2" s="1"/>
  <c r="G712" i="10"/>
  <c r="G712" i="2" s="1"/>
  <c r="F712" i="10"/>
  <c r="F712" i="2" s="1"/>
  <c r="E695" i="10"/>
  <c r="F695" i="10"/>
  <c r="G695" i="10"/>
  <c r="H695" i="10"/>
  <c r="E696" i="10"/>
  <c r="F696" i="10"/>
  <c r="G696" i="10"/>
  <c r="H696" i="10"/>
  <c r="G697" i="10"/>
  <c r="H697" i="10"/>
  <c r="G698" i="10"/>
  <c r="H698" i="10"/>
  <c r="E699" i="10"/>
  <c r="F699" i="10"/>
  <c r="G699" i="10"/>
  <c r="H699" i="10"/>
  <c r="E700" i="10"/>
  <c r="F700" i="10"/>
  <c r="G700" i="10"/>
  <c r="H700" i="10"/>
  <c r="G684" i="10"/>
  <c r="G684" i="2" s="1"/>
  <c r="G685" i="10"/>
  <c r="G685" i="2" s="1"/>
  <c r="F685" i="10"/>
  <c r="G683" i="10"/>
  <c r="G683" i="2" s="1"/>
  <c r="G682" i="10"/>
  <c r="G682" i="2" s="1"/>
  <c r="F682" i="10"/>
  <c r="F682" i="2" s="1"/>
  <c r="G677" i="2"/>
  <c r="E573" i="10"/>
  <c r="F573" i="10"/>
  <c r="G573" i="10"/>
  <c r="H573" i="10"/>
  <c r="E574" i="10"/>
  <c r="F574" i="10"/>
  <c r="G574" i="10"/>
  <c r="H574" i="10"/>
  <c r="E575" i="10"/>
  <c r="F575" i="10"/>
  <c r="G575" i="10"/>
  <c r="H575" i="10"/>
  <c r="E576" i="10"/>
  <c r="F576" i="10"/>
  <c r="G576" i="10"/>
  <c r="H576" i="10"/>
  <c r="E577" i="10"/>
  <c r="F577" i="10"/>
  <c r="G577" i="10"/>
  <c r="H577" i="10"/>
  <c r="E578" i="10"/>
  <c r="F578" i="10"/>
  <c r="G578" i="10"/>
  <c r="H578" i="10"/>
  <c r="G563" i="10"/>
  <c r="G563" i="2" s="1"/>
  <c r="F563" i="10"/>
  <c r="F563" i="2" s="1"/>
  <c r="G558" i="2"/>
  <c r="E658" i="10"/>
  <c r="F658" i="10"/>
  <c r="G658" i="10"/>
  <c r="H658" i="10"/>
  <c r="E659" i="10"/>
  <c r="F659" i="10"/>
  <c r="G659" i="10"/>
  <c r="H659" i="10"/>
  <c r="E660" i="10"/>
  <c r="F660" i="10"/>
  <c r="G660" i="10"/>
  <c r="H660" i="10"/>
  <c r="E661" i="10"/>
  <c r="F661" i="10"/>
  <c r="G661" i="10"/>
  <c r="H661" i="10"/>
  <c r="E662" i="10"/>
  <c r="F662" i="10"/>
  <c r="G662" i="10"/>
  <c r="H662" i="10"/>
  <c r="E663" i="10"/>
  <c r="F663" i="10"/>
  <c r="G663" i="10"/>
  <c r="H663" i="10"/>
  <c r="G645" i="10"/>
  <c r="G645" i="2" s="1"/>
  <c r="G644" i="10"/>
  <c r="G644" i="2" s="1"/>
  <c r="G643" i="10"/>
  <c r="G643" i="2" s="1"/>
  <c r="G642" i="10"/>
  <c r="G642" i="2" s="1"/>
  <c r="G637" i="2"/>
  <c r="G599" i="10"/>
  <c r="G599" i="2" s="1"/>
  <c r="G598" i="10"/>
  <c r="G598" i="2" s="1"/>
  <c r="F598" i="10"/>
  <c r="F598" i="2" s="1"/>
  <c r="L226" i="10"/>
  <c r="L225" i="10"/>
  <c r="L224" i="10"/>
  <c r="L222" i="10"/>
  <c r="L221" i="10"/>
  <c r="K226" i="10"/>
  <c r="K225" i="10"/>
  <c r="K224" i="10"/>
  <c r="K222" i="10"/>
  <c r="K221" i="10"/>
  <c r="J226" i="10"/>
  <c r="J225" i="10"/>
  <c r="J224" i="10"/>
  <c r="J222" i="10"/>
  <c r="J221" i="10"/>
  <c r="I226" i="10"/>
  <c r="I225" i="10"/>
  <c r="I224" i="10"/>
  <c r="I222" i="10"/>
  <c r="I221" i="10"/>
  <c r="H226" i="10"/>
  <c r="H225" i="10"/>
  <c r="H224" i="10"/>
  <c r="H222" i="10"/>
  <c r="H221" i="10"/>
  <c r="G226" i="10"/>
  <c r="G225" i="10"/>
  <c r="G224" i="10"/>
  <c r="G222" i="10"/>
  <c r="G221" i="10"/>
  <c r="F226" i="10"/>
  <c r="F225" i="10"/>
  <c r="F224" i="10"/>
  <c r="F222" i="10"/>
  <c r="F221" i="10"/>
  <c r="E226" i="10"/>
  <c r="E225" i="10"/>
  <c r="E224" i="10"/>
  <c r="E222" i="10"/>
  <c r="E221" i="10"/>
  <c r="G195" i="10"/>
  <c r="G195" i="2" s="1"/>
  <c r="F195" i="10"/>
  <c r="F195" i="2" s="1"/>
  <c r="G193" i="10"/>
  <c r="G193" i="2" s="1"/>
  <c r="F193" i="10"/>
  <c r="F193" i="2" s="1"/>
  <c r="G192" i="10"/>
  <c r="G192" i="2" s="1"/>
  <c r="F192" i="10"/>
  <c r="F192" i="2" s="1"/>
  <c r="E175" i="10"/>
  <c r="F175" i="10"/>
  <c r="G175" i="10"/>
  <c r="H175" i="10"/>
  <c r="E176" i="10"/>
  <c r="F176" i="10"/>
  <c r="G176" i="10"/>
  <c r="H176" i="10"/>
  <c r="E178" i="10"/>
  <c r="F178" i="10"/>
  <c r="G178" i="10"/>
  <c r="H178" i="10"/>
  <c r="E179" i="10"/>
  <c r="F179" i="10"/>
  <c r="G179" i="10"/>
  <c r="H179" i="10"/>
  <c r="H174" i="10"/>
  <c r="G174" i="10"/>
  <c r="G108" i="10"/>
  <c r="G108" i="2" s="1"/>
  <c r="F108" i="10"/>
  <c r="F108" i="2" s="1"/>
  <c r="G100" i="10"/>
  <c r="G100" i="2" s="1"/>
  <c r="F100" i="10"/>
  <c r="F100" i="2" s="1"/>
  <c r="E330" i="10"/>
  <c r="F330" i="10"/>
  <c r="G330" i="10"/>
  <c r="H330" i="10"/>
  <c r="E331" i="10"/>
  <c r="F331" i="10"/>
  <c r="G331" i="10"/>
  <c r="H331" i="10"/>
  <c r="G333" i="10"/>
  <c r="H333" i="10"/>
  <c r="E334" i="10"/>
  <c r="F334" i="10"/>
  <c r="G334" i="10"/>
  <c r="H334" i="10"/>
  <c r="E335" i="10"/>
  <c r="F335" i="10"/>
  <c r="G335" i="10"/>
  <c r="H335" i="10"/>
  <c r="G308" i="10"/>
  <c r="G308" i="2" s="1"/>
  <c r="F308" i="10"/>
  <c r="F308" i="2" s="1"/>
  <c r="G310" i="10"/>
  <c r="G310" i="2" s="1"/>
  <c r="F310" i="10"/>
  <c r="F310" i="2" s="1"/>
  <c r="F311" i="10"/>
  <c r="F311" i="2" s="1"/>
  <c r="G303" i="10"/>
  <c r="G303" i="2" s="1"/>
  <c r="F303" i="10"/>
  <c r="F303" i="2" s="1"/>
  <c r="G306" i="10"/>
  <c r="G306" i="2" s="1"/>
  <c r="G301" i="10"/>
  <c r="G301" i="2" s="1"/>
  <c r="F301" i="10"/>
  <c r="F301" i="2" s="1"/>
  <c r="F306" i="10"/>
  <c r="F306" i="2" s="1"/>
  <c r="F355" i="10"/>
  <c r="F355" i="2" s="1"/>
  <c r="H371" i="10"/>
  <c r="H370" i="10"/>
  <c r="H369" i="10"/>
  <c r="H368" i="10"/>
  <c r="H367" i="10"/>
  <c r="H366" i="10"/>
  <c r="G371" i="10"/>
  <c r="G370" i="10"/>
  <c r="G369" i="10"/>
  <c r="G368" i="10"/>
  <c r="G367" i="10"/>
  <c r="G366" i="10"/>
  <c r="F371" i="10"/>
  <c r="F370" i="10"/>
  <c r="F369" i="10"/>
  <c r="F368" i="10"/>
  <c r="F367" i="10"/>
  <c r="F366" i="10"/>
  <c r="E371" i="10"/>
  <c r="E370" i="10"/>
  <c r="E369" i="10"/>
  <c r="E368" i="10"/>
  <c r="E367" i="10"/>
  <c r="E366" i="10"/>
  <c r="E468" i="10"/>
  <c r="F468" i="10"/>
  <c r="G468" i="10"/>
  <c r="H468" i="10"/>
  <c r="E469" i="10"/>
  <c r="F469" i="10"/>
  <c r="G469" i="10"/>
  <c r="H469" i="10"/>
  <c r="E470" i="10"/>
  <c r="F470" i="10"/>
  <c r="E471" i="10"/>
  <c r="F471" i="10"/>
  <c r="G471" i="10"/>
  <c r="H471" i="10"/>
  <c r="E472" i="10"/>
  <c r="F472" i="10"/>
  <c r="G472" i="10"/>
  <c r="H472" i="10"/>
  <c r="E473" i="10"/>
  <c r="F473" i="10"/>
  <c r="G473" i="10"/>
  <c r="H473" i="10"/>
  <c r="H419" i="10"/>
  <c r="H418" i="10"/>
  <c r="H417" i="10"/>
  <c r="H415" i="10"/>
  <c r="H414" i="10"/>
  <c r="G419" i="10"/>
  <c r="G418" i="10"/>
  <c r="G417" i="10"/>
  <c r="G415" i="10"/>
  <c r="G414" i="10"/>
  <c r="E415" i="10"/>
  <c r="E414" i="10"/>
  <c r="F419" i="10"/>
  <c r="F418" i="10"/>
  <c r="F415" i="10"/>
  <c r="F414" i="10"/>
  <c r="E419" i="10"/>
  <c r="E418" i="10"/>
  <c r="G399" i="10"/>
  <c r="G399" i="2" s="1"/>
  <c r="F399" i="10"/>
  <c r="F399" i="2" s="1"/>
  <c r="G398" i="10"/>
  <c r="G398" i="2" s="1"/>
  <c r="G397" i="10"/>
  <c r="G397" i="2" s="1"/>
  <c r="F397" i="10"/>
  <c r="F397" i="2" s="1"/>
  <c r="G396" i="10"/>
  <c r="G396" i="2" s="1"/>
  <c r="G395" i="10"/>
  <c r="G395" i="2" s="1"/>
  <c r="F395" i="10"/>
  <c r="H80" i="10"/>
  <c r="H79" i="10"/>
  <c r="H78" i="10"/>
  <c r="H77" i="10"/>
  <c r="H76" i="10"/>
  <c r="H75" i="10"/>
  <c r="H74" i="10"/>
  <c r="G50" i="10"/>
  <c r="G50" i="2" s="1"/>
  <c r="F50" i="10"/>
  <c r="H831" i="10"/>
  <c r="H831" i="2" s="1"/>
  <c r="H245" i="10"/>
  <c r="H245" i="2" s="1"/>
  <c r="H984" i="10"/>
  <c r="H984" i="2" s="1"/>
  <c r="M589" i="10"/>
  <c r="H206" i="10"/>
  <c r="H206" i="2" s="1"/>
  <c r="H57" i="10"/>
  <c r="H57" i="2" s="1"/>
  <c r="H60" i="10"/>
  <c r="H60" i="2" s="1"/>
  <c r="H62" i="10"/>
  <c r="H62" i="2" s="1"/>
  <c r="H63" i="10"/>
  <c r="H63" i="2" s="1"/>
  <c r="H64" i="10"/>
  <c r="H64" i="2" s="1"/>
  <c r="H66" i="10"/>
  <c r="H66" i="2" s="1"/>
  <c r="H67" i="10"/>
  <c r="H67" i="2" s="1"/>
  <c r="H56" i="10"/>
  <c r="H56" i="2" s="1"/>
  <c r="B9" i="4"/>
  <c r="B6" i="4"/>
  <c r="B4" i="4"/>
  <c r="B2" i="4"/>
  <c r="B12" i="4"/>
  <c r="B8" i="4"/>
  <c r="B7" i="4"/>
  <c r="B5" i="4"/>
  <c r="B3" i="4"/>
  <c r="B1" i="4"/>
  <c r="B33" i="10" s="1"/>
  <c r="G350" i="10"/>
  <c r="H354" i="10" s="1"/>
  <c r="H354" i="2" s="1"/>
  <c r="H845" i="10"/>
  <c r="H845" i="2" s="1"/>
  <c r="H843" i="10"/>
  <c r="H843" i="2" s="1"/>
  <c r="H827" i="10"/>
  <c r="H827" i="2" s="1"/>
  <c r="H844" i="10"/>
  <c r="H844" i="2" s="1"/>
  <c r="H826" i="10"/>
  <c r="H826" i="2" s="1"/>
  <c r="H830" i="10"/>
  <c r="H830" i="2" s="1"/>
  <c r="H748" i="10"/>
  <c r="H748" i="2" s="1"/>
  <c r="H742" i="10"/>
  <c r="H742" i="2" s="1"/>
  <c r="H756" i="10"/>
  <c r="H756" i="2" s="1"/>
  <c r="H746" i="10"/>
  <c r="H746" i="2" s="1"/>
  <c r="H747" i="10"/>
  <c r="H747" i="2" s="1"/>
  <c r="H749" i="10"/>
  <c r="H749" i="2" s="1"/>
  <c r="H745" i="10"/>
  <c r="H745" i="2" s="1"/>
  <c r="H753" i="10"/>
  <c r="H753" i="2" s="1"/>
  <c r="H211" i="10"/>
  <c r="H211" i="2" s="1"/>
  <c r="H210" i="10"/>
  <c r="H210" i="2" s="1"/>
  <c r="H202" i="10"/>
  <c r="H202" i="2" s="1"/>
  <c r="H203" i="10"/>
  <c r="H203" i="2" s="1"/>
  <c r="H209" i="10"/>
  <c r="H209" i="2" s="1"/>
  <c r="E260" i="10"/>
  <c r="G11" i="10" s="1"/>
  <c r="E261" i="10"/>
  <c r="B45" i="18"/>
  <c r="B46" i="18"/>
  <c r="B47" i="18"/>
  <c r="B48" i="18"/>
  <c r="F372" i="10"/>
  <c r="H13" i="10" s="1"/>
  <c r="F373" i="10"/>
  <c r="C226" i="10"/>
  <c r="K675" i="10"/>
  <c r="B781" i="10"/>
  <c r="C781" i="10"/>
  <c r="H837" i="10"/>
  <c r="H837" i="2" s="1"/>
  <c r="B882" i="10"/>
  <c r="C882" i="10"/>
  <c r="H744" i="10"/>
  <c r="H744" i="2" s="1"/>
  <c r="H833" i="10"/>
  <c r="H833" i="2" s="1"/>
  <c r="H205" i="10"/>
  <c r="H205" i="2" s="1"/>
  <c r="H832" i="10"/>
  <c r="H832" i="2" s="1"/>
  <c r="H755" i="10"/>
  <c r="H755" i="2" s="1"/>
  <c r="H207" i="10"/>
  <c r="H207" i="2" s="1"/>
  <c r="H829" i="10"/>
  <c r="H829" i="2" s="1"/>
  <c r="H825" i="10"/>
  <c r="H825" i="2" s="1"/>
  <c r="H204" i="10"/>
  <c r="H204" i="2" s="1"/>
  <c r="H208" i="10"/>
  <c r="H208" i="2" s="1"/>
  <c r="H212" i="10"/>
  <c r="H212" i="2" s="1"/>
  <c r="H823" i="10"/>
  <c r="H823" i="2" s="1"/>
  <c r="H743" i="10"/>
  <c r="H743" i="2" s="1"/>
  <c r="H298" i="10"/>
  <c r="H298" i="2" s="1"/>
  <c r="H824" i="10"/>
  <c r="H824" i="2" s="1"/>
  <c r="H751" i="10"/>
  <c r="H751" i="2" s="1"/>
  <c r="B33" i="2" l="1"/>
  <c r="J697" i="10"/>
  <c r="F685" i="2"/>
  <c r="H505" i="10"/>
  <c r="H509" i="10" s="1"/>
  <c r="H510" i="10" s="1"/>
  <c r="F395" i="2"/>
  <c r="F813" i="10"/>
  <c r="F813" i="2" s="1"/>
  <c r="F731" i="10"/>
  <c r="F728" i="10"/>
  <c r="F728" i="2" s="1"/>
  <c r="F724" i="10"/>
  <c r="F724" i="2" s="1"/>
  <c r="F720" i="10"/>
  <c r="F720" i="2" s="1"/>
  <c r="F726" i="10"/>
  <c r="F726" i="2" s="1"/>
  <c r="F814" i="10"/>
  <c r="F732" i="10"/>
  <c r="F725" i="10"/>
  <c r="F725" i="2" s="1"/>
  <c r="F812" i="10"/>
  <c r="F730" i="10"/>
  <c r="F730" i="2" s="1"/>
  <c r="F727" i="10"/>
  <c r="F727" i="2" s="1"/>
  <c r="F723" i="10"/>
  <c r="F723" i="2" s="1"/>
  <c r="F719" i="10"/>
  <c r="F719" i="2" s="1"/>
  <c r="F815" i="10"/>
  <c r="F722" i="10"/>
  <c r="F722" i="2" s="1"/>
  <c r="E848" i="10"/>
  <c r="E848" i="2" s="1"/>
  <c r="F729" i="10"/>
  <c r="F729" i="2" s="1"/>
  <c r="F721" i="10"/>
  <c r="F721" i="2" s="1"/>
  <c r="F718" i="10"/>
  <c r="F718" i="2" s="1"/>
  <c r="F603" i="10"/>
  <c r="F603" i="2" s="1"/>
  <c r="F648" i="10"/>
  <c r="F648" i="2" s="1"/>
  <c r="F647" i="10"/>
  <c r="F647" i="2" s="1"/>
  <c r="F649" i="10"/>
  <c r="F649" i="2" s="1"/>
  <c r="F601" i="10"/>
  <c r="F601" i="2" s="1"/>
  <c r="F602" i="10"/>
  <c r="F602" i="2" s="1"/>
  <c r="F600" i="10"/>
  <c r="F600" i="2" s="1"/>
  <c r="F138" i="10"/>
  <c r="F138" i="2" s="1"/>
  <c r="F139" i="10"/>
  <c r="F139" i="2" s="1"/>
  <c r="F137" i="10"/>
  <c r="F137" i="2" s="1"/>
  <c r="F135" i="10"/>
  <c r="F135" i="2" s="1"/>
  <c r="F136" i="10"/>
  <c r="F136" i="2" s="1"/>
  <c r="F134" i="10"/>
  <c r="F134" i="2" s="1"/>
  <c r="F133" i="10"/>
  <c r="F133" i="2" s="1"/>
  <c r="F132" i="10"/>
  <c r="F132" i="2" s="1"/>
  <c r="F131" i="10"/>
  <c r="F131" i="2" s="1"/>
  <c r="F129" i="10"/>
  <c r="F129" i="2" s="1"/>
  <c r="F130" i="10"/>
  <c r="F130" i="2" s="1"/>
  <c r="F125" i="10"/>
  <c r="F125" i="2" s="1"/>
  <c r="F127" i="10"/>
  <c r="F127" i="2" s="1"/>
  <c r="F128" i="10"/>
  <c r="F128" i="2" s="1"/>
  <c r="F126" i="10"/>
  <c r="F126" i="2" s="1"/>
  <c r="F124" i="10"/>
  <c r="F124" i="2" s="1"/>
  <c r="F114" i="10"/>
  <c r="F114" i="2" s="1"/>
  <c r="F123" i="10"/>
  <c r="F123" i="2" s="1"/>
  <c r="F121" i="10"/>
  <c r="F121" i="2" s="1"/>
  <c r="F120" i="10"/>
  <c r="F120" i="2" s="1"/>
  <c r="F118" i="10"/>
  <c r="F118" i="2" s="1"/>
  <c r="F116" i="10"/>
  <c r="F116" i="2" s="1"/>
  <c r="F112" i="10"/>
  <c r="F112" i="2" s="1"/>
  <c r="F113" i="10"/>
  <c r="F113" i="2" s="1"/>
  <c r="F122" i="10"/>
  <c r="F122" i="2" s="1"/>
  <c r="F119" i="10"/>
  <c r="F119" i="2" s="1"/>
  <c r="F117" i="10"/>
  <c r="F117" i="2" s="1"/>
  <c r="F115" i="10"/>
  <c r="F115" i="2" s="1"/>
  <c r="F111" i="10"/>
  <c r="F111" i="2" s="1"/>
  <c r="F110" i="10"/>
  <c r="F110" i="2" s="1"/>
  <c r="N1028" i="10"/>
  <c r="E714" i="10"/>
  <c r="I815" i="10"/>
  <c r="I813" i="10"/>
  <c r="I812" i="10"/>
  <c r="I814" i="10"/>
  <c r="I161" i="10"/>
  <c r="N401" i="2"/>
  <c r="N491" i="2"/>
  <c r="N825" i="2"/>
  <c r="N59" i="2"/>
  <c r="N61" i="2"/>
  <c r="N204" i="2"/>
  <c r="N60" i="2"/>
  <c r="N56" i="2"/>
  <c r="N203" i="2"/>
  <c r="N149" i="2"/>
  <c r="N824" i="2"/>
  <c r="N843" i="2"/>
  <c r="N830" i="2"/>
  <c r="N837" i="2"/>
  <c r="N211" i="2"/>
  <c r="N208" i="2"/>
  <c r="N207" i="2"/>
  <c r="N150" i="2"/>
  <c r="N829" i="2"/>
  <c r="N845" i="2"/>
  <c r="N209" i="2"/>
  <c r="N151" i="2"/>
  <c r="N823" i="2"/>
  <c r="N832" i="2"/>
  <c r="N304" i="2"/>
  <c r="N826" i="2"/>
  <c r="N206" i="2"/>
  <c r="N403" i="2"/>
  <c r="K970" i="2"/>
  <c r="M970" i="2" s="1"/>
  <c r="O970" i="2" s="1"/>
  <c r="E43" i="2"/>
  <c r="N63" i="2"/>
  <c r="N67" i="2"/>
  <c r="N64" i="2"/>
  <c r="N57" i="2"/>
  <c r="N844" i="2"/>
  <c r="N212" i="2"/>
  <c r="N210" i="2"/>
  <c r="K971" i="2"/>
  <c r="M971" i="2" s="1"/>
  <c r="N202" i="2"/>
  <c r="N827" i="2"/>
  <c r="N833" i="2"/>
  <c r="N300" i="2"/>
  <c r="K972" i="2"/>
  <c r="M972" i="2" s="1"/>
  <c r="N492" i="2"/>
  <c r="E41" i="2"/>
  <c r="E92" i="2"/>
  <c r="N529" i="2"/>
  <c r="N66" i="2"/>
  <c r="N146" i="2"/>
  <c r="N495" i="2"/>
  <c r="E42" i="2"/>
  <c r="E93" i="2"/>
  <c r="E1027" i="10"/>
  <c r="E1027" i="2" s="1"/>
  <c r="N856" i="10"/>
  <c r="E763" i="10"/>
  <c r="E214" i="10"/>
  <c r="E393" i="10"/>
  <c r="E401" i="10"/>
  <c r="E403" i="10"/>
  <c r="E495" i="10"/>
  <c r="E492" i="10"/>
  <c r="E491" i="10"/>
  <c r="E490" i="10"/>
  <c r="F309" i="10"/>
  <c r="F309" i="2" s="1"/>
  <c r="E311" i="10"/>
  <c r="H989" i="10"/>
  <c r="H989" i="2" s="1"/>
  <c r="E447" i="10"/>
  <c r="E452" i="10"/>
  <c r="E448" i="10"/>
  <c r="E450" i="10"/>
  <c r="H397" i="10"/>
  <c r="H397" i="2" s="1"/>
  <c r="E397" i="10"/>
  <c r="H395" i="10"/>
  <c r="H395" i="2" s="1"/>
  <c r="E395" i="10"/>
  <c r="H399" i="10"/>
  <c r="H399" i="2" s="1"/>
  <c r="E399" i="10"/>
  <c r="N447" i="2"/>
  <c r="H990" i="10"/>
  <c r="H990" i="2" s="1"/>
  <c r="U756" i="10"/>
  <c r="U753" i="10"/>
  <c r="U754" i="10"/>
  <c r="U755" i="10"/>
  <c r="F564" i="10"/>
  <c r="N803" i="2"/>
  <c r="F50" i="2"/>
  <c r="F52" i="2" s="1"/>
  <c r="C77" i="2" s="1"/>
  <c r="J77" i="10"/>
  <c r="K897" i="2"/>
  <c r="E905" i="10"/>
  <c r="K898" i="10"/>
  <c r="M898" i="10" s="1"/>
  <c r="E904" i="10"/>
  <c r="E904" i="2" s="1"/>
  <c r="E1007" i="10"/>
  <c r="E1011" i="10" s="1"/>
  <c r="G26" i="10" s="1"/>
  <c r="N399" i="2"/>
  <c r="N682" i="2"/>
  <c r="N301" i="2"/>
  <c r="N310" i="2"/>
  <c r="N397" i="2"/>
  <c r="N804" i="2"/>
  <c r="N450" i="2"/>
  <c r="N643" i="2"/>
  <c r="K933" i="2"/>
  <c r="N308" i="2"/>
  <c r="N311" i="2"/>
  <c r="N195" i="2"/>
  <c r="N683" i="2"/>
  <c r="N303" i="2"/>
  <c r="N644" i="2"/>
  <c r="N645" i="2"/>
  <c r="N452" i="2"/>
  <c r="E65" i="10"/>
  <c r="N65" i="10" s="1"/>
  <c r="L332" i="10"/>
  <c r="L336" i="10" s="1"/>
  <c r="K332" i="10"/>
  <c r="K336" i="10" s="1"/>
  <c r="E529" i="10"/>
  <c r="G109" i="10"/>
  <c r="G109" i="2" s="1"/>
  <c r="G935" i="2"/>
  <c r="E754" i="10"/>
  <c r="H216" i="2"/>
  <c r="G216" i="2" s="1"/>
  <c r="H332" i="10"/>
  <c r="H336" i="10" s="1"/>
  <c r="J12" i="10" s="1"/>
  <c r="G592" i="2"/>
  <c r="F223" i="10"/>
  <c r="F227" i="10" s="1"/>
  <c r="H10" i="10" s="1"/>
  <c r="N684" i="2"/>
  <c r="F780" i="2"/>
  <c r="N448" i="2"/>
  <c r="N192" i="2"/>
  <c r="N642" i="2"/>
  <c r="E839" i="10"/>
  <c r="G592" i="10"/>
  <c r="F52" i="10"/>
  <c r="C77" i="10" s="1"/>
  <c r="F244" i="10"/>
  <c r="F244" i="2" s="1"/>
  <c r="G677" i="10"/>
  <c r="G558" i="10"/>
  <c r="G194" i="10"/>
  <c r="G194" i="2" s="1"/>
  <c r="H223" i="10"/>
  <c r="H227" i="10" s="1"/>
  <c r="J10" i="10" s="1"/>
  <c r="G935" i="10"/>
  <c r="F939" i="10"/>
  <c r="F939" i="2" s="1"/>
  <c r="F681" i="10"/>
  <c r="F681" i="2" s="1"/>
  <c r="G975" i="10"/>
  <c r="G637" i="10"/>
  <c r="F641" i="10"/>
  <c r="F641" i="2" s="1"/>
  <c r="G240" i="10"/>
  <c r="H416" i="10"/>
  <c r="H420" i="10" s="1"/>
  <c r="J14" i="10" s="1"/>
  <c r="M590" i="10"/>
  <c r="H50" i="10"/>
  <c r="H50" i="2" s="1"/>
  <c r="H192" i="10"/>
  <c r="H192" i="2" s="1"/>
  <c r="H195" i="10"/>
  <c r="H195" i="2" s="1"/>
  <c r="H310" i="10"/>
  <c r="H310" i="2" s="1"/>
  <c r="H108" i="10"/>
  <c r="H108" i="2" s="1"/>
  <c r="H685" i="10"/>
  <c r="H685" i="2" s="1"/>
  <c r="E63" i="10"/>
  <c r="N63" i="10" s="1"/>
  <c r="E833" i="10"/>
  <c r="E940" i="10"/>
  <c r="E826" i="10"/>
  <c r="E845" i="10"/>
  <c r="E804" i="10"/>
  <c r="H715" i="10"/>
  <c r="H715" i="2" s="1"/>
  <c r="H940" i="10"/>
  <c r="H940" i="2" s="1"/>
  <c r="E956" i="10"/>
  <c r="G25" i="10" s="1"/>
  <c r="E712" i="10"/>
  <c r="L181" i="10"/>
  <c r="N9" i="10" s="1"/>
  <c r="F562" i="10"/>
  <c r="F562" i="2" s="1"/>
  <c r="H942" i="10"/>
  <c r="H942" i="2" s="1"/>
  <c r="G81" i="10"/>
  <c r="I8" i="10" s="1"/>
  <c r="L81" i="10"/>
  <c r="N8" i="10" s="1"/>
  <c r="K372" i="10"/>
  <c r="M13" i="10" s="1"/>
  <c r="G372" i="10"/>
  <c r="H308" i="10"/>
  <c r="H308" i="2" s="1"/>
  <c r="H193" i="10"/>
  <c r="H193" i="2" s="1"/>
  <c r="H643" i="10"/>
  <c r="H643" i="2" s="1"/>
  <c r="H645" i="10"/>
  <c r="H645" i="2" s="1"/>
  <c r="G664" i="10"/>
  <c r="I20" i="10" s="1"/>
  <c r="K664" i="10"/>
  <c r="M20" i="10" s="1"/>
  <c r="H563" i="10"/>
  <c r="H563" i="2" s="1"/>
  <c r="L579" i="10"/>
  <c r="G579" i="10"/>
  <c r="I18" i="10" s="1"/>
  <c r="K579" i="10"/>
  <c r="H804" i="10"/>
  <c r="H804" i="2" s="1"/>
  <c r="G956" i="10"/>
  <c r="I25" i="10" s="1"/>
  <c r="K956" i="10"/>
  <c r="M25" i="10" s="1"/>
  <c r="H956" i="10"/>
  <c r="J25" i="10" s="1"/>
  <c r="N28" i="10"/>
  <c r="M28" i="10"/>
  <c r="E474" i="10"/>
  <c r="G15" i="10" s="1"/>
  <c r="H714" i="10"/>
  <c r="H714" i="2" s="1"/>
  <c r="K474" i="10"/>
  <c r="M15" i="10" s="1"/>
  <c r="H306" i="10"/>
  <c r="H306" i="2" s="1"/>
  <c r="K181" i="10"/>
  <c r="K784" i="10"/>
  <c r="E684" i="10"/>
  <c r="E67" i="10"/>
  <c r="N67" i="10" s="1"/>
  <c r="E212" i="10"/>
  <c r="E664" i="10"/>
  <c r="E306" i="10"/>
  <c r="E59" i="10"/>
  <c r="N59" i="10" s="1"/>
  <c r="F780" i="10"/>
  <c r="E843" i="10"/>
  <c r="E832" i="10"/>
  <c r="E49" i="10"/>
  <c r="L474" i="10"/>
  <c r="K1011" i="10"/>
  <c r="M26" i="10" s="1"/>
  <c r="L956" i="10"/>
  <c r="N25" i="10" s="1"/>
  <c r="F956" i="10"/>
  <c r="E744" i="10"/>
  <c r="E203" i="10"/>
  <c r="E751" i="10"/>
  <c r="E755" i="10"/>
  <c r="E743" i="10"/>
  <c r="E211" i="10"/>
  <c r="E756" i="10"/>
  <c r="E62" i="10"/>
  <c r="N62" i="10" s="1"/>
  <c r="E206" i="10"/>
  <c r="E825" i="10"/>
  <c r="E827" i="10"/>
  <c r="E210" i="10"/>
  <c r="E66" i="10"/>
  <c r="N66" i="10" s="1"/>
  <c r="E205" i="10"/>
  <c r="E208" i="10"/>
  <c r="E209" i="10"/>
  <c r="E685" i="10"/>
  <c r="E831" i="10"/>
  <c r="E742" i="10"/>
  <c r="E750" i="10"/>
  <c r="E750" i="2" s="1"/>
  <c r="E829" i="10"/>
  <c r="E830" i="10"/>
  <c r="E308" i="10"/>
  <c r="F981" i="10"/>
  <c r="F981" i="2" s="1"/>
  <c r="E245" i="10"/>
  <c r="E752" i="10"/>
  <c r="E56" i="10"/>
  <c r="N56" i="10" s="1"/>
  <c r="E60" i="10"/>
  <c r="N60" i="10" s="1"/>
  <c r="E824" i="10"/>
  <c r="E207" i="10"/>
  <c r="E202" i="10"/>
  <c r="E984" i="10"/>
  <c r="E942" i="10"/>
  <c r="E645" i="10"/>
  <c r="E195" i="10"/>
  <c r="E310" i="10"/>
  <c r="L664" i="10"/>
  <c r="N20" i="10" s="1"/>
  <c r="E50" i="10"/>
  <c r="N50" i="10" s="1"/>
  <c r="E64" i="10"/>
  <c r="N64" i="10" s="1"/>
  <c r="E748" i="10"/>
  <c r="E298" i="10"/>
  <c r="E823" i="10"/>
  <c r="E599" i="10"/>
  <c r="E982" i="10"/>
  <c r="E745" i="10"/>
  <c r="E837" i="10"/>
  <c r="F474" i="10"/>
  <c r="H15" i="10" s="1"/>
  <c r="E683" i="10"/>
  <c r="K885" i="10"/>
  <c r="M23" i="10" s="1"/>
  <c r="E844" i="10"/>
  <c r="E204" i="10"/>
  <c r="E747" i="10"/>
  <c r="E57" i="10"/>
  <c r="N57" i="10" s="1"/>
  <c r="E301" i="10"/>
  <c r="E355" i="10"/>
  <c r="E749" i="10"/>
  <c r="E941" i="10"/>
  <c r="E753" i="10"/>
  <c r="E354" i="10"/>
  <c r="E643" i="10"/>
  <c r="E108" i="10"/>
  <c r="E746" i="10"/>
  <c r="F664" i="10"/>
  <c r="H20" i="10" s="1"/>
  <c r="E579" i="10"/>
  <c r="G18" i="10" s="1"/>
  <c r="F579" i="10"/>
  <c r="H18" i="10" s="1"/>
  <c r="H683" i="10"/>
  <c r="H683" i="2" s="1"/>
  <c r="H684" i="10"/>
  <c r="H684" i="2" s="1"/>
  <c r="L784" i="10"/>
  <c r="N22" i="10" s="1"/>
  <c r="H982" i="10"/>
  <c r="H982" i="2" s="1"/>
  <c r="H941" i="10"/>
  <c r="H941" i="2" s="1"/>
  <c r="H599" i="10"/>
  <c r="H599" i="2" s="1"/>
  <c r="K624" i="10"/>
  <c r="M19" i="10" s="1"/>
  <c r="L372" i="10"/>
  <c r="N13" i="10" s="1"/>
  <c r="K28" i="10"/>
  <c r="K260" i="10"/>
  <c r="M11" i="10" s="1"/>
  <c r="H180" i="10"/>
  <c r="H664" i="10"/>
  <c r="J20" i="10" s="1"/>
  <c r="H803" i="10"/>
  <c r="H803" i="2" s="1"/>
  <c r="E803" i="10"/>
  <c r="F256" i="10"/>
  <c r="E256" i="10"/>
  <c r="H256" i="10"/>
  <c r="H260" i="10" s="1"/>
  <c r="J11" i="10" s="1"/>
  <c r="G256" i="10"/>
  <c r="H49" i="10"/>
  <c r="H49" i="2" s="1"/>
  <c r="L260" i="10"/>
  <c r="N11" i="10" s="1"/>
  <c r="J223" i="10"/>
  <c r="L223" i="10"/>
  <c r="F596" i="10"/>
  <c r="F596" i="2" s="1"/>
  <c r="H301" i="10"/>
  <c r="H301" i="2" s="1"/>
  <c r="H642" i="10"/>
  <c r="H642" i="2" s="1"/>
  <c r="E192" i="10"/>
  <c r="H216" i="10"/>
  <c r="G216" i="10" s="1"/>
  <c r="K701" i="10"/>
  <c r="M21" i="10" s="1"/>
  <c r="E563" i="10"/>
  <c r="E715" i="10"/>
  <c r="E642" i="10"/>
  <c r="H712" i="10"/>
  <c r="H712" i="2" s="1"/>
  <c r="H100" i="10"/>
  <c r="H100" i="2" s="1"/>
  <c r="E100" i="10"/>
  <c r="E624" i="10"/>
  <c r="G19" i="10" s="1"/>
  <c r="E983" i="10"/>
  <c r="H983" i="10"/>
  <c r="H983" i="2" s="1"/>
  <c r="L1011" i="10"/>
  <c r="N26" i="10" s="1"/>
  <c r="G8" i="10"/>
  <c r="K420" i="10"/>
  <c r="M14" i="10" s="1"/>
  <c r="I624" i="10"/>
  <c r="K19" i="10" s="1"/>
  <c r="E682" i="10"/>
  <c r="H682" i="10"/>
  <c r="H682" i="2" s="1"/>
  <c r="H701" i="10"/>
  <c r="J21" i="10" s="1"/>
  <c r="G701" i="10"/>
  <c r="I21" i="10" s="1"/>
  <c r="H81" i="10"/>
  <c r="J8" i="10" s="1"/>
  <c r="K81" i="10"/>
  <c r="M8" i="10" s="1"/>
  <c r="L420" i="10"/>
  <c r="N14" i="10" s="1"/>
  <c r="E598" i="10"/>
  <c r="H598" i="10"/>
  <c r="H598" i="2" s="1"/>
  <c r="L624" i="10"/>
  <c r="N19" i="10" s="1"/>
  <c r="L701" i="10"/>
  <c r="N21" i="10" s="1"/>
  <c r="L885" i="10"/>
  <c r="N23" i="10" s="1"/>
  <c r="E303" i="10"/>
  <c r="H303" i="10"/>
  <c r="H303" i="2" s="1"/>
  <c r="H579" i="10"/>
  <c r="H470" i="10"/>
  <c r="E644" i="10"/>
  <c r="H644" i="10"/>
  <c r="H644" i="2" s="1"/>
  <c r="H372" i="10"/>
  <c r="J13" i="10" s="1"/>
  <c r="E193" i="10"/>
  <c r="G28" i="10"/>
  <c r="N685" i="2" l="1"/>
  <c r="N747" i="10"/>
  <c r="E747" i="2"/>
  <c r="N982" i="10"/>
  <c r="E982" i="2"/>
  <c r="N748" i="10"/>
  <c r="E748" i="2"/>
  <c r="N984" i="10"/>
  <c r="E984" i="2"/>
  <c r="N209" i="10"/>
  <c r="E209" i="2"/>
  <c r="N210" i="10"/>
  <c r="E210" i="2"/>
  <c r="N755" i="10"/>
  <c r="E755" i="2"/>
  <c r="N845" i="10"/>
  <c r="E845" i="2"/>
  <c r="N495" i="10"/>
  <c r="E495" i="2"/>
  <c r="N214" i="10"/>
  <c r="E214" i="2"/>
  <c r="E815" i="10"/>
  <c r="F815" i="2"/>
  <c r="E814" i="10"/>
  <c r="F814" i="2"/>
  <c r="N746" i="10"/>
  <c r="E746" i="2"/>
  <c r="N753" i="10"/>
  <c r="E753" i="2"/>
  <c r="N204" i="10"/>
  <c r="E204" i="2"/>
  <c r="N202" i="10"/>
  <c r="E202" i="2"/>
  <c r="N308" i="10"/>
  <c r="E308" i="2"/>
  <c r="N742" i="10"/>
  <c r="E742" i="2"/>
  <c r="N208" i="10"/>
  <c r="E208" i="2"/>
  <c r="N827" i="10"/>
  <c r="E827" i="2"/>
  <c r="N756" i="10"/>
  <c r="E756" i="2"/>
  <c r="N751" i="10"/>
  <c r="E751" i="2"/>
  <c r="N832" i="10"/>
  <c r="E832" i="2"/>
  <c r="N826" i="10"/>
  <c r="E826" i="2"/>
  <c r="N754" i="10"/>
  <c r="E754" i="2"/>
  <c r="N905" i="10"/>
  <c r="E905" i="2"/>
  <c r="E812" i="10"/>
  <c r="F812" i="2"/>
  <c r="H731" i="10"/>
  <c r="H731" i="2" s="1"/>
  <c r="F731" i="2"/>
  <c r="N941" i="10"/>
  <c r="E941" i="2"/>
  <c r="N844" i="10"/>
  <c r="E844" i="2"/>
  <c r="N837" i="10"/>
  <c r="E837" i="2"/>
  <c r="N823" i="10"/>
  <c r="E823" i="2"/>
  <c r="N207" i="10"/>
  <c r="E207" i="2"/>
  <c r="N752" i="10"/>
  <c r="E752" i="2"/>
  <c r="N830" i="10"/>
  <c r="E830" i="2"/>
  <c r="N831" i="10"/>
  <c r="E831" i="2"/>
  <c r="N205" i="10"/>
  <c r="E205" i="2"/>
  <c r="N825" i="10"/>
  <c r="E825" i="2"/>
  <c r="N211" i="10"/>
  <c r="E211" i="2"/>
  <c r="N203" i="10"/>
  <c r="E203" i="2"/>
  <c r="N843" i="10"/>
  <c r="E843" i="2"/>
  <c r="H564" i="10"/>
  <c r="H564" i="2" s="1"/>
  <c r="F564" i="2"/>
  <c r="N450" i="10"/>
  <c r="E450" i="2"/>
  <c r="N491" i="10"/>
  <c r="E491" i="2"/>
  <c r="N401" i="10"/>
  <c r="E401" i="2"/>
  <c r="N643" i="10"/>
  <c r="E643" i="2"/>
  <c r="N749" i="10"/>
  <c r="E749" i="2"/>
  <c r="N745" i="10"/>
  <c r="E745" i="2"/>
  <c r="N942" i="10"/>
  <c r="E942" i="2"/>
  <c r="N824" i="10"/>
  <c r="E824" i="2"/>
  <c r="N245" i="10"/>
  <c r="E245" i="2"/>
  <c r="N829" i="10"/>
  <c r="E829" i="2"/>
  <c r="N206" i="10"/>
  <c r="E206" i="2"/>
  <c r="N743" i="10"/>
  <c r="E743" i="2"/>
  <c r="N744" i="10"/>
  <c r="E744" i="2"/>
  <c r="N212" i="10"/>
  <c r="E212" i="2"/>
  <c r="N833" i="10"/>
  <c r="E833" i="2"/>
  <c r="N839" i="10"/>
  <c r="E839" i="2"/>
  <c r="N492" i="10"/>
  <c r="E492" i="2"/>
  <c r="H732" i="10"/>
  <c r="H732" i="2" s="1"/>
  <c r="F732" i="2"/>
  <c r="N804" i="10"/>
  <c r="E804" i="2"/>
  <c r="N193" i="10"/>
  <c r="E193" i="2"/>
  <c r="G223" i="2" s="1"/>
  <c r="N303" i="10"/>
  <c r="E303" i="2"/>
  <c r="N100" i="10"/>
  <c r="E100" i="2"/>
  <c r="N983" i="10"/>
  <c r="E983" i="2"/>
  <c r="N563" i="10"/>
  <c r="E563" i="2"/>
  <c r="N192" i="10"/>
  <c r="E192" i="2"/>
  <c r="N803" i="10"/>
  <c r="E803" i="2"/>
  <c r="N301" i="10"/>
  <c r="E301" i="2"/>
  <c r="N599" i="10"/>
  <c r="E599" i="2"/>
  <c r="N685" i="10"/>
  <c r="E685" i="2"/>
  <c r="N306" i="10"/>
  <c r="E306" i="2"/>
  <c r="N684" i="10"/>
  <c r="E684" i="2"/>
  <c r="N447" i="10"/>
  <c r="E447" i="2"/>
  <c r="G470" i="2" s="1"/>
  <c r="N108" i="10"/>
  <c r="E108" i="2"/>
  <c r="N310" i="10"/>
  <c r="E310" i="2"/>
  <c r="N940" i="10"/>
  <c r="E940" i="2"/>
  <c r="N395" i="10"/>
  <c r="E395" i="2"/>
  <c r="G505" i="2" s="1"/>
  <c r="N393" i="10"/>
  <c r="E393" i="2"/>
  <c r="N682" i="10"/>
  <c r="E682" i="2"/>
  <c r="N642" i="10"/>
  <c r="E642" i="2"/>
  <c r="N683" i="10"/>
  <c r="E683" i="2"/>
  <c r="N298" i="10"/>
  <c r="E298" i="2"/>
  <c r="N195" i="10"/>
  <c r="E195" i="2"/>
  <c r="N645" i="10"/>
  <c r="E645" i="2"/>
  <c r="N712" i="10"/>
  <c r="E712" i="2"/>
  <c r="E780" i="2" s="1"/>
  <c r="N448" i="10"/>
  <c r="E448" i="2"/>
  <c r="N490" i="10"/>
  <c r="E490" i="2"/>
  <c r="N714" i="10"/>
  <c r="E714" i="2"/>
  <c r="N644" i="10"/>
  <c r="E644" i="2"/>
  <c r="N598" i="10"/>
  <c r="E598" i="2"/>
  <c r="N715" i="10"/>
  <c r="E715" i="2"/>
  <c r="N354" i="10"/>
  <c r="E354" i="2"/>
  <c r="N355" i="10"/>
  <c r="E355" i="2"/>
  <c r="N529" i="10"/>
  <c r="E529" i="2"/>
  <c r="N399" i="10"/>
  <c r="E399" i="2"/>
  <c r="N397" i="10"/>
  <c r="E397" i="2"/>
  <c r="N452" i="10"/>
  <c r="E452" i="2"/>
  <c r="N311" i="10"/>
  <c r="E311" i="2"/>
  <c r="N403" i="10"/>
  <c r="E403" i="2"/>
  <c r="N763" i="10"/>
  <c r="E763" i="2"/>
  <c r="F849" i="10"/>
  <c r="H718" i="10"/>
  <c r="H718" i="2" s="1"/>
  <c r="F852" i="10"/>
  <c r="H721" i="10"/>
  <c r="H721" i="2" s="1"/>
  <c r="F860" i="10"/>
  <c r="H729" i="10"/>
  <c r="H729" i="2" s="1"/>
  <c r="F853" i="10"/>
  <c r="H722" i="10"/>
  <c r="H722" i="2" s="1"/>
  <c r="F850" i="10"/>
  <c r="H719" i="10"/>
  <c r="H719" i="2" s="1"/>
  <c r="F854" i="10"/>
  <c r="H723" i="10"/>
  <c r="H723" i="2" s="1"/>
  <c r="F858" i="10"/>
  <c r="H727" i="10"/>
  <c r="H727" i="2" s="1"/>
  <c r="F861" i="10"/>
  <c r="H730" i="10"/>
  <c r="H730" i="2" s="1"/>
  <c r="F856" i="10"/>
  <c r="F856" i="2" s="1"/>
  <c r="H725" i="10"/>
  <c r="H725" i="2" s="1"/>
  <c r="F857" i="10"/>
  <c r="H726" i="10"/>
  <c r="H726" i="2" s="1"/>
  <c r="F851" i="10"/>
  <c r="H720" i="10"/>
  <c r="H720" i="2" s="1"/>
  <c r="F855" i="10"/>
  <c r="F855" i="2" s="1"/>
  <c r="H724" i="10"/>
  <c r="H724" i="2" s="1"/>
  <c r="F859" i="10"/>
  <c r="H728" i="10"/>
  <c r="H728" i="2" s="1"/>
  <c r="H115" i="10"/>
  <c r="H115" i="2" s="1"/>
  <c r="H117" i="10"/>
  <c r="H117" i="2" s="1"/>
  <c r="H119" i="10"/>
  <c r="H119" i="2" s="1"/>
  <c r="H113" i="10"/>
  <c r="H113" i="2" s="1"/>
  <c r="H116" i="10"/>
  <c r="H116" i="2" s="1"/>
  <c r="H118" i="10"/>
  <c r="H118" i="2" s="1"/>
  <c r="H120" i="10"/>
  <c r="H120" i="2" s="1"/>
  <c r="H121" i="10"/>
  <c r="H121" i="2" s="1"/>
  <c r="H126" i="10"/>
  <c r="H126" i="2" s="1"/>
  <c r="H128" i="10"/>
  <c r="H128" i="2" s="1"/>
  <c r="H127" i="10"/>
  <c r="H127" i="2" s="1"/>
  <c r="H125" i="10"/>
  <c r="H125" i="2" s="1"/>
  <c r="H130" i="10"/>
  <c r="H130" i="2" s="1"/>
  <c r="H131" i="10"/>
  <c r="H131" i="2" s="1"/>
  <c r="H132" i="10"/>
  <c r="H132" i="2" s="1"/>
  <c r="H133" i="10"/>
  <c r="H133" i="2" s="1"/>
  <c r="H134" i="10"/>
  <c r="H134" i="2" s="1"/>
  <c r="H136" i="10"/>
  <c r="H136" i="2" s="1"/>
  <c r="H135" i="10"/>
  <c r="H135" i="2" s="1"/>
  <c r="H137" i="10"/>
  <c r="H137" i="2" s="1"/>
  <c r="H139" i="10"/>
  <c r="H139" i="2" s="1"/>
  <c r="H138" i="10"/>
  <c r="H138" i="2" s="1"/>
  <c r="H129" i="10"/>
  <c r="H129" i="2" s="1"/>
  <c r="H124" i="10"/>
  <c r="H124" i="2" s="1"/>
  <c r="H112" i="10"/>
  <c r="H112" i="2" s="1"/>
  <c r="H110" i="10"/>
  <c r="H110" i="2" s="1"/>
  <c r="H123" i="10"/>
  <c r="H123" i="2" s="1"/>
  <c r="H111" i="10"/>
  <c r="H111" i="2" s="1"/>
  <c r="H122" i="10"/>
  <c r="H122" i="2" s="1"/>
  <c r="H114" i="10"/>
  <c r="H114" i="2" s="1"/>
  <c r="N750" i="10"/>
  <c r="N124" i="10"/>
  <c r="N129" i="10"/>
  <c r="N112" i="10"/>
  <c r="N122" i="10"/>
  <c r="N140" i="10"/>
  <c r="N110" i="10"/>
  <c r="N114" i="10"/>
  <c r="N141" i="10"/>
  <c r="N111" i="10"/>
  <c r="N142" i="10"/>
  <c r="N123" i="10"/>
  <c r="E57" i="2"/>
  <c r="E64" i="2"/>
  <c r="E60" i="2"/>
  <c r="E56" i="2"/>
  <c r="E66" i="2"/>
  <c r="E62" i="2"/>
  <c r="E49" i="2"/>
  <c r="N49" i="10"/>
  <c r="E59" i="2"/>
  <c r="E67" i="2"/>
  <c r="E63" i="2"/>
  <c r="E65" i="2"/>
  <c r="H623" i="10"/>
  <c r="F613" i="10"/>
  <c r="C623" i="10" s="1"/>
  <c r="G505" i="10"/>
  <c r="N395" i="2"/>
  <c r="H505" i="2"/>
  <c r="H613" i="2"/>
  <c r="H613" i="10"/>
  <c r="F613" i="2"/>
  <c r="C623" i="2" s="1"/>
  <c r="H623" i="2"/>
  <c r="H177" i="2"/>
  <c r="H177" i="10"/>
  <c r="H181" i="10" s="1"/>
  <c r="J9" i="10" s="1"/>
  <c r="H736" i="10"/>
  <c r="H736" i="2" s="1"/>
  <c r="H734" i="10"/>
  <c r="H734" i="2" s="1"/>
  <c r="H733" i="10"/>
  <c r="H733" i="2" s="1"/>
  <c r="H780" i="10"/>
  <c r="H735" i="10"/>
  <c r="H735" i="2" s="1"/>
  <c r="H780" i="2"/>
  <c r="O6" i="18"/>
  <c r="H604" i="10"/>
  <c r="H604" i="2" s="1"/>
  <c r="E813" i="10"/>
  <c r="H416" i="2"/>
  <c r="H420" i="2" s="1"/>
  <c r="J14" i="2" s="1"/>
  <c r="F568" i="2"/>
  <c r="C575" i="2" s="1"/>
  <c r="E394" i="10"/>
  <c r="H470" i="2"/>
  <c r="H474" i="2" s="1"/>
  <c r="J15" i="2" s="1"/>
  <c r="F985" i="10"/>
  <c r="F985" i="2" s="1"/>
  <c r="G311" i="10"/>
  <c r="G311" i="2" s="1"/>
  <c r="H750" i="10"/>
  <c r="H750" i="2" s="1"/>
  <c r="H752" i="10"/>
  <c r="H752" i="2" s="1"/>
  <c r="G177" i="2"/>
  <c r="G177" i="10"/>
  <c r="M897" i="2"/>
  <c r="F772" i="2"/>
  <c r="H772" i="2"/>
  <c r="F624" i="10"/>
  <c r="H19" i="10" s="1"/>
  <c r="J77" i="2"/>
  <c r="J575" i="10"/>
  <c r="E50" i="2"/>
  <c r="I77" i="10"/>
  <c r="I697" i="10"/>
  <c r="I701" i="10" s="1"/>
  <c r="K21" i="10" s="1"/>
  <c r="L28" i="2"/>
  <c r="H28" i="10"/>
  <c r="K785" i="10"/>
  <c r="M22" i="10"/>
  <c r="L337" i="10"/>
  <c r="N12" i="10"/>
  <c r="H580" i="10"/>
  <c r="J18" i="10"/>
  <c r="L475" i="10"/>
  <c r="N15" i="10"/>
  <c r="E665" i="10"/>
  <c r="G20" i="10"/>
  <c r="F957" i="10"/>
  <c r="H25" i="10"/>
  <c r="K580" i="10"/>
  <c r="M18" i="10"/>
  <c r="H8" i="10"/>
  <c r="L580" i="10"/>
  <c r="N18" i="10"/>
  <c r="G373" i="10"/>
  <c r="I13" i="10"/>
  <c r="K337" i="10"/>
  <c r="M12" i="10"/>
  <c r="K182" i="10"/>
  <c r="M9" i="10"/>
  <c r="K896" i="2"/>
  <c r="K898" i="2"/>
  <c r="H28" i="2"/>
  <c r="J624" i="2"/>
  <c r="L19" i="2" s="1"/>
  <c r="J624" i="10"/>
  <c r="L19" i="10" s="1"/>
  <c r="L28" i="10"/>
  <c r="F1007" i="2"/>
  <c r="F1007" i="10"/>
  <c r="F1011" i="10" s="1"/>
  <c r="J697" i="2"/>
  <c r="J701" i="2" s="1"/>
  <c r="L21" i="2" s="1"/>
  <c r="N309" i="2"/>
  <c r="E45" i="2"/>
  <c r="B74" i="2" s="1"/>
  <c r="I74" i="2"/>
  <c r="L332" i="2"/>
  <c r="K332" i="2"/>
  <c r="N355" i="2"/>
  <c r="G332" i="2"/>
  <c r="G336" i="2" s="1"/>
  <c r="I12" i="2" s="1"/>
  <c r="G389" i="2"/>
  <c r="H332" i="2"/>
  <c r="O972" i="2"/>
  <c r="O971" i="2"/>
  <c r="G975" i="2"/>
  <c r="E939" i="10"/>
  <c r="E939" i="2" s="1"/>
  <c r="H52" i="2"/>
  <c r="G52" i="2" s="1"/>
  <c r="L223" i="2"/>
  <c r="J223" i="2"/>
  <c r="N193" i="2"/>
  <c r="F223" i="2"/>
  <c r="H223" i="2"/>
  <c r="F884" i="2"/>
  <c r="F885" i="2" s="1"/>
  <c r="H23" i="2" s="1"/>
  <c r="N828" i="2"/>
  <c r="H939" i="10"/>
  <c r="H939" i="2" s="1"/>
  <c r="E681" i="10"/>
  <c r="E681" i="2" s="1"/>
  <c r="H681" i="10"/>
  <c r="H681" i="2" s="1"/>
  <c r="E980" i="10"/>
  <c r="E980" i="2" s="1"/>
  <c r="G305" i="10"/>
  <c r="G305" i="2" s="1"/>
  <c r="G332" i="10"/>
  <c r="G336" i="10" s="1"/>
  <c r="H309" i="10"/>
  <c r="H309" i="2" s="1"/>
  <c r="K18" i="18"/>
  <c r="H979" i="10"/>
  <c r="H979" i="2" s="1"/>
  <c r="F568" i="10"/>
  <c r="H59" i="10"/>
  <c r="H59" i="2" s="1"/>
  <c r="G355" i="10"/>
  <c r="G355" i="2" s="1"/>
  <c r="G180" i="10"/>
  <c r="G470" i="10"/>
  <c r="G474" i="10" s="1"/>
  <c r="I15" i="10" s="1"/>
  <c r="G416" i="10"/>
  <c r="G420" i="10" s="1"/>
  <c r="I14" i="10" s="1"/>
  <c r="E780" i="10"/>
  <c r="G259" i="10"/>
  <c r="G260" i="10" s="1"/>
  <c r="I11" i="10" s="1"/>
  <c r="H641" i="10"/>
  <c r="H641" i="2" s="1"/>
  <c r="E641" i="10"/>
  <c r="E641" i="2" s="1"/>
  <c r="E979" i="10"/>
  <c r="E979" i="2" s="1"/>
  <c r="L182" i="10"/>
  <c r="H244" i="10"/>
  <c r="H244" i="2" s="1"/>
  <c r="E244" i="10"/>
  <c r="E244" i="2" s="1"/>
  <c r="H980" i="10"/>
  <c r="H980" i="2" s="1"/>
  <c r="K591" i="10"/>
  <c r="H981" i="10"/>
  <c r="H981" i="2" s="1"/>
  <c r="H562" i="10"/>
  <c r="H562" i="2" s="1"/>
  <c r="H52" i="10"/>
  <c r="G52" i="10" s="1"/>
  <c r="H957" i="10"/>
  <c r="H337" i="10"/>
  <c r="E580" i="10"/>
  <c r="G580" i="10"/>
  <c r="H228" i="10"/>
  <c r="G665" i="10"/>
  <c r="E52" i="10"/>
  <c r="B77" i="10" s="1"/>
  <c r="E216" i="10"/>
  <c r="B226" i="10" s="1"/>
  <c r="G82" i="10"/>
  <c r="E957" i="10"/>
  <c r="K665" i="10"/>
  <c r="K957" i="10"/>
  <c r="E596" i="10"/>
  <c r="E596" i="2" s="1"/>
  <c r="E562" i="10"/>
  <c r="E562" i="2" s="1"/>
  <c r="H596" i="10"/>
  <c r="H596" i="2" s="1"/>
  <c r="E475" i="10"/>
  <c r="K373" i="10"/>
  <c r="G957" i="10"/>
  <c r="L82" i="10"/>
  <c r="K475" i="10"/>
  <c r="F228" i="10"/>
  <c r="F475" i="10"/>
  <c r="K702" i="10"/>
  <c r="K1012" i="10"/>
  <c r="J701" i="10"/>
  <c r="L21" i="10" s="1"/>
  <c r="E309" i="10"/>
  <c r="F665" i="10"/>
  <c r="H261" i="10"/>
  <c r="L1012" i="10"/>
  <c r="K625" i="10"/>
  <c r="L261" i="10"/>
  <c r="K886" i="10"/>
  <c r="L957" i="10"/>
  <c r="L665" i="10"/>
  <c r="F580" i="10"/>
  <c r="L785" i="10"/>
  <c r="E82" i="10"/>
  <c r="L421" i="10"/>
  <c r="L227" i="10"/>
  <c r="N10" i="10" s="1"/>
  <c r="J227" i="10"/>
  <c r="H665" i="10"/>
  <c r="H421" i="10"/>
  <c r="F260" i="10"/>
  <c r="H11" i="10" s="1"/>
  <c r="L373" i="10"/>
  <c r="K261" i="10"/>
  <c r="L702" i="10"/>
  <c r="L886" i="10"/>
  <c r="H82" i="10"/>
  <c r="H702" i="10"/>
  <c r="G702" i="10"/>
  <c r="I625" i="10"/>
  <c r="F396" i="10"/>
  <c r="F396" i="2" s="1"/>
  <c r="H828" i="10"/>
  <c r="H828" i="2" s="1"/>
  <c r="F885" i="10"/>
  <c r="H23" i="10" s="1"/>
  <c r="E828" i="10"/>
  <c r="M591" i="10"/>
  <c r="H373" i="10"/>
  <c r="L625" i="10"/>
  <c r="K223" i="10"/>
  <c r="E223" i="10"/>
  <c r="G223" i="10"/>
  <c r="I223" i="10"/>
  <c r="H474" i="10"/>
  <c r="E625" i="10"/>
  <c r="H394" i="10"/>
  <c r="H394" i="2" s="1"/>
  <c r="K82" i="10"/>
  <c r="K421" i="10"/>
  <c r="E1012" i="10"/>
  <c r="N828" i="10" l="1"/>
  <c r="E828" i="2"/>
  <c r="N813" i="10"/>
  <c r="E813" i="2"/>
  <c r="H857" i="10"/>
  <c r="H857" i="2" s="1"/>
  <c r="F857" i="2"/>
  <c r="H861" i="10"/>
  <c r="H861" i="2" s="1"/>
  <c r="F861" i="2"/>
  <c r="H854" i="10"/>
  <c r="H854" i="2" s="1"/>
  <c r="F854" i="2"/>
  <c r="H853" i="10"/>
  <c r="H853" i="2" s="1"/>
  <c r="F853" i="2"/>
  <c r="H852" i="10"/>
  <c r="H852" i="2" s="1"/>
  <c r="F852" i="2"/>
  <c r="N814" i="10"/>
  <c r="E814" i="2"/>
  <c r="N309" i="10"/>
  <c r="E309" i="2"/>
  <c r="H859" i="10"/>
  <c r="H859" i="2" s="1"/>
  <c r="F859" i="2"/>
  <c r="H851" i="10"/>
  <c r="H851" i="2" s="1"/>
  <c r="F851" i="2"/>
  <c r="H858" i="10"/>
  <c r="H858" i="2" s="1"/>
  <c r="F858" i="2"/>
  <c r="H850" i="10"/>
  <c r="H850" i="2" s="1"/>
  <c r="F850" i="2"/>
  <c r="H860" i="10"/>
  <c r="H860" i="2" s="1"/>
  <c r="F860" i="2"/>
  <c r="H849" i="10"/>
  <c r="H849" i="2" s="1"/>
  <c r="F849" i="2"/>
  <c r="N812" i="10"/>
  <c r="E812" i="2"/>
  <c r="N815" i="10"/>
  <c r="E815" i="2"/>
  <c r="N394" i="10"/>
  <c r="E394" i="2"/>
  <c r="H855" i="10"/>
  <c r="H855" i="2" s="1"/>
  <c r="H856" i="10"/>
  <c r="H856" i="2" s="1"/>
  <c r="I77" i="2"/>
  <c r="I12" i="10"/>
  <c r="K223" i="2"/>
  <c r="K227" i="2" s="1"/>
  <c r="M10" i="2" s="1"/>
  <c r="E216" i="2"/>
  <c r="B226" i="2" s="1"/>
  <c r="E223" i="2"/>
  <c r="E227" i="2" s="1"/>
  <c r="G10" i="2" s="1"/>
  <c r="I223" i="2"/>
  <c r="I227" i="2" s="1"/>
  <c r="K10" i="2" s="1"/>
  <c r="I697" i="2"/>
  <c r="I701" i="2" s="1"/>
  <c r="K21" i="2" s="1"/>
  <c r="I575" i="10"/>
  <c r="I660" i="10"/>
  <c r="G416" i="2"/>
  <c r="G420" i="2" s="1"/>
  <c r="I14" i="2" s="1"/>
  <c r="H509" i="2"/>
  <c r="H510" i="2" s="1"/>
  <c r="G509" i="10"/>
  <c r="G510" i="10" s="1"/>
  <c r="G509" i="2"/>
  <c r="G510" i="2" s="1"/>
  <c r="H181" i="2"/>
  <c r="J9" i="2" s="1"/>
  <c r="G780" i="2"/>
  <c r="G780" i="10"/>
  <c r="H396" i="10"/>
  <c r="H396" i="2" s="1"/>
  <c r="E396" i="10"/>
  <c r="E985" i="10"/>
  <c r="H985" i="10"/>
  <c r="H985" i="2" s="1"/>
  <c r="H311" i="10"/>
  <c r="H311" i="2" s="1"/>
  <c r="G181" i="10"/>
  <c r="I9" i="10" s="1"/>
  <c r="G181" i="2"/>
  <c r="I9" i="2" s="1"/>
  <c r="F625" i="10"/>
  <c r="M898" i="2"/>
  <c r="M896" i="2"/>
  <c r="C575" i="10"/>
  <c r="E52" i="2"/>
  <c r="B77" i="2" s="1"/>
  <c r="E884" i="2"/>
  <c r="E884" i="10"/>
  <c r="E885" i="10" s="1"/>
  <c r="G23" i="10" s="1"/>
  <c r="J625" i="10"/>
  <c r="N30" i="10"/>
  <c r="N31" i="10"/>
  <c r="H475" i="10"/>
  <c r="J15" i="10"/>
  <c r="J228" i="10"/>
  <c r="L10" i="10"/>
  <c r="F1012" i="10"/>
  <c r="H26" i="10"/>
  <c r="F922" i="10"/>
  <c r="F922" i="2"/>
  <c r="J625" i="2"/>
  <c r="F624" i="2"/>
  <c r="H19" i="2" s="1"/>
  <c r="F1011" i="2"/>
  <c r="H26" i="2" s="1"/>
  <c r="E174" i="2"/>
  <c r="E95" i="2"/>
  <c r="B174" i="2" s="1"/>
  <c r="I575" i="2"/>
  <c r="E652" i="2"/>
  <c r="H568" i="2"/>
  <c r="G568" i="2" s="1"/>
  <c r="J575" i="2"/>
  <c r="H336" i="2"/>
  <c r="J12" i="2" s="1"/>
  <c r="K336" i="2"/>
  <c r="M12" i="2" s="1"/>
  <c r="L336" i="2"/>
  <c r="N12" i="2" s="1"/>
  <c r="G337" i="2"/>
  <c r="J702" i="2"/>
  <c r="H421" i="2"/>
  <c r="G227" i="2"/>
  <c r="I10" i="2" s="1"/>
  <c r="H227" i="2"/>
  <c r="J10" i="2" s="1"/>
  <c r="L227" i="2"/>
  <c r="N10" i="2" s="1"/>
  <c r="F227" i="2"/>
  <c r="H475" i="2"/>
  <c r="F886" i="2"/>
  <c r="J227" i="2"/>
  <c r="L10" i="2" s="1"/>
  <c r="G474" i="2"/>
  <c r="I15" i="2" s="1"/>
  <c r="E568" i="10"/>
  <c r="B575" i="10" s="1"/>
  <c r="H568" i="10"/>
  <c r="G568" i="10" s="1"/>
  <c r="H355" i="10"/>
  <c r="H355" i="2" s="1"/>
  <c r="G475" i="10"/>
  <c r="G421" i="10"/>
  <c r="I702" i="10"/>
  <c r="F886" i="10"/>
  <c r="G261" i="10"/>
  <c r="L228" i="10"/>
  <c r="G337" i="10"/>
  <c r="J702" i="10"/>
  <c r="F261" i="10"/>
  <c r="H182" i="10"/>
  <c r="E227" i="10"/>
  <c r="G10" i="10" s="1"/>
  <c r="F194" i="10"/>
  <c r="F194" i="2" s="1"/>
  <c r="G227" i="10"/>
  <c r="I10" i="10" s="1"/>
  <c r="K227" i="10"/>
  <c r="M10" i="10" s="1"/>
  <c r="M31" i="10" s="1"/>
  <c r="M40" i="18"/>
  <c r="I227" i="10"/>
  <c r="K10" i="10" s="1"/>
  <c r="N985" i="10" l="1"/>
  <c r="E985" i="2"/>
  <c r="N396" i="10"/>
  <c r="E396" i="2"/>
  <c r="I702" i="2"/>
  <c r="H182" i="2"/>
  <c r="B660" i="2"/>
  <c r="G182" i="10"/>
  <c r="G182" i="2"/>
  <c r="O10" i="2"/>
  <c r="F923" i="2"/>
  <c r="H24" i="2"/>
  <c r="F923" i="10"/>
  <c r="H24" i="10"/>
  <c r="F228" i="2"/>
  <c r="H10" i="2"/>
  <c r="N30" i="2"/>
  <c r="N31" i="2"/>
  <c r="M30" i="10"/>
  <c r="O10" i="10"/>
  <c r="M30" i="2"/>
  <c r="M31" i="2"/>
  <c r="F625" i="2"/>
  <c r="E568" i="2"/>
  <c r="B575" i="2" s="1"/>
  <c r="F1012" i="2"/>
  <c r="I660" i="2"/>
  <c r="N396" i="2"/>
  <c r="H337" i="2"/>
  <c r="L337" i="2"/>
  <c r="K337" i="2"/>
  <c r="I228" i="2"/>
  <c r="J228" i="2"/>
  <c r="E228" i="2"/>
  <c r="K228" i="2"/>
  <c r="H228" i="2"/>
  <c r="F198" i="10"/>
  <c r="C223" i="10" s="1"/>
  <c r="G475" i="2"/>
  <c r="G421" i="2"/>
  <c r="L228" i="2"/>
  <c r="G228" i="2"/>
  <c r="E885" i="2"/>
  <c r="G23" i="2" s="1"/>
  <c r="E886" i="10"/>
  <c r="K228" i="10"/>
  <c r="G228" i="10"/>
  <c r="H194" i="10"/>
  <c r="H194" i="2" s="1"/>
  <c r="E194" i="10"/>
  <c r="I228" i="10"/>
  <c r="E228" i="10"/>
  <c r="N194" i="10" l="1"/>
  <c r="E194" i="2"/>
  <c r="E198" i="2" s="1"/>
  <c r="B223" i="2" s="1"/>
  <c r="B227" i="2" s="1"/>
  <c r="D10" i="2" s="1"/>
  <c r="H198" i="2"/>
  <c r="E886" i="2"/>
  <c r="N194" i="2"/>
  <c r="F198" i="2"/>
  <c r="C223" i="2" s="1"/>
  <c r="H198" i="10"/>
  <c r="G198" i="10" s="1"/>
  <c r="E198" i="10"/>
  <c r="B223" i="10" s="1"/>
  <c r="B227" i="10" s="1"/>
  <c r="D10" i="10" s="1"/>
  <c r="C227" i="10"/>
  <c r="E10" i="10" s="1"/>
  <c r="C227" i="2" l="1"/>
  <c r="E10" i="2" s="1"/>
  <c r="G198" i="2"/>
  <c r="B228" i="2"/>
  <c r="C228" i="10"/>
  <c r="B228" i="10"/>
  <c r="C228" i="2" l="1"/>
  <c r="E652" i="10" l="1"/>
  <c r="F646" i="10"/>
  <c r="F646" i="2" s="1"/>
  <c r="B660" i="10" l="1"/>
  <c r="J660" i="10"/>
  <c r="H646" i="10"/>
  <c r="H646" i="2" s="1"/>
  <c r="F652" i="10"/>
  <c r="C660" i="10" l="1"/>
  <c r="H652" i="2"/>
  <c r="H652" i="10"/>
  <c r="F652" i="2"/>
  <c r="J660" i="2"/>
  <c r="G652" i="10" l="1"/>
  <c r="G613" i="10"/>
  <c r="G613" i="2"/>
  <c r="C660" i="2"/>
  <c r="G652" i="2"/>
  <c r="G524" i="10" l="1"/>
  <c r="F528" i="10"/>
  <c r="F528" i="2" s="1"/>
  <c r="E528" i="10" l="1"/>
  <c r="H528" i="10"/>
  <c r="H528" i="2" s="1"/>
  <c r="N528" i="10" l="1"/>
  <c r="E528" i="2"/>
  <c r="N306" i="2"/>
  <c r="E93" i="10" l="1"/>
  <c r="I174" i="10" s="1"/>
  <c r="I174" i="2" l="1"/>
  <c r="H922" i="10" l="1"/>
  <c r="H923" i="10" l="1"/>
  <c r="J24" i="10"/>
  <c r="H922" i="2"/>
  <c r="J24" i="2" s="1"/>
  <c r="G922" i="10"/>
  <c r="G923" i="10" l="1"/>
  <c r="I24" i="10"/>
  <c r="G922" i="2"/>
  <c r="H923" i="2"/>
  <c r="G923" i="2" l="1"/>
  <c r="I24" i="2"/>
  <c r="L5" i="2" l="1"/>
  <c r="E230" i="10"/>
  <c r="E230" i="2" l="1"/>
  <c r="G41" i="10" l="1"/>
  <c r="G93" i="10"/>
  <c r="G92" i="10"/>
  <c r="G42" i="10"/>
  <c r="G43" i="10"/>
  <c r="K16" i="18" l="1"/>
  <c r="K21" i="18"/>
  <c r="E42" i="10"/>
  <c r="E92" i="10"/>
  <c r="F95" i="10"/>
  <c r="C174" i="10" s="1"/>
  <c r="K17" i="18"/>
  <c r="F174" i="10"/>
  <c r="E43" i="10"/>
  <c r="K22" i="18"/>
  <c r="K19" i="18"/>
  <c r="F45" i="10"/>
  <c r="J74" i="10"/>
  <c r="E41" i="10"/>
  <c r="K23" i="18" l="1"/>
  <c r="E45" i="10"/>
  <c r="B74" i="10" s="1"/>
  <c r="I74" i="10"/>
  <c r="E174" i="10"/>
  <c r="E95" i="10"/>
  <c r="B174" i="10" s="1"/>
  <c r="C74" i="10"/>
  <c r="K24" i="18" l="1"/>
  <c r="G302" i="10"/>
  <c r="G302" i="2" s="1"/>
  <c r="G307" i="10"/>
  <c r="G307" i="2" s="1"/>
  <c r="J259" i="10" l="1"/>
  <c r="N897" i="2" l="1"/>
  <c r="O897" i="2"/>
  <c r="P897" i="2"/>
  <c r="P896" i="2"/>
  <c r="N896" i="2"/>
  <c r="O896" i="2" l="1"/>
  <c r="G943" i="10" l="1"/>
  <c r="G943" i="2" s="1"/>
  <c r="V829" i="10" l="1"/>
  <c r="H908" i="10" l="1"/>
  <c r="H908" i="2" s="1"/>
  <c r="G530" i="10" l="1"/>
  <c r="G530" i="2" s="1"/>
  <c r="V828" i="10" l="1"/>
  <c r="V827" i="10"/>
  <c r="V826" i="10"/>
  <c r="G99" i="2" l="1"/>
  <c r="N852" i="10" l="1"/>
  <c r="H884" i="10"/>
  <c r="N851" i="10"/>
  <c r="N853" i="10"/>
  <c r="N848" i="10"/>
  <c r="N849" i="10"/>
  <c r="N854" i="10"/>
  <c r="N850" i="10"/>
  <c r="H884" i="2" l="1"/>
  <c r="G884" i="10"/>
  <c r="G884" i="2" l="1"/>
  <c r="I259" i="10" l="1"/>
  <c r="J259" i="2"/>
  <c r="I259" i="2" l="1"/>
  <c r="R2" i="18" l="1"/>
  <c r="R3" i="18" s="1"/>
  <c r="F417" i="10" l="1"/>
  <c r="E506" i="10"/>
  <c r="E417" i="10" l="1"/>
  <c r="E494" i="10" l="1"/>
  <c r="H494" i="10"/>
  <c r="H494" i="2" s="1"/>
  <c r="H61" i="10"/>
  <c r="H61" i="2" s="1"/>
  <c r="F61" i="2"/>
  <c r="N62" i="2" s="1"/>
  <c r="E61" i="10"/>
  <c r="N61" i="10" s="1"/>
  <c r="F398" i="10"/>
  <c r="F398" i="2" s="1"/>
  <c r="N494" i="10" l="1"/>
  <c r="E494" i="2"/>
  <c r="E61" i="2"/>
  <c r="N494" i="2"/>
  <c r="H398" i="10"/>
  <c r="H398" i="2" s="1"/>
  <c r="E398" i="10"/>
  <c r="N398" i="10" l="1"/>
  <c r="E398" i="2"/>
  <c r="N398" i="2"/>
  <c r="F402" i="10" l="1"/>
  <c r="F402" i="2" s="1"/>
  <c r="E835" i="10"/>
  <c r="H835" i="10"/>
  <c r="H835" i="2" s="1"/>
  <c r="N835" i="10" l="1"/>
  <c r="E835" i="2"/>
  <c r="D48" i="18"/>
  <c r="D46" i="18"/>
  <c r="D8" i="18"/>
  <c r="C50" i="18"/>
  <c r="C48" i="18"/>
  <c r="C46" i="18"/>
  <c r="D7" i="18"/>
  <c r="C47" i="18"/>
  <c r="D50" i="18"/>
  <c r="D47" i="18"/>
  <c r="D45" i="18"/>
  <c r="D12" i="18"/>
  <c r="C45" i="18"/>
  <c r="E402" i="10"/>
  <c r="N402" i="2"/>
  <c r="H402" i="10"/>
  <c r="H402" i="2" s="1"/>
  <c r="H836" i="10"/>
  <c r="H836" i="2" s="1"/>
  <c r="E836" i="10"/>
  <c r="F451" i="10"/>
  <c r="F451" i="2" s="1"/>
  <c r="N836" i="2"/>
  <c r="N835" i="2"/>
  <c r="C49" i="18"/>
  <c r="D49" i="18"/>
  <c r="N836" i="10" l="1"/>
  <c r="E836" i="2"/>
  <c r="N402" i="10"/>
  <c r="E402" i="2"/>
  <c r="E46" i="18"/>
  <c r="E48" i="18"/>
  <c r="C74" i="18"/>
  <c r="D56" i="18"/>
  <c r="E47" i="18"/>
  <c r="E50" i="18"/>
  <c r="E49" i="18"/>
  <c r="E45" i="18"/>
  <c r="N451" i="2"/>
  <c r="E451" i="10"/>
  <c r="H451" i="10"/>
  <c r="H451" i="2" s="1"/>
  <c r="N451" i="10" l="1"/>
  <c r="E451" i="2"/>
  <c r="D74" i="18"/>
  <c r="D75" i="18"/>
  <c r="H163" i="10"/>
  <c r="H163" i="2" s="1"/>
  <c r="E163" i="10"/>
  <c r="N163" i="10" l="1"/>
  <c r="E163" i="2"/>
  <c r="C75" i="18"/>
  <c r="F1000" i="10" l="1"/>
  <c r="C1010" i="10" s="1"/>
  <c r="H1000" i="2" l="1"/>
  <c r="H1000" i="10"/>
  <c r="G1000" i="10" s="1"/>
  <c r="E1000" i="2"/>
  <c r="B1010" i="2" s="1"/>
  <c r="E1000" i="10"/>
  <c r="B1010" i="10" s="1"/>
  <c r="F1000" i="2"/>
  <c r="C1010" i="2" s="1"/>
  <c r="G1000" i="2" l="1"/>
  <c r="F1031" i="2" l="1"/>
  <c r="C1045" i="2" s="1"/>
  <c r="F1031" i="10"/>
  <c r="C1045" i="10" s="1"/>
  <c r="E1031" i="10" l="1"/>
  <c r="B1045" i="10" s="1"/>
  <c r="H1031" i="2"/>
  <c r="G1031" i="2" s="1"/>
  <c r="H1031" i="10"/>
  <c r="G1031" i="10" s="1"/>
  <c r="E1031" i="2" l="1"/>
  <c r="B1045" i="2" s="1"/>
  <c r="J28" i="10" l="1"/>
  <c r="I28" i="10" l="1"/>
  <c r="O28" i="10" s="1"/>
  <c r="J28" i="2"/>
  <c r="I28" i="2" l="1"/>
  <c r="O28" i="2" s="1"/>
  <c r="F58" i="10" l="1"/>
  <c r="F68" i="2"/>
  <c r="F493" i="10"/>
  <c r="F493" i="2" s="1"/>
  <c r="E68" i="10"/>
  <c r="J80" i="10" l="1"/>
  <c r="J81" i="10" s="1"/>
  <c r="F305" i="10"/>
  <c r="F58" i="2"/>
  <c r="F70" i="10"/>
  <c r="C80" i="10" s="1"/>
  <c r="E58" i="10"/>
  <c r="H58" i="10"/>
  <c r="E68" i="2"/>
  <c r="N68" i="10"/>
  <c r="H493" i="10"/>
  <c r="H493" i="2" s="1"/>
  <c r="E493" i="10"/>
  <c r="N493" i="10" l="1"/>
  <c r="E493" i="2"/>
  <c r="F305" i="2"/>
  <c r="N305" i="2" s="1"/>
  <c r="E70" i="10"/>
  <c r="B80" i="10" s="1"/>
  <c r="E58" i="2"/>
  <c r="I80" i="10"/>
  <c r="N58" i="10"/>
  <c r="J82" i="10"/>
  <c r="E84" i="10"/>
  <c r="L8" i="10"/>
  <c r="N493" i="2"/>
  <c r="C81" i="10"/>
  <c r="E8" i="10" s="1"/>
  <c r="N58" i="2"/>
  <c r="J80" i="2"/>
  <c r="F70" i="2"/>
  <c r="C80" i="2" s="1"/>
  <c r="H498" i="2"/>
  <c r="H498" i="10"/>
  <c r="H58" i="2"/>
  <c r="H70" i="2" s="1"/>
  <c r="H70" i="10"/>
  <c r="G70" i="10" s="1"/>
  <c r="E305" i="10"/>
  <c r="H305" i="10"/>
  <c r="H305" i="2" s="1"/>
  <c r="N305" i="10" l="1"/>
  <c r="E305" i="2"/>
  <c r="J81" i="2"/>
  <c r="J82" i="2" s="1"/>
  <c r="C82" i="10"/>
  <c r="C81" i="2"/>
  <c r="E8" i="2" s="1"/>
  <c r="G70" i="2"/>
  <c r="I81" i="10"/>
  <c r="K8" i="10" s="1"/>
  <c r="B81" i="10"/>
  <c r="D8" i="10" s="1"/>
  <c r="I80" i="2"/>
  <c r="E70" i="2"/>
  <c r="B80" i="2" s="1"/>
  <c r="B82" i="10" l="1"/>
  <c r="I82" i="10"/>
  <c r="I81" i="2"/>
  <c r="K8" i="2" s="1"/>
  <c r="L8" i="2"/>
  <c r="E84" i="2"/>
  <c r="B81" i="2"/>
  <c r="D8" i="2" s="1"/>
  <c r="O8" i="10"/>
  <c r="C82" i="2"/>
  <c r="B82" i="2" l="1"/>
  <c r="O8" i="2"/>
  <c r="I82" i="2"/>
  <c r="F9" i="19" l="1"/>
  <c r="N988" i="10"/>
  <c r="N154" i="2"/>
  <c r="O898" i="10"/>
  <c r="N147" i="2"/>
  <c r="O898" i="2" l="1"/>
  <c r="N907" i="10" l="1"/>
  <c r="N152" i="2" l="1"/>
  <c r="G762" i="10" l="1"/>
  <c r="G760" i="10"/>
  <c r="G762" i="2" l="1"/>
  <c r="G987" i="10"/>
  <c r="G760" i="2"/>
  <c r="G906" i="10"/>
  <c r="V751" i="10" s="1"/>
  <c r="G601" i="10"/>
  <c r="G601" i="2" s="1"/>
  <c r="G600" i="10"/>
  <c r="G600" i="2" l="1"/>
  <c r="H600" i="10"/>
  <c r="G906" i="2"/>
  <c r="V749" i="10"/>
  <c r="V750" i="10"/>
  <c r="G987" i="2"/>
  <c r="V743" i="10"/>
  <c r="G761" i="10"/>
  <c r="G758" i="10"/>
  <c r="G758" i="2" s="1"/>
  <c r="G798" i="10"/>
  <c r="G798" i="2" s="1"/>
  <c r="G797" i="10"/>
  <c r="G797" i="2" s="1"/>
  <c r="G801" i="10"/>
  <c r="G801" i="2" s="1"/>
  <c r="G802" i="10"/>
  <c r="G802" i="2" s="1"/>
  <c r="G799" i="10"/>
  <c r="G799" i="2" s="1"/>
  <c r="G806" i="10"/>
  <c r="G806" i="2" s="1"/>
  <c r="G811" i="10"/>
  <c r="G811" i="2" s="1"/>
  <c r="G810" i="10"/>
  <c r="G810" i="2" s="1"/>
  <c r="H600" i="2" l="1"/>
  <c r="G761" i="2"/>
  <c r="G986" i="10"/>
  <c r="V752" i="10" s="1"/>
  <c r="G805" i="10"/>
  <c r="G805" i="2" s="1"/>
  <c r="G808" i="10"/>
  <c r="G808" i="2" s="1"/>
  <c r="G809" i="10"/>
  <c r="G809" i="2" s="1"/>
  <c r="G807" i="10"/>
  <c r="G807" i="2" s="1"/>
  <c r="G800" i="10"/>
  <c r="G800" i="2" s="1"/>
  <c r="G795" i="10"/>
  <c r="G795" i="2" s="1"/>
  <c r="G796" i="10"/>
  <c r="G796" i="2" s="1"/>
  <c r="F716" i="10"/>
  <c r="F101" i="10"/>
  <c r="F104" i="10"/>
  <c r="F103" i="10"/>
  <c r="F106" i="10"/>
  <c r="F105" i="10"/>
  <c r="F102" i="10"/>
  <c r="F107" i="10"/>
  <c r="F99" i="10"/>
  <c r="V746" i="10" l="1"/>
  <c r="V744" i="10"/>
  <c r="V747" i="10"/>
  <c r="V748" i="10"/>
  <c r="G986" i="2"/>
  <c r="G814" i="10"/>
  <c r="G813" i="10"/>
  <c r="G812" i="10"/>
  <c r="G815" i="10"/>
  <c r="F106" i="2"/>
  <c r="K9" i="18"/>
  <c r="E106" i="10"/>
  <c r="F716" i="2"/>
  <c r="E716" i="10"/>
  <c r="H716" i="10"/>
  <c r="H716" i="2" s="1"/>
  <c r="E99" i="10"/>
  <c r="F99" i="2"/>
  <c r="K28" i="18"/>
  <c r="F177" i="10"/>
  <c r="H99" i="10"/>
  <c r="F103" i="2"/>
  <c r="K6" i="18"/>
  <c r="E103" i="10"/>
  <c r="F102" i="2"/>
  <c r="K5" i="18"/>
  <c r="E102" i="10"/>
  <c r="F107" i="2"/>
  <c r="E107" i="10"/>
  <c r="K10" i="18"/>
  <c r="F104" i="2"/>
  <c r="E104" i="10"/>
  <c r="K7" i="18"/>
  <c r="F105" i="2"/>
  <c r="E105" i="10"/>
  <c r="K8" i="18"/>
  <c r="F101" i="2"/>
  <c r="E101" i="10"/>
  <c r="K4" i="18"/>
  <c r="G105" i="10"/>
  <c r="G105" i="2" s="1"/>
  <c r="G101" i="10"/>
  <c r="G106" i="10"/>
  <c r="G106" i="2" s="1"/>
  <c r="G107" i="10"/>
  <c r="G107" i="2" s="1"/>
  <c r="G103" i="10"/>
  <c r="G102" i="10"/>
  <c r="G104" i="10"/>
  <c r="G103" i="2" l="1"/>
  <c r="G104" i="2"/>
  <c r="G102" i="2"/>
  <c r="G101" i="2"/>
  <c r="K35" i="18"/>
  <c r="H101" i="10"/>
  <c r="H101" i="2" s="1"/>
  <c r="H103" i="10"/>
  <c r="H103" i="2" s="1"/>
  <c r="H106" i="10"/>
  <c r="H106" i="2" s="1"/>
  <c r="G812" i="2"/>
  <c r="H812" i="10"/>
  <c r="H812" i="2" s="1"/>
  <c r="H104" i="10"/>
  <c r="H104" i="2" s="1"/>
  <c r="H107" i="10"/>
  <c r="H107" i="2" s="1"/>
  <c r="H102" i="10"/>
  <c r="H102" i="2" s="1"/>
  <c r="G813" i="2"/>
  <c r="H813" i="10"/>
  <c r="H813" i="2" s="1"/>
  <c r="H105" i="10"/>
  <c r="H105" i="2" s="1"/>
  <c r="G814" i="2"/>
  <c r="H814" i="10"/>
  <c r="H814" i="2" s="1"/>
  <c r="G815" i="2"/>
  <c r="H815" i="10"/>
  <c r="H815" i="2" s="1"/>
  <c r="H99" i="2"/>
  <c r="N99" i="10"/>
  <c r="E99" i="2"/>
  <c r="E177" i="10"/>
  <c r="N106" i="10"/>
  <c r="E106" i="2"/>
  <c r="N102" i="10"/>
  <c r="E102" i="2"/>
  <c r="N716" i="10"/>
  <c r="E716" i="2"/>
  <c r="K11" i="18"/>
  <c r="N105" i="10"/>
  <c r="E105" i="2"/>
  <c r="N101" i="10"/>
  <c r="E101" i="2"/>
  <c r="N104" i="10"/>
  <c r="E104" i="2"/>
  <c r="N107" i="10"/>
  <c r="E107" i="2"/>
  <c r="N103" i="10"/>
  <c r="E103" i="2"/>
  <c r="F177" i="2"/>
  <c r="K12" i="18" l="1"/>
  <c r="E177" i="2"/>
  <c r="G602" i="10" l="1"/>
  <c r="G602" i="2" s="1"/>
  <c r="G648" i="10"/>
  <c r="G648" i="2" s="1"/>
  <c r="G649" i="10" l="1"/>
  <c r="G649" i="2" s="1"/>
  <c r="F846" i="10" l="1"/>
  <c r="F847" i="10"/>
  <c r="F846" i="2" l="1"/>
  <c r="H846" i="10"/>
  <c r="E846" i="10"/>
  <c r="H847" i="10"/>
  <c r="H847" i="2" s="1"/>
  <c r="F847" i="2"/>
  <c r="E847" i="10"/>
  <c r="E846" i="2" l="1"/>
  <c r="N846" i="10"/>
  <c r="E847" i="2"/>
  <c r="N847" i="10"/>
  <c r="H846" i="2"/>
  <c r="F757" i="10"/>
  <c r="F758" i="10"/>
  <c r="F802" i="10"/>
  <c r="F801" i="10"/>
  <c r="F800" i="10"/>
  <c r="F799" i="10"/>
  <c r="F797" i="10"/>
  <c r="F798" i="10"/>
  <c r="F796" i="10"/>
  <c r="F811" i="10"/>
  <c r="F805" i="10"/>
  <c r="F807" i="10"/>
  <c r="F809" i="10"/>
  <c r="F806" i="10"/>
  <c r="F808" i="10"/>
  <c r="F810" i="10"/>
  <c r="F717" i="10"/>
  <c r="F795" i="10"/>
  <c r="F808" i="2" l="1"/>
  <c r="N808" i="2" s="1"/>
  <c r="H808" i="10"/>
  <c r="H808" i="2" s="1"/>
  <c r="E808" i="10"/>
  <c r="F802" i="2"/>
  <c r="N802" i="2" s="1"/>
  <c r="H802" i="10"/>
  <c r="H802" i="2" s="1"/>
  <c r="E802" i="10"/>
  <c r="F758" i="2"/>
  <c r="E758" i="10"/>
  <c r="H758" i="10"/>
  <c r="H758" i="2" s="1"/>
  <c r="F795" i="2"/>
  <c r="H795" i="10"/>
  <c r="E795" i="10"/>
  <c r="F819" i="10"/>
  <c r="C881" i="10" s="1"/>
  <c r="J881" i="10"/>
  <c r="F806" i="2"/>
  <c r="N806" i="2" s="1"/>
  <c r="H806" i="10"/>
  <c r="H806" i="2" s="1"/>
  <c r="E806" i="10"/>
  <c r="F811" i="2"/>
  <c r="N811" i="2" s="1"/>
  <c r="E811" i="10"/>
  <c r="H811" i="10"/>
  <c r="H811" i="2" s="1"/>
  <c r="F799" i="2"/>
  <c r="N799" i="2" s="1"/>
  <c r="H799" i="10"/>
  <c r="H799" i="2" s="1"/>
  <c r="E799" i="10"/>
  <c r="F797" i="2"/>
  <c r="N797" i="2" s="1"/>
  <c r="E797" i="10"/>
  <c r="H797" i="10"/>
  <c r="H797" i="2" s="1"/>
  <c r="F757" i="2"/>
  <c r="F686" i="10"/>
  <c r="H757" i="10"/>
  <c r="F783" i="10"/>
  <c r="E757" i="10"/>
  <c r="F717" i="2"/>
  <c r="F738" i="10"/>
  <c r="H717" i="10"/>
  <c r="E717" i="10"/>
  <c r="J780" i="10"/>
  <c r="F800" i="2"/>
  <c r="N800" i="2" s="1"/>
  <c r="E800" i="10"/>
  <c r="H800" i="10"/>
  <c r="H800" i="2" s="1"/>
  <c r="F805" i="2"/>
  <c r="N805" i="2" s="1"/>
  <c r="H805" i="10"/>
  <c r="H805" i="2" s="1"/>
  <c r="E805" i="10"/>
  <c r="F809" i="2"/>
  <c r="N809" i="2" s="1"/>
  <c r="E809" i="10"/>
  <c r="H809" i="10"/>
  <c r="H809" i="2" s="1"/>
  <c r="F796" i="2"/>
  <c r="H796" i="10"/>
  <c r="H796" i="2" s="1"/>
  <c r="E796" i="10"/>
  <c r="H881" i="10"/>
  <c r="F810" i="2"/>
  <c r="N810" i="2" s="1"/>
  <c r="E810" i="10"/>
  <c r="H810" i="10"/>
  <c r="H810" i="2" s="1"/>
  <c r="F807" i="2"/>
  <c r="N807" i="2" s="1"/>
  <c r="H807" i="10"/>
  <c r="H807" i="2" s="1"/>
  <c r="E807" i="10"/>
  <c r="F798" i="2"/>
  <c r="N798" i="2" s="1"/>
  <c r="H798" i="10"/>
  <c r="H798" i="2" s="1"/>
  <c r="E798" i="10"/>
  <c r="F801" i="2"/>
  <c r="N801" i="2" s="1"/>
  <c r="H801" i="10"/>
  <c r="H801" i="2" s="1"/>
  <c r="E801" i="10"/>
  <c r="E801" i="2" l="1"/>
  <c r="N801" i="10"/>
  <c r="H885" i="10"/>
  <c r="H886" i="10" s="1"/>
  <c r="N800" i="10"/>
  <c r="E800" i="2"/>
  <c r="H717" i="2"/>
  <c r="H738" i="2" s="1"/>
  <c r="H738" i="10"/>
  <c r="G738" i="10" s="1"/>
  <c r="F686" i="2"/>
  <c r="H686" i="10"/>
  <c r="E686" i="10"/>
  <c r="N806" i="10"/>
  <c r="E806" i="2"/>
  <c r="E808" i="2"/>
  <c r="N808" i="10"/>
  <c r="E798" i="2"/>
  <c r="N798" i="10"/>
  <c r="N796" i="2"/>
  <c r="H881" i="2"/>
  <c r="N805" i="10"/>
  <c r="E805" i="2"/>
  <c r="N717" i="10"/>
  <c r="I780" i="10"/>
  <c r="E717" i="2"/>
  <c r="E738" i="10"/>
  <c r="B780" i="10" s="1"/>
  <c r="H757" i="2"/>
  <c r="E797" i="2"/>
  <c r="N797" i="10"/>
  <c r="N795" i="2"/>
  <c r="F819" i="2"/>
  <c r="C881" i="2" s="1"/>
  <c r="J881" i="2"/>
  <c r="E758" i="2"/>
  <c r="N758" i="10"/>
  <c r="E796" i="2"/>
  <c r="G881" i="2" s="1"/>
  <c r="N796" i="10"/>
  <c r="G881" i="10"/>
  <c r="N809" i="10"/>
  <c r="E809" i="2"/>
  <c r="C780" i="10"/>
  <c r="N757" i="10"/>
  <c r="E757" i="2"/>
  <c r="E783" i="10"/>
  <c r="F783" i="2"/>
  <c r="N795" i="10"/>
  <c r="E795" i="2"/>
  <c r="I881" i="10"/>
  <c r="E819" i="10"/>
  <c r="B881" i="10" s="1"/>
  <c r="N802" i="10"/>
  <c r="E802" i="2"/>
  <c r="E807" i="2"/>
  <c r="N807" i="10"/>
  <c r="N810" i="10"/>
  <c r="E810" i="2"/>
  <c r="J780" i="2"/>
  <c r="F738" i="2"/>
  <c r="C780" i="2" s="1"/>
  <c r="F784" i="10"/>
  <c r="E799" i="2"/>
  <c r="N799" i="10"/>
  <c r="N811" i="10"/>
  <c r="E811" i="2"/>
  <c r="H795" i="2"/>
  <c r="H819" i="2" s="1"/>
  <c r="H819" i="10"/>
  <c r="G819" i="10" s="1"/>
  <c r="H885" i="2" l="1"/>
  <c r="H886" i="2" s="1"/>
  <c r="I881" i="2"/>
  <c r="E819" i="2"/>
  <c r="B881" i="2" s="1"/>
  <c r="H686" i="2"/>
  <c r="H22" i="10"/>
  <c r="F784" i="2"/>
  <c r="F785" i="2" s="1"/>
  <c r="G885" i="10"/>
  <c r="I23" i="10" s="1"/>
  <c r="G819" i="2"/>
  <c r="E784" i="10"/>
  <c r="G22" i="10" s="1"/>
  <c r="N686" i="10"/>
  <c r="E686" i="2"/>
  <c r="F785" i="10"/>
  <c r="E783" i="2"/>
  <c r="G885" i="2"/>
  <c r="I23" i="2" s="1"/>
  <c r="I780" i="2"/>
  <c r="E738" i="2"/>
  <c r="B780" i="2" s="1"/>
  <c r="G738" i="2"/>
  <c r="J23" i="10"/>
  <c r="G886" i="2" l="1"/>
  <c r="E785" i="10"/>
  <c r="J23" i="2"/>
  <c r="H22" i="2"/>
  <c r="E784" i="2"/>
  <c r="G22" i="2" s="1"/>
  <c r="G886" i="10"/>
  <c r="E785" i="2" l="1"/>
  <c r="F590" i="2" l="1"/>
  <c r="H621" i="10"/>
  <c r="E590" i="10"/>
  <c r="F592" i="10"/>
  <c r="C621" i="10" s="1"/>
  <c r="E590" i="2" l="1"/>
  <c r="G621" i="10"/>
  <c r="E592" i="10"/>
  <c r="B621" i="10" s="1"/>
  <c r="H621" i="2"/>
  <c r="F592" i="2"/>
  <c r="C621" i="2" s="1"/>
  <c r="G621" i="2" l="1"/>
  <c r="E592" i="2"/>
  <c r="B621" i="2" s="1"/>
  <c r="O590" i="10" l="1"/>
  <c r="P590" i="10" s="1"/>
  <c r="N591" i="10" l="1"/>
  <c r="O589" i="10"/>
  <c r="O591" i="10" s="1"/>
  <c r="F597" i="10" s="1"/>
  <c r="P589" i="10" l="1"/>
  <c r="F597" i="2"/>
  <c r="F606" i="10"/>
  <c r="C620" i="10" s="1"/>
  <c r="H620" i="10"/>
  <c r="H624" i="10" s="1"/>
  <c r="E597" i="10"/>
  <c r="H597" i="10"/>
  <c r="P591" i="10"/>
  <c r="P592" i="10" s="1"/>
  <c r="Q592" i="10" s="1"/>
  <c r="C624" i="10" l="1"/>
  <c r="E19" i="10" s="1"/>
  <c r="H597" i="2"/>
  <c r="H606" i="2" s="1"/>
  <c r="H606" i="10"/>
  <c r="G606" i="10" s="1"/>
  <c r="H620" i="2"/>
  <c r="H624" i="2" s="1"/>
  <c r="F606" i="2"/>
  <c r="C620" i="2" s="1"/>
  <c r="N597" i="10"/>
  <c r="E597" i="2"/>
  <c r="G620" i="10"/>
  <c r="E606" i="10"/>
  <c r="B620" i="10" s="1"/>
  <c r="H625" i="10"/>
  <c r="E627" i="10"/>
  <c r="J19" i="10"/>
  <c r="G606" i="2" l="1"/>
  <c r="B624" i="10"/>
  <c r="D19" i="10" s="1"/>
  <c r="C624" i="2"/>
  <c r="E19" i="2" s="1"/>
  <c r="C625" i="10"/>
  <c r="G624" i="10"/>
  <c r="I19" i="10" s="1"/>
  <c r="H625" i="2"/>
  <c r="J19" i="2"/>
  <c r="E627" i="2"/>
  <c r="G620" i="2"/>
  <c r="E606" i="2"/>
  <c r="B620" i="2" s="1"/>
  <c r="G624" i="2" l="1"/>
  <c r="I19" i="2" s="1"/>
  <c r="G625" i="10"/>
  <c r="O19" i="10"/>
  <c r="B625" i="10"/>
  <c r="B624" i="2"/>
  <c r="D19" i="2" s="1"/>
  <c r="C625" i="2"/>
  <c r="G625" i="2" l="1"/>
  <c r="B625" i="2"/>
  <c r="O19" i="2"/>
  <c r="F973" i="2" l="1"/>
  <c r="F973" i="10"/>
  <c r="E973" i="10" l="1"/>
  <c r="E973" i="2" s="1"/>
  <c r="F1021" i="10" l="1"/>
  <c r="F1021" i="2" l="1"/>
  <c r="F1023" i="2" s="1"/>
  <c r="C1046" i="2" s="1"/>
  <c r="E13" i="19"/>
  <c r="H13" i="19" s="1"/>
  <c r="F1023" i="10"/>
  <c r="C1046" i="10" s="1"/>
  <c r="E1021" i="10"/>
  <c r="E1021" i="2" l="1"/>
  <c r="E1023" i="2" s="1"/>
  <c r="B1046" i="2" s="1"/>
  <c r="E1023" i="10"/>
  <c r="B1046" i="10" s="1"/>
  <c r="C1049" i="10"/>
  <c r="E27" i="10" s="1"/>
  <c r="C1049" i="2"/>
  <c r="E27" i="2" s="1"/>
  <c r="C1050" i="10" l="1"/>
  <c r="C1050" i="2"/>
  <c r="B1049" i="10"/>
  <c r="D27" i="10" s="1"/>
  <c r="B1049" i="2"/>
  <c r="D27" i="2" s="1"/>
  <c r="B1050" i="10" l="1"/>
  <c r="B1050" i="2"/>
  <c r="F348" i="10" l="1"/>
  <c r="F348" i="2" l="1"/>
  <c r="C44" i="18"/>
  <c r="T825" i="10"/>
  <c r="E348" i="10"/>
  <c r="E348" i="2" s="1"/>
  <c r="U825" i="10" l="1"/>
  <c r="W825" i="10"/>
  <c r="E44" i="18"/>
  <c r="F347" i="10" l="1"/>
  <c r="F383" i="10"/>
  <c r="F273" i="10"/>
  <c r="F384" i="10"/>
  <c r="C7" i="18" l="1"/>
  <c r="F384" i="2"/>
  <c r="E384" i="10"/>
  <c r="E384" i="2" s="1"/>
  <c r="F273" i="2"/>
  <c r="C25" i="18"/>
  <c r="E273" i="10"/>
  <c r="E273" i="2" s="1"/>
  <c r="F834" i="10"/>
  <c r="F347" i="2"/>
  <c r="E347" i="10"/>
  <c r="T824" i="10"/>
  <c r="J369" i="10"/>
  <c r="F350" i="10"/>
  <c r="C369" i="10" s="1"/>
  <c r="C43" i="18"/>
  <c r="F156" i="10"/>
  <c r="C26" i="18"/>
  <c r="E383" i="10"/>
  <c r="F383" i="2"/>
  <c r="F274" i="10"/>
  <c r="F238" i="10"/>
  <c r="F520" i="10"/>
  <c r="F521" i="10"/>
  <c r="F522" i="10"/>
  <c r="F287" i="10"/>
  <c r="F484" i="10"/>
  <c r="F284" i="10"/>
  <c r="F271" i="10"/>
  <c r="F272" i="10"/>
  <c r="F287" i="2" l="1"/>
  <c r="C35" i="18"/>
  <c r="E287" i="10"/>
  <c r="E287" i="2" s="1"/>
  <c r="O5" i="18"/>
  <c r="F356" i="10"/>
  <c r="E834" i="10"/>
  <c r="H834" i="10"/>
  <c r="F834" i="2"/>
  <c r="F156" i="2"/>
  <c r="N156" i="2" s="1"/>
  <c r="H156" i="10"/>
  <c r="H156" i="2" s="1"/>
  <c r="F404" i="10"/>
  <c r="E156" i="10"/>
  <c r="U824" i="10"/>
  <c r="W824" i="10"/>
  <c r="F272" i="2"/>
  <c r="C15" i="18"/>
  <c r="E272" i="10"/>
  <c r="E272" i="2" s="1"/>
  <c r="F484" i="2"/>
  <c r="F486" i="2" s="1"/>
  <c r="C506" i="2" s="1"/>
  <c r="C31" i="18"/>
  <c r="F322" i="10"/>
  <c r="F486" i="10"/>
  <c r="C506" i="10" s="1"/>
  <c r="E484" i="10"/>
  <c r="T828" i="10"/>
  <c r="F522" i="2"/>
  <c r="F842" i="10"/>
  <c r="E522" i="10"/>
  <c r="E522" i="2" s="1"/>
  <c r="E238" i="10"/>
  <c r="F238" i="2"/>
  <c r="F240" i="10"/>
  <c r="J257" i="10"/>
  <c r="F506" i="2"/>
  <c r="I828" i="2"/>
  <c r="F417" i="2"/>
  <c r="C56" i="18"/>
  <c r="E43" i="18"/>
  <c r="E347" i="2"/>
  <c r="I369" i="10"/>
  <c r="E350" i="10"/>
  <c r="B369" i="10" s="1"/>
  <c r="E25" i="18"/>
  <c r="T824" i="2"/>
  <c r="V824" i="2" s="1"/>
  <c r="F284" i="2"/>
  <c r="E284" i="10"/>
  <c r="E284" i="2" s="1"/>
  <c r="C24" i="18"/>
  <c r="F840" i="10"/>
  <c r="J542" i="10"/>
  <c r="F524" i="10"/>
  <c r="C542" i="10" s="1"/>
  <c r="T826" i="10"/>
  <c r="E520" i="10"/>
  <c r="F520" i="2"/>
  <c r="E26" i="18"/>
  <c r="F271" i="2"/>
  <c r="E271" i="10"/>
  <c r="C6" i="18"/>
  <c r="E521" i="10"/>
  <c r="E521" i="2" s="1"/>
  <c r="F521" i="2"/>
  <c r="F841" i="10"/>
  <c r="T827" i="10"/>
  <c r="F274" i="2"/>
  <c r="E274" i="10"/>
  <c r="E274" i="2" s="1"/>
  <c r="C27" i="18"/>
  <c r="E383" i="2"/>
  <c r="J542" i="2"/>
  <c r="F350" i="2"/>
  <c r="C369" i="2" s="1"/>
  <c r="J369" i="2"/>
  <c r="E7" i="18"/>
  <c r="F675" i="10"/>
  <c r="F437" i="10"/>
  <c r="F434" i="10"/>
  <c r="E350" i="2" l="1"/>
  <c r="B369" i="2" s="1"/>
  <c r="I542" i="2"/>
  <c r="I369" i="2"/>
  <c r="W826" i="10"/>
  <c r="U826" i="10"/>
  <c r="E24" i="18"/>
  <c r="E56" i="18"/>
  <c r="B65" i="18" s="1"/>
  <c r="D77" i="18"/>
  <c r="D79" i="18" s="1"/>
  <c r="E486" i="10"/>
  <c r="B506" i="10" s="1"/>
  <c r="E484" i="2"/>
  <c r="E486" i="2" s="1"/>
  <c r="B506" i="2" s="1"/>
  <c r="E156" i="2"/>
  <c r="N156" i="10"/>
  <c r="N834" i="10"/>
  <c r="E834" i="2"/>
  <c r="C19" i="18"/>
  <c r="F434" i="2"/>
  <c r="E434" i="10"/>
  <c r="E434" i="2" s="1"/>
  <c r="I257" i="10"/>
  <c r="E238" i="2"/>
  <c r="E240" i="10"/>
  <c r="B257" i="10" s="1"/>
  <c r="U828" i="10"/>
  <c r="W828" i="10"/>
  <c r="B74" i="18"/>
  <c r="E74" i="18" s="1"/>
  <c r="E31" i="18"/>
  <c r="H834" i="2"/>
  <c r="C22" i="18"/>
  <c r="E437" i="10"/>
  <c r="E437" i="2" s="1"/>
  <c r="F437" i="2"/>
  <c r="E506" i="2"/>
  <c r="E417" i="2"/>
  <c r="U827" i="10"/>
  <c r="W827" i="10"/>
  <c r="E6" i="18"/>
  <c r="B75" i="18"/>
  <c r="E75" i="18" s="1"/>
  <c r="F162" i="10"/>
  <c r="C257" i="10"/>
  <c r="F532" i="10"/>
  <c r="F842" i="2"/>
  <c r="H842" i="10"/>
  <c r="H842" i="2" s="1"/>
  <c r="E842" i="10"/>
  <c r="F404" i="2"/>
  <c r="F416" i="10"/>
  <c r="I828" i="10"/>
  <c r="F505" i="10"/>
  <c r="F509" i="10" s="1"/>
  <c r="F510" i="10" s="1"/>
  <c r="H404" i="10"/>
  <c r="H404" i="2" s="1"/>
  <c r="E404" i="10"/>
  <c r="F361" i="10"/>
  <c r="C368" i="10" s="1"/>
  <c r="J368" i="10"/>
  <c r="J372" i="10" s="1"/>
  <c r="H356" i="10"/>
  <c r="F356" i="2"/>
  <c r="E356" i="10"/>
  <c r="E520" i="2"/>
  <c r="E524" i="2" s="1"/>
  <c r="B542" i="2" s="1"/>
  <c r="E524" i="10"/>
  <c r="B542" i="10" s="1"/>
  <c r="I542" i="10"/>
  <c r="F530" i="10"/>
  <c r="F840" i="2"/>
  <c r="H840" i="10"/>
  <c r="H840" i="2" s="1"/>
  <c r="E840" i="10"/>
  <c r="E675" i="10"/>
  <c r="F698" i="10"/>
  <c r="F675" i="2"/>
  <c r="F677" i="10"/>
  <c r="E27" i="18"/>
  <c r="E841" i="10"/>
  <c r="H841" i="10"/>
  <c r="H841" i="2" s="1"/>
  <c r="F531" i="10"/>
  <c r="F841" i="2"/>
  <c r="E271" i="2"/>
  <c r="F524" i="2"/>
  <c r="C542" i="2" s="1"/>
  <c r="J257" i="2"/>
  <c r="F240" i="2"/>
  <c r="C257" i="2" s="1"/>
  <c r="E322" i="10"/>
  <c r="F496" i="10"/>
  <c r="H322" i="10"/>
  <c r="H322" i="2" s="1"/>
  <c r="F322" i="2"/>
  <c r="F324" i="2" s="1"/>
  <c r="C335" i="2" s="1"/>
  <c r="F324" i="10"/>
  <c r="C335" i="10" s="1"/>
  <c r="E15" i="18"/>
  <c r="N834" i="2"/>
  <c r="F279" i="10"/>
  <c r="C698" i="10" l="1"/>
  <c r="F161" i="10"/>
  <c r="E240" i="2"/>
  <c r="B257" i="2" s="1"/>
  <c r="I257" i="2"/>
  <c r="N841" i="10"/>
  <c r="E841" i="2"/>
  <c r="F677" i="2"/>
  <c r="C698" i="2" s="1"/>
  <c r="F698" i="2"/>
  <c r="J373" i="10"/>
  <c r="L13" i="10"/>
  <c r="E375" i="10"/>
  <c r="N842" i="10"/>
  <c r="E842" i="2"/>
  <c r="N840" i="10"/>
  <c r="E840" i="2"/>
  <c r="H356" i="2"/>
  <c r="H361" i="2" s="1"/>
  <c r="H361" i="10"/>
  <c r="G361" i="10" s="1"/>
  <c r="F505" i="2"/>
  <c r="F509" i="2" s="1"/>
  <c r="F510" i="2" s="1"/>
  <c r="F416" i="2"/>
  <c r="F532" i="2"/>
  <c r="E532" i="10"/>
  <c r="H532" i="10"/>
  <c r="H532" i="2" s="1"/>
  <c r="E279" i="10"/>
  <c r="E279" i="2" s="1"/>
  <c r="C9" i="18"/>
  <c r="F279" i="2"/>
  <c r="F498" i="10"/>
  <c r="F496" i="2"/>
  <c r="F498" i="2" s="1"/>
  <c r="I368" i="10"/>
  <c r="N356" i="10"/>
  <c r="E361" i="10"/>
  <c r="B368" i="10" s="1"/>
  <c r="E356" i="2"/>
  <c r="C372" i="10"/>
  <c r="E13" i="10" s="1"/>
  <c r="F246" i="10"/>
  <c r="H162" i="10"/>
  <c r="H162" i="2" s="1"/>
  <c r="E162" i="10"/>
  <c r="F162" i="2"/>
  <c r="E322" i="2"/>
  <c r="E496" i="10"/>
  <c r="E324" i="10"/>
  <c r="N322" i="10"/>
  <c r="B335" i="10"/>
  <c r="E531" i="10"/>
  <c r="F531" i="2"/>
  <c r="H531" i="10"/>
  <c r="H531" i="2" s="1"/>
  <c r="E677" i="10"/>
  <c r="B698" i="10" s="1"/>
  <c r="E698" i="10"/>
  <c r="E675" i="2"/>
  <c r="J541" i="10"/>
  <c r="J545" i="10" s="1"/>
  <c r="F534" i="10"/>
  <c r="C541" i="10" s="1"/>
  <c r="F530" i="2"/>
  <c r="E530" i="10"/>
  <c r="H530" i="10"/>
  <c r="J541" i="2"/>
  <c r="J545" i="2" s="1"/>
  <c r="N356" i="2"/>
  <c r="J368" i="2"/>
  <c r="F361" i="2"/>
  <c r="C368" i="2" s="1"/>
  <c r="E416" i="10"/>
  <c r="N404" i="10"/>
  <c r="E404" i="2"/>
  <c r="E505" i="10"/>
  <c r="E509" i="10" s="1"/>
  <c r="E510" i="10" s="1"/>
  <c r="F420" i="10"/>
  <c r="F421" i="10" s="1"/>
  <c r="C373" i="10" l="1"/>
  <c r="G361" i="2"/>
  <c r="E162" i="2"/>
  <c r="N162" i="10"/>
  <c r="I372" i="10"/>
  <c r="K13" i="10" s="1"/>
  <c r="F420" i="2"/>
  <c r="F421" i="2" s="1"/>
  <c r="E505" i="2"/>
  <c r="E509" i="2" s="1"/>
  <c r="E510" i="2" s="1"/>
  <c r="E416" i="2"/>
  <c r="E530" i="2"/>
  <c r="I541" i="10"/>
  <c r="N530" i="10"/>
  <c r="E534" i="10"/>
  <c r="B541" i="10" s="1"/>
  <c r="E677" i="2"/>
  <c r="B698" i="2" s="1"/>
  <c r="E698" i="2"/>
  <c r="B335" i="2"/>
  <c r="E324" i="2"/>
  <c r="H14" i="10"/>
  <c r="J546" i="2"/>
  <c r="L17" i="2"/>
  <c r="E548" i="2"/>
  <c r="E361" i="2"/>
  <c r="B368" i="2" s="1"/>
  <c r="I368" i="2"/>
  <c r="I541" i="2"/>
  <c r="C505" i="2"/>
  <c r="G498" i="2"/>
  <c r="F161" i="2"/>
  <c r="H161" i="10"/>
  <c r="H161" i="2" s="1"/>
  <c r="O18" i="18"/>
  <c r="E161" i="10"/>
  <c r="F687" i="10"/>
  <c r="J372" i="2"/>
  <c r="J373" i="2" s="1"/>
  <c r="F534" i="2"/>
  <c r="C541" i="2" s="1"/>
  <c r="N530" i="2"/>
  <c r="E420" i="10"/>
  <c r="G14" i="10" s="1"/>
  <c r="C545" i="10"/>
  <c r="E17" i="10" s="1"/>
  <c r="C372" i="2"/>
  <c r="E13" i="2" s="1"/>
  <c r="H530" i="2"/>
  <c r="H534" i="2" s="1"/>
  <c r="H534" i="10"/>
  <c r="G534" i="10" s="1"/>
  <c r="J546" i="10"/>
  <c r="E548" i="10"/>
  <c r="L17" i="10"/>
  <c r="E531" i="2"/>
  <c r="N531" i="10"/>
  <c r="N496" i="10"/>
  <c r="E496" i="2"/>
  <c r="E498" i="2" s="1"/>
  <c r="B505" i="2" s="1"/>
  <c r="E498" i="10"/>
  <c r="B505" i="10" s="1"/>
  <c r="J256" i="10"/>
  <c r="J260" i="10" s="1"/>
  <c r="F246" i="2"/>
  <c r="H246" i="10"/>
  <c r="F248" i="10"/>
  <c r="C256" i="10" s="1"/>
  <c r="E246" i="10"/>
  <c r="B372" i="10"/>
  <c r="D13" i="10" s="1"/>
  <c r="C505" i="10"/>
  <c r="G498" i="10"/>
  <c r="E532" i="2"/>
  <c r="N532" i="10"/>
  <c r="B373" i="10" l="1"/>
  <c r="C546" i="10"/>
  <c r="G534" i="2"/>
  <c r="I373" i="10"/>
  <c r="I545" i="2"/>
  <c r="K17" i="2" s="1"/>
  <c r="C509" i="10"/>
  <c r="E16" i="10" s="1"/>
  <c r="O23" i="18"/>
  <c r="B78" i="18" s="1"/>
  <c r="E78" i="18" s="1"/>
  <c r="J261" i="10"/>
  <c r="E263" i="10"/>
  <c r="L11" i="10"/>
  <c r="N161" i="10"/>
  <c r="E161" i="2"/>
  <c r="B545" i="10"/>
  <c r="D17" i="10" s="1"/>
  <c r="B509" i="10"/>
  <c r="D16" i="10" s="1"/>
  <c r="I545" i="10"/>
  <c r="K17" i="10" s="1"/>
  <c r="I256" i="10"/>
  <c r="E248" i="10"/>
  <c r="B256" i="10" s="1"/>
  <c r="E246" i="2"/>
  <c r="N246" i="10"/>
  <c r="E420" i="2"/>
  <c r="G14" i="2" s="1"/>
  <c r="C260" i="10"/>
  <c r="E11" i="10" s="1"/>
  <c r="I372" i="2"/>
  <c r="K13" i="2" s="1"/>
  <c r="H248" i="10"/>
  <c r="G248" i="10" s="1"/>
  <c r="H246" i="2"/>
  <c r="H248" i="2" s="1"/>
  <c r="B509" i="2"/>
  <c r="D16" i="2" s="1"/>
  <c r="C545" i="2"/>
  <c r="E17" i="2" s="1"/>
  <c r="E375" i="2"/>
  <c r="L13" i="2"/>
  <c r="B372" i="2"/>
  <c r="D13" i="2" s="1"/>
  <c r="J256" i="2"/>
  <c r="F248" i="2"/>
  <c r="C256" i="2" s="1"/>
  <c r="C373" i="2"/>
  <c r="E421" i="10"/>
  <c r="F697" i="10"/>
  <c r="H687" i="10"/>
  <c r="F687" i="2"/>
  <c r="F690" i="10"/>
  <c r="C697" i="10" s="1"/>
  <c r="E687" i="10"/>
  <c r="C509" i="2"/>
  <c r="E16" i="2" s="1"/>
  <c r="E534" i="2"/>
  <c r="B541" i="2" s="1"/>
  <c r="H14" i="2"/>
  <c r="C510" i="10" l="1"/>
  <c r="I546" i="2"/>
  <c r="C510" i="2"/>
  <c r="F697" i="2"/>
  <c r="F701" i="2" s="1"/>
  <c r="F690" i="2"/>
  <c r="C697" i="2" s="1"/>
  <c r="E248" i="2"/>
  <c r="B256" i="2" s="1"/>
  <c r="I256" i="2"/>
  <c r="H687" i="2"/>
  <c r="H690" i="2" s="1"/>
  <c r="G690" i="2" s="1"/>
  <c r="H690" i="10"/>
  <c r="G690" i="10" s="1"/>
  <c r="C260" i="2"/>
  <c r="E11" i="2" s="1"/>
  <c r="B510" i="2"/>
  <c r="I373" i="2"/>
  <c r="E421" i="2"/>
  <c r="B260" i="10"/>
  <c r="D11" i="10" s="1"/>
  <c r="B510" i="10"/>
  <c r="F701" i="10"/>
  <c r="F702" i="10" s="1"/>
  <c r="J260" i="2"/>
  <c r="J261" i="2" s="1"/>
  <c r="I260" i="10"/>
  <c r="K11" i="10" s="1"/>
  <c r="O11" i="10" s="1"/>
  <c r="E687" i="2"/>
  <c r="N687" i="10"/>
  <c r="E690" i="10"/>
  <c r="B697" i="10" s="1"/>
  <c r="E697" i="10"/>
  <c r="B545" i="2"/>
  <c r="D17" i="2" s="1"/>
  <c r="C701" i="10"/>
  <c r="E21" i="10" s="1"/>
  <c r="B373" i="2"/>
  <c r="C546" i="2"/>
  <c r="G248" i="2"/>
  <c r="C261" i="10"/>
  <c r="I546" i="10"/>
  <c r="B546" i="10"/>
  <c r="C261" i="2" l="1"/>
  <c r="C702" i="10"/>
  <c r="E690" i="2"/>
  <c r="B697" i="2" s="1"/>
  <c r="E697" i="2"/>
  <c r="E701" i="10"/>
  <c r="G21" i="10" s="1"/>
  <c r="O21" i="10" s="1"/>
  <c r="H21" i="10"/>
  <c r="E704" i="10"/>
  <c r="B260" i="2"/>
  <c r="D11" i="2" s="1"/>
  <c r="I260" i="2"/>
  <c r="K11" i="2" s="1"/>
  <c r="E546" i="10"/>
  <c r="E372" i="10"/>
  <c r="G13" i="10" s="1"/>
  <c r="O13" i="10" s="1"/>
  <c r="E545" i="10"/>
  <c r="G17" i="10" s="1"/>
  <c r="O17" i="10" s="1"/>
  <c r="E373" i="10"/>
  <c r="B701" i="10"/>
  <c r="D21" i="10" s="1"/>
  <c r="C701" i="2"/>
  <c r="E21" i="2" s="1"/>
  <c r="B546" i="2"/>
  <c r="I261" i="10"/>
  <c r="L11" i="2"/>
  <c r="E263" i="2"/>
  <c r="B261" i="10"/>
  <c r="F702" i="2"/>
  <c r="E704" i="2"/>
  <c r="H21" i="2"/>
  <c r="I261" i="2" l="1"/>
  <c r="C702" i="2"/>
  <c r="B261" i="2"/>
  <c r="B702" i="10"/>
  <c r="E702" i="10"/>
  <c r="E701" i="2"/>
  <c r="G21" i="2" s="1"/>
  <c r="O21" i="2" s="1"/>
  <c r="E545" i="2"/>
  <c r="G17" i="2" s="1"/>
  <c r="O17" i="2" s="1"/>
  <c r="E372" i="2"/>
  <c r="G13" i="2" s="1"/>
  <c r="O13" i="2" s="1"/>
  <c r="E373" i="2"/>
  <c r="E546" i="2"/>
  <c r="O11" i="2"/>
  <c r="B701" i="2"/>
  <c r="D21" i="2" s="1"/>
  <c r="E702" i="2" l="1"/>
  <c r="B702" i="2"/>
  <c r="F280" i="10" l="1"/>
  <c r="F289" i="10"/>
  <c r="F288" i="10"/>
  <c r="F288" i="2" l="1"/>
  <c r="G288" i="10"/>
  <c r="C36" i="18"/>
  <c r="E288" i="10"/>
  <c r="E288" i="2" s="1"/>
  <c r="G287" i="10"/>
  <c r="E289" i="10"/>
  <c r="E289" i="2" s="1"/>
  <c r="F289" i="2"/>
  <c r="G289" i="10"/>
  <c r="C37" i="18"/>
  <c r="C10" i="18"/>
  <c r="F280" i="2"/>
  <c r="G280" i="10"/>
  <c r="E280" i="10"/>
  <c r="E280" i="2" s="1"/>
  <c r="G279" i="10"/>
  <c r="G280" i="2" l="1"/>
  <c r="D10" i="18"/>
  <c r="G289" i="2"/>
  <c r="D37" i="18"/>
  <c r="G279" i="2"/>
  <c r="D9" i="18"/>
  <c r="G291" i="10"/>
  <c r="F299" i="10"/>
  <c r="G288" i="2"/>
  <c r="D36" i="18"/>
  <c r="G287" i="2"/>
  <c r="D35" i="18"/>
  <c r="F275" i="10"/>
  <c r="E10" i="18" l="1"/>
  <c r="E37" i="18"/>
  <c r="G291" i="2"/>
  <c r="C77" i="18"/>
  <c r="E9" i="18"/>
  <c r="C23" i="18"/>
  <c r="F275" i="2"/>
  <c r="E275" i="10"/>
  <c r="F148" i="10"/>
  <c r="H294" i="10"/>
  <c r="F333" i="10"/>
  <c r="E35" i="18"/>
  <c r="F299" i="2"/>
  <c r="E299" i="10"/>
  <c r="H299" i="10"/>
  <c r="E36" i="18"/>
  <c r="F967" i="10"/>
  <c r="F285" i="10"/>
  <c r="F898" i="10"/>
  <c r="F276" i="10"/>
  <c r="F896" i="10"/>
  <c r="F969" i="10"/>
  <c r="F897" i="10"/>
  <c r="F286" i="10"/>
  <c r="F439" i="10"/>
  <c r="F933" i="10"/>
  <c r="F438" i="10"/>
  <c r="F970" i="10"/>
  <c r="F972" i="10"/>
  <c r="F968" i="10"/>
  <c r="F971" i="10"/>
  <c r="F385" i="10"/>
  <c r="F556" i="10"/>
  <c r="F635" i="10"/>
  <c r="F433" i="10"/>
  <c r="F440" i="10"/>
  <c r="F281" i="10"/>
  <c r="F278" i="10"/>
  <c r="F387" i="10"/>
  <c r="F283" i="10"/>
  <c r="F282" i="10"/>
  <c r="F386" i="10"/>
  <c r="F431" i="10"/>
  <c r="F432" i="10"/>
  <c r="F635" i="2" l="1"/>
  <c r="F637" i="10"/>
  <c r="C661" i="10" s="1"/>
  <c r="J661" i="10"/>
  <c r="J664" i="10" s="1"/>
  <c r="E635" i="10"/>
  <c r="F556" i="2"/>
  <c r="F558" i="10"/>
  <c r="C576" i="10" s="1"/>
  <c r="J576" i="10"/>
  <c r="E556" i="10"/>
  <c r="E432" i="10"/>
  <c r="E432" i="2" s="1"/>
  <c r="C17" i="18"/>
  <c r="F432" i="2"/>
  <c r="G432" i="10"/>
  <c r="C34" i="18"/>
  <c r="F440" i="2"/>
  <c r="G440" i="10"/>
  <c r="E440" i="10"/>
  <c r="E440" i="2" s="1"/>
  <c r="F970" i="2"/>
  <c r="E970" i="10"/>
  <c r="E970" i="2" s="1"/>
  <c r="E10" i="19"/>
  <c r="C16" i="18"/>
  <c r="F431" i="2"/>
  <c r="G431" i="10"/>
  <c r="E431" i="10"/>
  <c r="G434" i="10"/>
  <c r="E387" i="10"/>
  <c r="J506" i="10"/>
  <c r="C32" i="18"/>
  <c r="J417" i="10"/>
  <c r="F387" i="2"/>
  <c r="I835" i="10"/>
  <c r="E433" i="10"/>
  <c r="E433" i="2" s="1"/>
  <c r="C18" i="18"/>
  <c r="F433" i="2"/>
  <c r="G433" i="10"/>
  <c r="F971" i="2"/>
  <c r="E971" i="10"/>
  <c r="E971" i="2" s="1"/>
  <c r="E11" i="19"/>
  <c r="F438" i="2"/>
  <c r="C29" i="18"/>
  <c r="E438" i="10"/>
  <c r="E438" i="2" s="1"/>
  <c r="E897" i="10"/>
  <c r="E897" i="2" s="1"/>
  <c r="F897" i="2"/>
  <c r="E7" i="19"/>
  <c r="F967" i="2"/>
  <c r="H1046" i="10"/>
  <c r="H1008" i="10"/>
  <c r="F762" i="10"/>
  <c r="E967" i="10"/>
  <c r="F975" i="10"/>
  <c r="C1008" i="10" s="1"/>
  <c r="H299" i="2"/>
  <c r="F148" i="2"/>
  <c r="F180" i="10"/>
  <c r="E148" i="10"/>
  <c r="H148" i="10"/>
  <c r="F302" i="10"/>
  <c r="C12" i="18"/>
  <c r="E386" i="10"/>
  <c r="E386" i="2" s="1"/>
  <c r="F386" i="2"/>
  <c r="T826" i="2" s="1"/>
  <c r="V826" i="2" s="1"/>
  <c r="E278" i="10"/>
  <c r="E278" i="2" s="1"/>
  <c r="F278" i="2"/>
  <c r="C5" i="18"/>
  <c r="F968" i="2"/>
  <c r="E8" i="19"/>
  <c r="E968" i="10"/>
  <c r="I968" i="10"/>
  <c r="J1046" i="10"/>
  <c r="F761" i="10"/>
  <c r="J1008" i="10"/>
  <c r="F933" i="2"/>
  <c r="E933" i="10"/>
  <c r="F935" i="10"/>
  <c r="C953" i="10" s="1"/>
  <c r="J953" i="10"/>
  <c r="T829" i="10"/>
  <c r="F838" i="10"/>
  <c r="E969" i="10"/>
  <c r="E969" i="2" s="1"/>
  <c r="F969" i="2"/>
  <c r="E9" i="19"/>
  <c r="H9" i="19" s="1"/>
  <c r="C3" i="18"/>
  <c r="F276" i="2"/>
  <c r="E276" i="10"/>
  <c r="N299" i="10"/>
  <c r="E299" i="2"/>
  <c r="E275" i="2"/>
  <c r="E333" i="10"/>
  <c r="F282" i="2"/>
  <c r="E282" i="10"/>
  <c r="E282" i="2" s="1"/>
  <c r="C13" i="18"/>
  <c r="F281" i="2"/>
  <c r="C11" i="18"/>
  <c r="E281" i="10"/>
  <c r="E281" i="2" s="1"/>
  <c r="E12" i="19"/>
  <c r="E972" i="10"/>
  <c r="E972" i="2" s="1"/>
  <c r="F972" i="2"/>
  <c r="P972" i="2" s="1"/>
  <c r="E439" i="10"/>
  <c r="E439" i="2" s="1"/>
  <c r="F439" i="2"/>
  <c r="C30" i="18"/>
  <c r="F896" i="2"/>
  <c r="E896" i="10"/>
  <c r="F760" i="10"/>
  <c r="F900" i="10"/>
  <c r="C919" i="10" s="1"/>
  <c r="J919" i="10"/>
  <c r="N898" i="10"/>
  <c r="N898" i="2" s="1"/>
  <c r="F898" i="2"/>
  <c r="E898" i="10"/>
  <c r="E898" i="2" s="1"/>
  <c r="P898" i="10"/>
  <c r="F333" i="2"/>
  <c r="H294" i="2"/>
  <c r="F283" i="2"/>
  <c r="C14" i="18"/>
  <c r="E283" i="10"/>
  <c r="E283" i="2" s="1"/>
  <c r="E385" i="10"/>
  <c r="F385" i="2"/>
  <c r="C8" i="18"/>
  <c r="F155" i="10"/>
  <c r="F389" i="10"/>
  <c r="C417" i="10" s="1"/>
  <c r="C33" i="18"/>
  <c r="E286" i="10"/>
  <c r="E286" i="2" s="1"/>
  <c r="F286" i="2"/>
  <c r="E285" i="10"/>
  <c r="E285" i="2" s="1"/>
  <c r="F285" i="2"/>
  <c r="C28" i="18"/>
  <c r="B76" i="18"/>
  <c r="E76" i="18" s="1"/>
  <c r="E23" i="18"/>
  <c r="F436" i="10"/>
  <c r="F435" i="10"/>
  <c r="J471" i="10" s="1"/>
  <c r="I576" i="10" l="1"/>
  <c r="E558" i="10"/>
  <c r="B576" i="10" s="1"/>
  <c r="E556" i="2"/>
  <c r="I661" i="10"/>
  <c r="E637" i="10"/>
  <c r="B661" i="10" s="1"/>
  <c r="E635" i="2"/>
  <c r="J579" i="10"/>
  <c r="J580" i="10"/>
  <c r="J665" i="10"/>
  <c r="L20" i="10"/>
  <c r="E667" i="10"/>
  <c r="C579" i="10"/>
  <c r="E18" i="10" s="1"/>
  <c r="C664" i="10"/>
  <c r="E20" i="10" s="1"/>
  <c r="J576" i="2"/>
  <c r="J579" i="2" s="1"/>
  <c r="F558" i="2"/>
  <c r="C576" i="2" s="1"/>
  <c r="F637" i="2"/>
  <c r="C661" i="2" s="1"/>
  <c r="J661" i="2"/>
  <c r="J664" i="2" s="1"/>
  <c r="E33" i="18"/>
  <c r="T825" i="2"/>
  <c r="V825" i="2" s="1"/>
  <c r="F389" i="2"/>
  <c r="C417" i="2" s="1"/>
  <c r="J417" i="2"/>
  <c r="I154" i="2"/>
  <c r="J506" i="2"/>
  <c r="I835" i="2"/>
  <c r="Q898" i="10"/>
  <c r="P898" i="2"/>
  <c r="E896" i="2"/>
  <c r="I919" i="10"/>
  <c r="E900" i="10"/>
  <c r="B919" i="10" s="1"/>
  <c r="E13" i="18"/>
  <c r="I968" i="2"/>
  <c r="F761" i="2"/>
  <c r="J1046" i="2"/>
  <c r="J1008" i="2"/>
  <c r="N148" i="10"/>
  <c r="E180" i="10"/>
  <c r="E148" i="2"/>
  <c r="E29" i="18"/>
  <c r="G434" i="2"/>
  <c r="D19" i="18"/>
  <c r="G431" i="2"/>
  <c r="D16" i="18"/>
  <c r="E16" i="18" s="1"/>
  <c r="D17" i="18"/>
  <c r="G432" i="2"/>
  <c r="E385" i="2"/>
  <c r="E389" i="10"/>
  <c r="B417" i="10" s="1"/>
  <c r="J919" i="2"/>
  <c r="F900" i="2"/>
  <c r="C919" i="2" s="1"/>
  <c r="E333" i="2"/>
  <c r="E3" i="18"/>
  <c r="E5" i="18"/>
  <c r="F181" i="10"/>
  <c r="F182" i="10" s="1"/>
  <c r="N971" i="2"/>
  <c r="P971" i="2"/>
  <c r="N972" i="2"/>
  <c r="E32" i="18"/>
  <c r="G440" i="2"/>
  <c r="D34" i="18"/>
  <c r="E436" i="10"/>
  <c r="E436" i="2" s="1"/>
  <c r="C21" i="18"/>
  <c r="F436" i="2"/>
  <c r="G436" i="10"/>
  <c r="E30" i="18"/>
  <c r="E11" i="18"/>
  <c r="E838" i="10"/>
  <c r="H838" i="10"/>
  <c r="F943" i="10"/>
  <c r="F838" i="2"/>
  <c r="F874" i="10"/>
  <c r="C884" i="10" s="1"/>
  <c r="J884" i="10"/>
  <c r="J885" i="10" s="1"/>
  <c r="I953" i="10"/>
  <c r="E933" i="2"/>
  <c r="E935" i="10"/>
  <c r="B953" i="10" s="1"/>
  <c r="E968" i="2"/>
  <c r="I1008" i="10"/>
  <c r="I1046" i="10"/>
  <c r="E12" i="18"/>
  <c r="E302" i="10"/>
  <c r="H302" i="10"/>
  <c r="F302" i="2"/>
  <c r="F332" i="10"/>
  <c r="N148" i="2"/>
  <c r="F180" i="2"/>
  <c r="G1008" i="10"/>
  <c r="E967" i="2"/>
  <c r="G1046" i="10"/>
  <c r="E975" i="10"/>
  <c r="B1008" i="10" s="1"/>
  <c r="H1046" i="2"/>
  <c r="H1008" i="2"/>
  <c r="F975" i="2"/>
  <c r="C1008" i="2" s="1"/>
  <c r="G433" i="2"/>
  <c r="D18" i="18"/>
  <c r="F442" i="10"/>
  <c r="C471" i="10" s="1"/>
  <c r="E17" i="18"/>
  <c r="H155" i="10"/>
  <c r="H155" i="2" s="1"/>
  <c r="E155" i="10"/>
  <c r="F400" i="10"/>
  <c r="F155" i="2"/>
  <c r="G435" i="10"/>
  <c r="E435" i="10"/>
  <c r="E435" i="2" s="1"/>
  <c r="C20" i="18"/>
  <c r="B73" i="18" s="1"/>
  <c r="F435" i="2"/>
  <c r="F442" i="2" s="1"/>
  <c r="G437" i="10"/>
  <c r="E28" i="18"/>
  <c r="E8" i="18"/>
  <c r="E14" i="18"/>
  <c r="F906" i="10"/>
  <c r="F760" i="2"/>
  <c r="H760" i="10"/>
  <c r="H760" i="2" s="1"/>
  <c r="I759" i="10"/>
  <c r="F759" i="10"/>
  <c r="E760" i="10"/>
  <c r="E276" i="2"/>
  <c r="U829" i="10"/>
  <c r="W829" i="10"/>
  <c r="J953" i="2"/>
  <c r="F935" i="2"/>
  <c r="C953" i="2" s="1"/>
  <c r="H761" i="10"/>
  <c r="H761" i="2" s="1"/>
  <c r="E761" i="10"/>
  <c r="F986" i="10"/>
  <c r="H148" i="2"/>
  <c r="E762" i="10"/>
  <c r="H783" i="10"/>
  <c r="H784" i="10" s="1"/>
  <c r="F762" i="2"/>
  <c r="H783" i="2" s="1"/>
  <c r="H784" i="2" s="1"/>
  <c r="H762" i="10"/>
  <c r="H762" i="2" s="1"/>
  <c r="F987" i="10"/>
  <c r="T743" i="10"/>
  <c r="I506" i="10"/>
  <c r="I417" i="10"/>
  <c r="E387" i="2"/>
  <c r="E431" i="2"/>
  <c r="E442" i="10"/>
  <c r="B471" i="10" s="1"/>
  <c r="P970" i="2"/>
  <c r="N970" i="2"/>
  <c r="E34" i="18"/>
  <c r="F277" i="10"/>
  <c r="G442" i="10" l="1"/>
  <c r="C665" i="10"/>
  <c r="J580" i="2"/>
  <c r="E582" i="2"/>
  <c r="L18" i="2"/>
  <c r="I664" i="10"/>
  <c r="K20" i="10" s="1"/>
  <c r="O20" i="10" s="1"/>
  <c r="J665" i="2"/>
  <c r="L20" i="2"/>
  <c r="E667" i="2"/>
  <c r="E582" i="10"/>
  <c r="L18" i="10"/>
  <c r="E558" i="2"/>
  <c r="B576" i="2" s="1"/>
  <c r="I576" i="2"/>
  <c r="C664" i="2"/>
  <c r="E20" i="2" s="1"/>
  <c r="E637" i="2"/>
  <c r="B661" i="2" s="1"/>
  <c r="I661" i="2"/>
  <c r="B579" i="10"/>
  <c r="D18" i="10" s="1"/>
  <c r="C579" i="2"/>
  <c r="E18" i="2" s="1"/>
  <c r="C580" i="10"/>
  <c r="B664" i="10"/>
  <c r="D20" i="10" s="1"/>
  <c r="I579" i="10"/>
  <c r="K18" i="10" s="1"/>
  <c r="T836" i="2"/>
  <c r="V836" i="2" s="1"/>
  <c r="T830" i="2"/>
  <c r="V830" i="2" s="1"/>
  <c r="T832" i="2"/>
  <c r="V832" i="2" s="1"/>
  <c r="C471" i="2"/>
  <c r="T835" i="2"/>
  <c r="V835" i="2" s="1"/>
  <c r="T834" i="2"/>
  <c r="V834" i="2" s="1"/>
  <c r="T833" i="2"/>
  <c r="V833" i="2" s="1"/>
  <c r="H785" i="2"/>
  <c r="J22" i="2"/>
  <c r="J783" i="10"/>
  <c r="O4" i="18"/>
  <c r="F773" i="10"/>
  <c r="C783" i="10" s="1"/>
  <c r="E759" i="10"/>
  <c r="H759" i="10"/>
  <c r="F109" i="10"/>
  <c r="F774" i="10"/>
  <c r="F759" i="2"/>
  <c r="E906" i="10"/>
  <c r="F911" i="10"/>
  <c r="C918" i="10" s="1"/>
  <c r="F906" i="2"/>
  <c r="J918" i="10"/>
  <c r="H906" i="10"/>
  <c r="T751" i="10"/>
  <c r="T750" i="10"/>
  <c r="T749" i="10"/>
  <c r="F181" i="2"/>
  <c r="F182" i="2" s="1"/>
  <c r="F332" i="2"/>
  <c r="N302" i="2"/>
  <c r="C885" i="10"/>
  <c r="E23" i="10" s="1"/>
  <c r="E838" i="2"/>
  <c r="N838" i="10"/>
  <c r="I884" i="10"/>
  <c r="E874" i="10"/>
  <c r="B884" i="10" s="1"/>
  <c r="E18" i="18"/>
  <c r="E442" i="2"/>
  <c r="B471" i="2" s="1"/>
  <c r="I471" i="2"/>
  <c r="U743" i="10"/>
  <c r="F7" i="19"/>
  <c r="H7" i="19" s="1"/>
  <c r="W743" i="10"/>
  <c r="H785" i="10"/>
  <c r="J22" i="10"/>
  <c r="F409" i="10"/>
  <c r="C416" i="10" s="1"/>
  <c r="H400" i="10"/>
  <c r="F400" i="2"/>
  <c r="J505" i="10"/>
  <c r="E400" i="10"/>
  <c r="J416" i="10"/>
  <c r="G1008" i="2"/>
  <c r="G1046" i="2"/>
  <c r="E975" i="2"/>
  <c r="B1008" i="2" s="1"/>
  <c r="H302" i="2"/>
  <c r="E935" i="2"/>
  <c r="B953" i="2" s="1"/>
  <c r="I953" i="2"/>
  <c r="N838" i="2"/>
  <c r="J884" i="2"/>
  <c r="J885" i="2" s="1"/>
  <c r="F874" i="2"/>
  <c r="C884" i="2" s="1"/>
  <c r="G436" i="2"/>
  <c r="D21" i="18"/>
  <c r="J471" i="2"/>
  <c r="E180" i="2"/>
  <c r="I919" i="2"/>
  <c r="E900" i="2"/>
  <c r="B919" i="2" s="1"/>
  <c r="H987" i="10"/>
  <c r="H987" i="2" s="1"/>
  <c r="F987" i="2"/>
  <c r="H1045" i="10"/>
  <c r="E987" i="10"/>
  <c r="H1007" i="10"/>
  <c r="E986" i="10"/>
  <c r="H986" i="10"/>
  <c r="F992" i="10"/>
  <c r="C1007" i="10" s="1"/>
  <c r="F986" i="2"/>
  <c r="J1045" i="10"/>
  <c r="J1007" i="10"/>
  <c r="J1011" i="10" s="1"/>
  <c r="T747" i="10"/>
  <c r="T745" i="10"/>
  <c r="T744" i="10"/>
  <c r="T748" i="10"/>
  <c r="T746" i="10"/>
  <c r="T752" i="10"/>
  <c r="E155" i="2"/>
  <c r="N155" i="10"/>
  <c r="E332" i="10"/>
  <c r="E302" i="2"/>
  <c r="N302" i="10"/>
  <c r="J952" i="10"/>
  <c r="H943" i="10"/>
  <c r="E943" i="10"/>
  <c r="F943" i="2"/>
  <c r="F945" i="10"/>
  <c r="C952" i="10" s="1"/>
  <c r="T837" i="2"/>
  <c r="V837" i="2" s="1"/>
  <c r="H9" i="10"/>
  <c r="I506" i="2"/>
  <c r="I417" i="2"/>
  <c r="E389" i="2"/>
  <c r="B417" i="2" s="1"/>
  <c r="E19" i="18"/>
  <c r="E181" i="10"/>
  <c r="G9" i="10" s="1"/>
  <c r="C4" i="18"/>
  <c r="E277" i="10"/>
  <c r="F277" i="2"/>
  <c r="J333" i="10"/>
  <c r="H293" i="10"/>
  <c r="F153" i="10"/>
  <c r="F291" i="10"/>
  <c r="C333" i="10" s="1"/>
  <c r="N762" i="10"/>
  <c r="E762" i="2"/>
  <c r="G783" i="2" s="1"/>
  <c r="G783" i="10"/>
  <c r="I471" i="10"/>
  <c r="E761" i="2"/>
  <c r="N761" i="10"/>
  <c r="N760" i="10"/>
  <c r="E760" i="2"/>
  <c r="G437" i="2"/>
  <c r="D22" i="18"/>
  <c r="G435" i="2"/>
  <c r="D20" i="18"/>
  <c r="F336" i="10"/>
  <c r="F337" i="10" s="1"/>
  <c r="I1008" i="2"/>
  <c r="I1046" i="2"/>
  <c r="J886" i="10"/>
  <c r="L23" i="10"/>
  <c r="E888" i="10"/>
  <c r="H838" i="2"/>
  <c r="H874" i="2" s="1"/>
  <c r="H874" i="10"/>
  <c r="G874" i="10" s="1"/>
  <c r="E21" i="18"/>
  <c r="F157" i="10"/>
  <c r="F446" i="10"/>
  <c r="O18" i="10" l="1"/>
  <c r="G874" i="2"/>
  <c r="C886" i="10"/>
  <c r="C580" i="2"/>
  <c r="B580" i="10"/>
  <c r="C665" i="2"/>
  <c r="G442" i="2"/>
  <c r="I664" i="2"/>
  <c r="K20" i="2" s="1"/>
  <c r="O20" i="2" s="1"/>
  <c r="I579" i="2"/>
  <c r="K18" i="2" s="1"/>
  <c r="O18" i="2" s="1"/>
  <c r="B665" i="10"/>
  <c r="B664" i="2"/>
  <c r="D20" i="2" s="1"/>
  <c r="B579" i="2"/>
  <c r="D18" i="2" s="1"/>
  <c r="E182" i="10"/>
  <c r="I580" i="10"/>
  <c r="I665" i="10"/>
  <c r="E22" i="18"/>
  <c r="G784" i="2"/>
  <c r="I22" i="2" s="1"/>
  <c r="N943" i="10"/>
  <c r="E943" i="2"/>
  <c r="I952" i="10"/>
  <c r="E945" i="10"/>
  <c r="B952" i="10" s="1"/>
  <c r="U752" i="10"/>
  <c r="W752" i="10"/>
  <c r="W745" i="10"/>
  <c r="U745" i="10"/>
  <c r="F992" i="2"/>
  <c r="C1007" i="2" s="1"/>
  <c r="J1007" i="2"/>
  <c r="J1045" i="2"/>
  <c r="T744" i="2"/>
  <c r="H1011" i="10"/>
  <c r="H1012" i="10" s="1"/>
  <c r="C885" i="2"/>
  <c r="E23" i="2" s="1"/>
  <c r="J509" i="10"/>
  <c r="E512" i="10" s="1"/>
  <c r="E20" i="18"/>
  <c r="B885" i="10"/>
  <c r="D23" i="10" s="1"/>
  <c r="F336" i="2"/>
  <c r="H911" i="10"/>
  <c r="G911" i="10" s="1"/>
  <c r="H906" i="2"/>
  <c r="H911" i="2" s="1"/>
  <c r="I918" i="10"/>
  <c r="N906" i="10"/>
  <c r="E906" i="2"/>
  <c r="E911" i="10"/>
  <c r="B918" i="10" s="1"/>
  <c r="H773" i="10"/>
  <c r="G773" i="10" s="1"/>
  <c r="H759" i="2"/>
  <c r="H773" i="2" s="1"/>
  <c r="J784" i="10"/>
  <c r="J785" i="10" s="1"/>
  <c r="H943" i="2"/>
  <c r="H945" i="2" s="1"/>
  <c r="H945" i="10"/>
  <c r="G945" i="10" s="1"/>
  <c r="E332" i="2"/>
  <c r="W746" i="10"/>
  <c r="U746" i="10"/>
  <c r="F10" i="19"/>
  <c r="H10" i="19" s="1"/>
  <c r="U747" i="10"/>
  <c r="W747" i="10"/>
  <c r="F11" i="19"/>
  <c r="H11" i="19" s="1"/>
  <c r="C1011" i="10"/>
  <c r="E26" i="10" s="1"/>
  <c r="N987" i="10"/>
  <c r="E987" i="2"/>
  <c r="G1045" i="10"/>
  <c r="G1049" i="10" s="1"/>
  <c r="G1050" i="10" s="1"/>
  <c r="G1007" i="10"/>
  <c r="J886" i="2"/>
  <c r="L23" i="2"/>
  <c r="E888" i="2"/>
  <c r="F409" i="2"/>
  <c r="C416" i="2" s="1"/>
  <c r="N400" i="2"/>
  <c r="J416" i="2"/>
  <c r="J420" i="2" s="1"/>
  <c r="J505" i="2"/>
  <c r="D39" i="18"/>
  <c r="D58" i="18" s="1"/>
  <c r="D59" i="18" s="1"/>
  <c r="I885" i="10"/>
  <c r="K23" i="10" s="1"/>
  <c r="O23" i="10" s="1"/>
  <c r="U749" i="10"/>
  <c r="W749" i="10"/>
  <c r="J922" i="10"/>
  <c r="F773" i="2"/>
  <c r="C783" i="2" s="1"/>
  <c r="J783" i="2"/>
  <c r="J784" i="2" s="1"/>
  <c r="E759" i="2"/>
  <c r="E773" i="10"/>
  <c r="B783" i="10" s="1"/>
  <c r="N759" i="10"/>
  <c r="I783" i="10"/>
  <c r="F157" i="2"/>
  <c r="N157" i="2" s="1"/>
  <c r="H157" i="10"/>
  <c r="H157" i="2" s="1"/>
  <c r="E157" i="10"/>
  <c r="F449" i="10"/>
  <c r="F463" i="10" s="1"/>
  <c r="C470" i="10" s="1"/>
  <c r="H153" i="10"/>
  <c r="F307" i="10"/>
  <c r="F153" i="2"/>
  <c r="E153" i="10"/>
  <c r="J180" i="10"/>
  <c r="F170" i="10"/>
  <c r="E277" i="2"/>
  <c r="E291" i="10"/>
  <c r="B333" i="10" s="1"/>
  <c r="I333" i="10"/>
  <c r="C956" i="10"/>
  <c r="E25" i="10" s="1"/>
  <c r="J956" i="10"/>
  <c r="J957" i="10" s="1"/>
  <c r="E336" i="10"/>
  <c r="G12" i="10" s="1"/>
  <c r="G31" i="10" s="1"/>
  <c r="W748" i="10"/>
  <c r="U748" i="10"/>
  <c r="F12" i="19"/>
  <c r="H12" i="19" s="1"/>
  <c r="J1012" i="10"/>
  <c r="L26" i="10"/>
  <c r="H992" i="10"/>
  <c r="G992" i="10" s="1"/>
  <c r="H986" i="2"/>
  <c r="H992" i="2" s="1"/>
  <c r="H1049" i="10"/>
  <c r="H1050" i="10" s="1"/>
  <c r="J420" i="10"/>
  <c r="J421" i="10" s="1"/>
  <c r="H400" i="2"/>
  <c r="H409" i="2" s="1"/>
  <c r="H409" i="10"/>
  <c r="G409" i="10" s="1"/>
  <c r="C73" i="18"/>
  <c r="H9" i="2"/>
  <c r="U750" i="10"/>
  <c r="W750" i="10"/>
  <c r="J918" i="2"/>
  <c r="F911" i="2"/>
  <c r="C918" i="2" s="1"/>
  <c r="C784" i="10"/>
  <c r="E22" i="10" s="1"/>
  <c r="J30" i="2"/>
  <c r="F291" i="2"/>
  <c r="C333" i="2" s="1"/>
  <c r="H293" i="2"/>
  <c r="J333" i="2"/>
  <c r="F446" i="2"/>
  <c r="H446" i="10"/>
  <c r="E446" i="10"/>
  <c r="H12" i="10"/>
  <c r="H31" i="10" s="1"/>
  <c r="G784" i="10"/>
  <c r="I22" i="10" s="1"/>
  <c r="E4" i="18"/>
  <c r="B77" i="18"/>
  <c r="C39" i="18"/>
  <c r="C58" i="18" s="1"/>
  <c r="C59" i="18" s="1"/>
  <c r="F945" i="2"/>
  <c r="C952" i="2" s="1"/>
  <c r="J952" i="2"/>
  <c r="W744" i="10"/>
  <c r="F8" i="19"/>
  <c r="H8" i="19" s="1"/>
  <c r="U744" i="10"/>
  <c r="J1049" i="10"/>
  <c r="J1050" i="10" s="1"/>
  <c r="E986" i="2"/>
  <c r="I1045" i="10"/>
  <c r="I1049" i="10" s="1"/>
  <c r="I1050" i="10" s="1"/>
  <c r="I1007" i="10"/>
  <c r="E992" i="10"/>
  <c r="B1007" i="10" s="1"/>
  <c r="N986" i="10"/>
  <c r="H1045" i="2"/>
  <c r="H1007" i="2"/>
  <c r="E181" i="2"/>
  <c r="G9" i="2" s="1"/>
  <c r="E400" i="2"/>
  <c r="I416" i="10"/>
  <c r="E409" i="10"/>
  <c r="B416" i="10" s="1"/>
  <c r="N400" i="10"/>
  <c r="I505" i="10"/>
  <c r="I509" i="10" s="1"/>
  <c r="I510" i="10" s="1"/>
  <c r="C420" i="10"/>
  <c r="E14" i="10" s="1"/>
  <c r="J30" i="10"/>
  <c r="E874" i="2"/>
  <c r="B884" i="2" s="1"/>
  <c r="I884" i="2"/>
  <c r="U751" i="10"/>
  <c r="W751" i="10"/>
  <c r="C922" i="10"/>
  <c r="E24" i="10" s="1"/>
  <c r="E109" i="10"/>
  <c r="F109" i="2"/>
  <c r="J177" i="10"/>
  <c r="F143" i="10"/>
  <c r="C177" i="10" s="1"/>
  <c r="H109" i="10"/>
  <c r="O11" i="18"/>
  <c r="G30" i="10" l="1"/>
  <c r="C923" i="10"/>
  <c r="G992" i="2"/>
  <c r="C1012" i="10"/>
  <c r="G409" i="2"/>
  <c r="C421" i="10"/>
  <c r="B886" i="10"/>
  <c r="B665" i="2"/>
  <c r="I665" i="2"/>
  <c r="G785" i="2"/>
  <c r="I580" i="2"/>
  <c r="J510" i="10"/>
  <c r="B580" i="2"/>
  <c r="H143" i="10"/>
  <c r="G143" i="10" s="1"/>
  <c r="H109" i="2"/>
  <c r="H142" i="2" s="1"/>
  <c r="H1011" i="2"/>
  <c r="H1012" i="2" s="1"/>
  <c r="F142" i="2"/>
  <c r="C177" i="2" s="1"/>
  <c r="J177" i="2"/>
  <c r="E182" i="2"/>
  <c r="H1049" i="2"/>
  <c r="C956" i="2"/>
  <c r="E25" i="2" s="1"/>
  <c r="G785" i="10"/>
  <c r="E446" i="2"/>
  <c r="N446" i="10"/>
  <c r="C785" i="10"/>
  <c r="C79" i="18"/>
  <c r="E73" i="18"/>
  <c r="L14" i="10"/>
  <c r="E423" i="10"/>
  <c r="I180" i="10"/>
  <c r="N153" i="10"/>
  <c r="E153" i="2"/>
  <c r="E170" i="10"/>
  <c r="B180" i="10" s="1"/>
  <c r="E773" i="2"/>
  <c r="B783" i="2" s="1"/>
  <c r="I783" i="2"/>
  <c r="L24" i="10"/>
  <c r="E925" i="10"/>
  <c r="G945" i="2"/>
  <c r="I922" i="10"/>
  <c r="K24" i="10" s="1"/>
  <c r="O24" i="10" s="1"/>
  <c r="H12" i="2"/>
  <c r="H31" i="2" s="1"/>
  <c r="C886" i="2"/>
  <c r="B956" i="10"/>
  <c r="D25" i="10" s="1"/>
  <c r="E109" i="2"/>
  <c r="I177" i="10"/>
  <c r="E143" i="10"/>
  <c r="B177" i="10" s="1"/>
  <c r="N109" i="10"/>
  <c r="B420" i="10"/>
  <c r="D14" i="10" s="1"/>
  <c r="I1007" i="2"/>
  <c r="E992" i="2"/>
  <c r="B1007" i="2" s="1"/>
  <c r="I1045" i="2"/>
  <c r="I1049" i="2" s="1"/>
  <c r="I1050" i="2" s="1"/>
  <c r="E77" i="18"/>
  <c r="B79" i="18"/>
  <c r="I30" i="10"/>
  <c r="H446" i="2"/>
  <c r="L25" i="10"/>
  <c r="E959" i="10"/>
  <c r="I333" i="2"/>
  <c r="E291" i="2"/>
  <c r="B333" i="2" s="1"/>
  <c r="N153" i="2"/>
  <c r="J180" i="2"/>
  <c r="F170" i="2"/>
  <c r="C180" i="2" s="1"/>
  <c r="F449" i="2"/>
  <c r="N449" i="2" s="1"/>
  <c r="H449" i="10"/>
  <c r="H449" i="2" s="1"/>
  <c r="E449" i="10"/>
  <c r="I784" i="10"/>
  <c r="K22" i="10" s="1"/>
  <c r="J785" i="2"/>
  <c r="L22" i="2"/>
  <c r="E787" i="2"/>
  <c r="C420" i="2"/>
  <c r="E14" i="2" s="1"/>
  <c r="G1011" i="10"/>
  <c r="I26" i="10" s="1"/>
  <c r="I31" i="10" s="1"/>
  <c r="B922" i="10"/>
  <c r="D24" i="10" s="1"/>
  <c r="G911" i="2"/>
  <c r="J1049" i="2"/>
  <c r="J1050" i="2" s="1"/>
  <c r="I956" i="10"/>
  <c r="K25" i="10" s="1"/>
  <c r="I885" i="2"/>
  <c r="K23" i="2" s="1"/>
  <c r="O23" i="2" s="1"/>
  <c r="I420" i="10"/>
  <c r="K14" i="10" s="1"/>
  <c r="O14" i="10" s="1"/>
  <c r="B1011" i="10"/>
  <c r="D26" i="10" s="1"/>
  <c r="E39" i="18"/>
  <c r="J470" i="10"/>
  <c r="C922" i="2"/>
  <c r="E24" i="2" s="1"/>
  <c r="E1052" i="10"/>
  <c r="E337" i="10"/>
  <c r="C957" i="10"/>
  <c r="H30" i="10"/>
  <c r="I758" i="10"/>
  <c r="C180" i="10"/>
  <c r="C181" i="10" s="1"/>
  <c r="E9" i="10" s="1"/>
  <c r="E307" i="10"/>
  <c r="F307" i="2"/>
  <c r="H307" i="10"/>
  <c r="J332" i="10"/>
  <c r="F318" i="10"/>
  <c r="C332" i="10" s="1"/>
  <c r="E157" i="2"/>
  <c r="N157" i="10"/>
  <c r="C784" i="2"/>
  <c r="E22" i="2" s="1"/>
  <c r="J509" i="2"/>
  <c r="E512" i="2" s="1"/>
  <c r="E336" i="2"/>
  <c r="G12" i="2" s="1"/>
  <c r="L22" i="10"/>
  <c r="E787" i="10"/>
  <c r="I918" i="2"/>
  <c r="E911" i="2"/>
  <c r="B918" i="2" s="1"/>
  <c r="J1011" i="2"/>
  <c r="L26" i="2" s="1"/>
  <c r="E945" i="2"/>
  <c r="B952" i="2" s="1"/>
  <c r="I952" i="2"/>
  <c r="J181" i="10"/>
  <c r="J182" i="10" s="1"/>
  <c r="B885" i="2"/>
  <c r="D23" i="2" s="1"/>
  <c r="E409" i="2"/>
  <c r="B416" i="2" s="1"/>
  <c r="I505" i="2"/>
  <c r="I509" i="2" s="1"/>
  <c r="I510" i="2" s="1"/>
  <c r="I416" i="2"/>
  <c r="I1011" i="10"/>
  <c r="K26" i="10" s="1"/>
  <c r="J956" i="2"/>
  <c r="J957" i="2" s="1"/>
  <c r="C474" i="10"/>
  <c r="E15" i="10" s="1"/>
  <c r="J922" i="2"/>
  <c r="J923" i="2" s="1"/>
  <c r="H153" i="2"/>
  <c r="H170" i="2" s="1"/>
  <c r="H170" i="10"/>
  <c r="G170" i="10" s="1"/>
  <c r="B784" i="10"/>
  <c r="D22" i="10" s="1"/>
  <c r="J923" i="10"/>
  <c r="I886" i="10"/>
  <c r="J421" i="2"/>
  <c r="L14" i="2"/>
  <c r="E423" i="2"/>
  <c r="G1045" i="2"/>
  <c r="G1049" i="2" s="1"/>
  <c r="G1050" i="2" s="1"/>
  <c r="G1007" i="2"/>
  <c r="G773" i="2"/>
  <c r="F337" i="2"/>
  <c r="J26" i="10"/>
  <c r="J31" i="10" s="1"/>
  <c r="E1014" i="10"/>
  <c r="C1011" i="2"/>
  <c r="E26" i="2" s="1"/>
  <c r="I30" i="2"/>
  <c r="C475" i="10" l="1"/>
  <c r="G170" i="2"/>
  <c r="H30" i="2"/>
  <c r="O22" i="10"/>
  <c r="B421" i="10"/>
  <c r="O25" i="10"/>
  <c r="J510" i="2"/>
  <c r="I785" i="10"/>
  <c r="E79" i="18"/>
  <c r="B785" i="10"/>
  <c r="J1012" i="2"/>
  <c r="I1012" i="10"/>
  <c r="E337" i="2"/>
  <c r="C785" i="2"/>
  <c r="J470" i="2"/>
  <c r="J474" i="2" s="1"/>
  <c r="J475" i="2" s="1"/>
  <c r="B1012" i="10"/>
  <c r="I420" i="2"/>
  <c r="K14" i="2" s="1"/>
  <c r="O14" i="2" s="1"/>
  <c r="I956" i="2"/>
  <c r="K25" i="2" s="1"/>
  <c r="B922" i="2"/>
  <c r="D24" i="2" s="1"/>
  <c r="C336" i="10"/>
  <c r="E12" i="10" s="1"/>
  <c r="E31" i="10" s="1"/>
  <c r="N307" i="10"/>
  <c r="E307" i="2"/>
  <c r="I332" i="10"/>
  <c r="E318" i="10"/>
  <c r="B332" i="10" s="1"/>
  <c r="E58" i="18"/>
  <c r="B66" i="18"/>
  <c r="B67" i="18" s="1"/>
  <c r="O26" i="10"/>
  <c r="N449" i="10"/>
  <c r="E449" i="2"/>
  <c r="E463" i="2" s="1"/>
  <c r="B470" i="2" s="1"/>
  <c r="I1011" i="2"/>
  <c r="K26" i="2" s="1"/>
  <c r="I181" i="10"/>
  <c r="K9" i="10" s="1"/>
  <c r="B957" i="10"/>
  <c r="I470" i="10"/>
  <c r="E1052" i="2"/>
  <c r="C182" i="10"/>
  <c r="C1012" i="2"/>
  <c r="G1011" i="2"/>
  <c r="I26" i="2" s="1"/>
  <c r="I31" i="2" s="1"/>
  <c r="L25" i="2"/>
  <c r="E959" i="2"/>
  <c r="B956" i="2"/>
  <c r="D25" i="2" s="1"/>
  <c r="I922" i="2"/>
  <c r="K24" i="2" s="1"/>
  <c r="O24" i="2" s="1"/>
  <c r="J336" i="10"/>
  <c r="J337" i="10" s="1"/>
  <c r="F463" i="2"/>
  <c r="C470" i="2" s="1"/>
  <c r="I421" i="10"/>
  <c r="I957" i="10"/>
  <c r="B923" i="10"/>
  <c r="C421" i="2"/>
  <c r="H463" i="2"/>
  <c r="I177" i="2"/>
  <c r="E142" i="2"/>
  <c r="B177" i="2" s="1"/>
  <c r="I923" i="10"/>
  <c r="E463" i="10"/>
  <c r="B470" i="10" s="1"/>
  <c r="C957" i="2"/>
  <c r="L9" i="10"/>
  <c r="E184" i="10"/>
  <c r="H307" i="2"/>
  <c r="H318" i="10"/>
  <c r="G318" i="10" s="1"/>
  <c r="G31" i="2"/>
  <c r="I784" i="2"/>
  <c r="K22" i="2" s="1"/>
  <c r="O22" i="2" s="1"/>
  <c r="J181" i="2"/>
  <c r="J182" i="2" s="1"/>
  <c r="G142" i="2"/>
  <c r="B420" i="2"/>
  <c r="D14" i="2" s="1"/>
  <c r="E925" i="2"/>
  <c r="L24" i="2"/>
  <c r="B886" i="2"/>
  <c r="N307" i="2"/>
  <c r="J332" i="2"/>
  <c r="J336" i="2" s="1"/>
  <c r="F318" i="2"/>
  <c r="C332" i="2" s="1"/>
  <c r="C923" i="2"/>
  <c r="J474" i="10"/>
  <c r="J475" i="10" s="1"/>
  <c r="I886" i="2"/>
  <c r="G1012" i="10"/>
  <c r="H463" i="10"/>
  <c r="G463" i="10" s="1"/>
  <c r="B1011" i="2"/>
  <c r="D26" i="2" s="1"/>
  <c r="G30" i="2"/>
  <c r="B181" i="10"/>
  <c r="D9" i="10" s="1"/>
  <c r="B784" i="2"/>
  <c r="D22" i="2" s="1"/>
  <c r="I180" i="2"/>
  <c r="E170" i="2"/>
  <c r="B180" i="2" s="1"/>
  <c r="H1050" i="2"/>
  <c r="C181" i="2"/>
  <c r="E9" i="2" s="1"/>
  <c r="J26" i="2"/>
  <c r="J31" i="2" s="1"/>
  <c r="E1014" i="2"/>
  <c r="I470" i="2" l="1"/>
  <c r="B785" i="2"/>
  <c r="I1012" i="2"/>
  <c r="I957" i="2"/>
  <c r="B421" i="2"/>
  <c r="G463" i="2"/>
  <c r="H324" i="10"/>
  <c r="G324" i="10" s="1"/>
  <c r="B182" i="10"/>
  <c r="I182" i="10"/>
  <c r="E477" i="10"/>
  <c r="L15" i="10"/>
  <c r="C182" i="2"/>
  <c r="B474" i="2"/>
  <c r="D15" i="2" s="1"/>
  <c r="B1012" i="2"/>
  <c r="C336" i="2"/>
  <c r="E12" i="2" s="1"/>
  <c r="B181" i="2"/>
  <c r="D9" i="2" s="1"/>
  <c r="J337" i="2"/>
  <c r="L12" i="2"/>
  <c r="E339" i="2"/>
  <c r="E477" i="2"/>
  <c r="L15" i="2"/>
  <c r="I785" i="2"/>
  <c r="B474" i="10"/>
  <c r="D15" i="10" s="1"/>
  <c r="I181" i="2"/>
  <c r="K9" i="2" s="1"/>
  <c r="L12" i="10"/>
  <c r="E339" i="10"/>
  <c r="B957" i="2"/>
  <c r="G1012" i="2"/>
  <c r="O9" i="10"/>
  <c r="B336" i="10"/>
  <c r="D12" i="10" s="1"/>
  <c r="C337" i="10"/>
  <c r="L9" i="2"/>
  <c r="E184" i="2"/>
  <c r="H318" i="2"/>
  <c r="G318" i="2" s="1"/>
  <c r="I474" i="10"/>
  <c r="K15" i="10" s="1"/>
  <c r="O15" i="10" s="1"/>
  <c r="I336" i="10"/>
  <c r="K12" i="10" s="1"/>
  <c r="O25" i="2"/>
  <c r="E30" i="10"/>
  <c r="I474" i="2"/>
  <c r="K15" i="2" s="1"/>
  <c r="O15" i="2" s="1"/>
  <c r="C474" i="2"/>
  <c r="E15" i="2" s="1"/>
  <c r="I923" i="2"/>
  <c r="O26" i="2"/>
  <c r="B68" i="18"/>
  <c r="I332" i="2"/>
  <c r="E318" i="2"/>
  <c r="B332" i="2" s="1"/>
  <c r="B923" i="2"/>
  <c r="I421" i="2"/>
  <c r="E30" i="2" l="1"/>
  <c r="B475" i="2"/>
  <c r="C475" i="2"/>
  <c r="D30" i="10"/>
  <c r="O12" i="10"/>
  <c r="D31" i="10"/>
  <c r="B475" i="10"/>
  <c r="I475" i="10"/>
  <c r="H324" i="2"/>
  <c r="G324" i="2" s="1"/>
  <c r="B337" i="10"/>
  <c r="I182" i="2"/>
  <c r="C337" i="2"/>
  <c r="B336" i="2"/>
  <c r="D12" i="2" s="1"/>
  <c r="D31" i="2" s="1"/>
  <c r="I475" i="2"/>
  <c r="I337" i="10"/>
  <c r="L31" i="2"/>
  <c r="L30" i="2"/>
  <c r="E31" i="2"/>
  <c r="K30" i="10"/>
  <c r="O9" i="2"/>
  <c r="B182" i="2"/>
  <c r="L30" i="10"/>
  <c r="I336" i="2"/>
  <c r="K12" i="2" s="1"/>
  <c r="O12" i="2" s="1"/>
  <c r="K31" i="10"/>
  <c r="O31" i="10" s="1"/>
  <c r="D30" i="2"/>
  <c r="L31" i="10"/>
  <c r="B337" i="2" l="1"/>
  <c r="K31" i="2"/>
  <c r="O31" i="2" s="1"/>
  <c r="K30" i="2"/>
  <c r="O30" i="2" s="1"/>
  <c r="O32" i="2" s="1"/>
  <c r="O30" i="10"/>
  <c r="O32" i="10" s="1"/>
  <c r="I3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</author>
    <author>Rodrigo Barros Costa</author>
    <author>Silvia Araujo</author>
    <author>Tatiane Pinho Teixeira</author>
  </authors>
  <commentList>
    <comment ref="F396" authorId="0" shapeId="0" xr:uid="{00000000-0006-0000-0100-000001000000}">
      <text>
        <r>
          <rPr>
            <sz val="9"/>
            <color indexed="81"/>
            <rFont val="Tahoma"/>
            <family val="2"/>
          </rPr>
          <t>Avaliar deslocamento de submercado</t>
        </r>
      </text>
    </comment>
    <comment ref="L589" authorId="1" shapeId="0" xr:uid="{00000000-0006-0000-0100-000002000000}">
      <text>
        <r>
          <rPr>
            <sz val="9"/>
            <color indexed="81"/>
            <rFont val="Segoe UI"/>
            <family val="2"/>
          </rPr>
          <t>Conforme e-mail enviado por Marcos Philippe Vieira (Vale Manganês) em 18 de janeiro de 2018 às 10:18</t>
        </r>
      </text>
    </comment>
    <comment ref="L590" authorId="1" shapeId="0" xr:uid="{00000000-0006-0000-0100-000003000000}">
      <text>
        <r>
          <rPr>
            <sz val="9"/>
            <color indexed="81"/>
            <rFont val="Segoe UI"/>
            <family val="2"/>
          </rPr>
          <t>Conforme e-mail enviado por Marcos Philippe Vieira (Vale Manganês) em 18 de janeiro de 2018 às 10:18</t>
        </r>
      </text>
    </comment>
    <comment ref="A597" authorId="2" shapeId="0" xr:uid="{00000000-0006-0000-0100-000004000000}">
      <text>
        <r>
          <rPr>
            <b/>
            <sz val="9"/>
            <color indexed="81"/>
            <rFont val="Segoe UI"/>
            <family val="2"/>
          </rPr>
          <t>Silvia Araujo:</t>
        </r>
        <r>
          <rPr>
            <sz val="9"/>
            <color indexed="81"/>
            <rFont val="Segoe UI"/>
            <family val="2"/>
          </rPr>
          <t xml:space="preserve">
Antigo CATIVO
</t>
        </r>
      </text>
    </comment>
    <comment ref="G838" authorId="3" shapeId="0" xr:uid="{00000000-0006-0000-0100-000005000000}">
      <text>
        <r>
          <rPr>
            <b/>
            <sz val="9"/>
            <color indexed="81"/>
            <rFont val="Segoe UI"/>
            <family val="2"/>
          </rPr>
          <t xml:space="preserve">Spread da venda cotada em 02/01/2019
</t>
        </r>
      </text>
    </comment>
    <comment ref="F840" authorId="1" shapeId="0" xr:uid="{00000000-0006-0000-0100-000006000000}">
      <text>
        <r>
          <rPr>
            <sz val="9"/>
            <color indexed="81"/>
            <rFont val="Segoe UI"/>
            <family val="2"/>
          </rPr>
          <t xml:space="preserve">Considerando </t>
        </r>
        <r>
          <rPr>
            <b/>
            <sz val="9"/>
            <color indexed="81"/>
            <rFont val="Segoe UI"/>
            <family val="2"/>
          </rPr>
          <t>2,284 MWm</t>
        </r>
        <r>
          <rPr>
            <sz val="9"/>
            <color indexed="81"/>
            <rFont val="Segoe UI"/>
            <family val="2"/>
          </rPr>
          <t xml:space="preserve"> como sendo o volume contratado para o período de </t>
        </r>
        <r>
          <rPr>
            <b/>
            <sz val="9"/>
            <color indexed="81"/>
            <rFont val="Segoe UI"/>
            <family val="2"/>
          </rPr>
          <t>Agosto a Dezembro/17</t>
        </r>
        <r>
          <rPr>
            <sz val="9"/>
            <color indexed="81"/>
            <rFont val="Segoe UI"/>
            <family val="2"/>
          </rPr>
          <t>, conforme e-mail enviado pelo Eduardo Villani no dia 02 de agosto de 2017.</t>
        </r>
      </text>
    </comment>
  </commentList>
</comments>
</file>

<file path=xl/sharedStrings.xml><?xml version="1.0" encoding="utf-8"?>
<sst xmlns="http://schemas.openxmlformats.org/spreadsheetml/2006/main" count="3854" uniqueCount="514">
  <si>
    <t>Identificador CCEE</t>
  </si>
  <si>
    <t>Contrato</t>
  </si>
  <si>
    <t>Tipo</t>
  </si>
  <si>
    <t>Submercado</t>
  </si>
  <si>
    <t>Energia Realizada(MWmed)</t>
  </si>
  <si>
    <t>Energia Realizada(MWh)</t>
  </si>
  <si>
    <t>Preço(R$/MWh)</t>
  </si>
  <si>
    <t>Total(R$)</t>
  </si>
  <si>
    <t>Unidade</t>
  </si>
  <si>
    <t>Carga</t>
  </si>
  <si>
    <t>Fator de Perda</t>
  </si>
  <si>
    <t>CCK Proj Mwmed</t>
  </si>
  <si>
    <t>CCK Projetado MWh</t>
  </si>
  <si>
    <t>PROINFA MWh</t>
  </si>
  <si>
    <t>Usina</t>
  </si>
  <si>
    <t>GSF</t>
  </si>
  <si>
    <t xml:space="preserve"> </t>
  </si>
  <si>
    <t>PLD</t>
  </si>
  <si>
    <t>Resumo - Balanço</t>
  </si>
  <si>
    <t>Norte</t>
  </si>
  <si>
    <t>Nordeste</t>
  </si>
  <si>
    <t>Sudeste</t>
  </si>
  <si>
    <t>Sul</t>
  </si>
  <si>
    <t>Agente</t>
  </si>
  <si>
    <t>Balanço MWh</t>
  </si>
  <si>
    <t>MWh</t>
  </si>
  <si>
    <t>CVRD CL2</t>
  </si>
  <si>
    <t>CVRD CL3</t>
  </si>
  <si>
    <t>RIO DOCE D</t>
  </si>
  <si>
    <t>RIO DOCE SE D</t>
  </si>
  <si>
    <t>SALOBO</t>
  </si>
  <si>
    <t>VALE ENERGIA</t>
  </si>
  <si>
    <t>Total</t>
  </si>
  <si>
    <t>PLD médio:</t>
  </si>
  <si>
    <t xml:space="preserve">Horas do Mês: </t>
  </si>
  <si>
    <t>CVRD</t>
  </si>
  <si>
    <t>Alegria</t>
  </si>
  <si>
    <t>Brucutu</t>
  </si>
  <si>
    <t>Carajás</t>
  </si>
  <si>
    <t>Fábrica - DIFL</t>
  </si>
  <si>
    <t>Fábrica - DIPE</t>
  </si>
  <si>
    <t>Hispanobrás</t>
  </si>
  <si>
    <t>Itabira</t>
  </si>
  <si>
    <t>Onça Puma</t>
  </si>
  <si>
    <t>Pelotização 1 e 2</t>
  </si>
  <si>
    <t>Pelotização 3 - Itabrasco</t>
  </si>
  <si>
    <t>Pelotização 5 e 6 - Nibrasco</t>
  </si>
  <si>
    <t>Autoprodução</t>
  </si>
  <si>
    <t>Pelotização 7 - Kobrasco</t>
  </si>
  <si>
    <t>Convencional</t>
  </si>
  <si>
    <t>Incentivada</t>
  </si>
  <si>
    <t>Pico do Itabirito</t>
  </si>
  <si>
    <t>Porto São Luís</t>
  </si>
  <si>
    <t>Sossego</t>
  </si>
  <si>
    <t>Tamanduá</t>
  </si>
  <si>
    <t>Timbopeba</t>
  </si>
  <si>
    <t>Utilidades Portuárias</t>
  </si>
  <si>
    <t>CDM</t>
  </si>
  <si>
    <t>Córrego do Feijão</t>
  </si>
  <si>
    <t>USINA VIII</t>
  </si>
  <si>
    <t>Fábrica Nova</t>
  </si>
  <si>
    <t>Gongo Soco</t>
  </si>
  <si>
    <t>Terminal de Minério</t>
  </si>
  <si>
    <t>Terminal de Carvão</t>
  </si>
  <si>
    <t>Carajás Serra Sul S11D</t>
  </si>
  <si>
    <t>Itabiritos Conceição</t>
  </si>
  <si>
    <t>PCH Glória - Autoprodutor</t>
  </si>
  <si>
    <t>PCH Ituerê - Autoprodutor</t>
  </si>
  <si>
    <t>PCH Nova Maurício - Autoprodutor</t>
  </si>
  <si>
    <t>Energia Assegurada</t>
  </si>
  <si>
    <t>CONTRATOS DE COMPRA</t>
  </si>
  <si>
    <t>Contratos de Compra</t>
  </si>
  <si>
    <t>Volume Cliq</t>
  </si>
  <si>
    <t>Status D. Mensais</t>
  </si>
  <si>
    <t>Tipo Modulação</t>
  </si>
  <si>
    <t>Status Modulação</t>
  </si>
  <si>
    <t>CONTRATOS DE VENDA</t>
  </si>
  <si>
    <t>Contratos de Venda</t>
  </si>
  <si>
    <t>SUDESTE</t>
  </si>
  <si>
    <t>Produtor Independente</t>
  </si>
  <si>
    <t>Ajuste Perdas (Contratos na Barra)</t>
  </si>
  <si>
    <t>SPOT</t>
  </si>
  <si>
    <t>Balanço</t>
  </si>
  <si>
    <t>CVRD CL2 - 2947</t>
  </si>
  <si>
    <t>GERAÇÃO</t>
  </si>
  <si>
    <t>CONSUMO</t>
  </si>
  <si>
    <t>ACEP G | 4384</t>
  </si>
  <si>
    <t>CVRD CL3 - 15761</t>
  </si>
  <si>
    <t>Igarapava</t>
  </si>
  <si>
    <t>SE</t>
  </si>
  <si>
    <t>N</t>
  </si>
  <si>
    <t>ACEP G | 1165</t>
  </si>
  <si>
    <t>NORTE</t>
  </si>
  <si>
    <t>Estreito - Produtor Independente</t>
  </si>
  <si>
    <t>RIO DOCE D - 1185</t>
  </si>
  <si>
    <t>PROINFA</t>
  </si>
  <si>
    <t>CHESF | 2244</t>
  </si>
  <si>
    <t>RIO DOCE SE D - 1895</t>
  </si>
  <si>
    <t>Vale Energia</t>
  </si>
  <si>
    <t>SALOBO - 3874</t>
  </si>
  <si>
    <t>Salobo</t>
  </si>
  <si>
    <t>VALE ENERGIA - 120</t>
  </si>
  <si>
    <t>NC ENERGIA_019_1209_1229</t>
  </si>
  <si>
    <t>NEPOMUCENO_LUZBOA_1,64_0112_1224</t>
  </si>
  <si>
    <t>LUMINÁRIA_LUZBOA_1,67_0112_1224</t>
  </si>
  <si>
    <t>OLIVEIRA E COURO_LUZBOA_1,97_0311_1224</t>
  </si>
  <si>
    <t>TROIA_LUZBOA_3,38_0112_1224</t>
  </si>
  <si>
    <t>C.INFERNOI LUZ BOA_1,86_0712_1224</t>
  </si>
  <si>
    <t>C.INFERNOII_1,98_0712_1224</t>
  </si>
  <si>
    <t>PERDIGÃO_LUZBOA_5,67_0112_1224</t>
  </si>
  <si>
    <t>Potássio</t>
  </si>
  <si>
    <t>TBLC-08.259</t>
  </si>
  <si>
    <t>TBLC-08.267</t>
  </si>
  <si>
    <t>TBLC-08.266</t>
  </si>
  <si>
    <t>Nº Contrato</t>
  </si>
  <si>
    <t>LS</t>
  </si>
  <si>
    <t>Volume Faturável</t>
  </si>
  <si>
    <t>Energia Contratada</t>
  </si>
  <si>
    <t>CHESF_025_0109_1217</t>
  </si>
  <si>
    <t>Mosaic</t>
  </si>
  <si>
    <t>VENDA VALE ENERGIA PARA VALE PIEG</t>
  </si>
  <si>
    <t>ORIGEM</t>
  </si>
  <si>
    <t>DESTINO</t>
  </si>
  <si>
    <t>VOLUME</t>
  </si>
  <si>
    <t>PREÇO</t>
  </si>
  <si>
    <t>VALOR</t>
  </si>
  <si>
    <t>RJ</t>
  </si>
  <si>
    <t>MA</t>
  </si>
  <si>
    <t>MG</t>
  </si>
  <si>
    <t>TOTAL</t>
  </si>
  <si>
    <t>UNIDADE</t>
  </si>
  <si>
    <t>TIPO Energia</t>
  </si>
  <si>
    <t>Consumo</t>
  </si>
  <si>
    <t>ES</t>
  </si>
  <si>
    <t>PA</t>
  </si>
  <si>
    <t>Estreito</t>
  </si>
  <si>
    <t>Comercialização</t>
  </si>
  <si>
    <t>MWm</t>
  </si>
  <si>
    <t>EMPREENDIMENTOS</t>
  </si>
  <si>
    <t>TIPO DE ENERGIA</t>
  </si>
  <si>
    <t>ESTADO</t>
  </si>
  <si>
    <t>UF</t>
  </si>
  <si>
    <t xml:space="preserve">Vale Energia </t>
  </si>
  <si>
    <t>Mercado</t>
  </si>
  <si>
    <t>Machadinho - Autoprodutor</t>
  </si>
  <si>
    <t>SC</t>
  </si>
  <si>
    <t>PREVISÃO DE LIQUIDAÇÃO  - VALE</t>
  </si>
  <si>
    <t xml:space="preserve">Tipo de Energia </t>
  </si>
  <si>
    <t>Usina VIII</t>
  </si>
  <si>
    <t>Vale</t>
  </si>
  <si>
    <t>Consumo - proinfa</t>
  </si>
  <si>
    <t>VE</t>
  </si>
  <si>
    <t>FERTILIZANTES EI &gt;&gt; 0214_0119</t>
  </si>
  <si>
    <t>RIO DOCE CO</t>
  </si>
  <si>
    <t>VALE ENERGIA &gt;&gt; 0713_0119</t>
  </si>
  <si>
    <t>FERTILIZANTES EI &gt;&gt; 0115_0117</t>
  </si>
  <si>
    <t xml:space="preserve">CVRD APE I5 &gt;&gt; 0115_0119 </t>
  </si>
  <si>
    <t>CVRD PIE I5 &gt;&gt; 0115_0119</t>
  </si>
  <si>
    <t>B.PACIENCIA I5  &gt;&gt; 0115_1224</t>
  </si>
  <si>
    <t>PAIOL I5 &gt;&gt; 0115_1224</t>
  </si>
  <si>
    <t>C.GRANDE I5 &gt;&gt; 0115_1224</t>
  </si>
  <si>
    <t>SAO GONCALO I5 &gt;&gt; 0115_1224</t>
  </si>
  <si>
    <t>NINHO DA AGUIA I5 &gt;&gt; 0115_1224</t>
  </si>
  <si>
    <t>VARZEA ALEGRE I5 &gt;&gt; 0115_1224</t>
  </si>
  <si>
    <t>Total Grupo Vale</t>
  </si>
  <si>
    <t>Curto Prazo</t>
  </si>
  <si>
    <t>CVRD APE I5G &gt;&gt; 0214_0119</t>
  </si>
  <si>
    <t>CVRD CL3 &gt;&gt;  1213_0119</t>
  </si>
  <si>
    <t>FERTILIZANTE EI &gt;&gt; 0214_0119</t>
  </si>
  <si>
    <t>FERTILIZANTE NE &gt;&gt; 0214_0119</t>
  </si>
  <si>
    <t>VALE ENERGIA &gt;&gt; 0214_0119</t>
  </si>
  <si>
    <t>CVRD APE I5G &gt;&gt; 0214_0119 (AP)</t>
  </si>
  <si>
    <t>SALOBO &gt;&gt; 0214_0119</t>
  </si>
  <si>
    <t>CVRD CL3 &gt;&gt; 0214_0119 (AP)</t>
  </si>
  <si>
    <t>Porto Estrela</t>
  </si>
  <si>
    <t>Funil</t>
  </si>
  <si>
    <t>Candonga</t>
  </si>
  <si>
    <t>Aimorés</t>
  </si>
  <si>
    <t>CONTRATOS ALIANÇA</t>
  </si>
  <si>
    <t>Capim Branco I/Epicares I</t>
  </si>
  <si>
    <t>Capim Branco II/Epicares II</t>
  </si>
  <si>
    <t>CNPJ</t>
  </si>
  <si>
    <t>33.592.510/0413-49</t>
  </si>
  <si>
    <t>33.592.510/0447-98</t>
  </si>
  <si>
    <t>33.592.510/0007-40</t>
  </si>
  <si>
    <t>33.592.510/0370-74</t>
  </si>
  <si>
    <t>33592510/0220-42</t>
  </si>
  <si>
    <t>33.592.510/0164-09</t>
  </si>
  <si>
    <t>33.592.510/0075-90</t>
  </si>
  <si>
    <t>33592510/0434-73</t>
  </si>
  <si>
    <t>33.592.510/0044-94</t>
  </si>
  <si>
    <t>33592510/0424-00</t>
  </si>
  <si>
    <t>33.592.510/0009-01</t>
  </si>
  <si>
    <t>33.592.510/0034-12</t>
  </si>
  <si>
    <t>33.592.510.0055-47</t>
  </si>
  <si>
    <t>33.592.510/0401-05</t>
  </si>
  <si>
    <t>33.592.510/0220-42</t>
  </si>
  <si>
    <t>33.592.510.0008-20</t>
  </si>
  <si>
    <t>33.592.510.0412-68</t>
  </si>
  <si>
    <t>33.592.510.0433-92</t>
  </si>
  <si>
    <t>33.592.510/0021-06</t>
  </si>
  <si>
    <t>33.592.510/0089-96</t>
  </si>
  <si>
    <t>33.592.510/0217-47</t>
  </si>
  <si>
    <t>CONTRATO</t>
  </si>
  <si>
    <t>CONSUMO CONVENCIONAL DA VALE</t>
  </si>
  <si>
    <t>CONSUMO INCENTIVADA DA VALE</t>
  </si>
  <si>
    <t>CONSUMO TOTAL DA VALE *</t>
  </si>
  <si>
    <t>CONTRATOS VENDA VALE</t>
  </si>
  <si>
    <t>* Consumo considerando uma perda de 2,7% sem dedução do Proinfa</t>
  </si>
  <si>
    <t>RESTANTE</t>
  </si>
  <si>
    <t>VENDA VALE</t>
  </si>
  <si>
    <t>Previsão da Liquidação</t>
  </si>
  <si>
    <t>CONTRATOS NORTE ENERGIA</t>
  </si>
  <si>
    <t>Norte Energia</t>
  </si>
  <si>
    <t>Consumo-Proinfa</t>
  </si>
  <si>
    <t>33.592.510/0412-68</t>
  </si>
  <si>
    <t>Montante MWh</t>
  </si>
  <si>
    <t>CT Orçamento</t>
  </si>
  <si>
    <t>Ponta</t>
  </si>
  <si>
    <t>Fora Ponta</t>
  </si>
  <si>
    <t>CSP</t>
  </si>
  <si>
    <t>HORAS</t>
  </si>
  <si>
    <t>MW médio CT</t>
  </si>
  <si>
    <t xml:space="preserve">MWh </t>
  </si>
  <si>
    <t>Volume do Contrato</t>
  </si>
  <si>
    <t>Livre</t>
  </si>
  <si>
    <t>RIO DOCE CO - 21454</t>
  </si>
  <si>
    <t>Grupo Vale</t>
  </si>
  <si>
    <t>CPBS</t>
  </si>
  <si>
    <t>VENDA VALE ENERGIA INCENTIVADA PARA  CVRD PIE</t>
  </si>
  <si>
    <t>CONTRATOS COMPRA VALE</t>
  </si>
  <si>
    <t>BROOKFIELD I5 &gt;&gt; 0516_1220</t>
  </si>
  <si>
    <t>NORDESTE</t>
  </si>
  <si>
    <t>Consolidado</t>
  </si>
  <si>
    <t>Balanço Mensal de Energia por Agente CCEE em MWh /MWm</t>
  </si>
  <si>
    <t>Pelotização 4 - Hispanobrás</t>
  </si>
  <si>
    <t>VALE ENERGIA &gt;&gt;</t>
  </si>
  <si>
    <t>CVRD CE &gt;&gt;</t>
  </si>
  <si>
    <t>FERTILIZANTES NE &gt;&gt;</t>
  </si>
  <si>
    <t>VALE ENERGIA I5</t>
  </si>
  <si>
    <t>Perda</t>
  </si>
  <si>
    <t>VALE ENERGIA I5 &gt;&gt; 0215_0119</t>
  </si>
  <si>
    <t>CVRD APE I5G &gt;&gt; 0215_0119</t>
  </si>
  <si>
    <t>CVRD &gt;&gt; 0113_0119</t>
  </si>
  <si>
    <t>VALE ENE I5 &gt;&gt; 0214_0119</t>
  </si>
  <si>
    <t>CVRD APE I5G  &gt;&gt; 0214_0119</t>
  </si>
  <si>
    <t>CVRD PIE I5 &gt;&gt; 0214_0119</t>
  </si>
  <si>
    <t>CVRD CL2  &gt;&gt; 0214_0119</t>
  </si>
  <si>
    <t>ALIANÇA GERAÇÃO &gt;&gt; 0214_0119</t>
  </si>
  <si>
    <t>CVRD CL2 &gt;&gt; 0214_0119 (AP)</t>
  </si>
  <si>
    <t>CVRD &gt;&gt; 0214_0119 (AP)</t>
  </si>
  <si>
    <t>PCH Mello - Autoprodutor</t>
  </si>
  <si>
    <t>id CCEE</t>
  </si>
  <si>
    <t>R$/MWh</t>
  </si>
  <si>
    <t>R$</t>
  </si>
  <si>
    <t>TIG</t>
  </si>
  <si>
    <t>VALE ENE I5 &gt;&gt; 0111_0119</t>
  </si>
  <si>
    <t>CVRD CL2 &gt;&gt; 0111_0119</t>
  </si>
  <si>
    <t>CVRD CL2 &gt;&gt; 0214_0119</t>
  </si>
  <si>
    <t>CVRD  CL2 &gt;&gt; 0214_0119</t>
  </si>
  <si>
    <t>VALE ENE I5 &gt;&gt; 0414_0119</t>
  </si>
  <si>
    <t>CVRD CL2 &gt;&gt; 0414_0119</t>
  </si>
  <si>
    <t>VALE ENE I5 &gt;&gt; 0216_0119</t>
  </si>
  <si>
    <t>CVRD PIE I5 &gt;&gt; 1213_0119</t>
  </si>
  <si>
    <t>VALE ENE I5 &gt;&gt; 1213_0119</t>
  </si>
  <si>
    <t>CVRD PIE &gt;&gt; 0214_0119 (AP)</t>
  </si>
  <si>
    <t>CVRD CL3 &gt;&gt; 0414_0119</t>
  </si>
  <si>
    <t>CVRD CL3 &gt;&gt; 1213_0119</t>
  </si>
  <si>
    <t>CVRD CL3 &gt;&gt; 0214_0119</t>
  </si>
  <si>
    <t>CVRD - 39</t>
  </si>
  <si>
    <t>PROINFA CVRD</t>
  </si>
  <si>
    <t>CHESF &gt;&gt; 0109_1217</t>
  </si>
  <si>
    <t>VALE ENERGIA &gt;&gt; 1110_0119</t>
  </si>
  <si>
    <t>CVRD &gt;&gt; 1110_0119</t>
  </si>
  <si>
    <t>CVRD &gt;&gt; 0112_1219</t>
  </si>
  <si>
    <t>ENGIE &gt;&gt; 0213_0732 (AP)</t>
  </si>
  <si>
    <t>ALIANÇA GERAÇÃO &gt;&gt; 0713_0119</t>
  </si>
  <si>
    <t>CVRD PIEG &gt;&gt; 0214_0119</t>
  </si>
  <si>
    <t>CVRD PIE &gt;&gt; 0214_0119</t>
  </si>
  <si>
    <t>CVRD &gt;&gt; 0214_0119</t>
  </si>
  <si>
    <t>CVRD APE I5 &gt;&gt; 0214_0119 (AP)</t>
  </si>
  <si>
    <t>CVRD PIE - 1834</t>
  </si>
  <si>
    <t>NORTE ENERGIA &gt;&gt; 0116_0845</t>
  </si>
  <si>
    <t>ALIANÇA GERAÇÃO - AIMORES (AP)</t>
  </si>
  <si>
    <t>ALIANÇA GERAÇÃO - CANDONGA (AP)</t>
  </si>
  <si>
    <t>ALIANÇA GERAÇÃO - CBI (AP)</t>
  </si>
  <si>
    <t>ALIANÇA GERAÇÃO - CBII (AP)</t>
  </si>
  <si>
    <t>ALIANÇA GERAÇÃO - FUNIL (AP)</t>
  </si>
  <si>
    <t>ALIANÇA GERAÇÃO - IGARAPAVA (AP)</t>
  </si>
  <si>
    <t>ALIANÇA GERAÇÃO - PORTO ESTRELA (AP)</t>
  </si>
  <si>
    <t>CVRD PIE &gt;&gt; 0713_0119</t>
  </si>
  <si>
    <t>CVRD PIE I5 - 5044</t>
  </si>
  <si>
    <t>CVRD APE I5 - 5558</t>
  </si>
  <si>
    <t>CVRD APE I5 &gt;&gt; 0214_0119</t>
  </si>
  <si>
    <t>VALE ENERGIA I5 - 3172</t>
  </si>
  <si>
    <t>CVRD PIE I5 &gt;&gt; 0115_0117</t>
  </si>
  <si>
    <t>VMSA - Simões Filho, BA</t>
  </si>
  <si>
    <t>VALE ENE I5 &gt;&gt; 0115_0118</t>
  </si>
  <si>
    <t>RIO DOCE D &gt;&gt; 0115_0118</t>
  </si>
  <si>
    <t>VALE ENERGIA &gt;&gt; 0915_0119</t>
  </si>
  <si>
    <t>RIO DOCE D &gt;&gt; 0915_0119</t>
  </si>
  <si>
    <t>VMSA - Barbacena, MG</t>
  </si>
  <si>
    <t>VALE ENE I5 &gt;&gt; 0115_0119</t>
  </si>
  <si>
    <t>RIO DOCE SE D &gt;&gt; 0115_0119</t>
  </si>
  <si>
    <t>VMSA - Ouro Preto, MG</t>
  </si>
  <si>
    <t>VALE ENE I5 &gt;&gt; 0715_0119</t>
  </si>
  <si>
    <t>RIO DOCE CO &gt;&gt; 0715_0119</t>
  </si>
  <si>
    <t>VALE ENERGIA &gt;&gt; 0115_1219</t>
  </si>
  <si>
    <t>SALOBO &gt;&gt; 0115_1219</t>
  </si>
  <si>
    <t>VALE ENE I5 &gt;&gt; 0116_1219</t>
  </si>
  <si>
    <t>SALOBO &gt;&gt; 0116_1219</t>
  </si>
  <si>
    <t>VALE ENERGIA &gt;&gt; 0116_1219</t>
  </si>
  <si>
    <t>DUKE_40_MWm &gt;&gt; 0113_1220</t>
  </si>
  <si>
    <t>CVRD PIE &gt;&gt; 0114_0119</t>
  </si>
  <si>
    <t>LIGHT_120_MWm &gt;&gt; 0614_1224</t>
  </si>
  <si>
    <t>RIO DOCE SE &gt;&gt; 0214_0119</t>
  </si>
  <si>
    <t>CPBS MATRIZ &gt;&gt; 0316_1216</t>
  </si>
  <si>
    <t>FERTILIZANTES NE &gt;&gt; 0214_0119</t>
  </si>
  <si>
    <t>CVRD CL2 &gt;&gt; 0216_1219</t>
  </si>
  <si>
    <t>Fertilizantes - Tapira (CMT)</t>
  </si>
  <si>
    <t>Fertilizantes - Uberaba (CIU)</t>
  </si>
  <si>
    <t>Fertilizantes - Cajati (CAJ)</t>
  </si>
  <si>
    <t>Fertilizantes - Cubatão (CUB1)</t>
  </si>
  <si>
    <t>Fertilizantes - Catalão (CMC)</t>
  </si>
  <si>
    <t>Fertilizantes - Piaçaguera (CUB2)</t>
  </si>
  <si>
    <t>Fertilizantes - Araxá (CMA)</t>
  </si>
  <si>
    <t>Fertilizantes - Mosaic (CUB4)</t>
  </si>
  <si>
    <t>Fertilizantes - Cubatão (CUB3)</t>
  </si>
  <si>
    <t>CPBS MATRIZ &gt;&gt;</t>
  </si>
  <si>
    <t>CVRD APE I5</t>
  </si>
  <si>
    <t>CVRD PIE</t>
  </si>
  <si>
    <t>CVRD PIE I5</t>
  </si>
  <si>
    <t>Balanço MWm</t>
  </si>
  <si>
    <t>CVRD PIE I5 &gt;&gt; 0215_0119</t>
  </si>
  <si>
    <t>S11D</t>
  </si>
  <si>
    <t>CVRD PIE &gt;&gt; 0112_1219</t>
  </si>
  <si>
    <t>VALE ENERGIA &gt;&gt; 0114_0119</t>
  </si>
  <si>
    <t>CCEEI-CemigGT_ValeEnergia_EI5_2017_2018_Assinado 20102016</t>
  </si>
  <si>
    <t>CCVEE_CemigGT_ValeEnergia_Conv_2017_2018_Assinado 20102016</t>
  </si>
  <si>
    <t>CVE_10,7_VE_01012017_31122017_SALOBO</t>
  </si>
  <si>
    <t>PROINFA CVRD CL2</t>
  </si>
  <si>
    <t>PROINFA CVRD CL3</t>
  </si>
  <si>
    <t>PROINFA | ACEP &gt;&gt; 0117_1225</t>
  </si>
  <si>
    <t>PROINFA | ACEP &gt;&gt; 0106_1225</t>
  </si>
  <si>
    <t>PROINFA | ACEP &gt;&gt; 0112_1225</t>
  </si>
  <si>
    <t>PROINFA | ACEP &gt;&gt; NE</t>
  </si>
  <si>
    <t>PROINFA | ACEP &gt;&gt; SE</t>
  </si>
  <si>
    <t>PROINFA | ACEP &gt;&gt; 0807_1225</t>
  </si>
  <si>
    <t>Água Limpa</t>
  </si>
  <si>
    <t>Fábrica (Ferrosos Sul)</t>
  </si>
  <si>
    <t>Fábrica (Pelotização)</t>
  </si>
  <si>
    <t>Vargem Grande 2</t>
  </si>
  <si>
    <t>Vargem Grande 1</t>
  </si>
  <si>
    <t>Vargem Grande (Pelotização)</t>
  </si>
  <si>
    <t>Terminal de Carga Geral</t>
  </si>
  <si>
    <t>Candonga - Produtor Independente</t>
  </si>
  <si>
    <t>GSF:</t>
  </si>
  <si>
    <t>TIPO ENERGIA</t>
  </si>
  <si>
    <t>FURNAS &gt;&gt; 0117_0235</t>
  </si>
  <si>
    <t>VE INCENTIVADA*</t>
  </si>
  <si>
    <t xml:space="preserve">*A Vale Energia Incentivada já possui as cargas definidas para faturamento. </t>
  </si>
  <si>
    <t>CVRD CL SE_CO &gt;&gt; 1215_0119</t>
  </si>
  <si>
    <t>FERTILIZANTES SE &gt;&gt; 0815_0119</t>
  </si>
  <si>
    <t>CPBS - 60048</t>
  </si>
  <si>
    <t>CVRD CE</t>
  </si>
  <si>
    <t>CVRD CE -</t>
  </si>
  <si>
    <t>MCR</t>
  </si>
  <si>
    <t>Jangada</t>
  </si>
  <si>
    <t>MAC</t>
  </si>
  <si>
    <t>PROINFA CVRD CE</t>
  </si>
  <si>
    <t xml:space="preserve">VALE ENE I5 &gt;&gt; </t>
  </si>
  <si>
    <t xml:space="preserve">CVRD APE I5 &gt;&gt; </t>
  </si>
  <si>
    <t>MCR -</t>
  </si>
  <si>
    <t>PROINFA MCR</t>
  </si>
  <si>
    <t>VALE ENE I5 &gt;&gt; 0117_1217</t>
  </si>
  <si>
    <t>MCR - Santa Cruz</t>
  </si>
  <si>
    <t>MCR &gt;&gt;</t>
  </si>
  <si>
    <t>(GSF / Secundária)</t>
  </si>
  <si>
    <t>(+ / -)</t>
  </si>
  <si>
    <t>V E N D A   V A L E   E N E R G I A   I N C E N T I V A D A</t>
  </si>
  <si>
    <t>ALIANÇA I5 &gt;&gt; 0417_0817</t>
  </si>
  <si>
    <t>SE/CO</t>
  </si>
  <si>
    <t>SP</t>
  </si>
  <si>
    <t>Cubatão - CUB4</t>
  </si>
  <si>
    <t>V E N D A   V A L E   E N E R G I A   C O N V E N C I O N A L</t>
  </si>
  <si>
    <t>CVRD PIE &gt;&gt; 0617 (AP)</t>
  </si>
  <si>
    <t>CVRD CL2 &gt;&gt; 0617 (AP)</t>
  </si>
  <si>
    <t>Liquidação 
R$</t>
  </si>
  <si>
    <t>MCR - Porto Gregório Curvo</t>
  </si>
  <si>
    <t>MCR - Urucum</t>
  </si>
  <si>
    <t>VALE CUBATÃO</t>
  </si>
  <si>
    <t>VALE CUBATÃO CE</t>
  </si>
  <si>
    <t>VALE CUBATÃO - 3635</t>
  </si>
  <si>
    <t>VALE CUBATÃO CE - 70621</t>
  </si>
  <si>
    <t>CVRD PIE &gt;&gt; 0717_0119</t>
  </si>
  <si>
    <t>Utilidades SER1</t>
  </si>
  <si>
    <t>Utilidades SER2</t>
  </si>
  <si>
    <t>Consumo - Proinfa</t>
  </si>
  <si>
    <t>MAC - Mina Águas Claras</t>
  </si>
  <si>
    <t>MS</t>
  </si>
  <si>
    <t>FERTILIZANTES &gt;&gt; 0214_0119</t>
  </si>
  <si>
    <t>CVE_XXX_VALE_01012018_31122018_SALOBO</t>
  </si>
  <si>
    <t>CCE_15,0MWm_FOCUS_01012018_31122018</t>
  </si>
  <si>
    <t>CVE_10,7_VE_01012017_31122020_SALOBO</t>
  </si>
  <si>
    <t>CVI_3,0_VE_01012017_31122018_VOTENER_SECO</t>
  </si>
  <si>
    <t>CCVE_26_30,30_VE_2018_a_2021_CUBATAO</t>
  </si>
  <si>
    <t>CCVE_100_108_VE_2018_a_2021_FERTILIZANTES</t>
  </si>
  <si>
    <t>CCVE_20_VE_2018_a_2021_FERTILIZANTES</t>
  </si>
  <si>
    <t>CCVE_97,61_VE_01012018_31122018_VALE</t>
  </si>
  <si>
    <t>VALE ENE I5 &gt;&gt; MCR PGC</t>
  </si>
  <si>
    <t>VALE ENE I5 &gt;&gt; MCR STA CRUZ</t>
  </si>
  <si>
    <t>VALE ENE I5 &gt;&gt; MCR URUCUM</t>
  </si>
  <si>
    <t>MCR - URUCUM &gt;&gt; 0118_1218</t>
  </si>
  <si>
    <t>MCR - PGC_0,269MWm &gt;&gt; 0118_1218</t>
  </si>
  <si>
    <t>MCR - STA CRUZ_1,4MWm &gt;&gt; 0118_1218</t>
  </si>
  <si>
    <t>Potássio (CTV)</t>
  </si>
  <si>
    <t>GO</t>
  </si>
  <si>
    <t>GARROTE &gt;&gt; 0417_0146</t>
  </si>
  <si>
    <t>STO INÁCIO III &gt;&gt; 0417_0146</t>
  </si>
  <si>
    <t>SAO RAIMUNDO &gt;&gt; 0417_0146</t>
  </si>
  <si>
    <t>STO INÁCIO IV &gt;&gt; 0417_0146</t>
  </si>
  <si>
    <t>CVRD CE - 65931</t>
  </si>
  <si>
    <t>CVRD TIG - 77602</t>
  </si>
  <si>
    <t xml:space="preserve">VALE ENE I5 </t>
  </si>
  <si>
    <t>CVRD TIG</t>
  </si>
  <si>
    <t>Verificação Volume</t>
  </si>
  <si>
    <t>Pelotização São Luis</t>
  </si>
  <si>
    <t>NE</t>
  </si>
  <si>
    <t>Sobras/Déficts</t>
  </si>
  <si>
    <t>MOSAIC FERTILIZANTES PEK  EI</t>
  </si>
  <si>
    <t xml:space="preserve">MOSAIC FERTILIZANTES PEK </t>
  </si>
  <si>
    <t>MOSAIC FERTILIZANTES PEK</t>
  </si>
  <si>
    <t>MOSAIC FERTILIZANTES PEK I5</t>
  </si>
  <si>
    <t>Bombeamento de Uberaba</t>
  </si>
  <si>
    <t>MOSAIC FERTILIZANTES PEK - 78063</t>
  </si>
  <si>
    <t>MOSAIC FERTILIZANTES PEK  EI - 79143</t>
  </si>
  <si>
    <t>Mês: 01/2019</t>
  </si>
  <si>
    <t>Mês: 02/2019</t>
  </si>
  <si>
    <t>Mês: 03/2019</t>
  </si>
  <si>
    <t>Mês: 04/2019</t>
  </si>
  <si>
    <t>Mês: 05/2019</t>
  </si>
  <si>
    <t>Mês: 06/2019</t>
  </si>
  <si>
    <t>Mês: 07/2019</t>
  </si>
  <si>
    <t>Mês: 08/2019</t>
  </si>
  <si>
    <t>Mês: 09/2019</t>
  </si>
  <si>
    <t>Mês: 10/2019</t>
  </si>
  <si>
    <t>Mês: 11/2019</t>
  </si>
  <si>
    <t>Mês: 12/2019</t>
  </si>
  <si>
    <t>CCE_3,4_BIOENERGIAS_012019_31032019</t>
  </si>
  <si>
    <t>CCE_5_WX_012019_31032019</t>
  </si>
  <si>
    <t>CCE_5_LIBRA_012019_31032019</t>
  </si>
  <si>
    <t>CCE_5_TARGUS_012019_31032019</t>
  </si>
  <si>
    <t>CCE_3_TRINITY_012019_31032019</t>
  </si>
  <si>
    <t>CCE_2_LUMEN_012019_31032019</t>
  </si>
  <si>
    <t>CCE_10_ECOM_012019_31032019</t>
  </si>
  <si>
    <t>CCE_3_LIBRA_012019_31032019</t>
  </si>
  <si>
    <t>CCE_15_MATRIX_012019_31032019</t>
  </si>
  <si>
    <t>CCE_10_CELER_012019_31012019</t>
  </si>
  <si>
    <t>CCE_2_NOVA_012019_31012019</t>
  </si>
  <si>
    <t>CCE_5_NOVA_012019_31012019</t>
  </si>
  <si>
    <t>CCE_5_BCCOMERCIALIZADORA_012019_31012019</t>
  </si>
  <si>
    <t>CCE_3_ATMO_012019_31012019</t>
  </si>
  <si>
    <t>CCE_2_BCCOMERCIALIZADORA_012019_31012019</t>
  </si>
  <si>
    <t>CCE_0,1_MÁXIMA_012019_31012019</t>
  </si>
  <si>
    <t>CCE_9,9_MÁXIMA_012019_31012019</t>
  </si>
  <si>
    <t>CCE_2_MATRIX_012019_31012019</t>
  </si>
  <si>
    <t>CCE_1_FDR_012019_31012019</t>
  </si>
  <si>
    <t>CCE_5_SAFIRA_012019_31012019</t>
  </si>
  <si>
    <t>CCE_0,4_MATRIX_012019_31012019</t>
  </si>
  <si>
    <t>CCE_1_NOVA_012019_31012019</t>
  </si>
  <si>
    <t>CCE_2_ECOM_012019_31012019</t>
  </si>
  <si>
    <t>CCE_10_COMERC_012019_31012019</t>
  </si>
  <si>
    <t>CCE_20_TARGUS_012019_31012019</t>
  </si>
  <si>
    <t>CVRD D&gt;&gt; CVRD TIG</t>
  </si>
  <si>
    <t>Contratos de venda</t>
  </si>
  <si>
    <t>CCE_5_DEAL_01012019_31122019</t>
  </si>
  <si>
    <t>CCE_3_ENERGISA_01012019_31122019</t>
  </si>
  <si>
    <t>CCE_2_wx_01012019_30062019</t>
  </si>
  <si>
    <t>FURNAS &gt;&gt; 0119_0235</t>
  </si>
  <si>
    <t>CCE_2_LUMEN_01012019_31122019</t>
  </si>
  <si>
    <t>CCE_1_ENERGISA_01012019_31122019</t>
  </si>
  <si>
    <t>CCE_3_AMERICA_012019_122019</t>
  </si>
  <si>
    <t>CCE_5_DEAL_012019_122019</t>
  </si>
  <si>
    <t>CCE_10_FOCUS_012019_122019</t>
  </si>
  <si>
    <t>CCE_2_RRCOMERCIALIZADORA_012019_122019</t>
  </si>
  <si>
    <t>CCE_5_WX_012019_122019</t>
  </si>
  <si>
    <t>CCE_7,5_STIMA_012019_122019</t>
  </si>
  <si>
    <t>CCE_3_MERITO_012019_122019</t>
  </si>
  <si>
    <t>CCE_5_FOCUS_012019_122019</t>
  </si>
  <si>
    <t>CCE_7_TARGUS_012019_122019</t>
  </si>
  <si>
    <t>CCE_10_SOLENERGIAS_012019_122019</t>
  </si>
  <si>
    <t>CCE_20_SAFIRA_012019_122019</t>
  </si>
  <si>
    <t>CCE_5_TARGUS_012019_122019</t>
  </si>
  <si>
    <t>CCE_3_CINERGY_012019_122019</t>
  </si>
  <si>
    <t>CCE_7_BCCOMERCIALIZADORA_012019_122019</t>
  </si>
  <si>
    <t>CVE_3_AMERICA_012019_122019</t>
  </si>
  <si>
    <t>CVE_5_DEAL_012019_122019</t>
  </si>
  <si>
    <t>CVE_10_FOCUS_012019_122019</t>
  </si>
  <si>
    <t>CVE_2_RRCOMERCIALIZADORA_012019_122019</t>
  </si>
  <si>
    <t>CVE_5_WX_012019_122019</t>
  </si>
  <si>
    <t>CVE_7,5_STIMA_012019_122019</t>
  </si>
  <si>
    <t>CVE_3_MERITO_012019_122019</t>
  </si>
  <si>
    <t>CVE_5_FOCUS_012019_122019</t>
  </si>
  <si>
    <t>CVE_7_TARGUS_012019_122019</t>
  </si>
  <si>
    <t>CVE_10_SOLENERGIAS_012019_122019</t>
  </si>
  <si>
    <t>CVE_20_SAFIRA_012019_122019</t>
  </si>
  <si>
    <t>CVE_5_TARGUS_012019_122019</t>
  </si>
  <si>
    <t>CVE_3,02_VALE_01012019_31122019_CPBS</t>
  </si>
  <si>
    <t>PR</t>
  </si>
  <si>
    <t>Fospar</t>
  </si>
  <si>
    <t>CCE_53_PRINCIPAL_012019_31012019</t>
  </si>
  <si>
    <t>CCE_25_SAMARCO_012019_31012019</t>
  </si>
  <si>
    <t>sUDESTE</t>
  </si>
  <si>
    <t>CCE_8_ECOM_012019_31012019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</si>
</sst>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* #,##0.000_);_(* \(#,##0.000\);_(* &quot;-&quot;??_);_(@_)"/>
    <numFmt numFmtId="167" formatCode="_(* #,##0.000_);_(* \(#,##0.000\);_(* &quot;-&quot;???_);_(@_)"/>
    <numFmt numFmtId="168" formatCode="0.000"/>
    <numFmt numFmtId="169" formatCode="0.000000"/>
    <numFmt numFmtId="170" formatCode="#,##0.000"/>
    <numFmt numFmtId="171" formatCode="#,##0.000000"/>
    <numFmt numFmtId="172" formatCode="0.0000000"/>
    <numFmt numFmtId="173" formatCode="_(&quot;$&quot;* #,##0.00_);_(&quot;$&quot;* \(#,##0.00\);_(&quot;$&quot;* &quot;-&quot;??_);_(@_)"/>
    <numFmt numFmtId="174" formatCode="0.0000000000000000000E+00"/>
    <numFmt numFmtId="175" formatCode="_-* #,##0.000_-;\-* #,##0.000_-;_-* &quot;-&quot;???_-;_-@_-"/>
    <numFmt numFmtId="176" formatCode="_(* #,##0.0_);_(* \(#,##0.0\);_(* &quot;-&quot;??_);_(@_)"/>
  </numFmts>
  <fonts count="45" x14ac:knownFonts="1">
    <font>
      <sz val="11"/>
      <color theme="1"/>
      <name val="Calibri"/>
      <family val="2"/>
      <scheme val="minor"/>
    </font>
    <font>
      <b/>
      <sz val="8"/>
      <color indexed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Arial"/>
      <family val="2"/>
    </font>
    <font>
      <sz val="8"/>
      <color indexed="8"/>
      <name val="Verdana"/>
      <family val="2"/>
    </font>
    <font>
      <sz val="10"/>
      <name val="Arial"/>
      <family val="2"/>
    </font>
    <font>
      <sz val="8"/>
      <name val="Verdana"/>
      <family val="2"/>
    </font>
    <font>
      <b/>
      <sz val="10"/>
      <color indexed="9"/>
      <name val="Verdana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Verdana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8"/>
      <color theme="5" tint="0.39997558519241921"/>
      <name val="Verdana"/>
      <family val="2"/>
    </font>
    <font>
      <b/>
      <sz val="9"/>
      <color theme="0"/>
      <name val="Arial"/>
      <family val="2"/>
    </font>
    <font>
      <sz val="8"/>
      <color rgb="FF0070C0"/>
      <name val="Verdana"/>
      <family val="2"/>
    </font>
    <font>
      <sz val="11"/>
      <color theme="1"/>
      <name val="Verdana"/>
      <family val="2"/>
    </font>
    <font>
      <sz val="11"/>
      <color rgb="FFFF000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0"/>
      <name val="Verdana"/>
      <family val="2"/>
    </font>
    <font>
      <sz val="8"/>
      <color theme="7"/>
      <name val="Verdana"/>
      <family val="2"/>
    </font>
    <font>
      <sz val="8"/>
      <color rgb="FF7030A0"/>
      <name val="Verdana"/>
      <family val="2"/>
    </font>
    <font>
      <sz val="8"/>
      <color theme="1"/>
      <name val="Calibri"/>
      <family val="2"/>
      <scheme val="minor"/>
    </font>
    <font>
      <sz val="8"/>
      <color rgb="FFC00000"/>
      <name val="Verdana"/>
      <family val="2"/>
    </font>
    <font>
      <b/>
      <sz val="9"/>
      <color indexed="81"/>
      <name val="Segoe UI"/>
      <family val="2"/>
    </font>
    <font>
      <sz val="8"/>
      <color rgb="FFFF0000"/>
      <name val="Verdana"/>
      <family val="2"/>
    </font>
  </fonts>
  <fills count="2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E7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DashDot">
        <color indexed="64"/>
      </left>
      <right/>
      <top/>
      <bottom/>
      <diagonal/>
    </border>
    <border>
      <left/>
      <right style="mediumDashDot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medium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DashDot">
        <color indexed="64"/>
      </right>
      <top style="dotted">
        <color indexed="64"/>
      </top>
      <bottom style="dotted">
        <color indexed="64"/>
      </bottom>
      <diagonal/>
    </border>
    <border>
      <left style="mediumDashDot">
        <color indexed="64"/>
      </left>
      <right/>
      <top style="dotted">
        <color indexed="64"/>
      </top>
      <bottom/>
      <diagonal/>
    </border>
    <border>
      <left/>
      <right style="mediumDashDot">
        <color indexed="64"/>
      </right>
      <top style="dotted">
        <color indexed="64"/>
      </top>
      <bottom/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/>
      <right style="mediumDashDot">
        <color indexed="64"/>
      </right>
      <top/>
      <bottom style="dotted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9">
    <xf numFmtId="0" fontId="0" fillId="0" borderId="0"/>
    <xf numFmtId="164" fontId="19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9" fillId="0" borderId="0"/>
    <xf numFmtId="0" fontId="19" fillId="0" borderId="0"/>
    <xf numFmtId="0" fontId="6" fillId="0" borderId="0"/>
    <xf numFmtId="0" fontId="10" fillId="0" borderId="0"/>
    <xf numFmtId="0" fontId="6" fillId="0" borderId="0"/>
    <xf numFmtId="0" fontId="11" fillId="0" borderId="0"/>
    <xf numFmtId="0" fontId="13" fillId="0" borderId="0"/>
    <xf numFmtId="0" fontId="14" fillId="0" borderId="0"/>
    <xf numFmtId="9" fontId="1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581">
    <xf numFmtId="0" fontId="0" fillId="0" borderId="0" xfId="0"/>
    <xf numFmtId="167" fontId="0" fillId="0" borderId="0" xfId="0" applyNumberFormat="1"/>
    <xf numFmtId="4" fontId="0" fillId="0" borderId="0" xfId="0" applyNumberFormat="1"/>
    <xf numFmtId="165" fontId="0" fillId="0" borderId="0" xfId="0" applyNumberFormat="1"/>
    <xf numFmtId="0" fontId="6" fillId="0" borderId="0" xfId="5"/>
    <xf numFmtId="0" fontId="6" fillId="0" borderId="0" xfId="5" applyNumberFormat="1"/>
    <xf numFmtId="17" fontId="6" fillId="0" borderId="0" xfId="5" applyNumberFormat="1"/>
    <xf numFmtId="0" fontId="8" fillId="2" borderId="0" xfId="0" applyFont="1" applyFill="1" applyBorder="1" applyAlignment="1">
      <alignment vertical="center"/>
    </xf>
    <xf numFmtId="166" fontId="2" fillId="4" borderId="0" xfId="12" applyNumberFormat="1" applyFont="1" applyFill="1" applyBorder="1" applyAlignment="1">
      <alignment vertical="center"/>
    </xf>
    <xf numFmtId="168" fontId="5" fillId="4" borderId="0" xfId="0" applyNumberFormat="1" applyFont="1" applyFill="1" applyBorder="1" applyAlignment="1">
      <alignment horizontal="right" vertical="center"/>
    </xf>
    <xf numFmtId="0" fontId="22" fillId="4" borderId="0" xfId="0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vertical="center"/>
    </xf>
    <xf numFmtId="170" fontId="5" fillId="4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4" fillId="4" borderId="0" xfId="0" applyFont="1" applyFill="1"/>
    <xf numFmtId="0" fontId="24" fillId="4" borderId="0" xfId="0" applyFont="1" applyFill="1" applyAlignment="1">
      <alignment horizontal="center"/>
    </xf>
    <xf numFmtId="169" fontId="22" fillId="4" borderId="0" xfId="0" applyNumberFormat="1" applyFont="1" applyFill="1"/>
    <xf numFmtId="2" fontId="22" fillId="4" borderId="0" xfId="0" applyNumberFormat="1" applyFont="1" applyFill="1"/>
    <xf numFmtId="170" fontId="3" fillId="6" borderId="0" xfId="0" applyNumberFormat="1" applyFont="1" applyFill="1" applyBorder="1" applyAlignment="1">
      <alignment horizontal="right" vertical="center"/>
    </xf>
    <xf numFmtId="166" fontId="22" fillId="4" borderId="0" xfId="14" applyNumberFormat="1" applyFont="1" applyFill="1"/>
    <xf numFmtId="170" fontId="0" fillId="0" borderId="0" xfId="0" applyNumberFormat="1"/>
    <xf numFmtId="0" fontId="23" fillId="7" borderId="0" xfId="0" applyFont="1" applyFill="1" applyAlignment="1">
      <alignment horizontal="left"/>
    </xf>
    <xf numFmtId="168" fontId="5" fillId="7" borderId="0" xfId="15" applyNumberFormat="1" applyFont="1" applyFill="1" applyBorder="1" applyAlignment="1">
      <alignment vertical="center"/>
    </xf>
    <xf numFmtId="172" fontId="5" fillId="7" borderId="0" xfId="0" applyNumberFormat="1" applyFont="1" applyFill="1" applyBorder="1" applyAlignment="1">
      <alignment vertical="center"/>
    </xf>
    <xf numFmtId="4" fontId="5" fillId="7" borderId="0" xfId="0" applyNumberFormat="1" applyFont="1" applyFill="1" applyBorder="1" applyAlignment="1">
      <alignment horizontal="right" vertical="center"/>
    </xf>
    <xf numFmtId="165" fontId="22" fillId="4" borderId="0" xfId="14" applyFont="1" applyFill="1"/>
    <xf numFmtId="165" fontId="5" fillId="7" borderId="0" xfId="14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170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65" fontId="9" fillId="7" borderId="0" xfId="13" applyFont="1" applyFill="1" applyBorder="1" applyAlignment="1">
      <alignment horizontal="center"/>
    </xf>
    <xf numFmtId="165" fontId="9" fillId="8" borderId="0" xfId="13" applyFont="1" applyFill="1" applyBorder="1" applyAlignment="1">
      <alignment horizontal="center"/>
    </xf>
    <xf numFmtId="165" fontId="9" fillId="7" borderId="7" xfId="13" applyFont="1" applyFill="1" applyBorder="1" applyAlignment="1">
      <alignment horizontal="center"/>
    </xf>
    <xf numFmtId="0" fontId="26" fillId="9" borderId="9" xfId="7" applyFont="1" applyFill="1" applyBorder="1" applyAlignment="1"/>
    <xf numFmtId="0" fontId="5" fillId="8" borderId="10" xfId="7" applyFont="1" applyFill="1" applyBorder="1" applyAlignment="1">
      <alignment vertical="center"/>
    </xf>
    <xf numFmtId="0" fontId="5" fillId="7" borderId="10" xfId="7" applyFont="1" applyFill="1" applyBorder="1" applyAlignment="1">
      <alignment vertical="center"/>
    </xf>
    <xf numFmtId="0" fontId="26" fillId="9" borderId="11" xfId="7" applyFont="1" applyFill="1" applyBorder="1" applyAlignment="1"/>
    <xf numFmtId="0" fontId="5" fillId="8" borderId="9" xfId="7" applyFont="1" applyFill="1" applyBorder="1" applyAlignment="1">
      <alignment vertical="center"/>
    </xf>
    <xf numFmtId="0" fontId="5" fillId="7" borderId="13" xfId="7" applyFont="1" applyFill="1" applyBorder="1" applyAlignment="1">
      <alignment vertical="center"/>
    </xf>
    <xf numFmtId="0" fontId="5" fillId="7" borderId="9" xfId="7" applyFont="1" applyFill="1" applyBorder="1" applyAlignment="1">
      <alignment vertical="center"/>
    </xf>
    <xf numFmtId="0" fontId="26" fillId="9" borderId="11" xfId="7" applyFont="1" applyFill="1" applyBorder="1" applyAlignment="1">
      <alignment horizontal="center" vertical="center"/>
    </xf>
    <xf numFmtId="166" fontId="5" fillId="10" borderId="0" xfId="15" applyNumberFormat="1" applyFont="1" applyFill="1" applyBorder="1" applyAlignment="1">
      <alignment vertical="center"/>
    </xf>
    <xf numFmtId="0" fontId="0" fillId="0" borderId="0" xfId="0"/>
    <xf numFmtId="0" fontId="21" fillId="0" borderId="0" xfId="0" applyFont="1"/>
    <xf numFmtId="166" fontId="9" fillId="7" borderId="3" xfId="13" applyNumberFormat="1" applyFont="1" applyFill="1" applyBorder="1" applyAlignment="1">
      <alignment horizontal="center"/>
    </xf>
    <xf numFmtId="166" fontId="9" fillId="8" borderId="1" xfId="13" applyNumberFormat="1" applyFont="1" applyFill="1" applyBorder="1" applyAlignment="1">
      <alignment horizontal="center"/>
    </xf>
    <xf numFmtId="166" fontId="9" fillId="7" borderId="1" xfId="13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166" fontId="9" fillId="8" borderId="4" xfId="13" applyNumberFormat="1" applyFont="1" applyFill="1" applyBorder="1" applyAlignment="1">
      <alignment horizontal="center"/>
    </xf>
    <xf numFmtId="166" fontId="9" fillId="7" borderId="4" xfId="13" applyNumberFormat="1" applyFont="1" applyFill="1" applyBorder="1" applyAlignment="1">
      <alignment horizontal="center"/>
    </xf>
    <xf numFmtId="0" fontId="26" fillId="9" borderId="12" xfId="7" applyFont="1" applyFill="1" applyBorder="1" applyAlignment="1"/>
    <xf numFmtId="0" fontId="0" fillId="0" borderId="0" xfId="0"/>
    <xf numFmtId="0" fontId="4" fillId="0" borderId="11" xfId="7" applyFont="1" applyBorder="1" applyAlignment="1"/>
    <xf numFmtId="170" fontId="2" fillId="8" borderId="6" xfId="7" applyNumberFormat="1" applyFont="1" applyFill="1" applyBorder="1" applyAlignment="1">
      <alignment vertical="center"/>
    </xf>
    <xf numFmtId="0" fontId="0" fillId="0" borderId="0" xfId="0"/>
    <xf numFmtId="0" fontId="4" fillId="0" borderId="0" xfId="7" applyFont="1" applyBorder="1" applyAlignment="1"/>
    <xf numFmtId="166" fontId="9" fillId="7" borderId="15" xfId="13" applyNumberFormat="1" applyFont="1" applyFill="1" applyBorder="1" applyAlignment="1">
      <alignment horizontal="center"/>
    </xf>
    <xf numFmtId="0" fontId="0" fillId="0" borderId="0" xfId="0"/>
    <xf numFmtId="0" fontId="27" fillId="0" borderId="4" xfId="0" applyFont="1" applyFill="1" applyBorder="1"/>
    <xf numFmtId="0" fontId="28" fillId="0" borderId="0" xfId="0" applyFont="1"/>
    <xf numFmtId="175" fontId="0" fillId="0" borderId="0" xfId="0" applyNumberFormat="1"/>
    <xf numFmtId="0" fontId="0" fillId="0" borderId="0" xfId="0"/>
    <xf numFmtId="0" fontId="26" fillId="9" borderId="3" xfId="7" applyFont="1" applyFill="1" applyBorder="1" applyAlignment="1">
      <alignment horizontal="center"/>
    </xf>
    <xf numFmtId="167" fontId="29" fillId="0" borderId="0" xfId="0" applyNumberFormat="1" applyFont="1"/>
    <xf numFmtId="167" fontId="20" fillId="0" borderId="0" xfId="0" applyNumberFormat="1" applyFont="1"/>
    <xf numFmtId="170" fontId="4" fillId="0" borderId="0" xfId="7" applyNumberFormat="1" applyFont="1" applyBorder="1" applyAlignment="1"/>
    <xf numFmtId="0" fontId="0" fillId="0" borderId="0" xfId="0"/>
    <xf numFmtId="170" fontId="5" fillId="0" borderId="0" xfId="0" applyNumberFormat="1" applyFont="1" applyFill="1" applyBorder="1" applyAlignment="1">
      <alignment horizontal="right" vertical="center"/>
    </xf>
    <xf numFmtId="170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0" fontId="2" fillId="0" borderId="0" xfId="0" applyNumberFormat="1" applyFont="1" applyFill="1" applyBorder="1" applyAlignment="1">
      <alignment horizontal="right" vertical="center"/>
    </xf>
    <xf numFmtId="0" fontId="30" fillId="0" borderId="0" xfId="0" applyFont="1" applyFill="1" applyBorder="1" applyAlignment="1">
      <alignment horizontal="left" vertical="center"/>
    </xf>
    <xf numFmtId="170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171" fontId="7" fillId="0" borderId="0" xfId="12" applyNumberFormat="1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left" vertical="center"/>
    </xf>
    <xf numFmtId="171" fontId="22" fillId="4" borderId="0" xfId="0" applyNumberFormat="1" applyFont="1" applyFill="1" applyAlignment="1">
      <alignment horizontal="right" vertical="center"/>
    </xf>
    <xf numFmtId="4" fontId="3" fillId="4" borderId="0" xfId="12" applyNumberFormat="1" applyFont="1" applyFill="1" applyBorder="1" applyAlignment="1">
      <alignment horizontal="right" vertical="center"/>
    </xf>
    <xf numFmtId="170" fontId="7" fillId="0" borderId="0" xfId="12" applyNumberFormat="1" applyFont="1" applyFill="1" applyBorder="1" applyAlignment="1">
      <alignment horizontal="right" vertical="center"/>
    </xf>
    <xf numFmtId="170" fontId="22" fillId="4" borderId="0" xfId="14" applyNumberFormat="1" applyFont="1" applyFill="1" applyAlignment="1">
      <alignment horizontal="right" vertical="center"/>
    </xf>
    <xf numFmtId="171" fontId="7" fillId="7" borderId="0" xfId="12" applyNumberFormat="1" applyFont="1" applyFill="1" applyBorder="1" applyAlignment="1">
      <alignment horizontal="right" vertical="center"/>
    </xf>
    <xf numFmtId="170" fontId="7" fillId="7" borderId="0" xfId="12" applyNumberFormat="1" applyFont="1" applyFill="1" applyBorder="1" applyAlignment="1">
      <alignment horizontal="right" vertical="center"/>
    </xf>
    <xf numFmtId="0" fontId="31" fillId="9" borderId="11" xfId="7" applyFont="1" applyFill="1" applyBorder="1" applyAlignment="1">
      <alignment horizontal="center" vertical="center" wrapText="1"/>
    </xf>
    <xf numFmtId="0" fontId="26" fillId="9" borderId="10" xfId="7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166" fontId="19" fillId="0" borderId="8" xfId="14" applyNumberFormat="1" applyFont="1" applyBorder="1" applyAlignment="1">
      <alignment vertical="center"/>
    </xf>
    <xf numFmtId="167" fontId="0" fillId="0" borderId="8" xfId="0" applyNumberFormat="1" applyBorder="1" applyAlignment="1">
      <alignment vertical="center"/>
    </xf>
    <xf numFmtId="0" fontId="21" fillId="0" borderId="8" xfId="0" applyFont="1" applyBorder="1" applyAlignment="1">
      <alignment vertical="center"/>
    </xf>
    <xf numFmtId="165" fontId="21" fillId="0" borderId="8" xfId="0" applyNumberFormat="1" applyFont="1" applyBorder="1" applyAlignment="1">
      <alignment vertical="center"/>
    </xf>
    <xf numFmtId="165" fontId="21" fillId="0" borderId="8" xfId="14" applyFont="1" applyBorder="1" applyAlignment="1">
      <alignment vertical="center"/>
    </xf>
    <xf numFmtId="166" fontId="7" fillId="0" borderId="0" xfId="12" applyNumberFormat="1" applyFont="1" applyFill="1" applyBorder="1" applyAlignment="1">
      <alignment vertical="center"/>
    </xf>
    <xf numFmtId="166" fontId="5" fillId="0" borderId="0" xfId="15" applyNumberFormat="1" applyFont="1" applyFill="1" applyBorder="1" applyAlignment="1">
      <alignment vertical="center"/>
    </xf>
    <xf numFmtId="171" fontId="7" fillId="0" borderId="16" xfId="12" applyNumberFormat="1" applyFont="1" applyFill="1" applyBorder="1" applyAlignment="1">
      <alignment horizontal="right" vertical="center"/>
    </xf>
    <xf numFmtId="170" fontId="7" fillId="0" borderId="16" xfId="12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indent="1"/>
    </xf>
    <xf numFmtId="170" fontId="32" fillId="0" borderId="0" xfId="12" applyNumberFormat="1" applyFont="1" applyFill="1" applyBorder="1" applyAlignment="1">
      <alignment horizontal="right" vertical="center"/>
    </xf>
    <xf numFmtId="10" fontId="7" fillId="0" borderId="0" xfId="11" applyNumberFormat="1" applyFont="1" applyFill="1" applyBorder="1" applyAlignment="1">
      <alignment horizontal="right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0" fontId="33" fillId="0" borderId="0" xfId="0" applyFont="1"/>
    <xf numFmtId="2" fontId="33" fillId="0" borderId="0" xfId="0" applyNumberFormat="1" applyFont="1"/>
    <xf numFmtId="165" fontId="33" fillId="0" borderId="0" xfId="14" applyFont="1"/>
    <xf numFmtId="170" fontId="33" fillId="0" borderId="0" xfId="0" applyNumberFormat="1" applyFont="1"/>
    <xf numFmtId="165" fontId="33" fillId="0" borderId="0" xfId="0" applyNumberFormat="1" applyFont="1"/>
    <xf numFmtId="4" fontId="33" fillId="0" borderId="0" xfId="0" applyNumberFormat="1" applyFont="1"/>
    <xf numFmtId="176" fontId="33" fillId="0" borderId="0" xfId="14" applyNumberFormat="1" applyFont="1"/>
    <xf numFmtId="166" fontId="33" fillId="0" borderId="0" xfId="14" applyNumberFormat="1" applyFont="1"/>
    <xf numFmtId="0" fontId="33" fillId="5" borderId="0" xfId="0" applyFont="1" applyFill="1"/>
    <xf numFmtId="167" fontId="33" fillId="0" borderId="0" xfId="0" applyNumberFormat="1" applyFont="1"/>
    <xf numFmtId="0" fontId="16" fillId="13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170" fontId="17" fillId="16" borderId="0" xfId="15" applyNumberFormat="1" applyFont="1" applyFill="1" applyAlignment="1">
      <alignment horizontal="right" vertical="center"/>
    </xf>
    <xf numFmtId="170" fontId="17" fillId="13" borderId="0" xfId="15" applyNumberFormat="1" applyFont="1" applyFill="1" applyAlignment="1">
      <alignment horizontal="right" vertical="center"/>
    </xf>
    <xf numFmtId="170" fontId="17" fillId="17" borderId="0" xfId="15" applyNumberFormat="1" applyFont="1" applyFill="1" applyAlignment="1">
      <alignment horizontal="right" vertical="center"/>
    </xf>
    <xf numFmtId="170" fontId="17" fillId="14" borderId="0" xfId="15" applyNumberFormat="1" applyFont="1" applyFill="1" applyAlignment="1">
      <alignment horizontal="right" vertical="center"/>
    </xf>
    <xf numFmtId="170" fontId="17" fillId="18" borderId="0" xfId="15" applyNumberFormat="1" applyFont="1" applyFill="1" applyAlignment="1">
      <alignment horizontal="right" vertical="center"/>
    </xf>
    <xf numFmtId="170" fontId="17" fillId="15" borderId="0" xfId="15" applyNumberFormat="1" applyFont="1" applyFill="1" applyAlignment="1">
      <alignment horizontal="right" vertical="center"/>
    </xf>
    <xf numFmtId="170" fontId="17" fillId="19" borderId="0" xfId="15" applyNumberFormat="1" applyFont="1" applyFill="1" applyAlignment="1">
      <alignment horizontal="right" vertical="center"/>
    </xf>
    <xf numFmtId="170" fontId="17" fillId="11" borderId="0" xfId="15" applyNumberFormat="1" applyFont="1" applyFill="1" applyAlignment="1">
      <alignment horizontal="right" vertical="center"/>
    </xf>
    <xf numFmtId="170" fontId="16" fillId="16" borderId="0" xfId="14" applyNumberFormat="1" applyFont="1" applyFill="1" applyAlignment="1">
      <alignment horizontal="right" vertical="center"/>
    </xf>
    <xf numFmtId="170" fontId="16" fillId="13" borderId="0" xfId="14" applyNumberFormat="1" applyFont="1" applyFill="1" applyAlignment="1">
      <alignment horizontal="right" vertical="center"/>
    </xf>
    <xf numFmtId="170" fontId="16" fillId="17" borderId="0" xfId="14" applyNumberFormat="1" applyFont="1" applyFill="1" applyAlignment="1">
      <alignment horizontal="right" vertical="center"/>
    </xf>
    <xf numFmtId="170" fontId="16" fillId="14" borderId="0" xfId="14" applyNumberFormat="1" applyFont="1" applyFill="1" applyAlignment="1">
      <alignment horizontal="right" vertical="center"/>
    </xf>
    <xf numFmtId="170" fontId="16" fillId="18" borderId="0" xfId="14" applyNumberFormat="1" applyFont="1" applyFill="1" applyAlignment="1">
      <alignment horizontal="right" vertical="center"/>
    </xf>
    <xf numFmtId="170" fontId="16" fillId="15" borderId="0" xfId="14" applyNumberFormat="1" applyFont="1" applyFill="1" applyAlignment="1">
      <alignment horizontal="right" vertical="center"/>
    </xf>
    <xf numFmtId="170" fontId="16" fillId="19" borderId="0" xfId="14" applyNumberFormat="1" applyFont="1" applyFill="1" applyAlignment="1">
      <alignment horizontal="right" vertical="center"/>
    </xf>
    <xf numFmtId="170" fontId="16" fillId="11" borderId="0" xfId="14" applyNumberFormat="1" applyFont="1" applyFill="1" applyAlignment="1">
      <alignment horizontal="right" vertical="center"/>
    </xf>
    <xf numFmtId="0" fontId="33" fillId="0" borderId="0" xfId="0" applyFont="1" applyAlignment="1">
      <alignment horizontal="center"/>
    </xf>
    <xf numFmtId="175" fontId="33" fillId="0" borderId="0" xfId="0" applyNumberFormat="1" applyFont="1"/>
    <xf numFmtId="166" fontId="33" fillId="0" borderId="0" xfId="0" applyNumberFormat="1" applyFont="1"/>
    <xf numFmtId="168" fontId="34" fillId="0" borderId="0" xfId="0" applyNumberFormat="1" applyFont="1"/>
    <xf numFmtId="174" fontId="33" fillId="0" borderId="0" xfId="0" applyNumberFormat="1" applyFont="1"/>
    <xf numFmtId="0" fontId="16" fillId="6" borderId="0" xfId="0" applyFont="1" applyFill="1" applyAlignment="1">
      <alignment horizontal="left"/>
    </xf>
    <xf numFmtId="168" fontId="33" fillId="0" borderId="0" xfId="0" applyNumberFormat="1" applyFont="1"/>
    <xf numFmtId="0" fontId="34" fillId="0" borderId="0" xfId="0" applyFont="1"/>
    <xf numFmtId="169" fontId="33" fillId="0" borderId="0" xfId="0" applyNumberFormat="1" applyFont="1"/>
    <xf numFmtId="0" fontId="33" fillId="0" borderId="0" xfId="0" applyFont="1" applyFill="1" applyBorder="1"/>
    <xf numFmtId="0" fontId="33" fillId="0" borderId="0" xfId="0" applyFont="1" applyBorder="1"/>
    <xf numFmtId="170" fontId="33" fillId="0" borderId="0" xfId="0" applyNumberFormat="1" applyFont="1" applyBorder="1"/>
    <xf numFmtId="168" fontId="34" fillId="0" borderId="0" xfId="0" quotePrefix="1" applyNumberFormat="1" applyFont="1"/>
    <xf numFmtId="166" fontId="33" fillId="0" borderId="0" xfId="0" applyNumberFormat="1" applyFont="1" applyBorder="1"/>
    <xf numFmtId="166" fontId="17" fillId="5" borderId="0" xfId="12" applyNumberFormat="1" applyFont="1" applyFill="1" applyBorder="1"/>
    <xf numFmtId="0" fontId="7" fillId="0" borderId="0" xfId="0" applyFont="1" applyAlignment="1">
      <alignment horizontal="center"/>
    </xf>
    <xf numFmtId="0" fontId="17" fillId="0" borderId="0" xfId="8" applyFont="1"/>
    <xf numFmtId="164" fontId="35" fillId="4" borderId="0" xfId="1" applyFont="1" applyFill="1"/>
    <xf numFmtId="10" fontId="7" fillId="0" borderId="16" xfId="11" applyNumberFormat="1" applyFont="1" applyFill="1" applyBorder="1" applyAlignment="1">
      <alignment horizontal="right" vertical="center"/>
    </xf>
    <xf numFmtId="0" fontId="35" fillId="0" borderId="0" xfId="0" applyFont="1"/>
    <xf numFmtId="0" fontId="35" fillId="0" borderId="0" xfId="0" applyFont="1" applyAlignment="1">
      <alignment horizontal="center" vertical="center"/>
    </xf>
    <xf numFmtId="0" fontId="36" fillId="0" borderId="0" xfId="0" applyFont="1" applyFill="1" applyBorder="1" applyAlignment="1">
      <alignment horizontal="left" vertical="center"/>
    </xf>
    <xf numFmtId="0" fontId="35" fillId="0" borderId="0" xfId="0" applyFont="1" applyFill="1" applyAlignment="1">
      <alignment horizontal="center"/>
    </xf>
    <xf numFmtId="0" fontId="35" fillId="0" borderId="0" xfId="0" applyFont="1" applyFill="1" applyAlignment="1">
      <alignment horizontal="right" vertical="center"/>
    </xf>
    <xf numFmtId="166" fontId="35" fillId="0" borderId="0" xfId="14" applyNumberFormat="1" applyFont="1" applyFill="1" applyAlignment="1">
      <alignment horizontal="right" vertical="center"/>
    </xf>
    <xf numFmtId="165" fontId="35" fillId="0" borderId="0" xfId="14" applyFont="1" applyFill="1" applyAlignment="1">
      <alignment horizontal="right" vertical="center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Alignment="1">
      <alignment horizontal="center"/>
    </xf>
    <xf numFmtId="0" fontId="35" fillId="0" borderId="0" xfId="0" applyFont="1" applyFill="1"/>
    <xf numFmtId="166" fontId="36" fillId="0" borderId="0" xfId="14" applyNumberFormat="1" applyFont="1" applyFill="1" applyAlignment="1">
      <alignment horizontal="right" vertical="center"/>
    </xf>
    <xf numFmtId="167" fontId="35" fillId="0" borderId="0" xfId="0" applyNumberFormat="1" applyFont="1" applyFill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" fontId="7" fillId="0" borderId="0" xfId="14" applyNumberFormat="1" applyFont="1" applyFill="1" applyAlignment="1">
      <alignment horizontal="right" vertical="center"/>
    </xf>
    <xf numFmtId="0" fontId="5" fillId="7" borderId="17" xfId="0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left" vertical="center"/>
    </xf>
    <xf numFmtId="0" fontId="23" fillId="7" borderId="17" xfId="0" applyFont="1" applyFill="1" applyBorder="1" applyAlignment="1">
      <alignment horizontal="center" vertical="center"/>
    </xf>
    <xf numFmtId="171" fontId="7" fillId="7" borderId="17" xfId="12" applyNumberFormat="1" applyFont="1" applyFill="1" applyBorder="1" applyAlignment="1">
      <alignment horizontal="right" vertical="center"/>
    </xf>
    <xf numFmtId="170" fontId="7" fillId="7" borderId="17" xfId="12" applyNumberFormat="1" applyFont="1" applyFill="1" applyBorder="1" applyAlignment="1">
      <alignment horizontal="right" vertical="center"/>
    </xf>
    <xf numFmtId="0" fontId="23" fillId="0" borderId="0" xfId="0" applyFont="1" applyFill="1" applyAlignment="1"/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3" fillId="20" borderId="18" xfId="0" applyFont="1" applyFill="1" applyBorder="1"/>
    <xf numFmtId="2" fontId="3" fillId="20" borderId="19" xfId="0" applyNumberFormat="1" applyFont="1" applyFill="1" applyBorder="1"/>
    <xf numFmtId="170" fontId="23" fillId="0" borderId="0" xfId="0" applyNumberFormat="1" applyFont="1" applyAlignment="1">
      <alignment horizontal="center" vertical="center"/>
    </xf>
    <xf numFmtId="4" fontId="23" fillId="0" borderId="0" xfId="0" applyNumberFormat="1" applyFont="1" applyFill="1" applyAlignment="1">
      <alignment horizontal="center"/>
    </xf>
    <xf numFmtId="4" fontId="23" fillId="0" borderId="0" xfId="0" applyNumberFormat="1" applyFont="1" applyFill="1"/>
    <xf numFmtId="170" fontId="23" fillId="0" borderId="0" xfId="0" applyNumberFormat="1" applyFont="1" applyFill="1"/>
    <xf numFmtId="4" fontId="23" fillId="0" borderId="0" xfId="0" applyNumberFormat="1" applyFont="1"/>
    <xf numFmtId="167" fontId="23" fillId="0" borderId="0" xfId="0" applyNumberFormat="1" applyFont="1" applyFill="1"/>
    <xf numFmtId="0" fontId="37" fillId="0" borderId="0" xfId="0" applyFont="1" applyFill="1"/>
    <xf numFmtId="0" fontId="37" fillId="0" borderId="0" xfId="0" applyFont="1" applyFill="1" applyAlignment="1">
      <alignment horizontal="left" vertical="center" indent="1"/>
    </xf>
    <xf numFmtId="170" fontId="23" fillId="0" borderId="0" xfId="0" applyNumberFormat="1" applyFont="1" applyFill="1" applyAlignment="1">
      <alignment horizontal="center"/>
    </xf>
    <xf numFmtId="2" fontId="23" fillId="0" borderId="0" xfId="0" applyNumberFormat="1" applyFont="1" applyFill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center" vertical="center"/>
    </xf>
    <xf numFmtId="4" fontId="7" fillId="0" borderId="0" xfId="14" applyNumberFormat="1" applyFont="1" applyFill="1" applyBorder="1" applyAlignment="1">
      <alignment horizontal="right" vertical="center"/>
    </xf>
    <xf numFmtId="0" fontId="7" fillId="0" borderId="16" xfId="0" applyFont="1" applyFill="1" applyBorder="1" applyAlignment="1">
      <alignment horizontal="left" vertical="center" indent="1"/>
    </xf>
    <xf numFmtId="0" fontId="7" fillId="0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center" vertical="center"/>
    </xf>
    <xf numFmtId="4" fontId="7" fillId="0" borderId="16" xfId="14" applyNumberFormat="1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4" fontId="7" fillId="7" borderId="0" xfId="14" applyNumberFormat="1" applyFont="1" applyFill="1" applyAlignment="1">
      <alignment horizontal="right" vertical="center"/>
    </xf>
    <xf numFmtId="0" fontId="7" fillId="7" borderId="0" xfId="0" applyFont="1" applyFill="1" applyAlignment="1">
      <alignment horizontal="left"/>
    </xf>
    <xf numFmtId="172" fontId="7" fillId="7" borderId="0" xfId="0" applyNumberFormat="1" applyFont="1" applyFill="1" applyBorder="1" applyAlignment="1">
      <alignment vertical="center"/>
    </xf>
    <xf numFmtId="168" fontId="7" fillId="7" borderId="0" xfId="15" applyNumberFormat="1" applyFont="1" applyFill="1" applyBorder="1" applyAlignment="1">
      <alignment vertical="center"/>
    </xf>
    <xf numFmtId="4" fontId="7" fillId="7" borderId="0" xfId="0" applyNumberFormat="1" applyFont="1" applyFill="1" applyBorder="1" applyAlignment="1">
      <alignment horizontal="right" vertical="center"/>
    </xf>
    <xf numFmtId="165" fontId="7" fillId="7" borderId="0" xfId="14" applyFont="1" applyFill="1" applyBorder="1" applyAlignment="1">
      <alignment horizontal="right" vertical="center"/>
    </xf>
    <xf numFmtId="0" fontId="16" fillId="16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7" fillId="7" borderId="17" xfId="0" applyFont="1" applyFill="1" applyBorder="1" applyAlignment="1">
      <alignment horizontal="left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left"/>
    </xf>
    <xf numFmtId="172" fontId="7" fillId="7" borderId="17" xfId="0" applyNumberFormat="1" applyFont="1" applyFill="1" applyBorder="1" applyAlignment="1">
      <alignment vertical="center"/>
    </xf>
    <xf numFmtId="168" fontId="7" fillId="7" borderId="17" xfId="15" applyNumberFormat="1" applyFont="1" applyFill="1" applyBorder="1" applyAlignment="1">
      <alignment vertical="center"/>
    </xf>
    <xf numFmtId="4" fontId="7" fillId="7" borderId="17" xfId="0" applyNumberFormat="1" applyFont="1" applyFill="1" applyBorder="1" applyAlignment="1">
      <alignment horizontal="right" vertical="center"/>
    </xf>
    <xf numFmtId="165" fontId="7" fillId="7" borderId="17" xfId="14" applyFont="1" applyFill="1" applyBorder="1" applyAlignment="1">
      <alignment horizontal="right" vertical="center"/>
    </xf>
    <xf numFmtId="4" fontId="7" fillId="7" borderId="17" xfId="14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left" vertical="center"/>
    </xf>
    <xf numFmtId="0" fontId="18" fillId="4" borderId="0" xfId="0" applyFont="1" applyFill="1"/>
    <xf numFmtId="0" fontId="18" fillId="4" borderId="0" xfId="0" applyFont="1" applyFill="1" applyAlignment="1">
      <alignment horizontal="center"/>
    </xf>
    <xf numFmtId="171" fontId="3" fillId="4" borderId="0" xfId="0" applyNumberFormat="1" applyFont="1" applyFill="1" applyAlignment="1">
      <alignment horizontal="right" vertical="center"/>
    </xf>
    <xf numFmtId="170" fontId="3" fillId="4" borderId="0" xfId="14" applyNumberFormat="1" applyFont="1" applyFill="1" applyAlignment="1">
      <alignment horizontal="right" vertical="center"/>
    </xf>
    <xf numFmtId="167" fontId="23" fillId="0" borderId="0" xfId="0" applyNumberFormat="1" applyFont="1"/>
    <xf numFmtId="167" fontId="23" fillId="4" borderId="0" xfId="0" applyNumberFormat="1" applyFont="1" applyFill="1"/>
    <xf numFmtId="176" fontId="23" fillId="0" borderId="0" xfId="14" applyNumberFormat="1" applyFont="1"/>
    <xf numFmtId="165" fontId="23" fillId="0" borderId="0" xfId="0" applyNumberFormat="1" applyFont="1"/>
    <xf numFmtId="0" fontId="3" fillId="16" borderId="18" xfId="0" applyFont="1" applyFill="1" applyBorder="1" applyAlignment="1">
      <alignment horizontal="center" vertical="center"/>
    </xf>
    <xf numFmtId="0" fontId="3" fillId="17" borderId="18" xfId="0" applyFont="1" applyFill="1" applyBorder="1" applyAlignment="1">
      <alignment horizontal="center" vertical="center"/>
    </xf>
    <xf numFmtId="0" fontId="3" fillId="18" borderId="18" xfId="0" applyFont="1" applyFill="1" applyBorder="1" applyAlignment="1">
      <alignment horizontal="center" vertical="center"/>
    </xf>
    <xf numFmtId="0" fontId="3" fillId="19" borderId="18" xfId="0" applyFont="1" applyFill="1" applyBorder="1" applyAlignment="1">
      <alignment horizontal="center" vertical="center"/>
    </xf>
    <xf numFmtId="166" fontId="7" fillId="16" borderId="18" xfId="14" applyNumberFormat="1" applyFont="1" applyFill="1" applyBorder="1" applyAlignment="1">
      <alignment horizontal="right" vertical="center"/>
    </xf>
    <xf numFmtId="166" fontId="7" fillId="13" borderId="19" xfId="14" applyNumberFormat="1" applyFont="1" applyFill="1" applyBorder="1" applyAlignment="1">
      <alignment horizontal="right" vertical="center"/>
    </xf>
    <xf numFmtId="166" fontId="7" fillId="17" borderId="18" xfId="14" applyNumberFormat="1" applyFont="1" applyFill="1" applyBorder="1" applyAlignment="1">
      <alignment horizontal="right" vertical="center"/>
    </xf>
    <xf numFmtId="166" fontId="7" fillId="14" borderId="19" xfId="14" applyNumberFormat="1" applyFont="1" applyFill="1" applyBorder="1" applyAlignment="1">
      <alignment horizontal="right" vertical="center"/>
    </xf>
    <xf numFmtId="166" fontId="7" fillId="18" borderId="18" xfId="14" applyNumberFormat="1" applyFont="1" applyFill="1" applyBorder="1" applyAlignment="1">
      <alignment horizontal="right" vertical="center"/>
    </xf>
    <xf numFmtId="166" fontId="7" fillId="15" borderId="19" xfId="14" applyNumberFormat="1" applyFont="1" applyFill="1" applyBorder="1" applyAlignment="1">
      <alignment horizontal="right" vertical="center"/>
    </xf>
    <xf numFmtId="166" fontId="7" fillId="19" borderId="18" xfId="14" applyNumberFormat="1" applyFont="1" applyFill="1" applyBorder="1" applyAlignment="1">
      <alignment horizontal="right" vertical="center"/>
    </xf>
    <xf numFmtId="166" fontId="7" fillId="11" borderId="19" xfId="14" applyNumberFormat="1" applyFont="1" applyFill="1" applyBorder="1" applyAlignment="1">
      <alignment horizontal="right" vertical="center"/>
    </xf>
    <xf numFmtId="165" fontId="3" fillId="20" borderId="0" xfId="14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 indent="1"/>
    </xf>
    <xf numFmtId="0" fontId="30" fillId="0" borderId="0" xfId="0" applyFont="1" applyFill="1" applyBorder="1" applyAlignment="1">
      <alignment horizontal="right" vertical="center" indent="1"/>
    </xf>
    <xf numFmtId="0" fontId="0" fillId="0" borderId="0" xfId="0"/>
    <xf numFmtId="0" fontId="7" fillId="0" borderId="17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center" vertical="center"/>
    </xf>
    <xf numFmtId="171" fontId="7" fillId="0" borderId="17" xfId="12" applyNumberFormat="1" applyFont="1" applyFill="1" applyBorder="1" applyAlignment="1">
      <alignment horizontal="right" vertical="center"/>
    </xf>
    <xf numFmtId="170" fontId="7" fillId="0" borderId="17" xfId="12" applyNumberFormat="1" applyFont="1" applyFill="1" applyBorder="1" applyAlignment="1">
      <alignment horizontal="right" vertical="center"/>
    </xf>
    <xf numFmtId="4" fontId="7" fillId="0" borderId="17" xfId="14" applyNumberFormat="1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left" vertical="center"/>
    </xf>
    <xf numFmtId="170" fontId="5" fillId="0" borderId="20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left" vertical="center"/>
    </xf>
    <xf numFmtId="170" fontId="5" fillId="0" borderId="21" xfId="0" applyNumberFormat="1" applyFont="1" applyFill="1" applyBorder="1" applyAlignment="1">
      <alignment horizontal="right" vertical="center"/>
    </xf>
    <xf numFmtId="0" fontId="5" fillId="0" borderId="22" xfId="0" applyFont="1" applyFill="1" applyBorder="1" applyAlignment="1">
      <alignment horizontal="left" vertical="center"/>
    </xf>
    <xf numFmtId="170" fontId="5" fillId="0" borderId="22" xfId="0" applyNumberFormat="1" applyFont="1" applyFill="1" applyBorder="1" applyAlignment="1">
      <alignment horizontal="right" vertical="center"/>
    </xf>
    <xf numFmtId="0" fontId="26" fillId="9" borderId="14" xfId="7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170" fontId="7" fillId="20" borderId="0" xfId="12" applyNumberFormat="1" applyFont="1" applyFill="1" applyBorder="1" applyAlignment="1">
      <alignment horizontal="right" vertical="center"/>
    </xf>
    <xf numFmtId="4" fontId="7" fillId="20" borderId="0" xfId="14" applyNumberFormat="1" applyFont="1" applyFill="1" applyAlignment="1">
      <alignment horizontal="right" vertical="center"/>
    </xf>
    <xf numFmtId="170" fontId="7" fillId="20" borderId="16" xfId="12" applyNumberFormat="1" applyFont="1" applyFill="1" applyBorder="1" applyAlignment="1">
      <alignment horizontal="right" vertical="center"/>
    </xf>
    <xf numFmtId="170" fontId="34" fillId="0" borderId="0" xfId="0" applyNumberFormat="1" applyFont="1"/>
    <xf numFmtId="10" fontId="2" fillId="20" borderId="0" xfId="11" applyNumberFormat="1" applyFont="1" applyFill="1" applyBorder="1" applyAlignment="1">
      <alignment horizontal="right" vertical="center"/>
    </xf>
    <xf numFmtId="10" fontId="7" fillId="7" borderId="17" xfId="11" applyNumberFormat="1" applyFont="1" applyFill="1" applyBorder="1" applyAlignment="1">
      <alignment horizontal="right" vertical="center"/>
    </xf>
    <xf numFmtId="0" fontId="7" fillId="0" borderId="23" xfId="0" applyFont="1" applyFill="1" applyBorder="1" applyAlignment="1">
      <alignment horizontal="left" vertical="center"/>
    </xf>
    <xf numFmtId="0" fontId="7" fillId="0" borderId="23" xfId="0" applyFont="1" applyFill="1" applyBorder="1" applyAlignment="1">
      <alignment horizontal="center" vertical="center"/>
    </xf>
    <xf numFmtId="171" fontId="7" fillId="0" borderId="23" xfId="12" applyNumberFormat="1" applyFont="1" applyFill="1" applyBorder="1" applyAlignment="1">
      <alignment horizontal="right" vertical="center"/>
    </xf>
    <xf numFmtId="170" fontId="7" fillId="0" borderId="23" xfId="12" applyNumberFormat="1" applyFont="1" applyFill="1" applyBorder="1" applyAlignment="1">
      <alignment horizontal="right" vertical="center"/>
    </xf>
    <xf numFmtId="4" fontId="7" fillId="0" borderId="23" xfId="14" applyNumberFormat="1" applyFont="1" applyFill="1" applyBorder="1" applyAlignment="1">
      <alignment horizontal="right" vertical="center"/>
    </xf>
    <xf numFmtId="170" fontId="7" fillId="12" borderId="0" xfId="12" quotePrefix="1" applyNumberFormat="1" applyFont="1" applyFill="1" applyBorder="1" applyAlignment="1">
      <alignment horizontal="right" vertical="center"/>
    </xf>
    <xf numFmtId="4" fontId="7" fillId="12" borderId="0" xfId="14" applyNumberFormat="1" applyFont="1" applyFill="1" applyAlignment="1">
      <alignment horizontal="right" vertical="center"/>
    </xf>
    <xf numFmtId="170" fontId="2" fillId="0" borderId="0" xfId="0" applyNumberFormat="1" applyFont="1" applyFill="1" applyBorder="1" applyAlignment="1">
      <alignment vertical="center"/>
    </xf>
    <xf numFmtId="0" fontId="26" fillId="9" borderId="9" xfId="7" applyFont="1" applyFill="1" applyBorder="1" applyAlignment="1">
      <alignment horizontal="center" vertical="center"/>
    </xf>
    <xf numFmtId="0" fontId="5" fillId="8" borderId="10" xfId="7" applyFont="1" applyFill="1" applyBorder="1" applyAlignment="1">
      <alignment horizontal="left" vertical="center"/>
    </xf>
    <xf numFmtId="0" fontId="5" fillId="7" borderId="10" xfId="7" applyFont="1" applyFill="1" applyBorder="1" applyAlignment="1">
      <alignment horizontal="left" vertical="center"/>
    </xf>
    <xf numFmtId="0" fontId="2" fillId="8" borderId="11" xfId="7" applyFont="1" applyFill="1" applyBorder="1" applyAlignment="1">
      <alignment horizontal="left" vertical="center"/>
    </xf>
    <xf numFmtId="165" fontId="5" fillId="8" borderId="4" xfId="16" applyFont="1" applyFill="1" applyBorder="1" applyAlignment="1">
      <alignment horizontal="left" vertical="center"/>
    </xf>
    <xf numFmtId="165" fontId="5" fillId="7" borderId="4" xfId="16" applyFont="1" applyFill="1" applyBorder="1" applyAlignment="1">
      <alignment horizontal="left" vertical="center"/>
    </xf>
    <xf numFmtId="170" fontId="5" fillId="8" borderId="4" xfId="16" applyNumberFormat="1" applyFont="1" applyFill="1" applyBorder="1" applyAlignment="1">
      <alignment horizontal="right" vertical="center"/>
    </xf>
    <xf numFmtId="170" fontId="5" fillId="7" borderId="4" xfId="16" applyNumberFormat="1" applyFont="1" applyFill="1" applyBorder="1" applyAlignment="1">
      <alignment horizontal="right" vertical="center"/>
    </xf>
    <xf numFmtId="170" fontId="3" fillId="0" borderId="8" xfId="15" applyNumberFormat="1" applyFont="1" applyBorder="1" applyAlignment="1">
      <alignment horizontal="right" vertical="center"/>
    </xf>
    <xf numFmtId="0" fontId="3" fillId="0" borderId="8" xfId="7" applyFont="1" applyBorder="1" applyAlignment="1">
      <alignment horizontal="left" vertical="center"/>
    </xf>
    <xf numFmtId="0" fontId="2" fillId="8" borderId="12" xfId="7" applyFont="1" applyFill="1" applyBorder="1" applyAlignment="1">
      <alignment horizontal="left" vertical="center"/>
    </xf>
    <xf numFmtId="170" fontId="3" fillId="8" borderId="6" xfId="15" applyNumberFormat="1" applyFont="1" applyFill="1" applyBorder="1" applyAlignment="1">
      <alignment horizontal="right" vertical="center"/>
    </xf>
    <xf numFmtId="0" fontId="26" fillId="9" borderId="0" xfId="7" applyFont="1" applyFill="1" applyBorder="1" applyAlignment="1">
      <alignment horizontal="center" vertical="center"/>
    </xf>
    <xf numFmtId="0" fontId="26" fillId="9" borderId="1" xfId="7" applyFont="1" applyFill="1" applyBorder="1" applyAlignment="1">
      <alignment horizontal="center" vertical="center"/>
    </xf>
    <xf numFmtId="0" fontId="5" fillId="7" borderId="13" xfId="7" applyFont="1" applyFill="1" applyBorder="1" applyAlignment="1">
      <alignment horizontal="left" vertical="center"/>
    </xf>
    <xf numFmtId="165" fontId="5" fillId="7" borderId="15" xfId="16" applyFont="1" applyFill="1" applyBorder="1" applyAlignment="1">
      <alignment horizontal="left" vertical="center"/>
    </xf>
    <xf numFmtId="0" fontId="26" fillId="9" borderId="13" xfId="7" applyFont="1" applyFill="1" applyBorder="1" applyAlignment="1">
      <alignment horizontal="center" vertical="center"/>
    </xf>
    <xf numFmtId="0" fontId="26" fillId="9" borderId="5" xfId="7" applyFont="1" applyFill="1" applyBorder="1" applyAlignment="1">
      <alignment horizontal="center" vertical="center"/>
    </xf>
    <xf numFmtId="0" fontId="26" fillId="9" borderId="2" xfId="7" applyFont="1" applyFill="1" applyBorder="1" applyAlignment="1">
      <alignment horizontal="center"/>
    </xf>
    <xf numFmtId="0" fontId="25" fillId="0" borderId="0" xfId="0" applyFont="1" applyAlignment="1">
      <alignment horizontal="right"/>
    </xf>
    <xf numFmtId="166" fontId="25" fillId="0" borderId="0" xfId="0" applyNumberFormat="1" applyFont="1"/>
    <xf numFmtId="0" fontId="25" fillId="0" borderId="0" xfId="0" applyFont="1"/>
    <xf numFmtId="166" fontId="19" fillId="1" borderId="8" xfId="14" applyNumberFormat="1" applyFont="1" applyFill="1" applyBorder="1" applyAlignment="1">
      <alignment vertical="center"/>
    </xf>
    <xf numFmtId="170" fontId="5" fillId="8" borderId="3" xfId="7" applyNumberFormat="1" applyFont="1" applyFill="1" applyBorder="1" applyAlignment="1">
      <alignment horizontal="right" vertical="center"/>
    </xf>
    <xf numFmtId="166" fontId="5" fillId="7" borderId="2" xfId="14" applyNumberFormat="1" applyFont="1" applyFill="1" applyBorder="1" applyAlignment="1">
      <alignment horizontal="right" vertical="center"/>
    </xf>
    <xf numFmtId="167" fontId="38" fillId="12" borderId="0" xfId="0" quotePrefix="1" applyNumberFormat="1" applyFont="1" applyFill="1"/>
    <xf numFmtId="0" fontId="33" fillId="0" borderId="0" xfId="0" applyFont="1" applyBorder="1" applyAlignment="1">
      <alignment horizontal="left"/>
    </xf>
    <xf numFmtId="165" fontId="33" fillId="0" borderId="0" xfId="12" applyFont="1" applyBorder="1"/>
    <xf numFmtId="167" fontId="39" fillId="0" borderId="0" xfId="0" quotePrefix="1" applyNumberFormat="1" applyFont="1" applyFill="1"/>
    <xf numFmtId="165" fontId="0" fillId="0" borderId="0" xfId="0" applyNumberFormat="1" applyFill="1" applyBorder="1"/>
    <xf numFmtId="0" fontId="23" fillId="7" borderId="0" xfId="0" applyFont="1" applyFill="1" applyBorder="1" applyAlignment="1">
      <alignment horizontal="left"/>
    </xf>
    <xf numFmtId="170" fontId="7" fillId="8" borderId="4" xfId="16" applyNumberFormat="1" applyFont="1" applyFill="1" applyBorder="1" applyAlignment="1">
      <alignment horizontal="right" vertical="center"/>
    </xf>
    <xf numFmtId="170" fontId="40" fillId="8" borderId="4" xfId="16" applyNumberFormat="1" applyFont="1" applyFill="1" applyBorder="1" applyAlignment="1">
      <alignment horizontal="right" vertical="center"/>
    </xf>
    <xf numFmtId="170" fontId="40" fillId="7" borderId="4" xfId="16" applyNumberFormat="1" applyFont="1" applyFill="1" applyBorder="1" applyAlignment="1">
      <alignment horizontal="right" vertical="center"/>
    </xf>
    <xf numFmtId="0" fontId="7" fillId="8" borderId="10" xfId="7" applyFont="1" applyFill="1" applyBorder="1" applyAlignment="1">
      <alignment horizontal="left" vertical="center"/>
    </xf>
    <xf numFmtId="165" fontId="7" fillId="8" borderId="4" xfId="16" applyFont="1" applyFill="1" applyBorder="1" applyAlignment="1">
      <alignment horizontal="left" vertical="center"/>
    </xf>
    <xf numFmtId="0" fontId="7" fillId="7" borderId="25" xfId="7" applyFont="1" applyFill="1" applyBorder="1" applyAlignment="1">
      <alignment horizontal="left" vertical="center"/>
    </xf>
    <xf numFmtId="170" fontId="7" fillId="7" borderId="24" xfId="16" applyNumberFormat="1" applyFont="1" applyFill="1" applyBorder="1" applyAlignment="1">
      <alignment horizontal="right" vertical="center"/>
    </xf>
    <xf numFmtId="165" fontId="7" fillId="7" borderId="24" xfId="16" applyFont="1" applyFill="1" applyBorder="1" applyAlignment="1">
      <alignment horizontal="left" vertical="center"/>
    </xf>
    <xf numFmtId="0" fontId="41" fillId="21" borderId="0" xfId="0" applyFont="1" applyFill="1" applyBorder="1" applyAlignment="1">
      <alignment horizontal="center" vertical="center"/>
    </xf>
    <xf numFmtId="171" fontId="33" fillId="0" borderId="0" xfId="0" applyNumberFormat="1" applyFont="1"/>
    <xf numFmtId="4" fontId="7" fillId="7" borderId="0" xfId="14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170" fontId="0" fillId="22" borderId="0" xfId="0" applyNumberFormat="1" applyFill="1" applyAlignment="1">
      <alignment horizontal="center" vertical="center"/>
    </xf>
    <xf numFmtId="170" fontId="7" fillId="0" borderId="0" xfId="14" quotePrefix="1" applyNumberFormat="1" applyFont="1" applyFill="1" applyBorder="1" applyAlignment="1">
      <alignment horizontal="right" vertical="center" wrapText="1"/>
    </xf>
    <xf numFmtId="166" fontId="7" fillId="16" borderId="26" xfId="14" applyNumberFormat="1" applyFont="1" applyFill="1" applyBorder="1" applyAlignment="1">
      <alignment horizontal="right" vertical="center"/>
    </xf>
    <xf numFmtId="166" fontId="7" fillId="13" borderId="27" xfId="14" applyNumberFormat="1" applyFont="1" applyFill="1" applyBorder="1" applyAlignment="1">
      <alignment horizontal="right" vertical="center"/>
    </xf>
    <xf numFmtId="166" fontId="7" fillId="17" borderId="26" xfId="14" applyNumberFormat="1" applyFont="1" applyFill="1" applyBorder="1" applyAlignment="1">
      <alignment horizontal="right" vertical="center"/>
    </xf>
    <xf numFmtId="166" fontId="7" fillId="14" borderId="27" xfId="14" applyNumberFormat="1" applyFont="1" applyFill="1" applyBorder="1" applyAlignment="1">
      <alignment horizontal="right" vertical="center"/>
    </xf>
    <xf numFmtId="166" fontId="7" fillId="18" borderId="26" xfId="14" applyNumberFormat="1" applyFont="1" applyFill="1" applyBorder="1" applyAlignment="1">
      <alignment horizontal="right" vertical="center"/>
    </xf>
    <xf numFmtId="166" fontId="7" fillId="15" borderId="27" xfId="14" applyNumberFormat="1" applyFont="1" applyFill="1" applyBorder="1" applyAlignment="1">
      <alignment horizontal="right" vertical="center"/>
    </xf>
    <xf numFmtId="166" fontId="7" fillId="19" borderId="26" xfId="14" applyNumberFormat="1" applyFont="1" applyFill="1" applyBorder="1" applyAlignment="1">
      <alignment horizontal="right" vertical="center"/>
    </xf>
    <xf numFmtId="166" fontId="7" fillId="11" borderId="27" xfId="14" applyNumberFormat="1" applyFont="1" applyFill="1" applyBorder="1" applyAlignment="1">
      <alignment horizontal="right" vertical="center"/>
    </xf>
    <xf numFmtId="165" fontId="3" fillId="20" borderId="22" xfId="14" applyFont="1" applyFill="1" applyBorder="1" applyAlignment="1">
      <alignment horizontal="right" vertical="center"/>
    </xf>
    <xf numFmtId="166" fontId="7" fillId="16" borderId="28" xfId="14" applyNumberFormat="1" applyFont="1" applyFill="1" applyBorder="1" applyAlignment="1">
      <alignment horizontal="right" vertical="center"/>
    </xf>
    <xf numFmtId="166" fontId="7" fillId="13" borderId="29" xfId="14" applyNumberFormat="1" applyFont="1" applyFill="1" applyBorder="1" applyAlignment="1">
      <alignment horizontal="right" vertical="center"/>
    </xf>
    <xf numFmtId="166" fontId="7" fillId="17" borderId="28" xfId="14" applyNumberFormat="1" applyFont="1" applyFill="1" applyBorder="1" applyAlignment="1">
      <alignment horizontal="right" vertical="center"/>
    </xf>
    <xf numFmtId="166" fontId="7" fillId="14" borderId="29" xfId="14" applyNumberFormat="1" applyFont="1" applyFill="1" applyBorder="1" applyAlignment="1">
      <alignment horizontal="right" vertical="center"/>
    </xf>
    <xf numFmtId="166" fontId="7" fillId="18" borderId="28" xfId="14" applyNumberFormat="1" applyFont="1" applyFill="1" applyBorder="1" applyAlignment="1">
      <alignment horizontal="right" vertical="center"/>
    </xf>
    <xf numFmtId="166" fontId="7" fillId="15" borderId="29" xfId="14" applyNumberFormat="1" applyFont="1" applyFill="1" applyBorder="1" applyAlignment="1">
      <alignment horizontal="right" vertical="center"/>
    </xf>
    <xf numFmtId="166" fontId="7" fillId="19" borderId="28" xfId="14" applyNumberFormat="1" applyFont="1" applyFill="1" applyBorder="1" applyAlignment="1">
      <alignment horizontal="right" vertical="center"/>
    </xf>
    <xf numFmtId="166" fontId="7" fillId="11" borderId="29" xfId="14" applyNumberFormat="1" applyFont="1" applyFill="1" applyBorder="1" applyAlignment="1">
      <alignment horizontal="right" vertical="center"/>
    </xf>
    <xf numFmtId="165" fontId="3" fillId="20" borderId="21" xfId="14" applyFont="1" applyFill="1" applyBorder="1" applyAlignment="1">
      <alignment horizontal="right" vertical="center"/>
    </xf>
    <xf numFmtId="166" fontId="7" fillId="16" borderId="30" xfId="14" applyNumberFormat="1" applyFont="1" applyFill="1" applyBorder="1" applyAlignment="1">
      <alignment horizontal="right" vertical="center"/>
    </xf>
    <xf numFmtId="166" fontId="7" fillId="13" borderId="31" xfId="14" applyNumberFormat="1" applyFont="1" applyFill="1" applyBorder="1" applyAlignment="1">
      <alignment horizontal="right" vertical="center"/>
    </xf>
    <xf numFmtId="166" fontId="7" fillId="17" borderId="30" xfId="14" applyNumberFormat="1" applyFont="1" applyFill="1" applyBorder="1" applyAlignment="1">
      <alignment horizontal="right" vertical="center"/>
    </xf>
    <xf numFmtId="166" fontId="7" fillId="14" borderId="31" xfId="14" applyNumberFormat="1" applyFont="1" applyFill="1" applyBorder="1" applyAlignment="1">
      <alignment horizontal="right" vertical="center"/>
    </xf>
    <xf numFmtId="166" fontId="7" fillId="18" borderId="30" xfId="14" applyNumberFormat="1" applyFont="1" applyFill="1" applyBorder="1" applyAlignment="1">
      <alignment horizontal="right" vertical="center"/>
    </xf>
    <xf numFmtId="166" fontId="7" fillId="15" borderId="31" xfId="14" applyNumberFormat="1" applyFont="1" applyFill="1" applyBorder="1" applyAlignment="1">
      <alignment horizontal="right" vertical="center"/>
    </xf>
    <xf numFmtId="166" fontId="7" fillId="19" borderId="30" xfId="14" applyNumberFormat="1" applyFont="1" applyFill="1" applyBorder="1" applyAlignment="1">
      <alignment horizontal="right" vertical="center"/>
    </xf>
    <xf numFmtId="166" fontId="7" fillId="11" borderId="31" xfId="14" applyNumberFormat="1" applyFont="1" applyFill="1" applyBorder="1" applyAlignment="1">
      <alignment horizontal="right" vertical="center"/>
    </xf>
    <xf numFmtId="165" fontId="3" fillId="20" borderId="20" xfId="14" applyFont="1" applyFill="1" applyBorder="1" applyAlignment="1">
      <alignment horizontal="right" vertical="center"/>
    </xf>
    <xf numFmtId="170" fontId="42" fillId="20" borderId="0" xfId="12" applyNumberFormat="1" applyFont="1" applyFill="1" applyBorder="1" applyAlignment="1">
      <alignment horizontal="right" vertical="center"/>
    </xf>
    <xf numFmtId="0" fontId="35" fillId="20" borderId="0" xfId="0" applyFont="1" applyFill="1" applyAlignment="1">
      <alignment horizontal="center"/>
    </xf>
    <xf numFmtId="0" fontId="7" fillId="0" borderId="32" xfId="0" applyFont="1" applyFill="1" applyBorder="1" applyAlignment="1">
      <alignment horizontal="left" vertical="center"/>
    </xf>
    <xf numFmtId="0" fontId="7" fillId="0" borderId="32" xfId="0" applyFont="1" applyFill="1" applyBorder="1" applyAlignment="1">
      <alignment horizontal="center" vertical="center"/>
    </xf>
    <xf numFmtId="171" fontId="7" fillId="0" borderId="32" xfId="12" applyNumberFormat="1" applyFont="1" applyFill="1" applyBorder="1" applyAlignment="1">
      <alignment horizontal="right" vertical="center"/>
    </xf>
    <xf numFmtId="170" fontId="7" fillId="0" borderId="32" xfId="12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170" fontId="0" fillId="22" borderId="0" xfId="0" applyNumberFormat="1" applyFill="1" applyBorder="1" applyAlignment="1">
      <alignment horizontal="center" vertical="center"/>
    </xf>
    <xf numFmtId="171" fontId="0" fillId="0" borderId="0" xfId="0" applyNumberFormat="1" applyBorder="1" applyAlignment="1">
      <alignment horizontal="center" vertical="center"/>
    </xf>
    <xf numFmtId="4" fontId="0" fillId="22" borderId="0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left" vertical="center" indent="1"/>
    </xf>
    <xf numFmtId="170" fontId="0" fillId="22" borderId="34" xfId="0" applyNumberFormat="1" applyFill="1" applyBorder="1" applyAlignment="1">
      <alignment horizontal="center" vertical="center"/>
    </xf>
    <xf numFmtId="4" fontId="0" fillId="22" borderId="34" xfId="0" applyNumberFormat="1" applyFill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 indent="1"/>
    </xf>
    <xf numFmtId="4" fontId="0" fillId="0" borderId="35" xfId="0" applyNumberFormat="1" applyBorder="1" applyAlignment="1">
      <alignment horizontal="right" vertical="center" indent="1"/>
    </xf>
    <xf numFmtId="0" fontId="0" fillId="0" borderId="1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0" fontId="0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right" vertical="center" indent="1"/>
    </xf>
    <xf numFmtId="170" fontId="17" fillId="0" borderId="0" xfId="8" applyNumberFormat="1" applyFont="1"/>
    <xf numFmtId="0" fontId="0" fillId="0" borderId="0" xfId="0" applyAlignment="1">
      <alignment horizontal="left" vertical="center" indent="1"/>
    </xf>
    <xf numFmtId="43" fontId="0" fillId="0" borderId="0" xfId="0" applyNumberFormat="1"/>
    <xf numFmtId="4" fontId="7" fillId="0" borderId="23" xfId="12" applyNumberFormat="1" applyFont="1" applyFill="1" applyBorder="1" applyAlignment="1">
      <alignment horizontal="right" vertical="center"/>
    </xf>
    <xf numFmtId="170" fontId="7" fillId="0" borderId="0" xfId="14" applyNumberFormat="1" applyFont="1" applyFill="1" applyBorder="1" applyAlignment="1">
      <alignment horizontal="right" vertical="center"/>
    </xf>
    <xf numFmtId="0" fontId="7" fillId="0" borderId="0" xfId="0" applyFont="1" applyFill="1"/>
    <xf numFmtId="0" fontId="7" fillId="7" borderId="17" xfId="0" applyFont="1" applyFill="1" applyBorder="1"/>
    <xf numFmtId="0" fontId="7" fillId="0" borderId="0" xfId="0" applyFont="1" applyFill="1" applyBorder="1"/>
    <xf numFmtId="0" fontId="7" fillId="0" borderId="16" xfId="0" applyFont="1" applyFill="1" applyBorder="1"/>
    <xf numFmtId="0" fontId="7" fillId="7" borderId="0" xfId="0" applyFont="1" applyFill="1"/>
    <xf numFmtId="170" fontId="0" fillId="22" borderId="0" xfId="0" applyNumberFormat="1" applyFill="1" applyAlignment="1">
      <alignment horizontal="right" vertical="center" indent="1"/>
    </xf>
    <xf numFmtId="171" fontId="0" fillId="0" borderId="0" xfId="0" applyNumberFormat="1" applyAlignment="1">
      <alignment horizontal="right" vertical="center" indent="1"/>
    </xf>
    <xf numFmtId="4" fontId="0" fillId="0" borderId="0" xfId="0" applyNumberFormat="1" applyAlignment="1">
      <alignment horizontal="right" vertical="center" indent="1"/>
    </xf>
    <xf numFmtId="170" fontId="7" fillId="7" borderId="17" xfId="14" applyNumberFormat="1" applyFont="1" applyFill="1" applyBorder="1" applyAlignment="1">
      <alignment horizontal="right" vertical="center"/>
    </xf>
    <xf numFmtId="3" fontId="0" fillId="0" borderId="0" xfId="0" applyNumberFormat="1"/>
    <xf numFmtId="168" fontId="5" fillId="7" borderId="0" xfId="0" applyNumberFormat="1" applyFont="1" applyFill="1" applyBorder="1" applyAlignment="1">
      <alignment horizontal="right" vertical="center"/>
    </xf>
    <xf numFmtId="170" fontId="7" fillId="0" borderId="0" xfId="12" quotePrefix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3" fillId="0" borderId="0" xfId="0" applyFont="1"/>
    <xf numFmtId="0" fontId="3" fillId="13" borderId="19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23" fillId="23" borderId="0" xfId="0" applyFont="1" applyFill="1"/>
    <xf numFmtId="0" fontId="33" fillId="23" borderId="0" xfId="0" applyFont="1" applyFill="1"/>
    <xf numFmtId="2" fontId="33" fillId="23" borderId="0" xfId="0" applyNumberFormat="1" applyFont="1" applyFill="1"/>
    <xf numFmtId="4" fontId="7" fillId="0" borderId="32" xfId="14" applyNumberFormat="1" applyFont="1" applyFill="1" applyBorder="1" applyAlignment="1">
      <alignment horizontal="right" vertical="center"/>
    </xf>
    <xf numFmtId="0" fontId="44" fillId="0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center"/>
    </xf>
    <xf numFmtId="171" fontId="5" fillId="4" borderId="0" xfId="0" applyNumberFormat="1" applyFont="1" applyFill="1" applyBorder="1" applyAlignment="1">
      <alignment horizontal="right" vertical="center"/>
    </xf>
    <xf numFmtId="165" fontId="23" fillId="0" borderId="0" xfId="14" applyFont="1"/>
    <xf numFmtId="170" fontId="23" fillId="0" borderId="0" xfId="0" applyNumberFormat="1" applyFont="1"/>
    <xf numFmtId="167" fontId="23" fillId="0" borderId="0" xfId="0" applyNumberFormat="1" applyFont="1" applyAlignment="1">
      <alignment horizontal="center" wrapText="1"/>
    </xf>
    <xf numFmtId="10" fontId="39" fillId="0" borderId="0" xfId="11" applyNumberFormat="1" applyFont="1" applyFill="1" applyBorder="1" applyAlignment="1">
      <alignment horizontal="right" vertical="center"/>
    </xf>
    <xf numFmtId="170" fontId="5" fillId="10" borderId="4" xfId="16" applyNumberFormat="1" applyFont="1" applyFill="1" applyBorder="1" applyAlignment="1">
      <alignment horizontal="right" vertical="center"/>
    </xf>
    <xf numFmtId="170" fontId="40" fillId="10" borderId="4" xfId="16" applyNumberFormat="1" applyFont="1" applyFill="1" applyBorder="1" applyAlignment="1">
      <alignment horizontal="right" vertical="center"/>
    </xf>
    <xf numFmtId="2" fontId="23" fillId="0" borderId="0" xfId="0" applyNumberFormat="1" applyFont="1"/>
    <xf numFmtId="2" fontId="23" fillId="23" borderId="0" xfId="0" applyNumberFormat="1" applyFont="1" applyFill="1"/>
    <xf numFmtId="166" fontId="23" fillId="0" borderId="0" xfId="14" applyNumberFormat="1" applyFont="1"/>
    <xf numFmtId="0" fontId="41" fillId="0" borderId="0" xfId="0" applyFont="1"/>
    <xf numFmtId="0" fontId="1" fillId="5" borderId="0" xfId="0" applyFont="1" applyFill="1" applyBorder="1" applyAlignment="1">
      <alignment horizontal="center" vertical="center"/>
    </xf>
    <xf numFmtId="0" fontId="23" fillId="5" borderId="0" xfId="0" applyFont="1" applyFill="1"/>
    <xf numFmtId="0" fontId="22" fillId="4" borderId="0" xfId="0" applyFont="1" applyFill="1"/>
    <xf numFmtId="0" fontId="22" fillId="4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6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170" fontId="7" fillId="16" borderId="0" xfId="15" applyNumberFormat="1" applyFont="1" applyFill="1" applyAlignment="1">
      <alignment horizontal="right" vertical="center"/>
    </xf>
    <xf numFmtId="170" fontId="7" fillId="13" borderId="0" xfId="15" applyNumberFormat="1" applyFont="1" applyFill="1" applyAlignment="1">
      <alignment horizontal="right" vertical="center"/>
    </xf>
    <xf numFmtId="170" fontId="7" fillId="17" borderId="0" xfId="15" applyNumberFormat="1" applyFont="1" applyFill="1" applyAlignment="1">
      <alignment horizontal="right" vertical="center"/>
    </xf>
    <xf numFmtId="170" fontId="7" fillId="14" borderId="0" xfId="15" applyNumberFormat="1" applyFont="1" applyFill="1" applyAlignment="1">
      <alignment horizontal="right" vertical="center"/>
    </xf>
    <xf numFmtId="170" fontId="7" fillId="18" borderId="0" xfId="15" applyNumberFormat="1" applyFont="1" applyFill="1" applyAlignment="1">
      <alignment horizontal="right" vertical="center"/>
    </xf>
    <xf numFmtId="170" fontId="7" fillId="15" borderId="0" xfId="15" applyNumberFormat="1" applyFont="1" applyFill="1" applyAlignment="1">
      <alignment horizontal="right" vertical="center"/>
    </xf>
    <xf numFmtId="170" fontId="7" fillId="19" borderId="0" xfId="15" applyNumberFormat="1" applyFont="1" applyFill="1" applyAlignment="1">
      <alignment horizontal="right" vertical="center"/>
    </xf>
    <xf numFmtId="170" fontId="7" fillId="11" borderId="0" xfId="15" applyNumberFormat="1" applyFont="1" applyFill="1" applyAlignment="1">
      <alignment horizontal="right" vertical="center"/>
    </xf>
    <xf numFmtId="170" fontId="3" fillId="16" borderId="0" xfId="14" applyNumberFormat="1" applyFont="1" applyFill="1" applyAlignment="1">
      <alignment horizontal="right" vertical="center"/>
    </xf>
    <xf numFmtId="170" fontId="3" fillId="13" borderId="0" xfId="14" applyNumberFormat="1" applyFont="1" applyFill="1" applyAlignment="1">
      <alignment horizontal="right" vertical="center"/>
    </xf>
    <xf numFmtId="170" fontId="3" fillId="17" borderId="0" xfId="14" applyNumberFormat="1" applyFont="1" applyFill="1" applyAlignment="1">
      <alignment horizontal="right" vertical="center"/>
    </xf>
    <xf numFmtId="170" fontId="3" fillId="14" borderId="0" xfId="14" applyNumberFormat="1" applyFont="1" applyFill="1" applyAlignment="1">
      <alignment horizontal="right" vertical="center"/>
    </xf>
    <xf numFmtId="170" fontId="3" fillId="18" borderId="0" xfId="14" applyNumberFormat="1" applyFont="1" applyFill="1" applyAlignment="1">
      <alignment horizontal="right" vertical="center"/>
    </xf>
    <xf numFmtId="170" fontId="3" fillId="15" borderId="0" xfId="14" applyNumberFormat="1" applyFont="1" applyFill="1" applyAlignment="1">
      <alignment horizontal="right" vertical="center"/>
    </xf>
    <xf numFmtId="170" fontId="3" fillId="19" borderId="0" xfId="14" applyNumberFormat="1" applyFont="1" applyFill="1" applyAlignment="1">
      <alignment horizontal="right" vertical="center"/>
    </xf>
    <xf numFmtId="170" fontId="3" fillId="11" borderId="0" xfId="14" applyNumberFormat="1" applyFont="1" applyFill="1" applyAlignment="1">
      <alignment horizontal="right" vertical="center"/>
    </xf>
    <xf numFmtId="164" fontId="23" fillId="4" borderId="0" xfId="1" applyFont="1" applyFill="1"/>
    <xf numFmtId="0" fontId="23" fillId="0" borderId="0" xfId="0" applyFont="1" applyAlignment="1">
      <alignment horizontal="center"/>
    </xf>
    <xf numFmtId="0" fontId="44" fillId="0" borderId="0" xfId="0" applyFont="1"/>
    <xf numFmtId="170" fontId="44" fillId="0" borderId="0" xfId="0" applyNumberFormat="1" applyFont="1"/>
    <xf numFmtId="169" fontId="23" fillId="0" borderId="0" xfId="0" applyNumberFormat="1" applyFont="1"/>
    <xf numFmtId="0" fontId="3" fillId="6" borderId="0" xfId="0" applyFont="1" applyFill="1" applyAlignment="1">
      <alignment horizontal="left"/>
    </xf>
    <xf numFmtId="168" fontId="23" fillId="0" borderId="0" xfId="0" applyNumberFormat="1" applyFont="1"/>
    <xf numFmtId="168" fontId="44" fillId="0" borderId="0" xfId="0" applyNumberFormat="1" applyFont="1"/>
    <xf numFmtId="174" fontId="23" fillId="0" borderId="0" xfId="0" applyNumberFormat="1" applyFont="1"/>
    <xf numFmtId="175" fontId="23" fillId="0" borderId="0" xfId="0" applyNumberFormat="1" applyFont="1"/>
    <xf numFmtId="166" fontId="23" fillId="0" borderId="0" xfId="0" applyNumberFormat="1" applyFont="1"/>
    <xf numFmtId="0" fontId="22" fillId="0" borderId="0" xfId="0" applyFont="1" applyFill="1" applyBorder="1" applyAlignment="1">
      <alignment horizontal="left" vertical="center"/>
    </xf>
    <xf numFmtId="0" fontId="23" fillId="20" borderId="0" xfId="0" applyFont="1" applyFill="1" applyAlignment="1">
      <alignment horizontal="center"/>
    </xf>
    <xf numFmtId="0" fontId="23" fillId="0" borderId="0" xfId="0" applyFont="1" applyFill="1" applyAlignment="1">
      <alignment horizontal="right" vertical="center"/>
    </xf>
    <xf numFmtId="166" fontId="23" fillId="0" borderId="0" xfId="14" applyNumberFormat="1" applyFont="1" applyFill="1" applyAlignment="1">
      <alignment horizontal="right" vertical="center"/>
    </xf>
    <xf numFmtId="165" fontId="23" fillId="0" borderId="0" xfId="14" applyFont="1" applyFill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horizontal="center"/>
    </xf>
    <xf numFmtId="166" fontId="22" fillId="0" borderId="0" xfId="14" applyNumberFormat="1" applyFont="1" applyFill="1" applyAlignment="1">
      <alignment horizontal="right" vertic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23" fillId="0" borderId="0" xfId="0" applyFont="1" applyBorder="1"/>
    <xf numFmtId="170" fontId="23" fillId="0" borderId="0" xfId="0" applyNumberFormat="1" applyFont="1" applyBorder="1"/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 indent="1"/>
    </xf>
    <xf numFmtId="170" fontId="41" fillId="22" borderId="0" xfId="0" applyNumberFormat="1" applyFont="1" applyFill="1" applyAlignment="1">
      <alignment horizontal="right" vertical="center" indent="1"/>
    </xf>
    <xf numFmtId="171" fontId="41" fillId="0" borderId="0" xfId="0" applyNumberFormat="1" applyFont="1" applyAlignment="1">
      <alignment horizontal="right" vertical="center" indent="1"/>
    </xf>
    <xf numFmtId="4" fontId="41" fillId="22" borderId="0" xfId="0" applyNumberFormat="1" applyFont="1" applyFill="1" applyAlignment="1">
      <alignment horizontal="center" vertical="center"/>
    </xf>
    <xf numFmtId="4" fontId="41" fillId="0" borderId="0" xfId="0" applyNumberFormat="1" applyFont="1" applyAlignment="1">
      <alignment horizontal="right" vertical="center" indent="1"/>
    </xf>
    <xf numFmtId="170" fontId="41" fillId="0" borderId="0" xfId="0" applyNumberFormat="1" applyFont="1" applyFill="1" applyAlignment="1">
      <alignment horizontal="right" vertical="center" indent="1"/>
    </xf>
    <xf numFmtId="170" fontId="41" fillId="0" borderId="0" xfId="0" applyNumberFormat="1" applyFont="1"/>
    <xf numFmtId="168" fontId="44" fillId="0" borderId="0" xfId="0" quotePrefix="1" applyNumberFormat="1" applyFont="1"/>
    <xf numFmtId="170" fontId="41" fillId="22" borderId="0" xfId="0" applyNumberFormat="1" applyFont="1" applyFill="1" applyAlignment="1">
      <alignment horizontal="center" vertical="center"/>
    </xf>
    <xf numFmtId="171" fontId="41" fillId="0" borderId="0" xfId="0" applyNumberFormat="1" applyFont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Border="1" applyAlignment="1">
      <alignment horizontal="left"/>
    </xf>
    <xf numFmtId="166" fontId="23" fillId="0" borderId="0" xfId="0" applyNumberFormat="1" applyFont="1" applyBorder="1"/>
    <xf numFmtId="166" fontId="7" fillId="5" borderId="0" xfId="12" applyNumberFormat="1" applyFont="1" applyFill="1" applyBorder="1"/>
    <xf numFmtId="165" fontId="23" fillId="0" borderId="0" xfId="12" applyFont="1" applyBorder="1"/>
    <xf numFmtId="43" fontId="23" fillId="0" borderId="0" xfId="0" applyNumberFormat="1" applyFont="1"/>
    <xf numFmtId="171" fontId="23" fillId="0" borderId="0" xfId="0" applyNumberFormat="1" applyFont="1"/>
    <xf numFmtId="175" fontId="41" fillId="0" borderId="0" xfId="0" applyNumberFormat="1" applyFont="1"/>
    <xf numFmtId="0" fontId="7" fillId="0" borderId="0" xfId="8" applyFont="1"/>
    <xf numFmtId="43" fontId="41" fillId="0" borderId="0" xfId="0" applyNumberFormat="1" applyFont="1"/>
    <xf numFmtId="170" fontId="7" fillId="0" borderId="0" xfId="8" applyNumberFormat="1" applyFont="1"/>
    <xf numFmtId="170" fontId="23" fillId="0" borderId="0" xfId="0" applyNumberFormat="1" applyFont="1" applyAlignment="1">
      <alignment horizontal="center"/>
    </xf>
    <xf numFmtId="171" fontId="23" fillId="0" borderId="0" xfId="0" applyNumberFormat="1" applyFont="1" applyFill="1"/>
    <xf numFmtId="169" fontId="41" fillId="0" borderId="0" xfId="0" applyNumberFormat="1" applyFont="1"/>
    <xf numFmtId="170" fontId="44" fillId="0" borderId="0" xfId="12" applyNumberFormat="1" applyFont="1" applyFill="1" applyBorder="1" applyAlignment="1">
      <alignment horizontal="right" vertical="center"/>
    </xf>
    <xf numFmtId="171" fontId="44" fillId="0" borderId="0" xfId="12" applyNumberFormat="1" applyFont="1" applyFill="1" applyBorder="1" applyAlignment="1">
      <alignment horizontal="right" vertical="center"/>
    </xf>
    <xf numFmtId="170" fontId="7" fillId="10" borderId="0" xfId="12" quotePrefix="1" applyNumberFormat="1" applyFont="1" applyFill="1" applyBorder="1" applyAlignment="1">
      <alignment horizontal="right" vertical="center"/>
    </xf>
    <xf numFmtId="3" fontId="41" fillId="10" borderId="0" xfId="0" applyNumberFormat="1" applyFont="1" applyFill="1"/>
    <xf numFmtId="0" fontId="44" fillId="0" borderId="0" xfId="0" applyFont="1" applyFill="1" applyAlignment="1">
      <alignment horizontal="left" vertical="center"/>
    </xf>
    <xf numFmtId="0" fontId="44" fillId="0" borderId="0" xfId="0" applyFont="1" applyFill="1" applyAlignment="1">
      <alignment horizontal="center" vertical="center"/>
    </xf>
    <xf numFmtId="4" fontId="44" fillId="0" borderId="0" xfId="14" applyNumberFormat="1" applyFont="1" applyFill="1" applyAlignment="1">
      <alignment horizontal="right" vertical="center"/>
    </xf>
    <xf numFmtId="0" fontId="23" fillId="0" borderId="0" xfId="0" applyFont="1"/>
    <xf numFmtId="0" fontId="0" fillId="0" borderId="0" xfId="0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21" fillId="0" borderId="8" xfId="0" applyFon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8" xfId="0" applyNumberFormat="1" applyBorder="1"/>
    <xf numFmtId="0" fontId="1" fillId="2" borderId="0" xfId="0" applyFont="1" applyFill="1" applyBorder="1" applyAlignment="1">
      <alignment horizontal="center" vertical="center"/>
    </xf>
    <xf numFmtId="0" fontId="23" fillId="0" borderId="0" xfId="0" applyFont="1"/>
    <xf numFmtId="0" fontId="3" fillId="13" borderId="19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4" fontId="42" fillId="0" borderId="0" xfId="14" applyNumberFormat="1" applyFont="1" applyFill="1" applyAlignment="1">
      <alignment horizontal="right" vertical="center"/>
    </xf>
    <xf numFmtId="170" fontId="7" fillId="0" borderId="17" xfId="14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/>
    <xf numFmtId="4" fontId="44" fillId="0" borderId="0" xfId="14" applyNumberFormat="1" applyFont="1" applyFill="1" applyBorder="1" applyAlignment="1">
      <alignment horizontal="right" vertical="center"/>
    </xf>
    <xf numFmtId="170" fontId="44" fillId="0" borderId="0" xfId="14" applyNumberFormat="1" applyFont="1" applyFill="1" applyBorder="1" applyAlignment="1">
      <alignment horizontal="right" vertical="center"/>
    </xf>
    <xf numFmtId="0" fontId="23" fillId="0" borderId="0" xfId="0" applyFont="1"/>
    <xf numFmtId="0" fontId="0" fillId="0" borderId="8" xfId="0" applyBorder="1" applyAlignment="1">
      <alignment horizontal="center"/>
    </xf>
    <xf numFmtId="175" fontId="4" fillId="0" borderId="0" xfId="7" applyNumberFormat="1" applyFont="1" applyBorder="1" applyAlignment="1"/>
    <xf numFmtId="0" fontId="23" fillId="0" borderId="0" xfId="0" applyFont="1"/>
    <xf numFmtId="170" fontId="7" fillId="10" borderId="0" xfId="12" applyNumberFormat="1" applyFont="1" applyFill="1" applyBorder="1" applyAlignment="1">
      <alignment horizontal="right" vertical="center"/>
    </xf>
    <xf numFmtId="0" fontId="23" fillId="0" borderId="0" xfId="0" applyFont="1"/>
    <xf numFmtId="0" fontId="23" fillId="0" borderId="0" xfId="0" applyFont="1"/>
    <xf numFmtId="168" fontId="0" fillId="0" borderId="0" xfId="0" applyNumberFormat="1"/>
    <xf numFmtId="166" fontId="19" fillId="10" borderId="8" xfId="14" applyNumberFormat="1" applyFont="1" applyFill="1" applyBorder="1" applyAlignment="1">
      <alignment vertical="center"/>
    </xf>
    <xf numFmtId="0" fontId="23" fillId="10" borderId="0" xfId="0" applyFont="1" applyFill="1"/>
    <xf numFmtId="0" fontId="41" fillId="10" borderId="0" xfId="0" applyFont="1" applyFill="1"/>
    <xf numFmtId="0" fontId="41" fillId="0" borderId="0" xfId="0" applyFont="1" applyFill="1"/>
    <xf numFmtId="0" fontId="23" fillId="0" borderId="0" xfId="0" applyFont="1"/>
    <xf numFmtId="0" fontId="23" fillId="0" borderId="0" xfId="0" applyFont="1"/>
    <xf numFmtId="167" fontId="44" fillId="0" borderId="0" xfId="0" quotePrefix="1" applyNumberFormat="1" applyFont="1" applyFill="1"/>
    <xf numFmtId="0" fontId="7" fillId="10" borderId="0" xfId="0" applyFont="1" applyFill="1" applyBorder="1" applyAlignment="1">
      <alignment horizontal="left" vertical="center"/>
    </xf>
    <xf numFmtId="170" fontId="44" fillId="10" borderId="0" xfId="12" quotePrefix="1" applyNumberFormat="1" applyFont="1" applyFill="1" applyBorder="1" applyAlignment="1">
      <alignment horizontal="right" vertical="center"/>
    </xf>
    <xf numFmtId="4" fontId="7" fillId="10" borderId="0" xfId="14" applyNumberFormat="1" applyFont="1" applyFill="1" applyAlignment="1">
      <alignment horizontal="right" vertical="center"/>
    </xf>
    <xf numFmtId="170" fontId="7" fillId="10" borderId="0" xfId="14" applyNumberFormat="1" applyFont="1" applyFill="1" applyBorder="1" applyAlignment="1">
      <alignment horizontal="right" vertical="center"/>
    </xf>
    <xf numFmtId="0" fontId="23" fillId="0" borderId="0" xfId="0" applyFont="1"/>
    <xf numFmtId="167" fontId="39" fillId="10" borderId="0" xfId="0" quotePrefix="1" applyNumberFormat="1" applyFont="1" applyFill="1"/>
    <xf numFmtId="0" fontId="1" fillId="2" borderId="0" xfId="0" applyFont="1" applyFill="1" applyBorder="1" applyAlignment="1">
      <alignment horizontal="center" vertical="center"/>
    </xf>
    <xf numFmtId="0" fontId="3" fillId="20" borderId="1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3" fillId="0" borderId="0" xfId="0" applyFont="1"/>
    <xf numFmtId="0" fontId="3" fillId="13" borderId="18" xfId="0" applyFont="1" applyFill="1" applyBorder="1" applyAlignment="1">
      <alignment horizontal="center" vertical="center"/>
    </xf>
    <xf numFmtId="0" fontId="3" fillId="13" borderId="19" xfId="0" applyFont="1" applyFill="1" applyBorder="1" applyAlignment="1">
      <alignment horizontal="center" vertical="center"/>
    </xf>
    <xf numFmtId="0" fontId="3" fillId="14" borderId="18" xfId="0" applyFont="1" applyFill="1" applyBorder="1" applyAlignment="1">
      <alignment horizontal="center" vertical="center"/>
    </xf>
    <xf numFmtId="0" fontId="3" fillId="14" borderId="19" xfId="0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6" fillId="10" borderId="9" xfId="0" applyFont="1" applyFill="1" applyBorder="1" applyAlignment="1">
      <alignment horizontal="center"/>
    </xf>
    <xf numFmtId="0" fontId="16" fillId="10" borderId="7" xfId="0" applyFont="1" applyFill="1" applyBorder="1" applyAlignment="1">
      <alignment horizontal="center"/>
    </xf>
    <xf numFmtId="0" fontId="16" fillId="10" borderId="3" xfId="0" applyFont="1" applyFill="1" applyBorder="1" applyAlignment="1">
      <alignment horizontal="center"/>
    </xf>
    <xf numFmtId="17" fontId="3" fillId="3" borderId="0" xfId="0" applyNumberFormat="1" applyFont="1" applyFill="1" applyBorder="1" applyAlignment="1">
      <alignment horizontal="center" vertical="center"/>
    </xf>
    <xf numFmtId="0" fontId="26" fillId="9" borderId="9" xfId="7" applyFont="1" applyFill="1" applyBorder="1" applyAlignment="1">
      <alignment horizontal="center"/>
    </xf>
    <xf numFmtId="0" fontId="26" fillId="9" borderId="7" xfId="7" applyFont="1" applyFill="1" applyBorder="1" applyAlignment="1">
      <alignment horizontal="center"/>
    </xf>
    <xf numFmtId="0" fontId="26" fillId="9" borderId="3" xfId="7" applyFont="1" applyFill="1" applyBorder="1" applyAlignment="1">
      <alignment horizontal="center"/>
    </xf>
    <xf numFmtId="0" fontId="26" fillId="9" borderId="9" xfId="7" applyFont="1" applyFill="1" applyBorder="1" applyAlignment="1">
      <alignment horizontal="center" vertical="center"/>
    </xf>
    <xf numFmtId="0" fontId="26" fillId="9" borderId="7" xfId="7" applyFont="1" applyFill="1" applyBorder="1" applyAlignment="1">
      <alignment horizontal="center" vertical="center"/>
    </xf>
    <xf numFmtId="0" fontId="26" fillId="9" borderId="3" xfId="7" applyFont="1" applyFill="1" applyBorder="1" applyAlignment="1">
      <alignment horizontal="center" vertical="center"/>
    </xf>
    <xf numFmtId="0" fontId="26" fillId="9" borderId="11" xfId="7" applyFont="1" applyFill="1" applyBorder="1" applyAlignment="1">
      <alignment horizontal="center" vertical="center"/>
    </xf>
    <xf numFmtId="0" fontId="26" fillId="9" borderId="12" xfId="7" applyFont="1" applyFill="1" applyBorder="1" applyAlignment="1">
      <alignment horizontal="center" vertical="center"/>
    </xf>
    <xf numFmtId="0" fontId="26" fillId="9" borderId="11" xfId="7" applyFont="1" applyFill="1" applyBorder="1" applyAlignment="1">
      <alignment horizontal="center"/>
    </xf>
    <xf numFmtId="0" fontId="26" fillId="9" borderId="6" xfId="7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9">
    <cellStyle name="Moeda" xfId="1" builtinId="4"/>
    <cellStyle name="Moeda 2" xfId="2" xr:uid="{00000000-0005-0000-0000-000001000000}"/>
    <cellStyle name="Normal" xfId="0" builtinId="0"/>
    <cellStyle name="Normal 18" xfId="3" xr:uid="{00000000-0005-0000-0000-000003000000}"/>
    <cellStyle name="Normal 18 2" xfId="4" xr:uid="{00000000-0005-0000-0000-000004000000}"/>
    <cellStyle name="Normal 2" xfId="5" xr:uid="{00000000-0005-0000-0000-000005000000}"/>
    <cellStyle name="Normal 3" xfId="6" xr:uid="{00000000-0005-0000-0000-000006000000}"/>
    <cellStyle name="Normal 3 2" xfId="7" xr:uid="{00000000-0005-0000-0000-000007000000}"/>
    <cellStyle name="Normal 4" xfId="8" xr:uid="{00000000-0005-0000-0000-000008000000}"/>
    <cellStyle name="Normal 5" xfId="9" xr:uid="{00000000-0005-0000-0000-000009000000}"/>
    <cellStyle name="Normal 6" xfId="10" xr:uid="{00000000-0005-0000-0000-00000A000000}"/>
    <cellStyle name="Porcentagem" xfId="11" builtinId="5"/>
    <cellStyle name="Separador de milhares 2" xfId="12" xr:uid="{00000000-0005-0000-0000-00000C000000}"/>
    <cellStyle name="Separador de milhares 2 2" xfId="13" xr:uid="{00000000-0005-0000-0000-00000D000000}"/>
    <cellStyle name="Vírgula" xfId="14" builtinId="3"/>
    <cellStyle name="Vírgula 2" xfId="15" xr:uid="{00000000-0005-0000-0000-00000F000000}"/>
    <cellStyle name="Vírgula 2 2" xfId="16" xr:uid="{00000000-0005-0000-0000-000010000000}"/>
    <cellStyle name="Vírgula 3" xfId="17" xr:uid="{00000000-0005-0000-0000-000011000000}"/>
    <cellStyle name="Vírgula 3 2" xfId="18" xr:uid="{00000000-0005-0000-0000-000012000000}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fgColor rgb="FFA4FCF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38100</xdr:rowOff>
    </xdr:from>
    <xdr:to>
      <xdr:col>0</xdr:col>
      <xdr:colOff>1198566</xdr:colOff>
      <xdr:row>0</xdr:row>
      <xdr:rowOff>541020</xdr:rowOff>
    </xdr:to>
    <xdr:pic>
      <xdr:nvPicPr>
        <xdr:cNvPr id="34005" name="Picture 1">
          <a:extLst>
            <a:ext uri="{FF2B5EF4-FFF2-40B4-BE49-F238E27FC236}">
              <a16:creationId xmlns:a16="http://schemas.microsoft.com/office/drawing/2014/main" id="{00000000-0008-0000-0100-0000D58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3" y="38100"/>
          <a:ext cx="1152525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38103</xdr:colOff>
      <xdr:row>0</xdr:row>
      <xdr:rowOff>38100</xdr:rowOff>
    </xdr:from>
    <xdr:to>
      <xdr:col>0</xdr:col>
      <xdr:colOff>1190628</xdr:colOff>
      <xdr:row>0</xdr:row>
      <xdr:rowOff>541020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3" y="38100"/>
          <a:ext cx="1152525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4.%20MERCADO/ESTUDOS%20DE%20MERCADO/pre&#231;os/energia%20eletrica/Pre&#231;os%20CCE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CVRD%20APE%20I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CVRD%20PIE%20I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CVRD%20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CVR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CVRD%20CL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CVRD%20C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CVRD%20CL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CVRD%20CL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CVRD%20CL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CVRD%20CL%20SE-C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4.%20MERCADO/ESTUDOS%20DE%20MERCADO/Acompanhamento%20do%20Mercado/Acompanhamento%20Di&#225;rio/2019/2019%20-%20Gera&#231;&#227;o,%20Expans&#227;o,%20GF%20e%20GSF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Rio%20Doce%20C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Fertilizantes%20S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Rio%20Doce%20N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Set15\Contratos\Proinfa%20Rio%20Doce%20N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RIO%20DOCE%20N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RIO%20DOCE%20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out15\Contratos\Proinfa%20Fertilizantes%20SE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Set15\Contratos\Proinfa%20Fertilizantes%20S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Salobo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SALOB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GERA&#199;AO/Sazonaliza&#231;&#227;o/2019/Relat&#243;rio%20de%20Sazonaliza&#231;&#227;o_MR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Fertilizante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Fertilizantes%20N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nergia\3.%20COMERCIALIZA&#199;AO\BALAN&#199;O%20DE%20ENERGIA\Curto%20Prazo\2017\Balan&#231;o%20de%20Energia\Projetado\Contratos%20CliqCCEE\nov15\Contratos\Proinfa%20Fertilizantes%20E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7/Contratos%20CliqCCEE/07%20jul17/FERTILIZANTES%20E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8/Contratos%20CliqCCEE/122018%20-%20RelatorioContratos_090119_16443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CONTRATOS/Gest&#227;o%20de%20Contratos/Gest&#227;o%20de%20Contrato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OR&#199;AMENTO%20UNIDADES/2019/Projetado%20EE%202019_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BALAN&#199;O%20DE%20ENERGIA/Curto%20Prazo/2019/Consumo/Realizado/01-Jan/Real_Cons_Vale_2019-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CCEE/contratos%20proinfa/proinfa%20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ia/3.%20COMERCIALIZA&#199;AO/OR&#199;AMENTO%20UNIDADES/2018/Projetado%20EE%202018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ços MAE 2000"/>
      <sheetName val="Preços MAE 2001"/>
      <sheetName val="Preços MAE 2002"/>
      <sheetName val="Preços MAE 2003"/>
      <sheetName val="Preços MAE 2004"/>
      <sheetName val="Preços MAE 2005"/>
      <sheetName val="Preços MAE 2006"/>
      <sheetName val="Preços MAE 2007"/>
      <sheetName val="Preços MAE 2008"/>
      <sheetName val="Preços MAE 2009"/>
      <sheetName val="Preços MAE 2010"/>
      <sheetName val="Preços MAE 2011"/>
      <sheetName val="Preços MAE 2012"/>
      <sheetName val="Preços MAE 2013 "/>
      <sheetName val="Preços MAE 2014"/>
      <sheetName val="Preços MAE 2015"/>
      <sheetName val="Preços CCEE 2016"/>
      <sheetName val="Preços CCEE 2017"/>
      <sheetName val="Preços CCEE 2018"/>
      <sheetName val="Preços CCEE 2019"/>
      <sheetName val="Preços MAE 2013 final"/>
      <sheetName val="Historic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9">
          <cell r="BQ19">
            <v>78.964475806451617</v>
          </cell>
        </row>
      </sheetData>
      <sheetData sheetId="19">
        <row r="19">
          <cell r="C19">
            <v>86.684556451612906</v>
          </cell>
        </row>
        <row r="30">
          <cell r="C30">
            <v>86.684556451612906</v>
          </cell>
        </row>
        <row r="41">
          <cell r="C41">
            <v>48.572580645161288</v>
          </cell>
        </row>
        <row r="52">
          <cell r="C52">
            <v>48.572580645161288</v>
          </cell>
        </row>
      </sheetData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352"/>
      <sheetName val="CVRD APE I5"/>
      <sheetName val="RelatorioContratos_130717_09021"/>
    </sheetNames>
    <sheetDataSet>
      <sheetData sheetId="0"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134245</v>
          </cell>
          <cell r="B3" t="str">
            <v>CCEAL</v>
          </cell>
          <cell r="C3" t="str">
            <v>Firme</v>
          </cell>
          <cell r="D3" t="str">
            <v>Energia Incentivada Especial</v>
          </cell>
          <cell r="E3" t="str">
            <v>01/02/2015 00</v>
          </cell>
          <cell r="F3" t="str">
            <v>01/02/2019 00</v>
          </cell>
          <cell r="G3" t="str">
            <v>01/01/2013 00</v>
          </cell>
          <cell r="H3" t="str">
            <v>31/01/2019 23</v>
          </cell>
          <cell r="J3" t="str">
            <v>Validado</v>
          </cell>
          <cell r="M3" t="str">
            <v>CVRD APE I5</v>
          </cell>
          <cell r="N3" t="str">
            <v>CVRD</v>
          </cell>
          <cell r="O3" t="str">
            <v>SUDESTE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557976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01/02/2015 00</v>
          </cell>
          <cell r="F4" t="str">
            <v>01/02/2019 00</v>
          </cell>
          <cell r="G4" t="str">
            <v>01/02/2014 00</v>
          </cell>
          <cell r="H4" t="str">
            <v>31/01/2019 23</v>
          </cell>
          <cell r="J4" t="str">
            <v>Validado</v>
          </cell>
          <cell r="M4" t="str">
            <v>CVRD APE I5</v>
          </cell>
          <cell r="N4" t="str">
            <v>VALE ENE I5</v>
          </cell>
          <cell r="O4" t="str">
            <v>SUDESTE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558364</v>
          </cell>
          <cell r="B5" t="str">
            <v>CCEAL</v>
          </cell>
          <cell r="C5" t="str">
            <v>Firme</v>
          </cell>
          <cell r="D5" t="str">
            <v>Energia Incentivada Especial</v>
          </cell>
          <cell r="E5" t="str">
            <v>01/02/2015 00</v>
          </cell>
          <cell r="F5" t="str">
            <v>01/02/2019 00</v>
          </cell>
          <cell r="G5" t="str">
            <v>01/02/2014 00</v>
          </cell>
          <cell r="H5" t="str">
            <v>31/01/2019 23</v>
          </cell>
          <cell r="J5" t="str">
            <v>Validado</v>
          </cell>
          <cell r="M5" t="str">
            <v>CVRD APE I5</v>
          </cell>
          <cell r="N5" t="str">
            <v>CVRD PIE I5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  <row r="6">
          <cell r="A6">
            <v>558365</v>
          </cell>
          <cell r="B6" t="str">
            <v>CCEAL</v>
          </cell>
          <cell r="C6" t="str">
            <v>Firme</v>
          </cell>
          <cell r="D6" t="str">
            <v>Energia Incentivada Especial</v>
          </cell>
          <cell r="E6" t="str">
            <v>01/02/2015 00</v>
          </cell>
          <cell r="F6" t="str">
            <v>01/02/2019 00</v>
          </cell>
          <cell r="G6" t="str">
            <v>01/02/2014 00</v>
          </cell>
          <cell r="H6" t="str">
            <v>31/01/2019 23</v>
          </cell>
          <cell r="J6" t="str">
            <v>Validado</v>
          </cell>
          <cell r="M6" t="str">
            <v>CVRD PIE I5</v>
          </cell>
          <cell r="N6" t="str">
            <v>CVRD APE I5</v>
          </cell>
          <cell r="O6" t="str">
            <v>SUDESTE</v>
          </cell>
          <cell r="P6" t="str">
            <v>X</v>
          </cell>
          <cell r="X6" t="str">
            <v>01/07/2017 00</v>
          </cell>
          <cell r="Y6" t="str">
            <v>01/08/2017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566601</v>
          </cell>
          <cell r="B7" t="str">
            <v>CCEAL</v>
          </cell>
          <cell r="C7" t="str">
            <v>Firme</v>
          </cell>
          <cell r="D7" t="str">
            <v>Energia Incentivada Especial</v>
          </cell>
          <cell r="E7" t="str">
            <v>01/02/2015 00</v>
          </cell>
          <cell r="F7" t="str">
            <v>01/02/2019 00</v>
          </cell>
          <cell r="G7" t="str">
            <v>01/02/2014 00</v>
          </cell>
          <cell r="H7" t="str">
            <v>31/01/2019 23</v>
          </cell>
          <cell r="J7" t="str">
            <v>Validado</v>
          </cell>
          <cell r="M7" t="str">
            <v>CVRD APE I5</v>
          </cell>
          <cell r="N7" t="str">
            <v>CVRD CL2</v>
          </cell>
          <cell r="O7" t="str">
            <v>SUDESTE</v>
          </cell>
          <cell r="P7" t="str">
            <v>X</v>
          </cell>
          <cell r="X7" t="str">
            <v>01/07/2017 00</v>
          </cell>
          <cell r="Y7" t="str">
            <v>01/08/2017 00</v>
          </cell>
          <cell r="Z7" t="str">
            <v>0,000000</v>
          </cell>
          <cell r="AF7" t="str">
            <v>FLAT</v>
          </cell>
          <cell r="AG7" t="str">
            <v>Validado</v>
          </cell>
        </row>
        <row r="8">
          <cell r="A8">
            <v>566648</v>
          </cell>
          <cell r="B8" t="str">
            <v>CCEAL</v>
          </cell>
          <cell r="C8" t="str">
            <v>Firme</v>
          </cell>
          <cell r="D8" t="str">
            <v>Energia Incentivada Especial</v>
          </cell>
          <cell r="E8" t="str">
            <v>01/02/2015 00</v>
          </cell>
          <cell r="F8" t="str">
            <v>01/02/2019 00</v>
          </cell>
          <cell r="G8" t="str">
            <v>01/02/2014 00</v>
          </cell>
          <cell r="H8" t="str">
            <v>31/01/2019 23</v>
          </cell>
          <cell r="J8" t="str">
            <v>Validado</v>
          </cell>
          <cell r="M8" t="str">
            <v>CVRD APE I5</v>
          </cell>
          <cell r="N8" t="str">
            <v>FERTILIZANTES EI</v>
          </cell>
          <cell r="O8" t="str">
            <v>SUDESTE</v>
          </cell>
          <cell r="P8" t="str">
            <v>X</v>
          </cell>
          <cell r="X8" t="str">
            <v>01/07/2017 00</v>
          </cell>
          <cell r="Y8" t="str">
            <v>01/08/2017 00</v>
          </cell>
          <cell r="Z8" t="str">
            <v>0,000000</v>
          </cell>
          <cell r="AF8" t="str">
            <v>FLAT</v>
          </cell>
          <cell r="AG8" t="str">
            <v>Validado</v>
          </cell>
        </row>
        <row r="9">
          <cell r="A9">
            <v>566654</v>
          </cell>
          <cell r="B9" t="str">
            <v>CCEAL</v>
          </cell>
          <cell r="C9" t="str">
            <v>Firme</v>
          </cell>
          <cell r="D9" t="str">
            <v>Energia Incentivada Especial</v>
          </cell>
          <cell r="E9" t="str">
            <v>01/03/2015 00</v>
          </cell>
          <cell r="F9" t="str">
            <v>01/02/2019 00</v>
          </cell>
          <cell r="G9" t="str">
            <v>01/02/2014 00</v>
          </cell>
          <cell r="H9" t="str">
            <v>31/01/2019 23</v>
          </cell>
          <cell r="J9" t="str">
            <v>Validado</v>
          </cell>
          <cell r="M9" t="str">
            <v>CVRD APE I5</v>
          </cell>
          <cell r="N9" t="str">
            <v>ALIANCA GERACAO</v>
          </cell>
          <cell r="O9" t="str">
            <v>SUDESTE</v>
          </cell>
          <cell r="P9" t="str">
            <v>X</v>
          </cell>
          <cell r="X9" t="str">
            <v>01/07/2017 00</v>
          </cell>
          <cell r="Y9" t="str">
            <v>01/08/2017 00</v>
          </cell>
          <cell r="Z9" t="str">
            <v>0,000000</v>
          </cell>
          <cell r="AF9" t="str">
            <v>FLAT</v>
          </cell>
          <cell r="AG9" t="str">
            <v>Validado</v>
          </cell>
        </row>
        <row r="10">
          <cell r="A10">
            <v>566833</v>
          </cell>
          <cell r="B10" t="str">
            <v>CCEAL</v>
          </cell>
          <cell r="C10" t="str">
            <v>Firme</v>
          </cell>
          <cell r="D10" t="str">
            <v>Energia Incentivada Especial</v>
          </cell>
          <cell r="E10" t="str">
            <v>01/02/2015 00</v>
          </cell>
          <cell r="F10" t="str">
            <v>01/02/2019 00</v>
          </cell>
          <cell r="G10" t="str">
            <v>01/02/2014 00</v>
          </cell>
          <cell r="H10" t="str">
            <v>31/01/2019 23</v>
          </cell>
          <cell r="J10" t="str">
            <v>Validado</v>
          </cell>
          <cell r="M10" t="str">
            <v>VALE ENE I5</v>
          </cell>
          <cell r="N10" t="str">
            <v>CVRD APE I5</v>
          </cell>
          <cell r="O10" t="str">
            <v>SUDESTE</v>
          </cell>
          <cell r="P10" t="str">
            <v>X</v>
          </cell>
          <cell r="X10" t="str">
            <v>01/07/2017 00</v>
          </cell>
          <cell r="Y10" t="str">
            <v>01/08/2017 00</v>
          </cell>
          <cell r="Z10" t="str">
            <v>0,000000</v>
          </cell>
          <cell r="AF10" t="str">
            <v>FLAT</v>
          </cell>
          <cell r="AG10" t="str">
            <v>Validado</v>
          </cell>
        </row>
        <row r="11">
          <cell r="A11">
            <v>567025</v>
          </cell>
          <cell r="B11" t="str">
            <v>CCEAL</v>
          </cell>
          <cell r="C11" t="str">
            <v>Firme</v>
          </cell>
          <cell r="D11" t="str">
            <v>Energia Incentivada Especial</v>
          </cell>
          <cell r="E11" t="str">
            <v>01/02/2015 00</v>
          </cell>
          <cell r="F11" t="str">
            <v>01/02/2019 00</v>
          </cell>
          <cell r="G11" t="str">
            <v>01/02/2014 00</v>
          </cell>
          <cell r="H11" t="str">
            <v>31/01/2019 23</v>
          </cell>
          <cell r="J11" t="str">
            <v>Validado</v>
          </cell>
          <cell r="M11" t="str">
            <v>CVRD APE I5</v>
          </cell>
          <cell r="N11" t="str">
            <v>CVRD CL3</v>
          </cell>
          <cell r="O11" t="str">
            <v>SUDESTE</v>
          </cell>
          <cell r="P11" t="str">
            <v>X</v>
          </cell>
          <cell r="U11" t="str">
            <v>REPASSE DE AUTO PRODUÇÃO</v>
          </cell>
          <cell r="X11" t="str">
            <v>01/07/2017 00</v>
          </cell>
          <cell r="Y11" t="str">
            <v>01/08/2017 00</v>
          </cell>
          <cell r="Z11" t="str">
            <v>0,000000</v>
          </cell>
          <cell r="AF11" t="str">
            <v>FLAT</v>
          </cell>
          <cell r="AG11" t="str">
            <v>Validado</v>
          </cell>
        </row>
        <row r="12">
          <cell r="A12">
            <v>567046</v>
          </cell>
          <cell r="B12" t="str">
            <v>CCEAL</v>
          </cell>
          <cell r="C12" t="str">
            <v>Firme</v>
          </cell>
          <cell r="D12" t="str">
            <v>Energia Incentivada Especial</v>
          </cell>
          <cell r="E12" t="str">
            <v>01/02/2015 00</v>
          </cell>
          <cell r="F12" t="str">
            <v>01/02/2019 00</v>
          </cell>
          <cell r="G12" t="str">
            <v>01/02/2014 00</v>
          </cell>
          <cell r="H12" t="str">
            <v>31/01/2019 23</v>
          </cell>
          <cell r="J12" t="str">
            <v>Validado</v>
          </cell>
          <cell r="M12" t="str">
            <v>CVRD APE I5</v>
          </cell>
          <cell r="N12" t="str">
            <v>CVRD CL2</v>
          </cell>
          <cell r="O12" t="str">
            <v>SUDESTE</v>
          </cell>
          <cell r="P12" t="str">
            <v>X</v>
          </cell>
          <cell r="U12" t="str">
            <v>REPASSE DE AUTO PRODUÇÃO</v>
          </cell>
          <cell r="X12" t="str">
            <v>01/07/2017 00</v>
          </cell>
          <cell r="Y12" t="str">
            <v>01/08/2017 00</v>
          </cell>
          <cell r="Z12" t="str">
            <v>0,000000</v>
          </cell>
          <cell r="AF12" t="str">
            <v>FLAT</v>
          </cell>
          <cell r="AG12" t="str">
            <v>Validado</v>
          </cell>
        </row>
        <row r="13">
          <cell r="A13">
            <v>567305</v>
          </cell>
          <cell r="B13" t="str">
            <v>CCEAL</v>
          </cell>
          <cell r="C13" t="str">
            <v>Firme</v>
          </cell>
          <cell r="D13" t="str">
            <v>Energia Incentivada Especial</v>
          </cell>
          <cell r="E13" t="str">
            <v>01/02/2015 00</v>
          </cell>
          <cell r="F13" t="str">
            <v>01/02/2019 00</v>
          </cell>
          <cell r="G13" t="str">
            <v>01/02/2014 00</v>
          </cell>
          <cell r="H13" t="str">
            <v>31/01/2019 23</v>
          </cell>
          <cell r="J13" t="str">
            <v>Validado</v>
          </cell>
          <cell r="M13" t="str">
            <v>CVRD APE I5</v>
          </cell>
          <cell r="N13" t="str">
            <v>CVRD</v>
          </cell>
          <cell r="O13" t="str">
            <v>SUDESTE</v>
          </cell>
          <cell r="P13" t="str">
            <v>X</v>
          </cell>
          <cell r="U13" t="str">
            <v>REPASSE DE AUTO PRODUÇÃO</v>
          </cell>
          <cell r="X13" t="str">
            <v>01/07/2017 00</v>
          </cell>
          <cell r="Y13" t="str">
            <v>01/08/2017 00</v>
          </cell>
          <cell r="Z13" t="str">
            <v>19,112984</v>
          </cell>
          <cell r="AF13" t="str">
            <v>FLAT</v>
          </cell>
          <cell r="AG13" t="str">
            <v>Ajustado Validado</v>
          </cell>
        </row>
        <row r="14">
          <cell r="A14">
            <v>747543</v>
          </cell>
          <cell r="B14" t="str">
            <v>CCEAL</v>
          </cell>
          <cell r="C14" t="str">
            <v>Firme</v>
          </cell>
          <cell r="D14" t="str">
            <v>Energia Incentivada Especial</v>
          </cell>
          <cell r="E14" t="str">
            <v>01/01/2015 00</v>
          </cell>
          <cell r="F14" t="str">
            <v>01/02/2019 00</v>
          </cell>
          <cell r="G14" t="str">
            <v>01/01/2015 00</v>
          </cell>
          <cell r="H14" t="str">
            <v>31/01/2019 23</v>
          </cell>
          <cell r="J14" t="str">
            <v>Validado</v>
          </cell>
          <cell r="M14" t="str">
            <v>CVRD APE I5</v>
          </cell>
          <cell r="N14" t="str">
            <v>RIO DOCE SE</v>
          </cell>
          <cell r="O14" t="str">
            <v>SUDESTE</v>
          </cell>
          <cell r="P14" t="str">
            <v>X</v>
          </cell>
          <cell r="X14" t="str">
            <v>01/07/2017 00</v>
          </cell>
          <cell r="Y14" t="str">
            <v>01/08/2017 00</v>
          </cell>
          <cell r="Z14" t="str">
            <v>0,000000</v>
          </cell>
          <cell r="AF14" t="str">
            <v>FLAT</v>
          </cell>
          <cell r="AG14" t="str">
            <v>Validado</v>
          </cell>
        </row>
        <row r="15">
          <cell r="A15">
            <v>843740</v>
          </cell>
          <cell r="B15" t="str">
            <v>CCEAL</v>
          </cell>
          <cell r="C15" t="str">
            <v>Firme</v>
          </cell>
          <cell r="D15" t="str">
            <v>Energia Incentivada Especial</v>
          </cell>
          <cell r="E15" t="str">
            <v>01/12/2015 00</v>
          </cell>
          <cell r="F15" t="str">
            <v>01/02/2019 00</v>
          </cell>
          <cell r="G15" t="str">
            <v>01/12/2015 00</v>
          </cell>
          <cell r="H15" t="str">
            <v>31/01/2019 23</v>
          </cell>
          <cell r="J15" t="str">
            <v>Validado</v>
          </cell>
          <cell r="M15" t="str">
            <v>CVRD APE I5</v>
          </cell>
          <cell r="N15" t="str">
            <v>CVRD CL SE-CO</v>
          </cell>
          <cell r="O15" t="str">
            <v>SUDESTE</v>
          </cell>
          <cell r="P15" t="str">
            <v>X</v>
          </cell>
          <cell r="X15" t="str">
            <v>01/07/2017 00</v>
          </cell>
          <cell r="Y15" t="str">
            <v>01/08/2017 00</v>
          </cell>
          <cell r="Z15" t="str">
            <v>0,000000</v>
          </cell>
          <cell r="AF15" t="str">
            <v>FLAT</v>
          </cell>
          <cell r="AG15" t="str">
            <v>Validado</v>
          </cell>
        </row>
        <row r="16">
          <cell r="A16">
            <v>956730</v>
          </cell>
          <cell r="B16" t="str">
            <v>CCEAL</v>
          </cell>
          <cell r="C16" t="str">
            <v>Firme</v>
          </cell>
          <cell r="D16" t="str">
            <v>Energia Incentivada Especial</v>
          </cell>
          <cell r="E16" t="str">
            <v>01/02/2017 00</v>
          </cell>
          <cell r="F16" t="str">
            <v>01/01/2018 00</v>
          </cell>
          <cell r="G16" t="str">
            <v>01/02/2017 00</v>
          </cell>
          <cell r="H16" t="str">
            <v>31/12/2017 23</v>
          </cell>
          <cell r="J16" t="str">
            <v>Validado</v>
          </cell>
          <cell r="M16" t="str">
            <v>CVRD APE I5</v>
          </cell>
          <cell r="N16" t="str">
            <v>CVRD CE</v>
          </cell>
          <cell r="O16" t="str">
            <v>SUDESTE</v>
          </cell>
          <cell r="P16" t="str">
            <v>X</v>
          </cell>
          <cell r="X16" t="str">
            <v>01/07/2017 00</v>
          </cell>
          <cell r="Y16" t="str">
            <v>01/08/2017 00</v>
          </cell>
          <cell r="Z16" t="str">
            <v>0,000000</v>
          </cell>
          <cell r="AF16" t="str">
            <v>FLAT</v>
          </cell>
          <cell r="AG16" t="str">
            <v>Validado</v>
          </cell>
        </row>
        <row r="17">
          <cell r="A17">
            <v>956742</v>
          </cell>
          <cell r="B17" t="str">
            <v>CCEAL</v>
          </cell>
          <cell r="C17" t="str">
            <v>Firme</v>
          </cell>
          <cell r="D17" t="str">
            <v>Energia Incentivada Especial</v>
          </cell>
          <cell r="E17" t="str">
            <v>01/02/2017 00</v>
          </cell>
          <cell r="F17" t="str">
            <v>01/01/2018 00</v>
          </cell>
          <cell r="G17" t="str">
            <v>01/02/2017 00</v>
          </cell>
          <cell r="H17" t="str">
            <v>31/12/2017 23</v>
          </cell>
          <cell r="J17" t="str">
            <v>Rascunho</v>
          </cell>
          <cell r="M17" t="str">
            <v>CVRD APE I5</v>
          </cell>
          <cell r="N17" t="str">
            <v>MCR</v>
          </cell>
          <cell r="O17" t="str">
            <v>SUDESTE</v>
          </cell>
          <cell r="P17" t="str">
            <v>X</v>
          </cell>
        </row>
        <row r="18">
          <cell r="A18">
            <v>956744</v>
          </cell>
          <cell r="B18" t="str">
            <v>CCEAL</v>
          </cell>
          <cell r="C18" t="str">
            <v>Firme</v>
          </cell>
          <cell r="D18" t="str">
            <v>Energia Incentivada Especial</v>
          </cell>
          <cell r="E18" t="str">
            <v>01/02/2017 00</v>
          </cell>
          <cell r="F18" t="str">
            <v>01/01/2018 00</v>
          </cell>
          <cell r="G18" t="str">
            <v>01/02/2017 00</v>
          </cell>
          <cell r="H18" t="str">
            <v>31/12/2017 23</v>
          </cell>
          <cell r="J18" t="str">
            <v>Validado</v>
          </cell>
          <cell r="M18" t="str">
            <v>CVRD APE I5</v>
          </cell>
          <cell r="N18" t="str">
            <v>MCR</v>
          </cell>
          <cell r="O18" t="str">
            <v>SUDESTE</v>
          </cell>
          <cell r="P18" t="str">
            <v>X</v>
          </cell>
          <cell r="X18" t="str">
            <v>01/07/2017 00</v>
          </cell>
          <cell r="Y18" t="str">
            <v>01/08/2017 00</v>
          </cell>
          <cell r="Z18" t="str">
            <v>0,000000</v>
          </cell>
          <cell r="AF18" t="str">
            <v>FLAT</v>
          </cell>
          <cell r="AG18" t="str">
            <v>Validado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70717_09210"/>
      <sheetName val="CVRD PIE I5"/>
    </sheetNames>
    <sheetDataSet>
      <sheetData sheetId="0"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395153</v>
          </cell>
          <cell r="B3" t="str">
            <v>CCEAL</v>
          </cell>
          <cell r="C3" t="str">
            <v>Firme</v>
          </cell>
          <cell r="D3" t="str">
            <v>Energia Incentivada Especial</v>
          </cell>
          <cell r="E3" t="str">
            <v>01/02/2015 00</v>
          </cell>
          <cell r="F3" t="str">
            <v>01/02/2019 00</v>
          </cell>
          <cell r="G3" t="str">
            <v>01/12/2013 00</v>
          </cell>
          <cell r="H3" t="str">
            <v>31/01/2019 23</v>
          </cell>
          <cell r="J3" t="str">
            <v>Validado</v>
          </cell>
          <cell r="M3" t="str">
            <v>CVRD PIE I5</v>
          </cell>
          <cell r="N3" t="str">
            <v>CVRD CL3</v>
          </cell>
          <cell r="O3" t="str">
            <v>SUDESTE</v>
          </cell>
          <cell r="P3" t="str">
            <v>X</v>
          </cell>
          <cell r="X3" t="str">
            <v>01/06/2017 00</v>
          </cell>
          <cell r="Y3" t="str">
            <v>01/07/2017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558364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01/02/2015 00</v>
          </cell>
          <cell r="F4" t="str">
            <v>01/02/2019 00</v>
          </cell>
          <cell r="G4" t="str">
            <v>01/02/2014 00</v>
          </cell>
          <cell r="H4" t="str">
            <v>31/01/2019 23</v>
          </cell>
          <cell r="J4" t="str">
            <v>Validado</v>
          </cell>
          <cell r="M4" t="str">
            <v>CVRD APE I5</v>
          </cell>
          <cell r="N4" t="str">
            <v>CVRD PIE I5</v>
          </cell>
          <cell r="O4" t="str">
            <v>SUDESTE</v>
          </cell>
          <cell r="P4" t="str">
            <v>X</v>
          </cell>
          <cell r="X4" t="str">
            <v>01/06/2017 00</v>
          </cell>
          <cell r="Y4" t="str">
            <v>01/07/2017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558365</v>
          </cell>
          <cell r="B5" t="str">
            <v>CCEAL</v>
          </cell>
          <cell r="C5" t="str">
            <v>Firme</v>
          </cell>
          <cell r="D5" t="str">
            <v>Energia Incentivada Especial</v>
          </cell>
          <cell r="E5" t="str">
            <v>01/02/2015 00</v>
          </cell>
          <cell r="F5" t="str">
            <v>01/02/2019 00</v>
          </cell>
          <cell r="G5" t="str">
            <v>01/02/2014 00</v>
          </cell>
          <cell r="H5" t="str">
            <v>31/01/2019 23</v>
          </cell>
          <cell r="J5" t="str">
            <v>Validado</v>
          </cell>
          <cell r="M5" t="str">
            <v>CVRD PIE I5</v>
          </cell>
          <cell r="N5" t="str">
            <v>CVRD APE I5</v>
          </cell>
          <cell r="O5" t="str">
            <v>SUDESTE</v>
          </cell>
          <cell r="P5" t="str">
            <v>X</v>
          </cell>
          <cell r="X5" t="str">
            <v>01/06/2017 00</v>
          </cell>
          <cell r="Y5" t="str">
            <v>01/07/2017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  <row r="6">
          <cell r="A6">
            <v>558366</v>
          </cell>
          <cell r="B6" t="str">
            <v>CCEAL</v>
          </cell>
          <cell r="C6" t="str">
            <v>Firme</v>
          </cell>
          <cell r="D6" t="str">
            <v>Energia Incentivada Especial</v>
          </cell>
          <cell r="E6" t="str">
            <v>01/02/2015 00</v>
          </cell>
          <cell r="F6" t="str">
            <v>01/02/2019 00</v>
          </cell>
          <cell r="G6" t="str">
            <v>01/02/2014 00</v>
          </cell>
          <cell r="H6" t="str">
            <v>31/01/2019 23</v>
          </cell>
          <cell r="J6" t="str">
            <v>Validado</v>
          </cell>
          <cell r="M6" t="str">
            <v>CVRD PIE I5</v>
          </cell>
          <cell r="N6" t="str">
            <v>CVRD CL2</v>
          </cell>
          <cell r="O6" t="str">
            <v>SUDESTE</v>
          </cell>
          <cell r="P6" t="str">
            <v>X</v>
          </cell>
          <cell r="X6" t="str">
            <v>01/06/2017 00</v>
          </cell>
          <cell r="Y6" t="str">
            <v>01/07/2017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558733</v>
          </cell>
          <cell r="B7" t="str">
            <v>CCEAL</v>
          </cell>
          <cell r="C7" t="str">
            <v>Firme</v>
          </cell>
          <cell r="D7" t="str">
            <v>Energia Incentivada Especial</v>
          </cell>
          <cell r="E7" t="str">
            <v>01/02/2015 00</v>
          </cell>
          <cell r="F7" t="str">
            <v>01/02/2019 00</v>
          </cell>
          <cell r="G7" t="str">
            <v>01/02/2014 00</v>
          </cell>
          <cell r="H7" t="str">
            <v>31/01/2019 23</v>
          </cell>
          <cell r="J7" t="str">
            <v>Validado</v>
          </cell>
          <cell r="M7" t="str">
            <v>VALE ENE I5</v>
          </cell>
          <cell r="N7" t="str">
            <v>CVRD PIE I5</v>
          </cell>
          <cell r="O7" t="str">
            <v>SUDESTE</v>
          </cell>
          <cell r="P7" t="str">
            <v>X</v>
          </cell>
          <cell r="X7" t="str">
            <v>01/06/2017 00</v>
          </cell>
          <cell r="Y7" t="str">
            <v>01/07/2017 00</v>
          </cell>
          <cell r="Z7" t="str">
            <v>0,000000</v>
          </cell>
          <cell r="AF7" t="str">
            <v>FLAT</v>
          </cell>
          <cell r="AG7" t="str">
            <v>Validado</v>
          </cell>
        </row>
        <row r="8">
          <cell r="A8">
            <v>558735</v>
          </cell>
          <cell r="B8" t="str">
            <v>CCEAL</v>
          </cell>
          <cell r="C8" t="str">
            <v>Firme</v>
          </cell>
          <cell r="D8" t="str">
            <v>Energia Incentivada Especial</v>
          </cell>
          <cell r="E8" t="str">
            <v>01/02/2015 00</v>
          </cell>
          <cell r="F8" t="str">
            <v>01/02/2019 00</v>
          </cell>
          <cell r="G8" t="str">
            <v>01/02/2014 00</v>
          </cell>
          <cell r="H8" t="str">
            <v>31/01/2019 23</v>
          </cell>
          <cell r="J8" t="str">
            <v>Validado</v>
          </cell>
          <cell r="M8" t="str">
            <v>VALE ENE I5</v>
          </cell>
          <cell r="N8" t="str">
            <v>CVRD PIE I5</v>
          </cell>
          <cell r="O8" t="str">
            <v>NORDESTE</v>
          </cell>
          <cell r="P8" t="str">
            <v>X</v>
          </cell>
          <cell r="X8" t="str">
            <v>01/06/2017 00</v>
          </cell>
          <cell r="Y8" t="str">
            <v>01/07/2017 00</v>
          </cell>
          <cell r="Z8" t="str">
            <v>0,000000</v>
          </cell>
          <cell r="AF8" t="str">
            <v>FLAT</v>
          </cell>
          <cell r="AG8" t="str">
            <v>Validado</v>
          </cell>
        </row>
        <row r="9">
          <cell r="A9">
            <v>558736</v>
          </cell>
          <cell r="B9" t="str">
            <v>CCEAL</v>
          </cell>
          <cell r="C9" t="str">
            <v>Firme</v>
          </cell>
          <cell r="D9" t="str">
            <v>Energia Incentivada Especial</v>
          </cell>
          <cell r="E9" t="str">
            <v>01/02/2015 00</v>
          </cell>
          <cell r="F9" t="str">
            <v>01/02/2019 00</v>
          </cell>
          <cell r="G9" t="str">
            <v>01/02/2014 00</v>
          </cell>
          <cell r="H9" t="str">
            <v>31/01/2019 23</v>
          </cell>
          <cell r="J9" t="str">
            <v>Validado</v>
          </cell>
          <cell r="M9" t="str">
            <v>CVRD PIE I5</v>
          </cell>
          <cell r="N9" t="str">
            <v>FERTILIZANTES EI</v>
          </cell>
          <cell r="O9" t="str">
            <v>SUDESTE</v>
          </cell>
          <cell r="P9" t="str">
            <v>X</v>
          </cell>
          <cell r="X9" t="str">
            <v>01/06/2017 00</v>
          </cell>
          <cell r="Y9" t="str">
            <v>01/07/2017 00</v>
          </cell>
          <cell r="Z9" t="str">
            <v>0,000000</v>
          </cell>
          <cell r="AF9" t="str">
            <v>FLAT</v>
          </cell>
          <cell r="AG9" t="str">
            <v>Validado</v>
          </cell>
        </row>
        <row r="10">
          <cell r="A10">
            <v>566783</v>
          </cell>
          <cell r="B10" t="str">
            <v>CCEAL</v>
          </cell>
          <cell r="C10" t="str">
            <v>Firme</v>
          </cell>
          <cell r="D10" t="str">
            <v>Energia Incentivada Especial</v>
          </cell>
          <cell r="E10" t="str">
            <v>01/02/2015 00</v>
          </cell>
          <cell r="F10" t="str">
            <v>01/02/2019 00</v>
          </cell>
          <cell r="G10" t="str">
            <v>01/02/2014 00</v>
          </cell>
          <cell r="H10" t="str">
            <v>31/01/2019 23</v>
          </cell>
          <cell r="J10" t="str">
            <v>Validado</v>
          </cell>
          <cell r="M10" t="str">
            <v>CVRD PIE I5</v>
          </cell>
          <cell r="N10" t="str">
            <v>VALE ENE I5</v>
          </cell>
          <cell r="O10" t="str">
            <v>SUDESTE</v>
          </cell>
          <cell r="P10" t="str">
            <v>X</v>
          </cell>
          <cell r="X10" t="str">
            <v>01/06/2017 00</v>
          </cell>
          <cell r="Y10" t="str">
            <v>01/07/2017 00</v>
          </cell>
          <cell r="Z10" t="str">
            <v>0,000000</v>
          </cell>
          <cell r="AF10" t="str">
            <v>FLAT</v>
          </cell>
          <cell r="AG10" t="str">
            <v>Validado</v>
          </cell>
        </row>
        <row r="11">
          <cell r="A11">
            <v>566784</v>
          </cell>
          <cell r="B11" t="str">
            <v>CCEAL</v>
          </cell>
          <cell r="C11" t="str">
            <v>Firme</v>
          </cell>
          <cell r="D11" t="str">
            <v>Energia Incentivada Especial</v>
          </cell>
          <cell r="E11" t="str">
            <v>01/03/2015 00</v>
          </cell>
          <cell r="F11" t="str">
            <v>01/02/2019 00</v>
          </cell>
          <cell r="G11" t="str">
            <v>01/02/2014 00</v>
          </cell>
          <cell r="H11" t="str">
            <v>31/01/2019 23</v>
          </cell>
          <cell r="J11" t="str">
            <v>Validado</v>
          </cell>
          <cell r="M11" t="str">
            <v>CVRD PIE I5</v>
          </cell>
          <cell r="N11" t="str">
            <v>ALIANCA GERACAO</v>
          </cell>
          <cell r="O11" t="str">
            <v>SUDESTE</v>
          </cell>
          <cell r="P11" t="str">
            <v>X</v>
          </cell>
          <cell r="X11" t="str">
            <v>01/06/2017 00</v>
          </cell>
          <cell r="Y11" t="str">
            <v>01/07/2017 00</v>
          </cell>
          <cell r="Z11" t="str">
            <v>0,000000</v>
          </cell>
          <cell r="AF11" t="str">
            <v>FLAT</v>
          </cell>
          <cell r="AG11" t="str">
            <v>Validado</v>
          </cell>
        </row>
        <row r="12">
          <cell r="A12">
            <v>566840</v>
          </cell>
          <cell r="B12" t="str">
            <v>CCEAL</v>
          </cell>
          <cell r="C12" t="str">
            <v>Firme</v>
          </cell>
          <cell r="D12" t="str">
            <v>Energia Incentivada Especial</v>
          </cell>
          <cell r="E12" t="str">
            <v>01/02/2015 00</v>
          </cell>
          <cell r="F12" t="str">
            <v>01/02/2019 00</v>
          </cell>
          <cell r="G12" t="str">
            <v>01/02/2014 00</v>
          </cell>
          <cell r="H12" t="str">
            <v>31/01/2019 23</v>
          </cell>
          <cell r="J12" t="str">
            <v>Validado</v>
          </cell>
          <cell r="M12" t="str">
            <v>CVRD PIE I5</v>
          </cell>
          <cell r="N12" t="str">
            <v>CVRD</v>
          </cell>
          <cell r="O12" t="str">
            <v>SUDESTE</v>
          </cell>
          <cell r="P12" t="str">
            <v>X</v>
          </cell>
          <cell r="X12" t="str">
            <v>01/06/2017 00</v>
          </cell>
          <cell r="Y12" t="str">
            <v>01/07/2017 00</v>
          </cell>
          <cell r="Z12" t="str">
            <v>0,000000</v>
          </cell>
          <cell r="AF12" t="str">
            <v>FLAT</v>
          </cell>
          <cell r="AG12" t="str">
            <v>Validado</v>
          </cell>
        </row>
        <row r="13">
          <cell r="A13">
            <v>569436</v>
          </cell>
          <cell r="B13" t="str">
            <v>CCEAL</v>
          </cell>
          <cell r="C13" t="str">
            <v>Firme</v>
          </cell>
          <cell r="D13" t="str">
            <v>Energia Incentivada Especial</v>
          </cell>
          <cell r="E13" t="str">
            <v>01/02/2015 00</v>
          </cell>
          <cell r="F13" t="str">
            <v>01/02/2019 00</v>
          </cell>
          <cell r="G13" t="str">
            <v>01/02/2014 00</v>
          </cell>
          <cell r="H13" t="str">
            <v>31/01/2019 23</v>
          </cell>
          <cell r="J13" t="str">
            <v>Validado</v>
          </cell>
          <cell r="M13" t="str">
            <v>CVRD PIE I5</v>
          </cell>
          <cell r="N13" t="str">
            <v>FERTILIZANTES NE</v>
          </cell>
          <cell r="O13" t="str">
            <v>NORDESTE</v>
          </cell>
          <cell r="P13" t="str">
            <v>X</v>
          </cell>
          <cell r="X13" t="str">
            <v>01/06/2017 00</v>
          </cell>
          <cell r="Y13" t="str">
            <v>01/07/2017 00</v>
          </cell>
          <cell r="Z13" t="str">
            <v>0,000000</v>
          </cell>
          <cell r="AF13" t="str">
            <v>FLAT</v>
          </cell>
          <cell r="AG13" t="str">
            <v>Validado</v>
          </cell>
        </row>
        <row r="14">
          <cell r="A14">
            <v>584517</v>
          </cell>
          <cell r="B14" t="str">
            <v>CCEAL</v>
          </cell>
          <cell r="C14" t="str">
            <v>Firme</v>
          </cell>
          <cell r="D14" t="str">
            <v>Energia Incentivada Especial</v>
          </cell>
          <cell r="E14" t="str">
            <v>01/02/2015 00</v>
          </cell>
          <cell r="F14" t="str">
            <v>01/02/2019 00</v>
          </cell>
          <cell r="G14" t="str">
            <v>01/02/2014 00</v>
          </cell>
          <cell r="H14" t="str">
            <v>31/01/2019 23</v>
          </cell>
          <cell r="J14" t="str">
            <v>Validado</v>
          </cell>
          <cell r="M14" t="str">
            <v>VALE ENE I5</v>
          </cell>
          <cell r="N14" t="str">
            <v>CVRD PIE I5</v>
          </cell>
          <cell r="O14" t="str">
            <v>NORTE</v>
          </cell>
          <cell r="P14" t="str">
            <v>X</v>
          </cell>
          <cell r="X14" t="str">
            <v>01/06/2017 00</v>
          </cell>
          <cell r="Y14" t="str">
            <v>01/07/2017 00</v>
          </cell>
          <cell r="Z14" t="str">
            <v>0,000000</v>
          </cell>
          <cell r="AF14" t="str">
            <v>FLAT</v>
          </cell>
          <cell r="AG14" t="str">
            <v>Validado</v>
          </cell>
        </row>
        <row r="15">
          <cell r="A15">
            <v>747625</v>
          </cell>
          <cell r="B15" t="str">
            <v>CCEAL</v>
          </cell>
          <cell r="C15" t="str">
            <v>Firme</v>
          </cell>
          <cell r="D15" t="str">
            <v>Energia Incentivada Especial</v>
          </cell>
          <cell r="E15" t="str">
            <v>01/01/2015 00</v>
          </cell>
          <cell r="F15" t="str">
            <v>01/02/2019 00</v>
          </cell>
          <cell r="G15" t="str">
            <v>01/01/2015 00</v>
          </cell>
          <cell r="H15" t="str">
            <v>31/01/2019 23</v>
          </cell>
          <cell r="J15" t="str">
            <v>Validado</v>
          </cell>
          <cell r="M15" t="str">
            <v>CVRD PIE I5</v>
          </cell>
          <cell r="N15" t="str">
            <v>RIO DOCE SE</v>
          </cell>
          <cell r="O15" t="str">
            <v>SUDESTE</v>
          </cell>
          <cell r="P15" t="str">
            <v>X</v>
          </cell>
          <cell r="X15" t="str">
            <v>01/06/2017 00</v>
          </cell>
          <cell r="Y15" t="str">
            <v>01/07/2017 00</v>
          </cell>
          <cell r="Z15" t="str">
            <v>0,000000</v>
          </cell>
          <cell r="AF15" t="str">
            <v>FLAT</v>
          </cell>
          <cell r="AG15" t="str">
            <v>Validado</v>
          </cell>
        </row>
        <row r="16">
          <cell r="A16">
            <v>766103</v>
          </cell>
          <cell r="B16" t="str">
            <v>CCEAL</v>
          </cell>
          <cell r="C16" t="str">
            <v>Firme</v>
          </cell>
          <cell r="D16" t="str">
            <v>Energia Incentivada Especial</v>
          </cell>
          <cell r="E16" t="str">
            <v>01/01/2015 00</v>
          </cell>
          <cell r="F16" t="str">
            <v>01/01/2021 00</v>
          </cell>
          <cell r="G16" t="str">
            <v>01/01/2015 00</v>
          </cell>
          <cell r="H16" t="str">
            <v>31/12/2020 23</v>
          </cell>
          <cell r="J16" t="str">
            <v>Registrado e Não Validado</v>
          </cell>
          <cell r="M16" t="str">
            <v>CAPITALE I5</v>
          </cell>
          <cell r="N16" t="str">
            <v>CVRD PIE I5</v>
          </cell>
          <cell r="O16" t="str">
            <v>SUDESTE</v>
          </cell>
          <cell r="P16" t="str">
            <v>X</v>
          </cell>
          <cell r="X16" t="str">
            <v>01/06/2017 00</v>
          </cell>
          <cell r="Y16" t="str">
            <v>01/07/2017 00</v>
          </cell>
          <cell r="Z16" t="str">
            <v>0,000000</v>
          </cell>
          <cell r="AF16" t="str">
            <v>FLAT</v>
          </cell>
          <cell r="AG16" t="str">
            <v>Inserido Não Validado</v>
          </cell>
        </row>
        <row r="17">
          <cell r="A17">
            <v>947188</v>
          </cell>
          <cell r="B17" t="str">
            <v>CCEAL</v>
          </cell>
          <cell r="C17" t="str">
            <v>Firme</v>
          </cell>
          <cell r="D17" t="str">
            <v>Energia Incentivada Especial</v>
          </cell>
          <cell r="E17" t="str">
            <v>01/01/2017 00</v>
          </cell>
          <cell r="F17" t="str">
            <v>01/01/2018 00</v>
          </cell>
          <cell r="G17" t="str">
            <v>01/01/2017 00</v>
          </cell>
          <cell r="H17" t="str">
            <v>31/12/2017 23</v>
          </cell>
          <cell r="J17" t="str">
            <v>Validado</v>
          </cell>
          <cell r="M17" t="str">
            <v>CVRD PIE I5</v>
          </cell>
          <cell r="N17" t="str">
            <v>CVRD CE</v>
          </cell>
          <cell r="O17" t="str">
            <v>SUDESTE</v>
          </cell>
          <cell r="P17" t="str">
            <v>X</v>
          </cell>
          <cell r="X17" t="str">
            <v>01/06/2017 00</v>
          </cell>
          <cell r="Y17" t="str">
            <v>01/07/2017 00</v>
          </cell>
          <cell r="Z17" t="str">
            <v>0,000000</v>
          </cell>
          <cell r="AF17" t="str">
            <v>FLAT</v>
          </cell>
          <cell r="AG17" t="str">
            <v>Validado</v>
          </cell>
        </row>
        <row r="18">
          <cell r="A18">
            <v>966736</v>
          </cell>
          <cell r="B18" t="str">
            <v>CCEAL</v>
          </cell>
          <cell r="C18" t="str">
            <v>Firme</v>
          </cell>
          <cell r="D18" t="str">
            <v>Energia Incentivada Especial</v>
          </cell>
          <cell r="E18" t="str">
            <v>01/04/2017 00</v>
          </cell>
          <cell r="F18" t="str">
            <v>01/09/2017 00</v>
          </cell>
          <cell r="G18" t="str">
            <v>01/04/2017 00</v>
          </cell>
          <cell r="H18" t="str">
            <v>31/08/2017 23</v>
          </cell>
          <cell r="J18" t="str">
            <v>Validado</v>
          </cell>
          <cell r="M18" t="str">
            <v>CVRD PIE I5</v>
          </cell>
          <cell r="N18" t="str">
            <v>ALIANCA I5</v>
          </cell>
          <cell r="O18" t="str">
            <v>NORDESTE</v>
          </cell>
          <cell r="P18" t="str">
            <v>X</v>
          </cell>
          <cell r="X18" t="str">
            <v>01/06/2017 00</v>
          </cell>
          <cell r="Y18" t="str">
            <v>01/07/2017 00</v>
          </cell>
          <cell r="Z18" t="str">
            <v>0,000000</v>
          </cell>
          <cell r="AF18" t="str">
            <v>FLAT</v>
          </cell>
          <cell r="AG18" t="str">
            <v>Validado</v>
          </cell>
        </row>
        <row r="19">
          <cell r="A19">
            <v>966776</v>
          </cell>
          <cell r="B19" t="str">
            <v>CCEAL</v>
          </cell>
          <cell r="C19" t="str">
            <v>Firme</v>
          </cell>
          <cell r="D19" t="str">
            <v>Energia Incentivada Especial</v>
          </cell>
          <cell r="E19" t="str">
            <v>01/04/2017 00</v>
          </cell>
          <cell r="F19" t="str">
            <v>01/09/2017 00</v>
          </cell>
          <cell r="G19" t="str">
            <v>01/04/2017 00</v>
          </cell>
          <cell r="H19" t="str">
            <v>31/08/2017 23</v>
          </cell>
          <cell r="J19" t="str">
            <v>Validado</v>
          </cell>
          <cell r="M19" t="str">
            <v>ALIANCA I5</v>
          </cell>
          <cell r="N19" t="str">
            <v>CVRD PIE I5</v>
          </cell>
          <cell r="O19" t="str">
            <v>NORDESTE</v>
          </cell>
          <cell r="P19" t="str">
            <v>X</v>
          </cell>
          <cell r="X19" t="str">
            <v>01/06/2017 00</v>
          </cell>
          <cell r="Y19" t="str">
            <v>01/07/2017 00</v>
          </cell>
          <cell r="Z19" t="str">
            <v>0,000000</v>
          </cell>
          <cell r="AF19" t="str">
            <v>FLAT</v>
          </cell>
          <cell r="AG19" t="str">
            <v>Validado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>
        <row r="3">
          <cell r="L3" t="str">
            <v>SUDESTE</v>
          </cell>
          <cell r="W3">
            <v>12.173</v>
          </cell>
        </row>
        <row r="4">
          <cell r="L4" t="str">
            <v>NORTE</v>
          </cell>
          <cell r="W4">
            <v>790.52099999999996</v>
          </cell>
        </row>
        <row r="5">
          <cell r="L5" t="str">
            <v>SUDESTE</v>
          </cell>
          <cell r="W5">
            <v>95.665999999999997</v>
          </cell>
        </row>
        <row r="6">
          <cell r="L6" t="str">
            <v>SUDESTE</v>
          </cell>
          <cell r="W6">
            <v>22.12</v>
          </cell>
          <cell r="X6" t="str">
            <v>Ajustado e Validado</v>
          </cell>
        </row>
        <row r="7">
          <cell r="L7" t="str">
            <v>SUDESTE</v>
          </cell>
          <cell r="W7">
            <v>6.0010000000000003</v>
          </cell>
        </row>
        <row r="8">
          <cell r="L8" t="str">
            <v>SUDESTE</v>
          </cell>
          <cell r="W8">
            <v>0.67500000000000004</v>
          </cell>
        </row>
        <row r="9">
          <cell r="L9" t="str">
            <v>NORTE</v>
          </cell>
          <cell r="W9">
            <v>858.77</v>
          </cell>
        </row>
        <row r="10">
          <cell r="L10" t="str">
            <v>NORTE</v>
          </cell>
          <cell r="W10">
            <v>489.92200000000003</v>
          </cell>
        </row>
        <row r="11">
          <cell r="L11" t="str">
            <v>SUDESTE</v>
          </cell>
          <cell r="W11">
            <v>3.6</v>
          </cell>
        </row>
        <row r="12">
          <cell r="L12" t="str">
            <v>SUDESTE</v>
          </cell>
          <cell r="W12">
            <v>0</v>
          </cell>
        </row>
        <row r="13">
          <cell r="L13" t="str">
            <v>SUDESTE</v>
          </cell>
          <cell r="W13">
            <v>26.463999999999999</v>
          </cell>
        </row>
        <row r="14">
          <cell r="L14" t="str">
            <v>SUDESTE</v>
          </cell>
          <cell r="W14">
            <v>15.439</v>
          </cell>
        </row>
        <row r="15">
          <cell r="L15" t="str">
            <v>SUDESTE</v>
          </cell>
          <cell r="W15">
            <v>0</v>
          </cell>
        </row>
        <row r="16">
          <cell r="L16" t="str">
            <v>SUDESTE</v>
          </cell>
          <cell r="W16">
            <v>154.596</v>
          </cell>
        </row>
        <row r="17">
          <cell r="L17" t="str">
            <v>SUDESTE</v>
          </cell>
          <cell r="W17">
            <v>40.996000000000002</v>
          </cell>
        </row>
        <row r="18">
          <cell r="L18" t="str">
            <v>NORTE</v>
          </cell>
          <cell r="W18">
            <v>411.601</v>
          </cell>
        </row>
        <row r="19">
          <cell r="L19" t="str">
            <v>SUDESTE</v>
          </cell>
          <cell r="W19">
            <v>2.9740000000000002</v>
          </cell>
        </row>
        <row r="20">
          <cell r="L20" t="str">
            <v>SUDESTE</v>
          </cell>
          <cell r="W20">
            <v>133.42400000000001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335"/>
      <sheetName val="CVRD"/>
      <sheetName val="RelatorioContratos_130717_08592"/>
    </sheetNames>
    <sheetDataSet>
      <sheetData sheetId="0">
        <row r="1">
          <cell r="A1" t="str">
            <v>DADOS GERAIS</v>
          </cell>
          <cell r="S1" t="str">
            <v>PARTICULARIDADE</v>
          </cell>
          <cell r="T1" t="str">
            <v>ALIVIO DE EXPOSIÇÃO</v>
          </cell>
          <cell r="V1" t="str">
            <v>LEILÃO</v>
          </cell>
          <cell r="X1" t="str">
            <v>MONTANTE MÉDIO</v>
          </cell>
        </row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43705</v>
          </cell>
          <cell r="B3" t="str">
            <v>CCEAL</v>
          </cell>
          <cell r="C3" t="str">
            <v>Firme</v>
          </cell>
          <cell r="D3" t="str">
            <v>Energia Convencional</v>
          </cell>
          <cell r="E3" t="str">
            <v>01/01/2009 00</v>
          </cell>
          <cell r="F3" t="str">
            <v>01/01/2018 00</v>
          </cell>
          <cell r="G3" t="str">
            <v>01/01/2009 00</v>
          </cell>
          <cell r="H3" t="str">
            <v>31/12/2017 23</v>
          </cell>
          <cell r="J3" t="str">
            <v>Validado</v>
          </cell>
          <cell r="M3" t="str">
            <v>CHESF</v>
          </cell>
          <cell r="N3" t="str">
            <v>CVRD</v>
          </cell>
          <cell r="O3" t="str">
            <v>NORDESTE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76527</v>
          </cell>
          <cell r="B4" t="str">
            <v>CCEAL</v>
          </cell>
          <cell r="C4" t="str">
            <v>Firme</v>
          </cell>
          <cell r="D4" t="str">
            <v>Energia Convencional</v>
          </cell>
          <cell r="E4" t="str">
            <v>01/01/2016 00</v>
          </cell>
          <cell r="F4" t="str">
            <v>01/02/2019 00</v>
          </cell>
          <cell r="G4" t="str">
            <v>01/11/2010 00</v>
          </cell>
          <cell r="H4" t="str">
            <v>31/01/2019 23</v>
          </cell>
          <cell r="J4" t="str">
            <v>Validado</v>
          </cell>
          <cell r="M4" t="str">
            <v>VALE ENERGIA</v>
          </cell>
          <cell r="N4" t="str">
            <v>CVRD</v>
          </cell>
          <cell r="O4" t="str">
            <v>NORTE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98196</v>
          </cell>
          <cell r="B5" t="str">
            <v>CCEAL</v>
          </cell>
          <cell r="C5" t="str">
            <v>Firme</v>
          </cell>
          <cell r="D5" t="str">
            <v>Energia Convencional</v>
          </cell>
          <cell r="E5" t="str">
            <v>01/01/2017 00</v>
          </cell>
          <cell r="F5" t="str">
            <v>01/01/2020 00</v>
          </cell>
          <cell r="G5" t="str">
            <v>01/01/2012 00</v>
          </cell>
          <cell r="H5" t="str">
            <v>31/12/2019 23</v>
          </cell>
          <cell r="J5" t="str">
            <v>Validado</v>
          </cell>
          <cell r="M5" t="str">
            <v>CVRD PIE</v>
          </cell>
          <cell r="N5" t="str">
            <v>CVRD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  <row r="6">
          <cell r="A6">
            <v>134245</v>
          </cell>
          <cell r="B6" t="str">
            <v>CCEAL</v>
          </cell>
          <cell r="C6" t="str">
            <v>Firme</v>
          </cell>
          <cell r="D6" t="str">
            <v>Energia Incentivada Especial</v>
          </cell>
          <cell r="E6" t="str">
            <v>01/02/2015 00</v>
          </cell>
          <cell r="F6" t="str">
            <v>01/02/2019 00</v>
          </cell>
          <cell r="G6" t="str">
            <v>01/01/2013 00</v>
          </cell>
          <cell r="H6" t="str">
            <v>31/01/2019 23</v>
          </cell>
          <cell r="J6" t="str">
            <v>Validado</v>
          </cell>
          <cell r="M6" t="str">
            <v>CVRD APE I5</v>
          </cell>
          <cell r="N6" t="str">
            <v>CVRD</v>
          </cell>
          <cell r="O6" t="str">
            <v>SUDESTE</v>
          </cell>
          <cell r="P6" t="str">
            <v>X</v>
          </cell>
          <cell r="X6" t="str">
            <v>01/07/2017 00</v>
          </cell>
          <cell r="Y6" t="str">
            <v>01/08/2017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246531</v>
          </cell>
          <cell r="B7" t="str">
            <v>CCEAL</v>
          </cell>
          <cell r="C7" t="str">
            <v>Firme</v>
          </cell>
          <cell r="D7" t="str">
            <v>Energia Convencional</v>
          </cell>
          <cell r="E7" t="str">
            <v>01/04/2013 00</v>
          </cell>
          <cell r="F7" t="str">
            <v>15/07/2032 00</v>
          </cell>
          <cell r="G7" t="str">
            <v>01/02/2013 00</v>
          </cell>
          <cell r="H7" t="str">
            <v>14/07/2032 23</v>
          </cell>
          <cell r="J7" t="str">
            <v>Validado</v>
          </cell>
          <cell r="M7" t="str">
            <v>ENGIE BR GER</v>
          </cell>
          <cell r="N7" t="str">
            <v>CVRD</v>
          </cell>
          <cell r="O7" t="str">
            <v>SUL</v>
          </cell>
          <cell r="P7" t="str">
            <v>X</v>
          </cell>
          <cell r="U7" t="str">
            <v>REPASSE DE AUTO PRODUÇÃO</v>
          </cell>
          <cell r="X7" t="str">
            <v>01/07/2017 00</v>
          </cell>
          <cell r="Y7" t="str">
            <v>01/08/2017 00</v>
          </cell>
          <cell r="Z7" t="str">
            <v>38,322308</v>
          </cell>
          <cell r="AF7" t="str">
            <v>DECLARADA</v>
          </cell>
          <cell r="AG7" t="str">
            <v>Ajustado Validado</v>
          </cell>
        </row>
        <row r="8">
          <cell r="A8">
            <v>341850</v>
          </cell>
          <cell r="B8" t="str">
            <v>CCEAL</v>
          </cell>
          <cell r="C8" t="str">
            <v>Firme</v>
          </cell>
          <cell r="D8" t="str">
            <v>Energia Convencional</v>
          </cell>
          <cell r="E8" t="str">
            <v>01/03/2015 00</v>
          </cell>
          <cell r="F8" t="str">
            <v>01/02/2019 00</v>
          </cell>
          <cell r="G8" t="str">
            <v>01/07/2013 00</v>
          </cell>
          <cell r="H8" t="str">
            <v>31/01/2019 23</v>
          </cell>
          <cell r="J8" t="str">
            <v>Validado</v>
          </cell>
          <cell r="M8" t="str">
            <v>ALIANCA GERACAO</v>
          </cell>
          <cell r="N8" t="str">
            <v>CVRD</v>
          </cell>
          <cell r="O8" t="str">
            <v>SUDESTE</v>
          </cell>
          <cell r="P8" t="str">
            <v>X</v>
          </cell>
          <cell r="U8" t="str">
            <v>REPASSE DE AUTO PRODUÇÃO</v>
          </cell>
          <cell r="X8" t="str">
            <v>01/07/2017 00</v>
          </cell>
          <cell r="Y8" t="str">
            <v>01/08/2017 00</v>
          </cell>
          <cell r="Z8" t="str">
            <v>0,000000</v>
          </cell>
          <cell r="AF8" t="str">
            <v>FLAT</v>
          </cell>
          <cell r="AG8" t="str">
            <v>Validado</v>
          </cell>
        </row>
        <row r="9">
          <cell r="A9">
            <v>395151</v>
          </cell>
          <cell r="B9" t="str">
            <v>CCEAL</v>
          </cell>
          <cell r="C9" t="str">
            <v>Firme</v>
          </cell>
          <cell r="D9" t="str">
            <v>Energia Convencional</v>
          </cell>
          <cell r="E9" t="str">
            <v>01/01/2015 00</v>
          </cell>
          <cell r="F9" t="str">
            <v>01/02/2019 00</v>
          </cell>
          <cell r="G9" t="str">
            <v>01/12/2013 00</v>
          </cell>
          <cell r="H9" t="str">
            <v>31/01/2019 23</v>
          </cell>
          <cell r="J9" t="str">
            <v>Validado</v>
          </cell>
          <cell r="M9" t="str">
            <v>CVRD</v>
          </cell>
          <cell r="N9" t="str">
            <v>CVRD CL3</v>
          </cell>
          <cell r="O9" t="str">
            <v>SUDESTE</v>
          </cell>
          <cell r="P9" t="str">
            <v>X</v>
          </cell>
          <cell r="U9" t="str">
            <v>REPASSE DE AUTO PRODUÇÃO</v>
          </cell>
          <cell r="X9" t="str">
            <v>01/07/2017 00</v>
          </cell>
          <cell r="Y9" t="str">
            <v>01/08/2017 00</v>
          </cell>
          <cell r="Z9" t="str">
            <v>0,000000</v>
          </cell>
          <cell r="AF9" t="str">
            <v>FLAT</v>
          </cell>
          <cell r="AG9" t="str">
            <v>Validado</v>
          </cell>
        </row>
        <row r="10">
          <cell r="A10">
            <v>558367</v>
          </cell>
          <cell r="B10" t="str">
            <v>CCEAL</v>
          </cell>
          <cell r="C10" t="str">
            <v>Firme</v>
          </cell>
          <cell r="D10" t="str">
            <v>Energia Convencional</v>
          </cell>
          <cell r="E10" t="str">
            <v>01/02/2015 00</v>
          </cell>
          <cell r="F10" t="str">
            <v>01/02/2019 00</v>
          </cell>
          <cell r="G10" t="str">
            <v>01/02/2014 00</v>
          </cell>
          <cell r="H10" t="str">
            <v>31/01/2019 23</v>
          </cell>
          <cell r="J10" t="str">
            <v>Validado</v>
          </cell>
          <cell r="M10" t="str">
            <v>CVRD PIE</v>
          </cell>
          <cell r="N10" t="str">
            <v>CVRD</v>
          </cell>
          <cell r="O10" t="str">
            <v>NORTE</v>
          </cell>
          <cell r="P10" t="str">
            <v>X</v>
          </cell>
          <cell r="X10" t="str">
            <v>01/07/2017 00</v>
          </cell>
          <cell r="Y10" t="str">
            <v>01/08/2017 00</v>
          </cell>
          <cell r="Z10" t="str">
            <v>0,000000</v>
          </cell>
          <cell r="AF10" t="str">
            <v>FLAT</v>
          </cell>
          <cell r="AG10" t="str">
            <v>Validado</v>
          </cell>
        </row>
        <row r="11">
          <cell r="A11">
            <v>558730</v>
          </cell>
          <cell r="B11" t="str">
            <v>CCEAL</v>
          </cell>
          <cell r="C11" t="str">
            <v>Firme</v>
          </cell>
          <cell r="D11" t="str">
            <v>Energia Convencional</v>
          </cell>
          <cell r="E11" t="str">
            <v>01/02/2015 00</v>
          </cell>
          <cell r="F11" t="str">
            <v>01/02/2019 00</v>
          </cell>
          <cell r="G11" t="str">
            <v>01/02/2014 00</v>
          </cell>
          <cell r="H11" t="str">
            <v>31/01/2019 23</v>
          </cell>
          <cell r="J11" t="str">
            <v>Validado</v>
          </cell>
          <cell r="M11" t="str">
            <v>VALE ENERGIA</v>
          </cell>
          <cell r="N11" t="str">
            <v>CVRD</v>
          </cell>
          <cell r="O11" t="str">
            <v>SUDESTE</v>
          </cell>
          <cell r="P11" t="str">
            <v>X</v>
          </cell>
          <cell r="X11" t="str">
            <v>01/07/2017 00</v>
          </cell>
          <cell r="Y11" t="str">
            <v>01/08/2017 00</v>
          </cell>
          <cell r="Z11" t="str">
            <v>0,000000</v>
          </cell>
          <cell r="AF11" t="str">
            <v>FLAT</v>
          </cell>
          <cell r="AG11" t="str">
            <v>Validado</v>
          </cell>
        </row>
        <row r="12">
          <cell r="A12">
            <v>558731</v>
          </cell>
          <cell r="B12" t="str">
            <v>CCEAL</v>
          </cell>
          <cell r="C12" t="str">
            <v>Firme</v>
          </cell>
          <cell r="D12" t="str">
            <v>Energia Incentivada Especial</v>
          </cell>
          <cell r="E12" t="str">
            <v>01/02/2015 00</v>
          </cell>
          <cell r="F12" t="str">
            <v>01/02/2019 00</v>
          </cell>
          <cell r="G12" t="str">
            <v>01/02/2014 00</v>
          </cell>
          <cell r="H12" t="str">
            <v>31/01/2019 23</v>
          </cell>
          <cell r="J12" t="str">
            <v>Validado</v>
          </cell>
          <cell r="M12" t="str">
            <v>VALE ENE I5</v>
          </cell>
          <cell r="N12" t="str">
            <v>CVRD</v>
          </cell>
          <cell r="O12" t="str">
            <v>SUDESTE</v>
          </cell>
          <cell r="P12" t="str">
            <v>X</v>
          </cell>
          <cell r="X12" t="str">
            <v>01/07/2017 00</v>
          </cell>
          <cell r="Y12" t="str">
            <v>01/08/2017 00</v>
          </cell>
          <cell r="Z12" t="str">
            <v>0,000000</v>
          </cell>
          <cell r="AF12" t="str">
            <v>FLAT</v>
          </cell>
          <cell r="AG12" t="str">
            <v>Validado</v>
          </cell>
        </row>
        <row r="13">
          <cell r="A13">
            <v>566840</v>
          </cell>
          <cell r="B13" t="str">
            <v>CCEAL</v>
          </cell>
          <cell r="C13" t="str">
            <v>Firme</v>
          </cell>
          <cell r="D13" t="str">
            <v>Energia Incentivada Especial</v>
          </cell>
          <cell r="E13" t="str">
            <v>01/02/2015 00</v>
          </cell>
          <cell r="F13" t="str">
            <v>01/02/2019 00</v>
          </cell>
          <cell r="G13" t="str">
            <v>01/02/2014 00</v>
          </cell>
          <cell r="H13" t="str">
            <v>31/01/2019 23</v>
          </cell>
          <cell r="J13" t="str">
            <v>Validado</v>
          </cell>
          <cell r="M13" t="str">
            <v>CVRD PIE I5</v>
          </cell>
          <cell r="N13" t="str">
            <v>CVRD</v>
          </cell>
          <cell r="O13" t="str">
            <v>SUDESTE</v>
          </cell>
          <cell r="P13" t="str">
            <v>X</v>
          </cell>
          <cell r="X13" t="str">
            <v>01/07/2017 00</v>
          </cell>
          <cell r="Y13" t="str">
            <v>01/08/2017 00</v>
          </cell>
          <cell r="Z13" t="str">
            <v>0,000000</v>
          </cell>
          <cell r="AF13" t="str">
            <v>FLAT</v>
          </cell>
          <cell r="AG13" t="str">
            <v>Validado</v>
          </cell>
        </row>
        <row r="14">
          <cell r="A14">
            <v>567194</v>
          </cell>
          <cell r="B14" t="str">
            <v>CCEAL</v>
          </cell>
          <cell r="C14" t="str">
            <v>Firme</v>
          </cell>
          <cell r="D14" t="str">
            <v>Energia Convencional</v>
          </cell>
          <cell r="E14" t="str">
            <v>01/02/2015 00</v>
          </cell>
          <cell r="F14" t="str">
            <v>01/02/2019 00</v>
          </cell>
          <cell r="G14" t="str">
            <v>01/02/2014 00</v>
          </cell>
          <cell r="H14" t="str">
            <v>31/01/2019 23</v>
          </cell>
          <cell r="J14" t="str">
            <v>Validado</v>
          </cell>
          <cell r="M14" t="str">
            <v>CVRD PIE</v>
          </cell>
          <cell r="N14" t="str">
            <v>CVRD</v>
          </cell>
          <cell r="O14" t="str">
            <v>SUDESTE</v>
          </cell>
          <cell r="P14" t="str">
            <v>X</v>
          </cell>
          <cell r="U14" t="str">
            <v>REPASSE DE AUTO PRODUÇÃO</v>
          </cell>
          <cell r="X14" t="str">
            <v>01/07/2017 00</v>
          </cell>
          <cell r="Y14" t="str">
            <v>01/08/2017 00</v>
          </cell>
          <cell r="Z14" t="str">
            <v>378,989869</v>
          </cell>
          <cell r="AF14" t="str">
            <v>FLAT</v>
          </cell>
          <cell r="AG14" t="str">
            <v>Ajustado Validado</v>
          </cell>
        </row>
        <row r="15">
          <cell r="A15">
            <v>567196</v>
          </cell>
          <cell r="B15" t="str">
            <v>CCEAL</v>
          </cell>
          <cell r="C15" t="str">
            <v>Firme</v>
          </cell>
          <cell r="D15" t="str">
            <v>Energia Convencional</v>
          </cell>
          <cell r="E15" t="str">
            <v>01/02/2015 00</v>
          </cell>
          <cell r="F15" t="str">
            <v>01/02/2019 00</v>
          </cell>
          <cell r="G15" t="str">
            <v>01/02/2014 00</v>
          </cell>
          <cell r="H15" t="str">
            <v>31/01/2019 23</v>
          </cell>
          <cell r="J15" t="str">
            <v>Validado</v>
          </cell>
          <cell r="M15" t="str">
            <v>CVRD PIE</v>
          </cell>
          <cell r="N15" t="str">
            <v>CVRD</v>
          </cell>
          <cell r="O15" t="str">
            <v>NORTE</v>
          </cell>
          <cell r="P15" t="str">
            <v>X</v>
          </cell>
          <cell r="U15" t="str">
            <v>REPASSE DE AUTO PRODUÇÃO</v>
          </cell>
          <cell r="X15" t="str">
            <v>01/07/2017 00</v>
          </cell>
          <cell r="Y15" t="str">
            <v>01/08/2017 00</v>
          </cell>
          <cell r="Z15" t="str">
            <v>244,069221</v>
          </cell>
          <cell r="AF15" t="str">
            <v>FLAT</v>
          </cell>
          <cell r="AG15" t="str">
            <v>Ajustado Validado</v>
          </cell>
        </row>
        <row r="16">
          <cell r="A16">
            <v>567305</v>
          </cell>
          <cell r="B16" t="str">
            <v>CCEAL</v>
          </cell>
          <cell r="C16" t="str">
            <v>Firme</v>
          </cell>
          <cell r="D16" t="str">
            <v>Energia Incentivada Especial</v>
          </cell>
          <cell r="E16" t="str">
            <v>01/02/2015 00</v>
          </cell>
          <cell r="F16" t="str">
            <v>01/02/2019 00</v>
          </cell>
          <cell r="G16" t="str">
            <v>01/02/2014 00</v>
          </cell>
          <cell r="H16" t="str">
            <v>31/01/2019 23</v>
          </cell>
          <cell r="J16" t="str">
            <v>Validado</v>
          </cell>
          <cell r="M16" t="str">
            <v>CVRD APE I5</v>
          </cell>
          <cell r="N16" t="str">
            <v>CVRD</v>
          </cell>
          <cell r="O16" t="str">
            <v>SUDESTE</v>
          </cell>
          <cell r="P16" t="str">
            <v>X</v>
          </cell>
          <cell r="U16" t="str">
            <v>REPASSE DE AUTO PRODUÇÃO</v>
          </cell>
          <cell r="X16" t="str">
            <v>01/07/2017 00</v>
          </cell>
          <cell r="Y16" t="str">
            <v>01/08/2017 00</v>
          </cell>
          <cell r="Z16" t="str">
            <v>19,112984</v>
          </cell>
          <cell r="AF16" t="str">
            <v>FLAT</v>
          </cell>
          <cell r="AG16" t="str">
            <v>Ajustado Validado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>
        <row r="3">
          <cell r="W3">
            <v>102.31</v>
          </cell>
        </row>
        <row r="4">
          <cell r="W4">
            <v>158.88300000000001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365"/>
      <sheetName val="CVRD CE"/>
      <sheetName val="RelatorioContratos_130717_09032"/>
    </sheetNames>
    <sheetDataSet>
      <sheetData sheetId="0">
        <row r="1">
          <cell r="A1" t="str">
            <v>DADOS GERAIS</v>
          </cell>
          <cell r="S1" t="str">
            <v>PARTICULARIDADE</v>
          </cell>
          <cell r="T1" t="str">
            <v>ALIVIO DE EXPOSIÇÃO</v>
          </cell>
          <cell r="V1" t="str">
            <v>LEILÃO</v>
          </cell>
          <cell r="X1" t="str">
            <v>MONTANTE MÉDIO</v>
          </cell>
        </row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947188</v>
          </cell>
          <cell r="B3" t="str">
            <v>CCEAL</v>
          </cell>
          <cell r="C3" t="str">
            <v>Firme</v>
          </cell>
          <cell r="D3" t="str">
            <v>Energia Incentivada Especial</v>
          </cell>
          <cell r="E3" t="str">
            <v>01/01/2017 00</v>
          </cell>
          <cell r="F3" t="str">
            <v>01/01/2018 00</v>
          </cell>
          <cell r="G3" t="str">
            <v>01/01/2017 00</v>
          </cell>
          <cell r="H3" t="str">
            <v>31/12/2017 23</v>
          </cell>
          <cell r="J3" t="str">
            <v>Validado</v>
          </cell>
          <cell r="M3" t="str">
            <v>CVRD PIE I5</v>
          </cell>
          <cell r="N3" t="str">
            <v>CVRD CE</v>
          </cell>
          <cell r="O3" t="str">
            <v>SUDESTE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955351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01/02/2017 00</v>
          </cell>
          <cell r="F4" t="str">
            <v>01/01/2018 00</v>
          </cell>
          <cell r="G4" t="str">
            <v>01/02/2017 00</v>
          </cell>
          <cell r="H4" t="str">
            <v>31/12/2017 23</v>
          </cell>
          <cell r="J4" t="str">
            <v>Validado</v>
          </cell>
          <cell r="M4" t="str">
            <v>VALE ENE I5</v>
          </cell>
          <cell r="N4" t="str">
            <v>CVRD CE</v>
          </cell>
          <cell r="O4" t="str">
            <v>SUDESTE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0,703832</v>
          </cell>
          <cell r="AF4" t="str">
            <v>FLAT</v>
          </cell>
          <cell r="AG4" t="str">
            <v>Ajustado Validado</v>
          </cell>
        </row>
        <row r="5">
          <cell r="A5">
            <v>956730</v>
          </cell>
          <cell r="B5" t="str">
            <v>CCEAL</v>
          </cell>
          <cell r="C5" t="str">
            <v>Firme</v>
          </cell>
          <cell r="D5" t="str">
            <v>Energia Incentivada Especial</v>
          </cell>
          <cell r="E5" t="str">
            <v>01/02/2017 00</v>
          </cell>
          <cell r="F5" t="str">
            <v>01/01/2018 00</v>
          </cell>
          <cell r="G5" t="str">
            <v>01/02/2017 00</v>
          </cell>
          <cell r="H5" t="str">
            <v>31/12/2017 23</v>
          </cell>
          <cell r="J5" t="str">
            <v>Validado</v>
          </cell>
          <cell r="M5" t="str">
            <v>CVRD APE I5</v>
          </cell>
          <cell r="N5" t="str">
            <v>CVRD CE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>
        <row r="3">
          <cell r="W3">
            <v>2.88</v>
          </cell>
        </row>
        <row r="4">
          <cell r="W4">
            <v>0</v>
          </cell>
        </row>
        <row r="5">
          <cell r="W5">
            <v>7.3999999999999996E-2</v>
          </cell>
        </row>
        <row r="6">
          <cell r="W6">
            <v>2.1949999999999998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404"/>
      <sheetName val="CVRD CL2"/>
      <sheetName val="RelatorioContratos_130717_09101"/>
    </sheetNames>
    <sheetDataSet>
      <sheetData sheetId="0">
        <row r="3">
          <cell r="A3">
            <v>73396</v>
          </cell>
          <cell r="B3" t="str">
            <v>CCEAL</v>
          </cell>
          <cell r="C3" t="str">
            <v>Firme</v>
          </cell>
          <cell r="D3" t="str">
            <v>Energia Incentivada Especial</v>
          </cell>
          <cell r="E3" t="str">
            <v>01/01/2016 00</v>
          </cell>
          <cell r="F3" t="str">
            <v>01/02/2019 00</v>
          </cell>
          <cell r="G3" t="str">
            <v>01/01/2011 00</v>
          </cell>
          <cell r="H3" t="str">
            <v>31/01/2019 23</v>
          </cell>
          <cell r="J3" t="str">
            <v>Validado</v>
          </cell>
          <cell r="M3" t="str">
            <v>VALE ENE I5</v>
          </cell>
          <cell r="N3" t="str">
            <v>CVRD CL2</v>
          </cell>
          <cell r="O3" t="str">
            <v>SUDESTE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558366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01/02/2015 00</v>
          </cell>
          <cell r="F4" t="str">
            <v>01/02/2019 00</v>
          </cell>
          <cell r="G4" t="str">
            <v>01/02/2014 00</v>
          </cell>
          <cell r="H4" t="str">
            <v>31/01/2019 23</v>
          </cell>
          <cell r="J4" t="str">
            <v>Validado</v>
          </cell>
          <cell r="M4" t="str">
            <v>CVRD PIE I5</v>
          </cell>
          <cell r="N4" t="str">
            <v>CVRD CL2</v>
          </cell>
          <cell r="O4" t="str">
            <v>SUDESTE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566601</v>
          </cell>
          <cell r="B5" t="str">
            <v>CCEAL</v>
          </cell>
          <cell r="C5" t="str">
            <v>Firme</v>
          </cell>
          <cell r="D5" t="str">
            <v>Energia Incentivada Especial</v>
          </cell>
          <cell r="E5" t="str">
            <v>01/02/2015 00</v>
          </cell>
          <cell r="F5" t="str">
            <v>01/02/2019 00</v>
          </cell>
          <cell r="G5" t="str">
            <v>01/02/2014 00</v>
          </cell>
          <cell r="H5" t="str">
            <v>31/01/2019 23</v>
          </cell>
          <cell r="J5" t="str">
            <v>Validado</v>
          </cell>
          <cell r="M5" t="str">
            <v>CVRD APE I5</v>
          </cell>
          <cell r="N5" t="str">
            <v>CVRD CL2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  <row r="6">
          <cell r="A6">
            <v>566657</v>
          </cell>
          <cell r="B6" t="str">
            <v>CCEAL</v>
          </cell>
          <cell r="C6" t="str">
            <v>Firme</v>
          </cell>
          <cell r="D6" t="str">
            <v>Energia Convencional</v>
          </cell>
          <cell r="E6" t="str">
            <v>01/02/2015 00</v>
          </cell>
          <cell r="F6" t="str">
            <v>01/02/2019 00</v>
          </cell>
          <cell r="G6" t="str">
            <v>01/02/2014 00</v>
          </cell>
          <cell r="H6" t="str">
            <v>31/01/2019 23</v>
          </cell>
          <cell r="J6" t="str">
            <v>Validado</v>
          </cell>
          <cell r="M6" t="str">
            <v>CVRD PIE</v>
          </cell>
          <cell r="N6" t="str">
            <v>CVRD CL2</v>
          </cell>
          <cell r="O6" t="str">
            <v>SUDESTE</v>
          </cell>
          <cell r="P6" t="str">
            <v>X</v>
          </cell>
          <cell r="X6" t="str">
            <v>01/07/2017 00</v>
          </cell>
          <cell r="Y6" t="str">
            <v>01/08/2017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566830</v>
          </cell>
          <cell r="B7" t="str">
            <v>CCEAL</v>
          </cell>
          <cell r="C7" t="str">
            <v>Firme</v>
          </cell>
          <cell r="D7" t="str">
            <v>Energia Convencional</v>
          </cell>
          <cell r="E7" t="str">
            <v>01/02/2015 00</v>
          </cell>
          <cell r="F7" t="str">
            <v>01/02/2019 00</v>
          </cell>
          <cell r="G7" t="str">
            <v>01/02/2014 00</v>
          </cell>
          <cell r="H7" t="str">
            <v>31/01/2019 23</v>
          </cell>
          <cell r="J7" t="str">
            <v>Validado</v>
          </cell>
          <cell r="M7" t="str">
            <v>VALE ENERGIA</v>
          </cell>
          <cell r="N7" t="str">
            <v>CVRD CL2</v>
          </cell>
          <cell r="O7" t="str">
            <v>SUDESTE</v>
          </cell>
          <cell r="P7" t="str">
            <v>X</v>
          </cell>
          <cell r="X7" t="str">
            <v>01/07/2017 00</v>
          </cell>
          <cell r="Y7" t="str">
            <v>01/08/2017 00</v>
          </cell>
          <cell r="Z7" t="str">
            <v>0,000000</v>
          </cell>
          <cell r="AF7" t="str">
            <v>FLAT</v>
          </cell>
          <cell r="AG7" t="str">
            <v>Validado</v>
          </cell>
        </row>
        <row r="8">
          <cell r="A8">
            <v>567046</v>
          </cell>
          <cell r="B8" t="str">
            <v>CCEAL</v>
          </cell>
          <cell r="C8" t="str">
            <v>Firme</v>
          </cell>
          <cell r="D8" t="str">
            <v>Energia Incentivada Especial</v>
          </cell>
          <cell r="E8" t="str">
            <v>01/02/2015 00</v>
          </cell>
          <cell r="F8" t="str">
            <v>01/02/2019 00</v>
          </cell>
          <cell r="G8" t="str">
            <v>01/02/2014 00</v>
          </cell>
          <cell r="H8" t="str">
            <v>31/01/2019 23</v>
          </cell>
          <cell r="J8" t="str">
            <v>Validado</v>
          </cell>
          <cell r="M8" t="str">
            <v>CVRD APE I5</v>
          </cell>
          <cell r="N8" t="str">
            <v>CVRD CL2</v>
          </cell>
          <cell r="O8" t="str">
            <v>SUDESTE</v>
          </cell>
          <cell r="P8" t="str">
            <v>X</v>
          </cell>
          <cell r="U8" t="str">
            <v>REPASSE DE AUTO PRODUÇÃO</v>
          </cell>
          <cell r="X8" t="str">
            <v>01/07/2017 00</v>
          </cell>
          <cell r="Y8" t="str">
            <v>01/08/2017 00</v>
          </cell>
          <cell r="Z8" t="str">
            <v>0,000000</v>
          </cell>
          <cell r="AF8" t="str">
            <v>FLAT</v>
          </cell>
          <cell r="AG8" t="str">
            <v>Validado</v>
          </cell>
        </row>
        <row r="9">
          <cell r="A9">
            <v>567235</v>
          </cell>
          <cell r="B9" t="str">
            <v>CCEAL</v>
          </cell>
          <cell r="C9" t="str">
            <v>Firme</v>
          </cell>
          <cell r="D9" t="str">
            <v>Energia Convencional</v>
          </cell>
          <cell r="E9" t="str">
            <v>01/02/2015 00</v>
          </cell>
          <cell r="F9" t="str">
            <v>01/02/2019 00</v>
          </cell>
          <cell r="G9" t="str">
            <v>01/02/2014 00</v>
          </cell>
          <cell r="H9" t="str">
            <v>31/01/2019 23</v>
          </cell>
          <cell r="J9" t="str">
            <v>Validado</v>
          </cell>
          <cell r="M9" t="str">
            <v>CVRD PIE</v>
          </cell>
          <cell r="N9" t="str">
            <v>CVRD CL2</v>
          </cell>
          <cell r="O9" t="str">
            <v>SUDESTE</v>
          </cell>
          <cell r="P9" t="str">
            <v>X</v>
          </cell>
          <cell r="U9" t="str">
            <v>REPASSE DE AUTO PRODUÇÃO</v>
          </cell>
          <cell r="X9" t="str">
            <v>01/07/2017 00</v>
          </cell>
          <cell r="Y9" t="str">
            <v>01/08/2017 00</v>
          </cell>
          <cell r="Z9" t="str">
            <v>17,747725</v>
          </cell>
          <cell r="AF9" t="str">
            <v>FLAT</v>
          </cell>
          <cell r="AG9" t="str">
            <v>Ajustado Validado</v>
          </cell>
        </row>
        <row r="10">
          <cell r="A10">
            <v>637036</v>
          </cell>
          <cell r="B10" t="str">
            <v>CCEAL</v>
          </cell>
          <cell r="C10" t="str">
            <v>Firme</v>
          </cell>
          <cell r="D10" t="str">
            <v>Energia Incentivada Especial</v>
          </cell>
          <cell r="E10" t="str">
            <v>01/02/2015 00</v>
          </cell>
          <cell r="F10" t="str">
            <v>01/02/2019 00</v>
          </cell>
          <cell r="G10" t="str">
            <v>01/04/2014 00</v>
          </cell>
          <cell r="H10" t="str">
            <v>31/01/2019 23</v>
          </cell>
          <cell r="J10" t="str">
            <v>Validado</v>
          </cell>
          <cell r="M10" t="str">
            <v>VALE ENE I5</v>
          </cell>
          <cell r="N10" t="str">
            <v>CVRD CL2</v>
          </cell>
          <cell r="O10" t="str">
            <v>NORDESTE</v>
          </cell>
          <cell r="P10" t="str">
            <v>X</v>
          </cell>
          <cell r="X10" t="str">
            <v>01/07/2017 00</v>
          </cell>
          <cell r="Y10" t="str">
            <v>01/08/2017 00</v>
          </cell>
          <cell r="Z10" t="str">
            <v>0,000000</v>
          </cell>
          <cell r="AF10" t="str">
            <v>FLAT</v>
          </cell>
          <cell r="AG10" t="str">
            <v>Validado</v>
          </cell>
        </row>
        <row r="11">
          <cell r="A11">
            <v>880826</v>
          </cell>
          <cell r="B11" t="str">
            <v>CCEAL</v>
          </cell>
          <cell r="C11" t="str">
            <v>Firme</v>
          </cell>
          <cell r="D11" t="str">
            <v>Energia Incentivada Especial</v>
          </cell>
          <cell r="E11" t="str">
            <v>01/02/2016 00</v>
          </cell>
          <cell r="F11" t="str">
            <v>01/01/2020 00</v>
          </cell>
          <cell r="G11" t="str">
            <v>01/02/2016 00</v>
          </cell>
          <cell r="H11" t="str">
            <v>31/12/2019 23</v>
          </cell>
          <cell r="J11" t="str">
            <v>Validado</v>
          </cell>
          <cell r="M11" t="str">
            <v>VALE ENE I5</v>
          </cell>
          <cell r="N11" t="str">
            <v>CVRD CL2</v>
          </cell>
          <cell r="O11" t="str">
            <v>NORTE</v>
          </cell>
          <cell r="P11" t="str">
            <v>X</v>
          </cell>
          <cell r="X11" t="str">
            <v>01/07/2017 00</v>
          </cell>
          <cell r="Y11" t="str">
            <v>01/08/2017 00</v>
          </cell>
          <cell r="Z11" t="str">
            <v>0,000000</v>
          </cell>
          <cell r="AF11" t="str">
            <v>FLAT</v>
          </cell>
          <cell r="AG11" t="str">
            <v>Validado</v>
          </cell>
        </row>
        <row r="12">
          <cell r="A12">
            <v>993038</v>
          </cell>
          <cell r="B12" t="str">
            <v>CCEAL</v>
          </cell>
          <cell r="C12" t="str">
            <v>Firme</v>
          </cell>
          <cell r="D12" t="str">
            <v>Energia Convencional</v>
          </cell>
          <cell r="E12" t="str">
            <v>01/06/2017 00</v>
          </cell>
          <cell r="F12" t="str">
            <v>01/01/2018 00</v>
          </cell>
          <cell r="G12" t="str">
            <v>01/06/2017 00</v>
          </cell>
          <cell r="H12" t="str">
            <v>31/12/2017 23</v>
          </cell>
          <cell r="J12" t="str">
            <v>Validado</v>
          </cell>
          <cell r="M12" t="str">
            <v>CVRD PIE</v>
          </cell>
          <cell r="N12" t="str">
            <v>CVRD CL2</v>
          </cell>
          <cell r="O12" t="str">
            <v>NORTE</v>
          </cell>
          <cell r="P12" t="str">
            <v>X</v>
          </cell>
          <cell r="X12" t="str">
            <v>01/07/2017 00</v>
          </cell>
          <cell r="Y12" t="str">
            <v>01/08/2017 00</v>
          </cell>
          <cell r="Z12" t="str">
            <v>15,973108</v>
          </cell>
          <cell r="AF12" t="str">
            <v>FLAT</v>
          </cell>
          <cell r="AG12" t="str">
            <v>Ajustado Validado</v>
          </cell>
        </row>
      </sheetData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422"/>
      <sheetName val="CVRD CL3"/>
      <sheetName val="RelatorioContratos_130717_09115"/>
    </sheetNames>
    <sheetDataSet>
      <sheetData sheetId="0"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395151</v>
          </cell>
          <cell r="B3" t="str">
            <v>CCEAL</v>
          </cell>
          <cell r="C3" t="str">
            <v>Firme</v>
          </cell>
          <cell r="D3" t="str">
            <v>Energia Convencional</v>
          </cell>
          <cell r="E3" t="str">
            <v>01/01/2015 00</v>
          </cell>
          <cell r="F3" t="str">
            <v>01/02/2019 00</v>
          </cell>
          <cell r="G3" t="str">
            <v>01/12/2013 00</v>
          </cell>
          <cell r="H3" t="str">
            <v>31/01/2019 23</v>
          </cell>
          <cell r="J3" t="str">
            <v>Validado</v>
          </cell>
          <cell r="M3" t="str">
            <v>CVRD</v>
          </cell>
          <cell r="N3" t="str">
            <v>CVRD CL3</v>
          </cell>
          <cell r="O3" t="str">
            <v>SUDESTE</v>
          </cell>
          <cell r="P3" t="str">
            <v>X</v>
          </cell>
          <cell r="U3" t="str">
            <v>REPASSE DE AUTO PRODUÇÃO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395153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01/02/2015 00</v>
          </cell>
          <cell r="F4" t="str">
            <v>01/02/2019 00</v>
          </cell>
          <cell r="G4" t="str">
            <v>01/12/2013 00</v>
          </cell>
          <cell r="H4" t="str">
            <v>31/01/2019 23</v>
          </cell>
          <cell r="J4" t="str">
            <v>Validado</v>
          </cell>
          <cell r="M4" t="str">
            <v>CVRD PIE I5</v>
          </cell>
          <cell r="N4" t="str">
            <v>CVRD CL3</v>
          </cell>
          <cell r="O4" t="str">
            <v>SUDESTE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395160</v>
          </cell>
          <cell r="B5" t="str">
            <v>CCEAL</v>
          </cell>
          <cell r="C5" t="str">
            <v>Firme</v>
          </cell>
          <cell r="D5" t="str">
            <v>Energia Incentivada Especial</v>
          </cell>
          <cell r="E5" t="str">
            <v>01/02/2015 00</v>
          </cell>
          <cell r="F5" t="str">
            <v>01/02/2019 00</v>
          </cell>
          <cell r="G5" t="str">
            <v>01/12/2013 00</v>
          </cell>
          <cell r="H5" t="str">
            <v>31/01/2019 23</v>
          </cell>
          <cell r="J5" t="str">
            <v>Validado</v>
          </cell>
          <cell r="M5" t="str">
            <v>VALE ENE I5</v>
          </cell>
          <cell r="N5" t="str">
            <v>CVRD CL3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  <row r="6">
          <cell r="A6">
            <v>566824</v>
          </cell>
          <cell r="B6" t="str">
            <v>CCEAL</v>
          </cell>
          <cell r="C6" t="str">
            <v>Firme</v>
          </cell>
          <cell r="D6" t="str">
            <v>Energia Convencional</v>
          </cell>
          <cell r="E6" t="str">
            <v>01/02/2015 00</v>
          </cell>
          <cell r="F6" t="str">
            <v>01/02/2019 00</v>
          </cell>
          <cell r="G6" t="str">
            <v>01/02/2014 00</v>
          </cell>
          <cell r="H6" t="str">
            <v>31/01/2019 23</v>
          </cell>
          <cell r="J6" t="str">
            <v>Validado</v>
          </cell>
          <cell r="M6" t="str">
            <v>VALE ENERGIA</v>
          </cell>
          <cell r="N6" t="str">
            <v>CVRD CL3</v>
          </cell>
          <cell r="O6" t="str">
            <v>SUDESTE</v>
          </cell>
          <cell r="P6" t="str">
            <v>X</v>
          </cell>
          <cell r="X6" t="str">
            <v>01/07/2017 00</v>
          </cell>
          <cell r="Y6" t="str">
            <v>01/08/2017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567025</v>
          </cell>
          <cell r="B7" t="str">
            <v>CCEAL</v>
          </cell>
          <cell r="C7" t="str">
            <v>Firme</v>
          </cell>
          <cell r="D7" t="str">
            <v>Energia Incentivada Especial</v>
          </cell>
          <cell r="E7" t="str">
            <v>01/02/2015 00</v>
          </cell>
          <cell r="F7" t="str">
            <v>01/02/2019 00</v>
          </cell>
          <cell r="G7" t="str">
            <v>01/02/2014 00</v>
          </cell>
          <cell r="H7" t="str">
            <v>31/01/2019 23</v>
          </cell>
          <cell r="J7" t="str">
            <v>Validado</v>
          </cell>
          <cell r="M7" t="str">
            <v>CVRD APE I5</v>
          </cell>
          <cell r="N7" t="str">
            <v>CVRD CL3</v>
          </cell>
          <cell r="O7" t="str">
            <v>SUDESTE</v>
          </cell>
          <cell r="P7" t="str">
            <v>X</v>
          </cell>
          <cell r="U7" t="str">
            <v>REPASSE DE AUTO PRODUÇÃO</v>
          </cell>
          <cell r="X7" t="str">
            <v>01/07/2017 00</v>
          </cell>
          <cell r="Y7" t="str">
            <v>01/08/2017 00</v>
          </cell>
          <cell r="Z7" t="str">
            <v>0,000000</v>
          </cell>
          <cell r="AF7" t="str">
            <v>FLAT</v>
          </cell>
          <cell r="AG7" t="str">
            <v>Validado</v>
          </cell>
        </row>
        <row r="8">
          <cell r="A8">
            <v>567197</v>
          </cell>
          <cell r="B8" t="str">
            <v>CCEAL</v>
          </cell>
          <cell r="C8" t="str">
            <v>Firme</v>
          </cell>
          <cell r="D8" t="str">
            <v>Energia Convencional</v>
          </cell>
          <cell r="E8" t="str">
            <v>01/02/2015 00</v>
          </cell>
          <cell r="F8" t="str">
            <v>01/02/2019 00</v>
          </cell>
          <cell r="G8" t="str">
            <v>01/02/2014 00</v>
          </cell>
          <cell r="H8" t="str">
            <v>31/01/2019 23</v>
          </cell>
          <cell r="J8" t="str">
            <v>Validado</v>
          </cell>
          <cell r="M8" t="str">
            <v>CVRD PIE</v>
          </cell>
          <cell r="N8" t="str">
            <v>CVRD CL3</v>
          </cell>
          <cell r="O8" t="str">
            <v>SUDESTE</v>
          </cell>
          <cell r="P8" t="str">
            <v>X</v>
          </cell>
          <cell r="U8" t="str">
            <v>REPASSE DE AUTO PRODUÇÃO</v>
          </cell>
          <cell r="X8" t="str">
            <v>01/07/2017 00</v>
          </cell>
          <cell r="Y8" t="str">
            <v>01/08/2017 00</v>
          </cell>
          <cell r="Z8" t="str">
            <v>169,507669</v>
          </cell>
          <cell r="AF8" t="str">
            <v>FLAT</v>
          </cell>
          <cell r="AG8" t="str">
            <v>Ajustado Validado</v>
          </cell>
        </row>
        <row r="9">
          <cell r="A9">
            <v>637037</v>
          </cell>
          <cell r="B9" t="str">
            <v>CCEAL</v>
          </cell>
          <cell r="C9" t="str">
            <v>Firme</v>
          </cell>
          <cell r="D9" t="str">
            <v>Energia Incentivada Especial</v>
          </cell>
          <cell r="E9" t="str">
            <v>01/02/2015 00</v>
          </cell>
          <cell r="F9" t="str">
            <v>01/02/2019 00</v>
          </cell>
          <cell r="G9" t="str">
            <v>01/04/2014 00</v>
          </cell>
          <cell r="H9" t="str">
            <v>31/01/2019 23</v>
          </cell>
          <cell r="J9" t="str">
            <v>Validado</v>
          </cell>
          <cell r="M9" t="str">
            <v>VALE ENE I5</v>
          </cell>
          <cell r="N9" t="str">
            <v>CVRD CL3</v>
          </cell>
          <cell r="O9" t="str">
            <v>NORDESTE</v>
          </cell>
          <cell r="P9" t="str">
            <v>X</v>
          </cell>
          <cell r="X9" t="str">
            <v>01/07/2017 00</v>
          </cell>
          <cell r="Y9" t="str">
            <v>01/08/2017 00</v>
          </cell>
          <cell r="Z9" t="str">
            <v>0,000000</v>
          </cell>
          <cell r="AF9" t="str">
            <v>FLAT</v>
          </cell>
          <cell r="AG9" t="str">
            <v>Validado</v>
          </cell>
        </row>
      </sheetData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384"/>
      <sheetName val="CVRD CL SE-CO"/>
      <sheetName val="RelatorioContratos_130717_09051"/>
    </sheetNames>
    <sheetDataSet>
      <sheetData sheetId="0"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843685</v>
          </cell>
          <cell r="B3" t="str">
            <v>CCEAL</v>
          </cell>
          <cell r="C3" t="str">
            <v>Firme</v>
          </cell>
          <cell r="D3" t="str">
            <v>Energia Convencional</v>
          </cell>
          <cell r="E3" t="str">
            <v>01/12/2015 00</v>
          </cell>
          <cell r="F3" t="str">
            <v>01/02/2019 00</v>
          </cell>
          <cell r="G3" t="str">
            <v>01/12/2015 00</v>
          </cell>
          <cell r="H3" t="str">
            <v>31/01/2019 23</v>
          </cell>
          <cell r="J3" t="str">
            <v>Validado</v>
          </cell>
          <cell r="M3" t="str">
            <v>CVRD PIE</v>
          </cell>
          <cell r="N3" t="str">
            <v>CVRD CL SE-CO</v>
          </cell>
          <cell r="O3" t="str">
            <v>SUDESTE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843740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01/12/2015 00</v>
          </cell>
          <cell r="F4" t="str">
            <v>01/02/2019 00</v>
          </cell>
          <cell r="G4" t="str">
            <v>01/12/2015 00</v>
          </cell>
          <cell r="H4" t="str">
            <v>31/01/2019 23</v>
          </cell>
          <cell r="J4" t="str">
            <v>Validado</v>
          </cell>
          <cell r="M4" t="str">
            <v>CVRD APE I5</v>
          </cell>
          <cell r="N4" t="str">
            <v>CVRD CL SE-CO</v>
          </cell>
          <cell r="O4" t="str">
            <v>SUDESTE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843741</v>
          </cell>
          <cell r="B5" t="str">
            <v>CCEAL</v>
          </cell>
          <cell r="C5" t="str">
            <v>Firme</v>
          </cell>
          <cell r="D5" t="str">
            <v>Energia Convencional</v>
          </cell>
          <cell r="E5" t="str">
            <v>01/12/2015 00</v>
          </cell>
          <cell r="F5" t="str">
            <v>01/02/2019 00</v>
          </cell>
          <cell r="G5" t="str">
            <v>01/12/2015 00</v>
          </cell>
          <cell r="H5" t="str">
            <v>31/01/2019 23</v>
          </cell>
          <cell r="J5" t="str">
            <v>Validado</v>
          </cell>
          <cell r="M5" t="str">
            <v>VALE ENERGIA</v>
          </cell>
          <cell r="N5" t="str">
            <v>CVRD CL SE-CO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  <row r="6">
          <cell r="A6">
            <v>843743</v>
          </cell>
          <cell r="B6" t="str">
            <v>CCEAL</v>
          </cell>
          <cell r="C6" t="str">
            <v>Firme</v>
          </cell>
          <cell r="D6" t="str">
            <v>Energia Incentivada Especial</v>
          </cell>
          <cell r="E6" t="str">
            <v>01/12/2015 00</v>
          </cell>
          <cell r="F6" t="str">
            <v>01/02/2019 00</v>
          </cell>
          <cell r="G6" t="str">
            <v>01/12/2015 00</v>
          </cell>
          <cell r="H6" t="str">
            <v>31/01/2019 23</v>
          </cell>
          <cell r="J6" t="str">
            <v>Validado</v>
          </cell>
          <cell r="M6" t="str">
            <v>VALE ENE I5</v>
          </cell>
          <cell r="N6" t="str">
            <v>CVRD CL SE-CO</v>
          </cell>
          <cell r="O6" t="str">
            <v>SUDESTE</v>
          </cell>
          <cell r="P6" t="str">
            <v>X</v>
          </cell>
          <cell r="X6" t="str">
            <v>01/07/2017 00</v>
          </cell>
          <cell r="Y6" t="str">
            <v>01/08/2017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870982</v>
          </cell>
          <cell r="B7" t="str">
            <v>CCEAL</v>
          </cell>
          <cell r="C7" t="str">
            <v>Firme</v>
          </cell>
          <cell r="D7" t="str">
            <v>Energia Incentivada Especial</v>
          </cell>
          <cell r="E7" t="str">
            <v>01/01/2016 00</v>
          </cell>
          <cell r="F7" t="str">
            <v>01/01/2020 00</v>
          </cell>
          <cell r="G7" t="str">
            <v>01/01/2016 00</v>
          </cell>
          <cell r="H7" t="str">
            <v>31/12/2019 23</v>
          </cell>
          <cell r="J7" t="str">
            <v>Validado</v>
          </cell>
          <cell r="M7" t="str">
            <v>VALE ENE I5</v>
          </cell>
          <cell r="N7" t="str">
            <v>CVRD CL SE-CO</v>
          </cell>
          <cell r="O7" t="str">
            <v>NORDESTE</v>
          </cell>
          <cell r="P7" t="str">
            <v>X</v>
          </cell>
          <cell r="X7" t="str">
            <v>01/07/2017 00</v>
          </cell>
          <cell r="Y7" t="str">
            <v>01/08/2017 00</v>
          </cell>
          <cell r="Z7" t="str">
            <v>0,000000</v>
          </cell>
          <cell r="AF7" t="str">
            <v>FLAT</v>
          </cell>
          <cell r="AG7" t="str">
            <v>Validado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ia Física"/>
      <sheetName val="Geração"/>
      <sheetName val="Garantia Física Atualizada"/>
      <sheetName val="Expansão Hidro"/>
      <sheetName val="GSF"/>
    </sheetNames>
    <sheetDataSet>
      <sheetData sheetId="0" refreshError="1"/>
      <sheetData sheetId="1" refreshError="1"/>
      <sheetData sheetId="2" refreshError="1"/>
      <sheetData sheetId="3" refreshError="1"/>
      <sheetData sheetId="4">
        <row r="8">
          <cell r="D8">
            <v>-0.60968373186904801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>
        <row r="3">
          <cell r="W3" t="str">
            <v>321,414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>
        <row r="3">
          <cell r="W3">
            <v>951.375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  <sheetName val="Proinfa Rio Doce Ne"/>
    </sheetNames>
    <sheetDataSet>
      <sheetData sheetId="0" refreshError="1">
        <row r="3">
          <cell r="X3" t="str">
            <v>Ajustado e Validado</v>
          </cell>
        </row>
      </sheetData>
      <sheetData sheetId="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560"/>
      <sheetName val="RIO DOCE NE"/>
      <sheetName val="RelatorioContratos_130717_09251"/>
    </sheetNames>
    <sheetDataSet>
      <sheetData sheetId="0"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768173</v>
          </cell>
          <cell r="B3" t="str">
            <v>CCEAL</v>
          </cell>
          <cell r="C3" t="str">
            <v>Firme</v>
          </cell>
          <cell r="D3" t="str">
            <v>Energia Incentivada Especial</v>
          </cell>
          <cell r="E3" t="str">
            <v>01/01/2015 00</v>
          </cell>
          <cell r="F3" t="str">
            <v>01/02/2018 00</v>
          </cell>
          <cell r="G3" t="str">
            <v>01/01/2015 00</v>
          </cell>
          <cell r="H3" t="str">
            <v>31/01/2018 23</v>
          </cell>
          <cell r="J3" t="str">
            <v>Validado</v>
          </cell>
          <cell r="M3" t="str">
            <v>VALE ENE I5</v>
          </cell>
          <cell r="N3" t="str">
            <v>RIO DOCE</v>
          </cell>
          <cell r="O3" t="str">
            <v>NORDESTE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839296</v>
          </cell>
          <cell r="B4" t="str">
            <v>CCEAL</v>
          </cell>
          <cell r="C4" t="str">
            <v>Firme</v>
          </cell>
          <cell r="D4" t="str">
            <v>Energia Convencional</v>
          </cell>
          <cell r="E4" t="str">
            <v>01/09/2015 00</v>
          </cell>
          <cell r="F4" t="str">
            <v>01/02/2019 00</v>
          </cell>
          <cell r="G4" t="str">
            <v>01/09/2015 00</v>
          </cell>
          <cell r="H4" t="str">
            <v>31/01/2019 23</v>
          </cell>
          <cell r="J4" t="str">
            <v>Validado</v>
          </cell>
          <cell r="M4" t="str">
            <v>VALE ENERGIA</v>
          </cell>
          <cell r="N4" t="str">
            <v>RIO DOCE</v>
          </cell>
          <cell r="O4" t="str">
            <v>NORDESTE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937456</v>
          </cell>
          <cell r="B5" t="str">
            <v>CCEAL</v>
          </cell>
          <cell r="C5" t="str">
            <v>Firme</v>
          </cell>
          <cell r="D5" t="str">
            <v>Energia Convencional</v>
          </cell>
          <cell r="E5" t="str">
            <v>01/01/2017 00</v>
          </cell>
          <cell r="F5" t="str">
            <v>27/02/2035 00</v>
          </cell>
          <cell r="G5" t="str">
            <v>01/01/2017 00</v>
          </cell>
          <cell r="H5" t="str">
            <v>26/02/2035 23</v>
          </cell>
          <cell r="J5" t="str">
            <v>Validado</v>
          </cell>
          <cell r="M5" t="str">
            <v>FURNAS</v>
          </cell>
          <cell r="N5" t="str">
            <v>RIO DOCE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Ajustado Validado</v>
          </cell>
        </row>
        <row r="6">
          <cell r="A6">
            <v>965482</v>
          </cell>
          <cell r="B6" t="str">
            <v>CCEAL</v>
          </cell>
          <cell r="C6" t="str">
            <v>Firme</v>
          </cell>
          <cell r="D6" t="str">
            <v>Energia Convencional</v>
          </cell>
          <cell r="E6" t="str">
            <v>01/03/2017 00</v>
          </cell>
          <cell r="F6" t="str">
            <v>01/01/2018 00</v>
          </cell>
          <cell r="G6" t="str">
            <v>01/03/2017 00</v>
          </cell>
          <cell r="H6" t="str">
            <v>31/12/2017 23</v>
          </cell>
          <cell r="J6" t="str">
            <v>Validado</v>
          </cell>
          <cell r="M6" t="str">
            <v>NOVA ENERGIA</v>
          </cell>
          <cell r="N6" t="str">
            <v>RIO DOCE</v>
          </cell>
          <cell r="O6" t="str">
            <v>NORDESTE</v>
          </cell>
          <cell r="P6" t="str">
            <v>X</v>
          </cell>
          <cell r="X6" t="str">
            <v>01/07/2017 00</v>
          </cell>
          <cell r="Y6" t="str">
            <v>01/08/2017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985148</v>
          </cell>
          <cell r="B7" t="str">
            <v>CCEAL</v>
          </cell>
          <cell r="C7" t="str">
            <v>Firme</v>
          </cell>
          <cell r="D7" t="str">
            <v>Energia Convencional</v>
          </cell>
          <cell r="E7" t="str">
            <v>01/04/2017 00</v>
          </cell>
          <cell r="F7" t="str">
            <v>01/01/2018 00</v>
          </cell>
          <cell r="G7" t="str">
            <v>01/04/2017 00</v>
          </cell>
          <cell r="H7" t="str">
            <v>31/12/2017 23</v>
          </cell>
          <cell r="J7" t="str">
            <v>Registrado e Não Validado</v>
          </cell>
          <cell r="M7" t="str">
            <v>NOVA ENERGIA</v>
          </cell>
          <cell r="N7" t="str">
            <v>RIO DOCE</v>
          </cell>
          <cell r="O7" t="str">
            <v>SUDESTE</v>
          </cell>
          <cell r="P7" t="str">
            <v>X</v>
          </cell>
          <cell r="X7" t="str">
            <v>01/07/2017 00</v>
          </cell>
          <cell r="Y7" t="str">
            <v>01/08/2017 00</v>
          </cell>
          <cell r="Z7" t="str">
            <v>0,000000</v>
          </cell>
          <cell r="AF7" t="str">
            <v>FLAT</v>
          </cell>
          <cell r="AG7" t="str">
            <v>Inserido Não Validado</v>
          </cell>
        </row>
        <row r="8">
          <cell r="A8">
            <v>993042</v>
          </cell>
          <cell r="B8" t="str">
            <v>CCEAL</v>
          </cell>
          <cell r="C8" t="str">
            <v>Firme</v>
          </cell>
          <cell r="D8" t="str">
            <v>Energia Convencional</v>
          </cell>
          <cell r="E8" t="str">
            <v>01/06/2017 00</v>
          </cell>
          <cell r="F8" t="str">
            <v>01/01/2018 00</v>
          </cell>
          <cell r="G8" t="str">
            <v>01/06/2017 00</v>
          </cell>
          <cell r="H8" t="str">
            <v>31/12/2017 23</v>
          </cell>
          <cell r="J8" t="str">
            <v>Validado</v>
          </cell>
          <cell r="M8" t="str">
            <v>CVRD PIE</v>
          </cell>
          <cell r="N8" t="str">
            <v>RIO DOCE</v>
          </cell>
          <cell r="O8" t="str">
            <v>NORTE</v>
          </cell>
          <cell r="P8" t="str">
            <v>X</v>
          </cell>
          <cell r="X8" t="str">
            <v>01/07/2017 00</v>
          </cell>
          <cell r="Y8" t="str">
            <v>01/08/2017 00</v>
          </cell>
          <cell r="Z8" t="str">
            <v>0,000000</v>
          </cell>
          <cell r="AF8" t="str">
            <v>FLAT</v>
          </cell>
          <cell r="AG8" t="str">
            <v>Validado</v>
          </cell>
        </row>
        <row r="9">
          <cell r="A9">
            <v>998980</v>
          </cell>
          <cell r="B9" t="str">
            <v>CCEAL</v>
          </cell>
          <cell r="C9" t="str">
            <v>Firme</v>
          </cell>
          <cell r="D9" t="str">
            <v>Energia Convencional</v>
          </cell>
          <cell r="E9" t="str">
            <v>01/07/2017 00</v>
          </cell>
          <cell r="F9" t="str">
            <v>01/08/2017 00</v>
          </cell>
          <cell r="G9" t="str">
            <v>01/07/2017 00</v>
          </cell>
          <cell r="H9" t="str">
            <v>31/07/2017 23</v>
          </cell>
          <cell r="J9" t="str">
            <v>Validado</v>
          </cell>
          <cell r="M9" t="str">
            <v>CSP</v>
          </cell>
          <cell r="N9" t="str">
            <v>RIO DOCE</v>
          </cell>
          <cell r="O9" t="str">
            <v>NORDESTE</v>
          </cell>
          <cell r="P9" t="str">
            <v>X</v>
          </cell>
          <cell r="X9" t="str">
            <v>01/07/2017 00</v>
          </cell>
          <cell r="Y9" t="str">
            <v>01/08/2017 00</v>
          </cell>
          <cell r="Z9" t="str">
            <v>8,138542</v>
          </cell>
          <cell r="AF9" t="str">
            <v>FLAT</v>
          </cell>
          <cell r="AG9" t="str">
            <v>Validado</v>
          </cell>
        </row>
      </sheetData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590"/>
      <sheetName val="RIO DOCE SE"/>
      <sheetName val="RelatorioContratos_130717_09303"/>
    </sheetNames>
    <sheetDataSet>
      <sheetData sheetId="0"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557818</v>
          </cell>
          <cell r="B3" t="str">
            <v>CCEAL</v>
          </cell>
          <cell r="C3" t="str">
            <v>Firme</v>
          </cell>
          <cell r="D3" t="str">
            <v>Energia Convencional</v>
          </cell>
          <cell r="E3" t="str">
            <v>01/02/2015 00</v>
          </cell>
          <cell r="F3" t="str">
            <v>01/02/2019 00</v>
          </cell>
          <cell r="G3" t="str">
            <v>01/02/2014 00</v>
          </cell>
          <cell r="H3" t="str">
            <v>31/01/2019 23</v>
          </cell>
          <cell r="J3" t="str">
            <v>Validado</v>
          </cell>
          <cell r="M3" t="str">
            <v>VALE ENERGIA</v>
          </cell>
          <cell r="N3" t="str">
            <v>RIO DOCE SE</v>
          </cell>
          <cell r="O3" t="str">
            <v>SUDESTE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747536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01/01/2015 00</v>
          </cell>
          <cell r="F4" t="str">
            <v>01/02/2019 00</v>
          </cell>
          <cell r="G4" t="str">
            <v>01/01/2015 00</v>
          </cell>
          <cell r="H4" t="str">
            <v>31/01/2019 23</v>
          </cell>
          <cell r="J4" t="str">
            <v>Validado</v>
          </cell>
          <cell r="M4" t="str">
            <v>VALE ENE I5</v>
          </cell>
          <cell r="N4" t="str">
            <v>RIO DOCE SE</v>
          </cell>
          <cell r="O4" t="str">
            <v>SUDESTE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747543</v>
          </cell>
          <cell r="B5" t="str">
            <v>CCEAL</v>
          </cell>
          <cell r="C5" t="str">
            <v>Firme</v>
          </cell>
          <cell r="D5" t="str">
            <v>Energia Incentivada Especial</v>
          </cell>
          <cell r="E5" t="str">
            <v>01/01/2015 00</v>
          </cell>
          <cell r="F5" t="str">
            <v>01/02/2019 00</v>
          </cell>
          <cell r="G5" t="str">
            <v>01/01/2015 00</v>
          </cell>
          <cell r="H5" t="str">
            <v>31/01/2019 23</v>
          </cell>
          <cell r="J5" t="str">
            <v>Validado</v>
          </cell>
          <cell r="M5" t="str">
            <v>CVRD APE I5</v>
          </cell>
          <cell r="N5" t="str">
            <v>RIO DOCE SE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  <row r="6">
          <cell r="A6">
            <v>747625</v>
          </cell>
          <cell r="B6" t="str">
            <v>CCEAL</v>
          </cell>
          <cell r="C6" t="str">
            <v>Firme</v>
          </cell>
          <cell r="D6" t="str">
            <v>Energia Incentivada Especial</v>
          </cell>
          <cell r="E6" t="str">
            <v>01/01/2015 00</v>
          </cell>
          <cell r="F6" t="str">
            <v>01/02/2019 00</v>
          </cell>
          <cell r="G6" t="str">
            <v>01/01/2015 00</v>
          </cell>
          <cell r="H6" t="str">
            <v>31/01/2019 23</v>
          </cell>
          <cell r="J6" t="str">
            <v>Validado</v>
          </cell>
          <cell r="M6" t="str">
            <v>CVRD PIE I5</v>
          </cell>
          <cell r="N6" t="str">
            <v>RIO DOCE SE</v>
          </cell>
          <cell r="O6" t="str">
            <v>SUDESTE</v>
          </cell>
          <cell r="P6" t="str">
            <v>X</v>
          </cell>
          <cell r="X6" t="str">
            <v>01/07/2017 00</v>
          </cell>
          <cell r="Y6" t="str">
            <v>01/08/2017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921705</v>
          </cell>
          <cell r="B7" t="str">
            <v>CCEAL</v>
          </cell>
          <cell r="C7" t="str">
            <v>Firme</v>
          </cell>
          <cell r="D7" t="str">
            <v>Energia Convencional</v>
          </cell>
          <cell r="E7" t="str">
            <v>01/09/2016 00</v>
          </cell>
          <cell r="F7" t="str">
            <v>01/01/2019 00</v>
          </cell>
          <cell r="G7" t="str">
            <v>01/09/2016 00</v>
          </cell>
          <cell r="H7" t="str">
            <v>31/12/2018 23</v>
          </cell>
          <cell r="J7" t="str">
            <v>Validado</v>
          </cell>
          <cell r="M7" t="str">
            <v>BOLT</v>
          </cell>
          <cell r="N7" t="str">
            <v>RIO DOCE SE</v>
          </cell>
          <cell r="O7" t="str">
            <v>SUDESTE</v>
          </cell>
          <cell r="P7" t="str">
            <v>X</v>
          </cell>
          <cell r="X7" t="str">
            <v>01/07/2017 00</v>
          </cell>
          <cell r="Y7" t="str">
            <v>01/08/2017 00</v>
          </cell>
          <cell r="Z7" t="str">
            <v>0,000000</v>
          </cell>
          <cell r="AF7" t="str">
            <v>FLAT</v>
          </cell>
          <cell r="AG7" t="str">
            <v>Validado</v>
          </cell>
        </row>
        <row r="8">
          <cell r="A8">
            <v>952937</v>
          </cell>
          <cell r="B8" t="str">
            <v>CCEAL</v>
          </cell>
          <cell r="C8" t="str">
            <v>Firme</v>
          </cell>
          <cell r="D8" t="str">
            <v>Energia Convencional</v>
          </cell>
          <cell r="E8" t="str">
            <v>01/01/2017 00</v>
          </cell>
          <cell r="F8" t="str">
            <v>27/02/2035 00</v>
          </cell>
          <cell r="G8" t="str">
            <v>01/01/2017 00</v>
          </cell>
          <cell r="H8" t="str">
            <v>26/02/2035 23</v>
          </cell>
          <cell r="J8" t="str">
            <v>Validado</v>
          </cell>
          <cell r="M8" t="str">
            <v>FURNAS</v>
          </cell>
          <cell r="N8" t="str">
            <v>RIO DOCE SE</v>
          </cell>
          <cell r="O8" t="str">
            <v>SUDESTE</v>
          </cell>
          <cell r="P8" t="str">
            <v>X</v>
          </cell>
          <cell r="X8" t="str">
            <v>01/07/2017 00</v>
          </cell>
          <cell r="Y8" t="str">
            <v>01/08/2017 00</v>
          </cell>
          <cell r="Z8" t="str">
            <v>29,300000</v>
          </cell>
          <cell r="AF8" t="str">
            <v>FLAT</v>
          </cell>
          <cell r="AG8" t="str">
            <v>Ajustado Validado</v>
          </cell>
        </row>
        <row r="9">
          <cell r="A9">
            <v>985496</v>
          </cell>
          <cell r="B9" t="str">
            <v>CCEAL</v>
          </cell>
          <cell r="C9" t="str">
            <v>Firme</v>
          </cell>
          <cell r="D9" t="str">
            <v>Energia Convencional</v>
          </cell>
          <cell r="E9" t="str">
            <v>01/04/2017 00</v>
          </cell>
          <cell r="F9" t="str">
            <v>01/01/2018 00</v>
          </cell>
          <cell r="G9" t="str">
            <v>01/04/2017 00</v>
          </cell>
          <cell r="H9" t="str">
            <v>31/12/2017 23</v>
          </cell>
          <cell r="J9" t="str">
            <v>Validado</v>
          </cell>
          <cell r="M9" t="str">
            <v>NOVA ENERGIA</v>
          </cell>
          <cell r="N9" t="str">
            <v>RIO DOCE SE</v>
          </cell>
          <cell r="O9" t="str">
            <v>SUDESTE</v>
          </cell>
          <cell r="P9" t="str">
            <v>X</v>
          </cell>
          <cell r="X9" t="str">
            <v>01/07/2017 00</v>
          </cell>
          <cell r="Y9" t="str">
            <v>01/08/2017 00</v>
          </cell>
          <cell r="Z9" t="str">
            <v>0,000000</v>
          </cell>
          <cell r="AF9" t="str">
            <v>FLAT</v>
          </cell>
          <cell r="AG9" t="str">
            <v>Validado</v>
          </cell>
        </row>
      </sheetData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>
        <row r="3">
          <cell r="W3">
            <v>394.78800000000001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  <sheetName val="Proinfa Fertilizantes SE"/>
    </sheetNames>
    <sheetDataSet>
      <sheetData sheetId="0" refreshError="1">
        <row r="3">
          <cell r="X3" t="str">
            <v>Ajustado e Validado</v>
          </cell>
        </row>
      </sheetData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  <sheetName val="RelatorioContratos_091216_14233"/>
    </sheetNames>
    <sheetDataSet>
      <sheetData sheetId="0" refreshError="1">
        <row r="3">
          <cell r="W3">
            <v>1136.059</v>
          </cell>
          <cell r="X3" t="str">
            <v>Ajustado e Validado</v>
          </cell>
        </row>
      </sheetData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1002"/>
      <sheetName val="SALOBO"/>
      <sheetName val="RelatorioContratos_130717_09314"/>
    </sheetNames>
    <sheetDataSet>
      <sheetData sheetId="0"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566711</v>
          </cell>
          <cell r="B3" t="str">
            <v>CCEAL</v>
          </cell>
          <cell r="C3" t="str">
            <v>Firme</v>
          </cell>
          <cell r="D3" t="str">
            <v>Energia Convencional</v>
          </cell>
          <cell r="E3" t="str">
            <v>01/02/2015 00</v>
          </cell>
          <cell r="F3" t="str">
            <v>01/02/2019 00</v>
          </cell>
          <cell r="G3" t="str">
            <v>01/02/2014 00</v>
          </cell>
          <cell r="H3" t="str">
            <v>31/01/2019 23</v>
          </cell>
          <cell r="J3" t="str">
            <v>Validado</v>
          </cell>
          <cell r="M3" t="str">
            <v>CVRD PIE</v>
          </cell>
          <cell r="N3" t="str">
            <v>SALOBO</v>
          </cell>
          <cell r="O3" t="str">
            <v>NORTE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659834</v>
          </cell>
          <cell r="B4" t="str">
            <v>CCEAL</v>
          </cell>
          <cell r="C4" t="str">
            <v>Firme</v>
          </cell>
          <cell r="D4" t="str">
            <v>Energia Convencional</v>
          </cell>
          <cell r="E4" t="str">
            <v>01/01/2015 00</v>
          </cell>
          <cell r="F4" t="str">
            <v>01/02/2019 00</v>
          </cell>
          <cell r="G4" t="str">
            <v>01/05/2014 00</v>
          </cell>
          <cell r="H4" t="str">
            <v>31/01/2019 23</v>
          </cell>
          <cell r="J4" t="str">
            <v>Validado</v>
          </cell>
          <cell r="M4" t="str">
            <v>VALE ENERGIA</v>
          </cell>
          <cell r="N4" t="str">
            <v>SALOBO</v>
          </cell>
          <cell r="O4" t="str">
            <v>NORTE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796225</v>
          </cell>
          <cell r="B5" t="str">
            <v>CCEAL</v>
          </cell>
          <cell r="C5" t="str">
            <v>Firme</v>
          </cell>
          <cell r="D5" t="str">
            <v>Energia Convencional</v>
          </cell>
          <cell r="E5" t="str">
            <v>01/01/2015 00</v>
          </cell>
          <cell r="F5" t="str">
            <v>01/01/2020 00</v>
          </cell>
          <cell r="G5" t="str">
            <v>01/01/2015 00</v>
          </cell>
          <cell r="H5" t="str">
            <v>31/12/2019 23</v>
          </cell>
          <cell r="J5" t="str">
            <v>Validado</v>
          </cell>
          <cell r="M5" t="str">
            <v>VALE ENERGIA</v>
          </cell>
          <cell r="N5" t="str">
            <v>SALOBO</v>
          </cell>
          <cell r="O5" t="str">
            <v>NORTE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  <row r="6">
          <cell r="A6">
            <v>876788</v>
          </cell>
          <cell r="B6" t="str">
            <v>CCEAL</v>
          </cell>
          <cell r="C6" t="str">
            <v>Firme</v>
          </cell>
          <cell r="D6" t="str">
            <v>Energia Incentivada Especial</v>
          </cell>
          <cell r="E6" t="str">
            <v>01/01/2016 00</v>
          </cell>
          <cell r="F6" t="str">
            <v>01/01/2020 00</v>
          </cell>
          <cell r="G6" t="str">
            <v>01/01/2016 00</v>
          </cell>
          <cell r="H6" t="str">
            <v>31/12/2019 23</v>
          </cell>
          <cell r="J6" t="str">
            <v>Validado</v>
          </cell>
          <cell r="M6" t="str">
            <v>VALE ENE I5</v>
          </cell>
          <cell r="N6" t="str">
            <v>SALOBO</v>
          </cell>
          <cell r="O6" t="str">
            <v>SUDESTE</v>
          </cell>
          <cell r="P6" t="str">
            <v>X</v>
          </cell>
          <cell r="X6" t="str">
            <v>01/07/2017 00</v>
          </cell>
          <cell r="Y6" t="str">
            <v>01/08/2017 00</v>
          </cell>
          <cell r="Z6" t="str">
            <v>0,000000</v>
          </cell>
          <cell r="AF6" t="str">
            <v>FLAT</v>
          </cell>
          <cell r="AG6" t="str">
            <v>Validado</v>
          </cell>
        </row>
        <row r="7">
          <cell r="A7">
            <v>876844</v>
          </cell>
          <cell r="B7" t="str">
            <v>CCEAL</v>
          </cell>
          <cell r="C7" t="str">
            <v>Firme</v>
          </cell>
          <cell r="D7" t="str">
            <v>Energia Convencional</v>
          </cell>
          <cell r="E7" t="str">
            <v>01/01/2016 00</v>
          </cell>
          <cell r="F7" t="str">
            <v>01/01/2020 00</v>
          </cell>
          <cell r="G7" t="str">
            <v>01/01/2016 00</v>
          </cell>
          <cell r="H7" t="str">
            <v>31/12/2019 23</v>
          </cell>
          <cell r="J7" t="str">
            <v>Validado</v>
          </cell>
          <cell r="M7" t="str">
            <v>VALE ENERGIA</v>
          </cell>
          <cell r="N7" t="str">
            <v>SALOBO</v>
          </cell>
          <cell r="O7" t="str">
            <v>SUDESTE</v>
          </cell>
          <cell r="P7" t="str">
            <v>X</v>
          </cell>
          <cell r="X7" t="str">
            <v>01/07/2017 00</v>
          </cell>
          <cell r="Y7" t="str">
            <v>01/08/2017 00</v>
          </cell>
          <cell r="Z7" t="str">
            <v>0,000000</v>
          </cell>
          <cell r="AF7" t="str">
            <v>FLAT</v>
          </cell>
          <cell r="AG7" t="str">
            <v>Validado</v>
          </cell>
        </row>
        <row r="8">
          <cell r="A8">
            <v>932570</v>
          </cell>
          <cell r="B8" t="str">
            <v>CCEAL</v>
          </cell>
          <cell r="C8" t="str">
            <v>Firme</v>
          </cell>
          <cell r="D8" t="str">
            <v>Energia Convencional</v>
          </cell>
          <cell r="E8" t="str">
            <v>01/01/2017 00</v>
          </cell>
          <cell r="F8" t="str">
            <v>01/01/2018 00</v>
          </cell>
          <cell r="G8" t="str">
            <v>01/01/2017 00</v>
          </cell>
          <cell r="H8" t="str">
            <v>31/12/2017 23</v>
          </cell>
          <cell r="J8" t="str">
            <v>Validado</v>
          </cell>
          <cell r="M8" t="str">
            <v>VALE ENERGIA</v>
          </cell>
          <cell r="N8" t="str">
            <v>SALOBO</v>
          </cell>
          <cell r="O8" t="str">
            <v>NORTE</v>
          </cell>
          <cell r="P8" t="str">
            <v>X</v>
          </cell>
          <cell r="X8" t="str">
            <v>01/07/2017 00</v>
          </cell>
          <cell r="Y8" t="str">
            <v>01/08/2017 00</v>
          </cell>
          <cell r="Z8" t="str">
            <v>10,700000</v>
          </cell>
          <cell r="AF8" t="str">
            <v>FLAT</v>
          </cell>
          <cell r="AG8" t="str">
            <v>Validado</v>
          </cell>
        </row>
        <row r="9">
          <cell r="A9">
            <v>941146</v>
          </cell>
          <cell r="B9" t="str">
            <v>CCEAL</v>
          </cell>
          <cell r="C9" t="str">
            <v>Firme</v>
          </cell>
          <cell r="D9" t="str">
            <v>Energia Convencional</v>
          </cell>
          <cell r="E9" t="str">
            <v>01/01/2017 00</v>
          </cell>
          <cell r="F9" t="str">
            <v>01/01/2018 00</v>
          </cell>
          <cell r="G9" t="str">
            <v>01/01/2017 00</v>
          </cell>
          <cell r="H9" t="str">
            <v>31/12/2017 23</v>
          </cell>
          <cell r="J9" t="str">
            <v>Validado</v>
          </cell>
          <cell r="M9" t="str">
            <v>CVRD PIE</v>
          </cell>
          <cell r="N9" t="str">
            <v>SALOBO</v>
          </cell>
          <cell r="O9" t="str">
            <v>NORTE</v>
          </cell>
          <cell r="P9" t="str">
            <v>X</v>
          </cell>
          <cell r="X9" t="str">
            <v>01/07/2017 00</v>
          </cell>
          <cell r="Y9" t="str">
            <v>01/08/2017 00</v>
          </cell>
          <cell r="Z9" t="str">
            <v>110,815455</v>
          </cell>
          <cell r="AF9" t="str">
            <v>FLAT</v>
          </cell>
          <cell r="AG9" t="str">
            <v>Ajustado Validado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 Sazonalização (QM_GF)"/>
    </sheetNames>
    <sheetDataSet>
      <sheetData sheetId="0">
        <row r="15">
          <cell r="K15">
            <v>744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>
        <row r="3">
          <cell r="W3">
            <v>266.11200000000002</v>
          </cell>
        </row>
        <row r="4">
          <cell r="W4">
            <v>479.61500000000001</v>
          </cell>
        </row>
        <row r="5">
          <cell r="W5">
            <v>333.34399999999999</v>
          </cell>
        </row>
        <row r="6">
          <cell r="W6">
            <v>137.607</v>
          </cell>
        </row>
        <row r="7">
          <cell r="W7">
            <v>431.36900000000003</v>
          </cell>
        </row>
        <row r="8">
          <cell r="W8">
            <v>716.35299999999995</v>
          </cell>
        </row>
        <row r="9">
          <cell r="W9">
            <v>107.675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532"/>
      <sheetName val="Fertilizantes NE"/>
      <sheetName val="RelatorioContratos_130717_09221"/>
    </sheetNames>
    <sheetDataSet>
      <sheetData sheetId="0">
        <row r="3">
          <cell r="A3">
            <v>80089</v>
          </cell>
          <cell r="B3" t="str">
            <v>CCEAL</v>
          </cell>
          <cell r="C3" t="str">
            <v>Firme</v>
          </cell>
          <cell r="D3" t="str">
            <v>Energia Convencional</v>
          </cell>
          <cell r="E3" t="str">
            <v>01/04/2013 00</v>
          </cell>
          <cell r="F3" t="str">
            <v>01/01/2018 00</v>
          </cell>
          <cell r="G3" t="str">
            <v>01/11/2010 00</v>
          </cell>
          <cell r="H3" t="str">
            <v>31/12/2017 23</v>
          </cell>
          <cell r="J3" t="str">
            <v>Validado</v>
          </cell>
          <cell r="M3" t="str">
            <v>CHESF</v>
          </cell>
          <cell r="N3" t="str">
            <v>FERTILIZANTES NE</v>
          </cell>
          <cell r="O3" t="str">
            <v>NORDESTE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25,000000</v>
          </cell>
          <cell r="AF3" t="str">
            <v>FLAT</v>
          </cell>
          <cell r="AG3" t="str">
            <v>Validado</v>
          </cell>
        </row>
        <row r="4">
          <cell r="A4">
            <v>569433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01/02/2015 00</v>
          </cell>
          <cell r="F4" t="str">
            <v>01/02/2019 00</v>
          </cell>
          <cell r="G4" t="str">
            <v>01/02/2014 00</v>
          </cell>
          <cell r="H4" t="str">
            <v>31/01/2019 23</v>
          </cell>
          <cell r="J4" t="str">
            <v>Validado</v>
          </cell>
          <cell r="M4" t="str">
            <v>VALE ENE I5</v>
          </cell>
          <cell r="N4" t="str">
            <v>FERTILIZANTES NE</v>
          </cell>
          <cell r="O4" t="str">
            <v>NORDESTE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569436</v>
          </cell>
          <cell r="B5" t="str">
            <v>CCEAL</v>
          </cell>
          <cell r="C5" t="str">
            <v>Firme</v>
          </cell>
          <cell r="D5" t="str">
            <v>Energia Incentivada Especial</v>
          </cell>
          <cell r="E5" t="str">
            <v>01/02/2015 00</v>
          </cell>
          <cell r="F5" t="str">
            <v>01/02/2019 00</v>
          </cell>
          <cell r="G5" t="str">
            <v>01/02/2014 00</v>
          </cell>
          <cell r="H5" t="str">
            <v>31/01/2019 23</v>
          </cell>
          <cell r="J5" t="str">
            <v>Validado</v>
          </cell>
          <cell r="M5" t="str">
            <v>CVRD PIE I5</v>
          </cell>
          <cell r="N5" t="str">
            <v>FERTILIZANTES NE</v>
          </cell>
          <cell r="O5" t="str">
            <v>NORDESTE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</sheetData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s"/>
    </sheetNames>
    <sheetDataSet>
      <sheetData sheetId="0" refreshError="1">
        <row r="3">
          <cell r="W3" t="str">
            <v>6,165</v>
          </cell>
          <cell r="X3" t="str">
            <v>Ajustado e Validado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Contratos_080817_10515"/>
      <sheetName val="FERTILIZANTES EI"/>
      <sheetName val="RelatorioContratos_130717_09203"/>
    </sheetNames>
    <sheetDataSet>
      <sheetData sheetId="0"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(MWh)</v>
          </cell>
          <cell r="AD2" t="str">
            <v>QUANTIDADE LIMITE MÁXIMA MODULAÇÃO (MWh)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</row>
        <row r="3">
          <cell r="A3">
            <v>558736</v>
          </cell>
          <cell r="B3" t="str">
            <v>CCEAL</v>
          </cell>
          <cell r="C3" t="str">
            <v>Firme</v>
          </cell>
          <cell r="D3" t="str">
            <v>Energia Incentivada Especial</v>
          </cell>
          <cell r="E3" t="str">
            <v>01/02/2015 00</v>
          </cell>
          <cell r="F3" t="str">
            <v>01/02/2019 00</v>
          </cell>
          <cell r="G3" t="str">
            <v>01/02/2014 00</v>
          </cell>
          <cell r="H3" t="str">
            <v>31/01/2019 23</v>
          </cell>
          <cell r="J3" t="str">
            <v>Validado</v>
          </cell>
          <cell r="M3" t="str">
            <v>CVRD PIE I5</v>
          </cell>
          <cell r="N3" t="str">
            <v>FERTILIZANTES EI</v>
          </cell>
          <cell r="O3" t="str">
            <v>SUDESTE</v>
          </cell>
          <cell r="P3" t="str">
            <v>X</v>
          </cell>
          <cell r="X3" t="str">
            <v>01/07/2017 00</v>
          </cell>
          <cell r="Y3" t="str">
            <v>01/08/2017 00</v>
          </cell>
          <cell r="Z3" t="str">
            <v>0,000000</v>
          </cell>
          <cell r="AF3" t="str">
            <v>FLAT</v>
          </cell>
          <cell r="AG3" t="str">
            <v>Validado</v>
          </cell>
        </row>
        <row r="4">
          <cell r="A4">
            <v>566648</v>
          </cell>
          <cell r="B4" t="str">
            <v>CCEAL</v>
          </cell>
          <cell r="C4" t="str">
            <v>Firme</v>
          </cell>
          <cell r="D4" t="str">
            <v>Energia Incentivada Especial</v>
          </cell>
          <cell r="E4" t="str">
            <v>01/02/2015 00</v>
          </cell>
          <cell r="F4" t="str">
            <v>01/02/2019 00</v>
          </cell>
          <cell r="G4" t="str">
            <v>01/02/2014 00</v>
          </cell>
          <cell r="H4" t="str">
            <v>31/01/2019 23</v>
          </cell>
          <cell r="J4" t="str">
            <v>Validado</v>
          </cell>
          <cell r="M4" t="str">
            <v>CVRD APE I5</v>
          </cell>
          <cell r="N4" t="str">
            <v>FERTILIZANTES EI</v>
          </cell>
          <cell r="O4" t="str">
            <v>SUDESTE</v>
          </cell>
          <cell r="P4" t="str">
            <v>X</v>
          </cell>
          <cell r="X4" t="str">
            <v>01/07/2017 00</v>
          </cell>
          <cell r="Y4" t="str">
            <v>01/08/2017 00</v>
          </cell>
          <cell r="Z4" t="str">
            <v>0,000000</v>
          </cell>
          <cell r="AF4" t="str">
            <v>FLAT</v>
          </cell>
          <cell r="AG4" t="str">
            <v>Validado</v>
          </cell>
        </row>
        <row r="5">
          <cell r="A5">
            <v>566832</v>
          </cell>
          <cell r="B5" t="str">
            <v>CCEAL</v>
          </cell>
          <cell r="C5" t="str">
            <v>Firme</v>
          </cell>
          <cell r="D5" t="str">
            <v>Energia Incentivada Especial</v>
          </cell>
          <cell r="E5" t="str">
            <v>01/02/2015 00</v>
          </cell>
          <cell r="F5" t="str">
            <v>01/02/2019 00</v>
          </cell>
          <cell r="G5" t="str">
            <v>01/02/2014 00</v>
          </cell>
          <cell r="H5" t="str">
            <v>31/01/2019 23</v>
          </cell>
          <cell r="J5" t="str">
            <v>Validado</v>
          </cell>
          <cell r="M5" t="str">
            <v>VALE ENE I5</v>
          </cell>
          <cell r="N5" t="str">
            <v>FERTILIZANTES EI</v>
          </cell>
          <cell r="O5" t="str">
            <v>SUDESTE</v>
          </cell>
          <cell r="P5" t="str">
            <v>X</v>
          </cell>
          <cell r="X5" t="str">
            <v>01/07/2017 00</v>
          </cell>
          <cell r="Y5" t="str">
            <v>01/08/2017 00</v>
          </cell>
          <cell r="Z5" t="str">
            <v>0,000000</v>
          </cell>
          <cell r="AF5" t="str">
            <v>FLAT</v>
          </cell>
          <cell r="AG5" t="str">
            <v>Validado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qccee"/>
    </sheetNames>
    <sheetDataSet>
      <sheetData sheetId="0">
        <row r="1">
          <cell r="A1" t="str">
            <v>DADOS GERAIS</v>
          </cell>
          <cell r="S1" t="str">
            <v>PARTICULARIDADE</v>
          </cell>
          <cell r="T1" t="str">
            <v>ALIVIO DE EXPOSIÇÃO</v>
          </cell>
          <cell r="V1" t="str">
            <v>LEILÃO</v>
          </cell>
          <cell r="X1" t="str">
            <v>MONTANTE MÉDIO</v>
          </cell>
          <cell r="AH1" t="str">
            <v>MONTANTE MÁXIMO DE MODULAÇÃO</v>
          </cell>
        </row>
        <row r="2">
          <cell r="A2" t="str">
            <v>CÓDIGO</v>
          </cell>
          <cell r="B2" t="str">
            <v>CONTRATO</v>
          </cell>
          <cell r="C2" t="str">
            <v>SUBTIPO DE CONTRATO</v>
          </cell>
          <cell r="D2" t="str">
            <v>TIPO DE ENERGIA</v>
          </cell>
          <cell r="E2" t="str">
            <v>INÍCIO DE VIGÊNCIA</v>
          </cell>
          <cell r="F2" t="str">
            <v>FIM DE VIGÊNCIA</v>
          </cell>
          <cell r="G2" t="str">
            <v>INÍCIO DE SUPRIMENTO</v>
          </cell>
          <cell r="H2" t="str">
            <v>FIM DE SUPRIMENTO</v>
          </cell>
          <cell r="I2" t="str">
            <v>TIPO DE PENDÊNCIA</v>
          </cell>
          <cell r="J2" t="str">
            <v>STATUS</v>
          </cell>
          <cell r="K2" t="str">
            <v>CANCELAMENTO</v>
          </cell>
          <cell r="L2" t="str">
            <v>FINALIZAÇÃO</v>
          </cell>
          <cell r="M2" t="str">
            <v>VENDEDOR</v>
          </cell>
          <cell r="N2" t="str">
            <v>COMPRADOR</v>
          </cell>
          <cell r="O2" t="str">
            <v>SUBMERCADO DE ENTREGA</v>
          </cell>
          <cell r="P2" t="str">
            <v>CONTRATO NOVO</v>
          </cell>
          <cell r="Q2" t="str">
            <v>CÓDIGO CONTRATO ORIGEM</v>
          </cell>
          <cell r="R2" t="str">
            <v>PARTES RELACIONADAS</v>
          </cell>
          <cell r="S2" t="str">
            <v>TIPO</v>
          </cell>
          <cell r="T2" t="str">
            <v>SUBMERCADO DE ORIGEM</v>
          </cell>
          <cell r="U2" t="str">
            <v>TIPO</v>
          </cell>
          <cell r="V2" t="str">
            <v>EMPREENDIMENTO</v>
          </cell>
          <cell r="W2" t="str">
            <v>CONTRATO ACR</v>
          </cell>
          <cell r="X2" t="str">
            <v>INÍCIO DE VIGÊNCIA</v>
          </cell>
          <cell r="Y2" t="str">
            <v>FIM DE VIGÊNCIA</v>
          </cell>
          <cell r="Z2" t="str">
            <v>MONTANTE (MWm)</v>
          </cell>
          <cell r="AA2" t="str">
            <v>MONTANTE MÍNIMO (MWm)</v>
          </cell>
          <cell r="AB2" t="str">
            <v>MONTANTE MÁXIMO (MWm)</v>
          </cell>
          <cell r="AC2" t="str">
            <v>QUANTIDADE LIMITE MÍNIMO MODULAÇÃO (MW)</v>
          </cell>
          <cell r="AD2" t="str">
            <v>QUANTIDADE LIMITE MÁXIMA MODULAÇÃO (MW)</v>
          </cell>
          <cell r="AE2" t="str">
            <v>PERCENTUAL DE DETERMINAÇÃO MONTANTE</v>
          </cell>
          <cell r="AF2" t="str">
            <v>MODULAÇÃO</v>
          </cell>
          <cell r="AG2" t="str">
            <v>STATUS</v>
          </cell>
          <cell r="AH2" t="str">
            <v>MÊS/ANO</v>
          </cell>
          <cell r="AI2" t="str">
            <v>MONTANTE MÁXIMO DE MODULAÇÃO (MW)</v>
          </cell>
          <cell r="AJ2" t="str">
            <v>MODULAÇÃO</v>
          </cell>
          <cell r="AK2" t="str">
            <v>STATUS</v>
          </cell>
        </row>
        <row r="3">
          <cell r="A3">
            <v>14972</v>
          </cell>
          <cell r="B3" t="str">
            <v>PROINFA</v>
          </cell>
          <cell r="D3" t="str">
            <v>Energia Convencional</v>
          </cell>
          <cell r="E3" t="str">
            <v>01/08/2018 00</v>
          </cell>
          <cell r="F3" t="str">
            <v>01/01/2026 00</v>
          </cell>
          <cell r="G3" t="str">
            <v>01/01/2006 00</v>
          </cell>
          <cell r="H3" t="str">
            <v>31/12/2025 23</v>
          </cell>
          <cell r="J3" t="str">
            <v>Validado</v>
          </cell>
          <cell r="M3" t="str">
            <v>ACEP</v>
          </cell>
          <cell r="N3" t="str">
            <v>MOSAIC FERTILIZANTES NE</v>
          </cell>
          <cell r="O3" t="str">
            <v>NORDESTE</v>
          </cell>
          <cell r="P3" t="str">
            <v>X</v>
          </cell>
        </row>
        <row r="4">
          <cell r="A4">
            <v>14974</v>
          </cell>
          <cell r="B4" t="str">
            <v>PROINFA</v>
          </cell>
          <cell r="D4" t="str">
            <v>Energia Convencional</v>
          </cell>
          <cell r="E4" t="str">
            <v>01/01/2018 00</v>
          </cell>
          <cell r="F4" t="str">
            <v>01/01/2026 00</v>
          </cell>
          <cell r="G4" t="str">
            <v>01/01/2006 00</v>
          </cell>
          <cell r="H4" t="str">
            <v>31/12/2025 23</v>
          </cell>
          <cell r="J4" t="str">
            <v>Validado</v>
          </cell>
          <cell r="M4" t="str">
            <v>ACEP</v>
          </cell>
          <cell r="N4" t="str">
            <v>CVRD</v>
          </cell>
          <cell r="O4" t="str">
            <v>SUDESTE</v>
          </cell>
          <cell r="P4" t="str">
            <v>X</v>
          </cell>
        </row>
        <row r="5">
          <cell r="A5">
            <v>14975</v>
          </cell>
          <cell r="B5" t="str">
            <v>PROINFA</v>
          </cell>
          <cell r="D5" t="str">
            <v>Energia Convencional</v>
          </cell>
          <cell r="E5" t="str">
            <v>01/01/2018 00</v>
          </cell>
          <cell r="F5" t="str">
            <v>01/01/2026 00</v>
          </cell>
          <cell r="G5" t="str">
            <v>01/01/2006 00</v>
          </cell>
          <cell r="H5" t="str">
            <v>31/12/2025 23</v>
          </cell>
          <cell r="J5" t="str">
            <v>Validado</v>
          </cell>
          <cell r="M5" t="str">
            <v>ACEP</v>
          </cell>
          <cell r="N5" t="str">
            <v>CVRD CL2</v>
          </cell>
          <cell r="O5" t="str">
            <v>SUDESTE</v>
          </cell>
          <cell r="P5" t="str">
            <v>X</v>
          </cell>
        </row>
        <row r="6">
          <cell r="A6">
            <v>14976</v>
          </cell>
          <cell r="B6" t="str">
            <v>PROINFA</v>
          </cell>
          <cell r="D6" t="str">
            <v>Energia Convencional</v>
          </cell>
          <cell r="E6" t="str">
            <v>01/01/2018 00</v>
          </cell>
          <cell r="F6" t="str">
            <v>01/01/2026 00</v>
          </cell>
          <cell r="G6" t="str">
            <v>01/01/2006 00</v>
          </cell>
          <cell r="H6" t="str">
            <v>31/12/2025 23</v>
          </cell>
          <cell r="J6" t="str">
            <v>Validado</v>
          </cell>
          <cell r="M6" t="str">
            <v>ACEP</v>
          </cell>
          <cell r="N6" t="str">
            <v>CVRD CL2</v>
          </cell>
          <cell r="O6" t="str">
            <v>SUDESTE</v>
          </cell>
          <cell r="P6" t="str">
            <v>X</v>
          </cell>
        </row>
        <row r="7">
          <cell r="A7">
            <v>14978</v>
          </cell>
          <cell r="B7" t="str">
            <v>PROINFA</v>
          </cell>
          <cell r="D7" t="str">
            <v>Energia Convencional</v>
          </cell>
          <cell r="E7" t="str">
            <v>01/01/2013 00</v>
          </cell>
          <cell r="F7" t="str">
            <v>01/01/2026 00</v>
          </cell>
          <cell r="G7" t="str">
            <v>01/01/2006 00</v>
          </cell>
          <cell r="H7" t="str">
            <v>31/12/2025 23</v>
          </cell>
          <cell r="J7" t="str">
            <v>Rescindido</v>
          </cell>
          <cell r="M7" t="str">
            <v>ACEP</v>
          </cell>
          <cell r="N7" t="str">
            <v>CVRD</v>
          </cell>
          <cell r="O7" t="str">
            <v>SUDESTE</v>
          </cell>
          <cell r="P7" t="str">
            <v>X</v>
          </cell>
        </row>
        <row r="8">
          <cell r="A8">
            <v>14979</v>
          </cell>
          <cell r="B8" t="str">
            <v>PROINFA</v>
          </cell>
          <cell r="D8" t="str">
            <v>Energia Convencional</v>
          </cell>
          <cell r="E8" t="str">
            <v>01/01/2012 00</v>
          </cell>
          <cell r="F8" t="str">
            <v>01/01/2026 00</v>
          </cell>
          <cell r="G8" t="str">
            <v>01/01/2006 00</v>
          </cell>
          <cell r="H8" t="str">
            <v>31/12/2025 23</v>
          </cell>
          <cell r="J8" t="str">
            <v>Rescindido</v>
          </cell>
          <cell r="M8" t="str">
            <v>ACEP</v>
          </cell>
          <cell r="N8" t="str">
            <v>CVRD</v>
          </cell>
          <cell r="O8" t="str">
            <v>SUDESTE</v>
          </cell>
          <cell r="P8" t="str">
            <v>X</v>
          </cell>
        </row>
        <row r="9">
          <cell r="A9">
            <v>15100</v>
          </cell>
          <cell r="B9" t="str">
            <v>PROINFA</v>
          </cell>
          <cell r="D9" t="str">
            <v>Energia Convencional</v>
          </cell>
          <cell r="E9" t="str">
            <v>01/08/2018 00</v>
          </cell>
          <cell r="F9" t="str">
            <v>01/01/2026 00</v>
          </cell>
          <cell r="G9" t="str">
            <v>01/01/2006 00</v>
          </cell>
          <cell r="H9" t="str">
            <v>31/12/2025 23</v>
          </cell>
          <cell r="J9" t="str">
            <v>Validado</v>
          </cell>
          <cell r="M9" t="str">
            <v>ACEP</v>
          </cell>
          <cell r="N9" t="str">
            <v>MOSAIC FERTILIZANTES PEK</v>
          </cell>
          <cell r="O9" t="str">
            <v>SUDESTE</v>
          </cell>
          <cell r="P9" t="str">
            <v>X</v>
          </cell>
        </row>
        <row r="10">
          <cell r="A10">
            <v>15101</v>
          </cell>
          <cell r="B10" t="str">
            <v>PROINFA</v>
          </cell>
          <cell r="D10" t="str">
            <v>Energia Convencional</v>
          </cell>
          <cell r="E10" t="str">
            <v>01/08/2018 00</v>
          </cell>
          <cell r="F10" t="str">
            <v>01/01/2026 00</v>
          </cell>
          <cell r="G10" t="str">
            <v>01/01/2006 00</v>
          </cell>
          <cell r="H10" t="str">
            <v>31/12/2025 23</v>
          </cell>
          <cell r="J10" t="str">
            <v>Validado</v>
          </cell>
          <cell r="M10" t="str">
            <v>ACEP</v>
          </cell>
          <cell r="N10" t="str">
            <v>MOSAIC FERTILIZANTES PEK</v>
          </cell>
          <cell r="O10" t="str">
            <v>SUDESTE</v>
          </cell>
          <cell r="P10" t="str">
            <v>X</v>
          </cell>
        </row>
        <row r="11">
          <cell r="A11">
            <v>15129</v>
          </cell>
          <cell r="B11" t="str">
            <v>PROINFA</v>
          </cell>
          <cell r="D11" t="str">
            <v>Energia Convencional</v>
          </cell>
          <cell r="E11" t="str">
            <v>01/01/2018 00</v>
          </cell>
          <cell r="F11" t="str">
            <v>01/01/2026 00</v>
          </cell>
          <cell r="G11" t="str">
            <v>01/01/2006 00</v>
          </cell>
          <cell r="H11" t="str">
            <v>31/12/2025 23</v>
          </cell>
          <cell r="J11" t="str">
            <v>Validado</v>
          </cell>
          <cell r="M11" t="str">
            <v>ACEP</v>
          </cell>
          <cell r="N11" t="str">
            <v>CVRD</v>
          </cell>
          <cell r="O11" t="str">
            <v>NORTE</v>
          </cell>
          <cell r="P11" t="str">
            <v>X</v>
          </cell>
        </row>
        <row r="12">
          <cell r="A12">
            <v>15130</v>
          </cell>
          <cell r="B12" t="str">
            <v>PROINFA</v>
          </cell>
          <cell r="D12" t="str">
            <v>Energia Convencional</v>
          </cell>
          <cell r="E12" t="str">
            <v>01/01/2018 00</v>
          </cell>
          <cell r="F12" t="str">
            <v>01/01/2026 00</v>
          </cell>
          <cell r="G12" t="str">
            <v>01/01/2006 00</v>
          </cell>
          <cell r="H12" t="str">
            <v>31/12/2025 23</v>
          </cell>
          <cell r="J12" t="str">
            <v>Validado</v>
          </cell>
          <cell r="M12" t="str">
            <v>ACEP</v>
          </cell>
          <cell r="N12" t="str">
            <v>RIO DOCE</v>
          </cell>
          <cell r="O12" t="str">
            <v>NORDESTE</v>
          </cell>
          <cell r="P12" t="str">
            <v>X</v>
          </cell>
        </row>
        <row r="13">
          <cell r="A13">
            <v>15398</v>
          </cell>
          <cell r="B13" t="str">
            <v>PROINFA</v>
          </cell>
          <cell r="D13" t="str">
            <v>Energia Convencional</v>
          </cell>
          <cell r="E13" t="str">
            <v>01/08/2018 00</v>
          </cell>
          <cell r="F13" t="str">
            <v>01/01/2026 00</v>
          </cell>
          <cell r="G13" t="str">
            <v>01/01/2006 00</v>
          </cell>
          <cell r="H13" t="str">
            <v>31/12/2025 23</v>
          </cell>
          <cell r="J13" t="str">
            <v>Validado</v>
          </cell>
          <cell r="M13" t="str">
            <v>ACEP</v>
          </cell>
          <cell r="N13" t="str">
            <v>MOSAIC FERTILIZANTES PEK</v>
          </cell>
          <cell r="O13" t="str">
            <v>SUDESTE</v>
          </cell>
          <cell r="P13" t="str">
            <v>X</v>
          </cell>
        </row>
        <row r="14">
          <cell r="A14">
            <v>15504</v>
          </cell>
          <cell r="B14" t="str">
            <v>PROINFA</v>
          </cell>
          <cell r="D14" t="str">
            <v>Energia Convencional</v>
          </cell>
          <cell r="E14" t="str">
            <v>01/01/2013 00</v>
          </cell>
          <cell r="F14" t="str">
            <v>01/01/2026 00</v>
          </cell>
          <cell r="G14" t="str">
            <v>01/01/2006 00</v>
          </cell>
          <cell r="H14" t="str">
            <v>31/12/2025 23</v>
          </cell>
          <cell r="J14" t="str">
            <v>Rescindido</v>
          </cell>
          <cell r="M14" t="str">
            <v>ACEP</v>
          </cell>
          <cell r="N14" t="str">
            <v>CVRD</v>
          </cell>
          <cell r="O14" t="str">
            <v>SUDESTE</v>
          </cell>
          <cell r="P14" t="str">
            <v>X</v>
          </cell>
        </row>
        <row r="15">
          <cell r="A15">
            <v>15505</v>
          </cell>
          <cell r="B15" t="str">
            <v>PROINFA</v>
          </cell>
          <cell r="D15" t="str">
            <v>Energia Convencional</v>
          </cell>
          <cell r="E15" t="str">
            <v>01/06/2018 00</v>
          </cell>
          <cell r="F15" t="str">
            <v>01/01/2026 00</v>
          </cell>
          <cell r="G15" t="str">
            <v>01/01/2006 00</v>
          </cell>
          <cell r="H15" t="str">
            <v>31/12/2025 23</v>
          </cell>
          <cell r="J15" t="str">
            <v>Validado</v>
          </cell>
          <cell r="M15" t="str">
            <v>ACEP</v>
          </cell>
          <cell r="N15" t="str">
            <v>CVRD TIG</v>
          </cell>
          <cell r="O15" t="str">
            <v>SUDESTE</v>
          </cell>
          <cell r="P15" t="str">
            <v>X</v>
          </cell>
        </row>
        <row r="16">
          <cell r="A16">
            <v>15506</v>
          </cell>
          <cell r="B16" t="str">
            <v>PROINFA</v>
          </cell>
          <cell r="D16" t="str">
            <v>Energia Convencional</v>
          </cell>
          <cell r="E16" t="str">
            <v>01/01/2013 00</v>
          </cell>
          <cell r="F16" t="str">
            <v>01/01/2026 00</v>
          </cell>
          <cell r="G16" t="str">
            <v>01/01/2006 00</v>
          </cell>
          <cell r="H16" t="str">
            <v>31/12/2025 23</v>
          </cell>
          <cell r="J16" t="str">
            <v>Rescindido</v>
          </cell>
          <cell r="M16" t="str">
            <v>ACEP</v>
          </cell>
          <cell r="N16" t="str">
            <v>CVRD</v>
          </cell>
          <cell r="O16" t="str">
            <v>SUDESTE</v>
          </cell>
          <cell r="P16" t="str">
            <v>X</v>
          </cell>
        </row>
        <row r="17">
          <cell r="A17">
            <v>15523</v>
          </cell>
          <cell r="B17" t="str">
            <v>PROINFA</v>
          </cell>
          <cell r="D17" t="str">
            <v>Energia Convencional</v>
          </cell>
          <cell r="E17" t="str">
            <v>01/08/2018 00</v>
          </cell>
          <cell r="F17" t="str">
            <v>01/01/2026 00</v>
          </cell>
          <cell r="G17" t="str">
            <v>01/01/2006 00</v>
          </cell>
          <cell r="H17" t="str">
            <v>31/12/2025 23</v>
          </cell>
          <cell r="J17" t="str">
            <v>Validado</v>
          </cell>
          <cell r="M17" t="str">
            <v>ACEP</v>
          </cell>
          <cell r="N17" t="str">
            <v>MOSAIC FERTILIZANTES PEK</v>
          </cell>
          <cell r="O17" t="str">
            <v>SUDESTE</v>
          </cell>
          <cell r="P17" t="str">
            <v>X</v>
          </cell>
        </row>
        <row r="18">
          <cell r="A18">
            <v>15524</v>
          </cell>
          <cell r="B18" t="str">
            <v>PROINFA</v>
          </cell>
          <cell r="D18" t="str">
            <v>Energia Convencional</v>
          </cell>
          <cell r="E18" t="str">
            <v>01/01/2018 00</v>
          </cell>
          <cell r="F18" t="str">
            <v>01/01/2026 00</v>
          </cell>
          <cell r="G18" t="str">
            <v>01/01/2006 00</v>
          </cell>
          <cell r="H18" t="str">
            <v>31/12/2025 23</v>
          </cell>
          <cell r="J18" t="str">
            <v>Validado</v>
          </cell>
          <cell r="M18" t="str">
            <v>ACEP</v>
          </cell>
          <cell r="N18" t="str">
            <v>VALE CUBATAO</v>
          </cell>
          <cell r="O18" t="str">
            <v>SUDESTE</v>
          </cell>
          <cell r="P18" t="str">
            <v>X</v>
          </cell>
        </row>
        <row r="19">
          <cell r="A19">
            <v>15525</v>
          </cell>
          <cell r="B19" t="str">
            <v>PROINFA</v>
          </cell>
          <cell r="D19" t="str">
            <v>Energia Convencional</v>
          </cell>
          <cell r="E19" t="str">
            <v>01/01/2018 00</v>
          </cell>
          <cell r="F19" t="str">
            <v>01/01/2026 00</v>
          </cell>
          <cell r="G19" t="str">
            <v>01/01/2006 00</v>
          </cell>
          <cell r="H19" t="str">
            <v>31/12/2025 23</v>
          </cell>
          <cell r="J19" t="str">
            <v>Validado</v>
          </cell>
          <cell r="M19" t="str">
            <v>ACEP</v>
          </cell>
          <cell r="N19" t="str">
            <v>VALE CUBATAO</v>
          </cell>
          <cell r="O19" t="str">
            <v>SUDESTE</v>
          </cell>
          <cell r="P19" t="str">
            <v>X</v>
          </cell>
        </row>
        <row r="20">
          <cell r="A20">
            <v>15580</v>
          </cell>
          <cell r="B20" t="str">
            <v>PROINFA</v>
          </cell>
          <cell r="D20" t="str">
            <v>Energia Convencional</v>
          </cell>
          <cell r="E20" t="str">
            <v>01/01/2018 00</v>
          </cell>
          <cell r="F20" t="str">
            <v>01/01/2026 00</v>
          </cell>
          <cell r="G20" t="str">
            <v>01/01/2006 00</v>
          </cell>
          <cell r="H20" t="str">
            <v>31/12/2025 23</v>
          </cell>
          <cell r="J20" t="str">
            <v>Validado</v>
          </cell>
          <cell r="M20" t="str">
            <v>ACEP</v>
          </cell>
          <cell r="N20" t="str">
            <v>RIO DOCE CO</v>
          </cell>
          <cell r="O20" t="str">
            <v>SUDESTE</v>
          </cell>
          <cell r="P20" t="str">
            <v>X</v>
          </cell>
        </row>
        <row r="21">
          <cell r="A21">
            <v>15581</v>
          </cell>
          <cell r="B21" t="str">
            <v>PROINFA</v>
          </cell>
          <cell r="D21" t="str">
            <v>Energia Convencional</v>
          </cell>
          <cell r="E21" t="str">
            <v>01/01/2018 00</v>
          </cell>
          <cell r="F21" t="str">
            <v>01/01/2026 00</v>
          </cell>
          <cell r="G21" t="str">
            <v>01/01/2006 00</v>
          </cell>
          <cell r="H21" t="str">
            <v>31/12/2025 23</v>
          </cell>
          <cell r="J21" t="str">
            <v>Validado</v>
          </cell>
          <cell r="M21" t="str">
            <v>ACEP</v>
          </cell>
          <cell r="N21" t="str">
            <v>RIO DOCE SE</v>
          </cell>
          <cell r="O21" t="str">
            <v>SUDESTE</v>
          </cell>
          <cell r="P21" t="str">
            <v>X</v>
          </cell>
        </row>
        <row r="22">
          <cell r="A22">
            <v>15613</v>
          </cell>
          <cell r="B22" t="str">
            <v>PROINFA</v>
          </cell>
          <cell r="D22" t="str">
            <v>Energia Convencional</v>
          </cell>
          <cell r="E22" t="str">
            <v>01/06/2013 00</v>
          </cell>
          <cell r="F22" t="str">
            <v>01/01/2026 00</v>
          </cell>
          <cell r="G22" t="str">
            <v>01/01/2006 00</v>
          </cell>
          <cell r="H22" t="str">
            <v>31/12/2025 23</v>
          </cell>
          <cell r="J22" t="str">
            <v>Rescindido</v>
          </cell>
          <cell r="M22" t="str">
            <v>ACEP</v>
          </cell>
          <cell r="N22" t="str">
            <v>CIA FERLIGA SE</v>
          </cell>
          <cell r="O22" t="str">
            <v>SUDESTE</v>
          </cell>
          <cell r="P22" t="str">
            <v>X</v>
          </cell>
        </row>
        <row r="23">
          <cell r="A23">
            <v>18083</v>
          </cell>
          <cell r="B23" t="str">
            <v>PROINFA</v>
          </cell>
          <cell r="D23" t="str">
            <v>Energia Convencional</v>
          </cell>
          <cell r="E23" t="str">
            <v>01/08/2012 00</v>
          </cell>
          <cell r="F23" t="str">
            <v>01/01/2026 00</v>
          </cell>
          <cell r="G23" t="str">
            <v>01/05/2006 00</v>
          </cell>
          <cell r="H23" t="str">
            <v>31/12/2025 23</v>
          </cell>
          <cell r="J23" t="str">
            <v>Rescindido</v>
          </cell>
          <cell r="M23" t="str">
            <v>ACEP</v>
          </cell>
          <cell r="N23" t="str">
            <v>HISPANOBRAS</v>
          </cell>
          <cell r="O23" t="str">
            <v>SUDESTE</v>
          </cell>
          <cell r="P23" t="str">
            <v>X</v>
          </cell>
        </row>
        <row r="24">
          <cell r="A24">
            <v>18084</v>
          </cell>
          <cell r="B24" t="str">
            <v>PROINFA</v>
          </cell>
          <cell r="D24" t="str">
            <v>Energia Convencional</v>
          </cell>
          <cell r="E24" t="str">
            <v>01/01/2018 00</v>
          </cell>
          <cell r="F24" t="str">
            <v>01/01/2026 00</v>
          </cell>
          <cell r="G24" t="str">
            <v>01/05/2006 00</v>
          </cell>
          <cell r="H24" t="str">
            <v>31/12/2025 23</v>
          </cell>
          <cell r="J24" t="str">
            <v>Validado</v>
          </cell>
          <cell r="M24" t="str">
            <v>ACEP</v>
          </cell>
          <cell r="N24" t="str">
            <v>CVRD CL3</v>
          </cell>
          <cell r="O24" t="str">
            <v>SUDESTE</v>
          </cell>
          <cell r="P24" t="str">
            <v>X</v>
          </cell>
        </row>
        <row r="25">
          <cell r="A25">
            <v>18085</v>
          </cell>
          <cell r="B25" t="str">
            <v>PROINFA</v>
          </cell>
          <cell r="D25" t="str">
            <v>Energia Convencional</v>
          </cell>
          <cell r="E25" t="str">
            <v>01/01/2018 00</v>
          </cell>
          <cell r="F25" t="str">
            <v>01/01/2026 00</v>
          </cell>
          <cell r="G25" t="str">
            <v>01/05/2006 00</v>
          </cell>
          <cell r="H25" t="str">
            <v>31/12/2025 23</v>
          </cell>
          <cell r="J25" t="str">
            <v>Validado</v>
          </cell>
          <cell r="M25" t="str">
            <v>ACEP</v>
          </cell>
          <cell r="N25" t="str">
            <v>CVRD CL3</v>
          </cell>
          <cell r="O25" t="str">
            <v>SUDESTE</v>
          </cell>
          <cell r="P25" t="str">
            <v>X</v>
          </cell>
        </row>
        <row r="26">
          <cell r="A26">
            <v>18219</v>
          </cell>
          <cell r="B26" t="str">
            <v>PROINFA</v>
          </cell>
          <cell r="D26" t="str">
            <v>Energia Convencional</v>
          </cell>
          <cell r="E26" t="str">
            <v>01/08/2018 00</v>
          </cell>
          <cell r="F26" t="str">
            <v>01/01/2026 00</v>
          </cell>
          <cell r="G26" t="str">
            <v>01/05/2006 00</v>
          </cell>
          <cell r="H26" t="str">
            <v>31/12/2025 23</v>
          </cell>
          <cell r="J26" t="str">
            <v>Validado</v>
          </cell>
          <cell r="M26" t="str">
            <v>ACEP</v>
          </cell>
          <cell r="N26" t="str">
            <v>MOSAIC FERTILIZANTES PEK</v>
          </cell>
          <cell r="O26" t="str">
            <v>SUDESTE</v>
          </cell>
          <cell r="P26" t="str">
            <v>X</v>
          </cell>
        </row>
        <row r="27">
          <cell r="A27">
            <v>19412</v>
          </cell>
          <cell r="B27" t="str">
            <v>PROINFA</v>
          </cell>
          <cell r="D27" t="str">
            <v>Energia Convencional</v>
          </cell>
          <cell r="E27" t="str">
            <v>01/01/2018 00</v>
          </cell>
          <cell r="F27" t="str">
            <v>01/01/2026 00</v>
          </cell>
          <cell r="G27" t="str">
            <v>01/08/2006 00</v>
          </cell>
          <cell r="H27" t="str">
            <v>31/12/2025 23</v>
          </cell>
          <cell r="J27" t="str">
            <v>Validado</v>
          </cell>
          <cell r="M27" t="str">
            <v>ACEP</v>
          </cell>
          <cell r="N27" t="str">
            <v>VALE CUBATAO</v>
          </cell>
          <cell r="O27" t="str">
            <v>SUDESTE</v>
          </cell>
          <cell r="P27" t="str">
            <v>X</v>
          </cell>
        </row>
        <row r="28">
          <cell r="A28">
            <v>20631</v>
          </cell>
          <cell r="B28" t="str">
            <v>PROINFA</v>
          </cell>
          <cell r="D28" t="str">
            <v>Energia Convencional</v>
          </cell>
          <cell r="E28" t="str">
            <v>01/01/2018 00</v>
          </cell>
          <cell r="F28" t="str">
            <v>01/01/2026 00</v>
          </cell>
          <cell r="G28" t="str">
            <v>01/01/2007 00</v>
          </cell>
          <cell r="H28" t="str">
            <v>31/12/2025 23</v>
          </cell>
          <cell r="J28" t="str">
            <v>Validado</v>
          </cell>
          <cell r="M28" t="str">
            <v>ACEP</v>
          </cell>
          <cell r="N28" t="str">
            <v>CVRD CL3</v>
          </cell>
          <cell r="O28" t="str">
            <v>SUDESTE</v>
          </cell>
          <cell r="P28" t="str">
            <v>X</v>
          </cell>
        </row>
        <row r="29">
          <cell r="A29">
            <v>27503</v>
          </cell>
          <cell r="B29" t="str">
            <v>PROINFA</v>
          </cell>
          <cell r="D29" t="str">
            <v>Energia Convencional</v>
          </cell>
          <cell r="E29" t="str">
            <v>01/01/2018 00</v>
          </cell>
          <cell r="F29" t="str">
            <v>01/01/2026 00</v>
          </cell>
          <cell r="G29" t="str">
            <v>01/08/2007 00</v>
          </cell>
          <cell r="H29" t="str">
            <v>31/12/2025 23</v>
          </cell>
          <cell r="J29" t="str">
            <v>Validado</v>
          </cell>
          <cell r="M29" t="str">
            <v>ACEP</v>
          </cell>
          <cell r="N29" t="str">
            <v>VALE CUBATAO CE</v>
          </cell>
          <cell r="O29" t="str">
            <v>SUDESTE</v>
          </cell>
          <cell r="P29" t="str">
            <v>X</v>
          </cell>
        </row>
        <row r="30">
          <cell r="A30">
            <v>29894</v>
          </cell>
          <cell r="B30" t="str">
            <v>PROINFA</v>
          </cell>
          <cell r="D30" t="str">
            <v>Energia Convencional</v>
          </cell>
          <cell r="E30" t="str">
            <v>01/01/2013 00</v>
          </cell>
          <cell r="F30" t="str">
            <v>01/01/2026 00</v>
          </cell>
          <cell r="G30" t="str">
            <v>01/01/2008 00</v>
          </cell>
          <cell r="H30" t="str">
            <v>31/12/2025 23</v>
          </cell>
          <cell r="J30" t="str">
            <v>Rescindido</v>
          </cell>
          <cell r="M30" t="str">
            <v>ACEP</v>
          </cell>
          <cell r="N30" t="str">
            <v>CVRD</v>
          </cell>
          <cell r="O30" t="str">
            <v>SUDESTE</v>
          </cell>
          <cell r="P30" t="str">
            <v>X</v>
          </cell>
        </row>
        <row r="31">
          <cell r="A31">
            <v>43121</v>
          </cell>
          <cell r="B31" t="str">
            <v>PROINFA</v>
          </cell>
          <cell r="D31" t="str">
            <v>Energia Convencional</v>
          </cell>
          <cell r="E31" t="str">
            <v>01/01/2014 00</v>
          </cell>
          <cell r="F31" t="str">
            <v>26/12/2025 00</v>
          </cell>
          <cell r="G31" t="str">
            <v>01/01/2009 00</v>
          </cell>
          <cell r="H31" t="str">
            <v>25/12/2025 23</v>
          </cell>
          <cell r="J31" t="str">
            <v>Rescindido</v>
          </cell>
          <cell r="M31" t="str">
            <v>ACEP</v>
          </cell>
          <cell r="N31" t="str">
            <v>CVRD</v>
          </cell>
          <cell r="O31" t="str">
            <v>NORTE</v>
          </cell>
          <cell r="P31" t="str">
            <v>X</v>
          </cell>
        </row>
        <row r="32">
          <cell r="A32">
            <v>71556</v>
          </cell>
          <cell r="B32" t="str">
            <v>CCEAL</v>
          </cell>
          <cell r="C32" t="str">
            <v>Firme</v>
          </cell>
          <cell r="D32" t="str">
            <v>Energia Incentivada Especial</v>
          </cell>
          <cell r="E32" t="str">
            <v>01/07/2010 00</v>
          </cell>
          <cell r="F32" t="str">
            <v>01/10/2027 00</v>
          </cell>
          <cell r="G32" t="str">
            <v>01/07/2010 00</v>
          </cell>
          <cell r="H32" t="str">
            <v>30/09/2027 23</v>
          </cell>
          <cell r="J32" t="str">
            <v>Validado</v>
          </cell>
          <cell r="M32" t="str">
            <v>LUZBOA I5</v>
          </cell>
          <cell r="N32" t="str">
            <v>VALE ENE I5</v>
          </cell>
          <cell r="O32" t="str">
            <v>SUDESTE</v>
          </cell>
          <cell r="P32" t="str">
            <v>X</v>
          </cell>
          <cell r="X32" t="str">
            <v>01/12/2018 00</v>
          </cell>
          <cell r="Y32" t="str">
            <v>01/01/2019 00</v>
          </cell>
          <cell r="Z32" t="str">
            <v>1,970000</v>
          </cell>
          <cell r="AF32" t="str">
            <v>FLAT</v>
          </cell>
          <cell r="AG32" t="str">
            <v>Validado</v>
          </cell>
        </row>
        <row r="33">
          <cell r="A33">
            <v>73396</v>
          </cell>
          <cell r="B33" t="str">
            <v>CCEAL</v>
          </cell>
          <cell r="C33" t="str">
            <v>Firme</v>
          </cell>
          <cell r="D33" t="str">
            <v>Energia Incentivada Especial</v>
          </cell>
          <cell r="E33" t="str">
            <v>01/01/2016 00</v>
          </cell>
          <cell r="F33" t="str">
            <v>01/02/2019 00</v>
          </cell>
          <cell r="G33" t="str">
            <v>01/01/2011 00</v>
          </cell>
          <cell r="H33" t="str">
            <v>31/01/2019 23</v>
          </cell>
          <cell r="J33" t="str">
            <v>Validado</v>
          </cell>
          <cell r="M33" t="str">
            <v>VALE ENE I5</v>
          </cell>
          <cell r="N33" t="str">
            <v>CVRD CL2</v>
          </cell>
          <cell r="O33" t="str">
            <v>SUDESTE</v>
          </cell>
          <cell r="P33" t="str">
            <v>X</v>
          </cell>
          <cell r="X33" t="str">
            <v>01/12/2018 00</v>
          </cell>
          <cell r="Y33" t="str">
            <v>01/01/2019 00</v>
          </cell>
          <cell r="Z33" t="str">
            <v>0,000000</v>
          </cell>
          <cell r="AF33" t="str">
            <v>FLAT</v>
          </cell>
          <cell r="AG33" t="str">
            <v>Validado</v>
          </cell>
        </row>
        <row r="34">
          <cell r="A34">
            <v>75923</v>
          </cell>
          <cell r="B34" t="str">
            <v>CCEAL</v>
          </cell>
          <cell r="C34" t="str">
            <v>Firme</v>
          </cell>
          <cell r="D34" t="str">
            <v>Energia Incentivada Especial</v>
          </cell>
          <cell r="E34" t="str">
            <v>23/10/2010 00</v>
          </cell>
          <cell r="F34" t="str">
            <v>01/01/2030 00</v>
          </cell>
          <cell r="G34" t="str">
            <v>23/10/2010 00</v>
          </cell>
          <cell r="H34" t="str">
            <v>31/12/2029 23</v>
          </cell>
          <cell r="J34" t="str">
            <v>Validado</v>
          </cell>
          <cell r="M34" t="str">
            <v>BAHIA PCH I5</v>
          </cell>
          <cell r="N34" t="str">
            <v>VALE ENE I5</v>
          </cell>
          <cell r="O34" t="str">
            <v>NORDESTE</v>
          </cell>
          <cell r="P34" t="str">
            <v>X</v>
          </cell>
          <cell r="X34" t="str">
            <v>01/12/2018 00</v>
          </cell>
          <cell r="Y34" t="str">
            <v>01/01/2019 00</v>
          </cell>
          <cell r="Z34" t="str">
            <v>19,000000</v>
          </cell>
          <cell r="AF34" t="str">
            <v>FLAT</v>
          </cell>
          <cell r="AG34" t="str">
            <v>Validado</v>
          </cell>
        </row>
        <row r="35">
          <cell r="A35">
            <v>76527</v>
          </cell>
          <cell r="B35" t="str">
            <v>CCEAL</v>
          </cell>
          <cell r="C35" t="str">
            <v>Firme</v>
          </cell>
          <cell r="D35" t="str">
            <v>Energia Convencional</v>
          </cell>
          <cell r="E35" t="str">
            <v>01/01/2016 00</v>
          </cell>
          <cell r="F35" t="str">
            <v>01/02/2019 00</v>
          </cell>
          <cell r="G35" t="str">
            <v>01/11/2010 00</v>
          </cell>
          <cell r="H35" t="str">
            <v>31/01/2019 23</v>
          </cell>
          <cell r="J35" t="str">
            <v>Validado</v>
          </cell>
          <cell r="M35" t="str">
            <v>VALE ENERGIA</v>
          </cell>
          <cell r="N35" t="str">
            <v>CVRD</v>
          </cell>
          <cell r="O35" t="str">
            <v>NORTE</v>
          </cell>
          <cell r="P35" t="str">
            <v>X</v>
          </cell>
          <cell r="X35" t="str">
            <v>01/12/2018 00</v>
          </cell>
          <cell r="Y35" t="str">
            <v>01/01/2019 00</v>
          </cell>
          <cell r="Z35" t="str">
            <v>0,000000</v>
          </cell>
          <cell r="AF35" t="str">
            <v>FLAT</v>
          </cell>
          <cell r="AG35" t="str">
            <v>Validado</v>
          </cell>
        </row>
        <row r="36">
          <cell r="A36">
            <v>79040</v>
          </cell>
          <cell r="B36" t="str">
            <v>PROINFA</v>
          </cell>
          <cell r="D36" t="str">
            <v>Energia Convencional</v>
          </cell>
          <cell r="E36" t="str">
            <v>01/01/2018 00</v>
          </cell>
          <cell r="F36" t="str">
            <v>01/01/2026 00</v>
          </cell>
          <cell r="G36" t="str">
            <v>01/01/2011 00</v>
          </cell>
          <cell r="H36" t="str">
            <v>31/12/2025 23</v>
          </cell>
          <cell r="J36" t="str">
            <v>Validado</v>
          </cell>
          <cell r="M36" t="str">
            <v>ACEP</v>
          </cell>
          <cell r="N36" t="str">
            <v>CVRD CL2</v>
          </cell>
          <cell r="O36" t="str">
            <v>SUDESTE</v>
          </cell>
          <cell r="P36" t="str">
            <v>X</v>
          </cell>
        </row>
        <row r="37">
          <cell r="A37">
            <v>79049</v>
          </cell>
          <cell r="B37" t="str">
            <v>PROINFA</v>
          </cell>
          <cell r="D37" t="str">
            <v>Energia Convencional</v>
          </cell>
          <cell r="E37" t="str">
            <v>01/01/2018 00</v>
          </cell>
          <cell r="F37" t="str">
            <v>01/01/2026 00</v>
          </cell>
          <cell r="G37" t="str">
            <v>01/01/2011 00</v>
          </cell>
          <cell r="H37" t="str">
            <v>31/12/2025 23</v>
          </cell>
          <cell r="J37" t="str">
            <v>Validado</v>
          </cell>
          <cell r="M37" t="str">
            <v>ACEP</v>
          </cell>
          <cell r="N37" t="str">
            <v>CVRD</v>
          </cell>
          <cell r="O37" t="str">
            <v>SUDESTE</v>
          </cell>
          <cell r="P37" t="str">
            <v>X</v>
          </cell>
        </row>
        <row r="38">
          <cell r="A38">
            <v>79051</v>
          </cell>
          <cell r="B38" t="str">
            <v>PROINFA</v>
          </cell>
          <cell r="D38" t="str">
            <v>Energia Convencional</v>
          </cell>
          <cell r="E38" t="str">
            <v>01/01/2018 00</v>
          </cell>
          <cell r="F38" t="str">
            <v>01/01/2026 00</v>
          </cell>
          <cell r="G38" t="str">
            <v>01/01/2011 00</v>
          </cell>
          <cell r="H38" t="str">
            <v>31/12/2025 23</v>
          </cell>
          <cell r="J38" t="str">
            <v>Validado</v>
          </cell>
          <cell r="M38" t="str">
            <v>ACEP</v>
          </cell>
          <cell r="N38" t="str">
            <v>CVRD</v>
          </cell>
          <cell r="O38" t="str">
            <v>SUDESTE</v>
          </cell>
          <cell r="P38" t="str">
            <v>X</v>
          </cell>
        </row>
        <row r="39">
          <cell r="A39">
            <v>79101</v>
          </cell>
          <cell r="B39" t="str">
            <v>PROINFA</v>
          </cell>
          <cell r="D39" t="str">
            <v>Energia Convencional</v>
          </cell>
          <cell r="E39" t="str">
            <v>01/01/2014 00</v>
          </cell>
          <cell r="F39" t="str">
            <v>01/01/2026 00</v>
          </cell>
          <cell r="G39" t="str">
            <v>01/01/2011 00</v>
          </cell>
          <cell r="H39" t="str">
            <v>31/12/2025 23</v>
          </cell>
          <cell r="J39" t="str">
            <v>Rescindido</v>
          </cell>
          <cell r="M39" t="str">
            <v>ACEP</v>
          </cell>
          <cell r="N39" t="str">
            <v>CVRD</v>
          </cell>
          <cell r="O39" t="str">
            <v>SUDESTE</v>
          </cell>
          <cell r="P39" t="str">
            <v>X</v>
          </cell>
        </row>
        <row r="40">
          <cell r="A40">
            <v>79137</v>
          </cell>
          <cell r="B40" t="str">
            <v>PROINFA</v>
          </cell>
          <cell r="D40" t="str">
            <v>Energia Convencional</v>
          </cell>
          <cell r="E40" t="str">
            <v>01/01/2018 00</v>
          </cell>
          <cell r="F40" t="str">
            <v>01/01/2026 00</v>
          </cell>
          <cell r="G40" t="str">
            <v>01/01/2011 00</v>
          </cell>
          <cell r="H40" t="str">
            <v>31/12/2025 23</v>
          </cell>
          <cell r="J40" t="str">
            <v>Validado</v>
          </cell>
          <cell r="M40" t="str">
            <v>ACEP</v>
          </cell>
          <cell r="N40" t="str">
            <v>CVRD</v>
          </cell>
          <cell r="O40" t="str">
            <v>NORTE</v>
          </cell>
          <cell r="P40" t="str">
            <v>X</v>
          </cell>
        </row>
        <row r="41">
          <cell r="A41">
            <v>79138</v>
          </cell>
          <cell r="B41" t="str">
            <v>PROINFA</v>
          </cell>
          <cell r="D41" t="str">
            <v>Energia Convencional</v>
          </cell>
          <cell r="E41" t="str">
            <v>01/01/2018 00</v>
          </cell>
          <cell r="F41" t="str">
            <v>01/01/2026 00</v>
          </cell>
          <cell r="G41" t="str">
            <v>01/01/2011 00</v>
          </cell>
          <cell r="H41" t="str">
            <v>31/12/2025 23</v>
          </cell>
          <cell r="J41" t="str">
            <v>Validado</v>
          </cell>
          <cell r="M41" t="str">
            <v>ACEP</v>
          </cell>
          <cell r="N41" t="str">
            <v>CVRD</v>
          </cell>
          <cell r="O41" t="str">
            <v>NORTE</v>
          </cell>
          <cell r="P41" t="str">
            <v>X</v>
          </cell>
        </row>
        <row r="42">
          <cell r="A42">
            <v>84972</v>
          </cell>
          <cell r="B42" t="str">
            <v>CCEAL</v>
          </cell>
          <cell r="C42" t="str">
            <v>Firme</v>
          </cell>
          <cell r="D42" t="str">
            <v>Energia Incentivada Especial</v>
          </cell>
          <cell r="E42" t="str">
            <v>01/02/2011 00</v>
          </cell>
          <cell r="F42" t="str">
            <v>01/10/2027 00</v>
          </cell>
          <cell r="G42" t="str">
            <v>01/02/2011 00</v>
          </cell>
          <cell r="H42" t="str">
            <v>30/09/2027 23</v>
          </cell>
          <cell r="J42" t="str">
            <v>Validado</v>
          </cell>
          <cell r="M42" t="str">
            <v>LUZBOA I5</v>
          </cell>
          <cell r="N42" t="str">
            <v>VALE ENE I5</v>
          </cell>
          <cell r="O42" t="str">
            <v>SUDESTE</v>
          </cell>
          <cell r="P42" t="str">
            <v>X</v>
          </cell>
          <cell r="X42" t="str">
            <v>01/12/2018 00</v>
          </cell>
          <cell r="Y42" t="str">
            <v>01/01/2019 00</v>
          </cell>
          <cell r="Z42" t="str">
            <v>1,670000</v>
          </cell>
          <cell r="AF42" t="str">
            <v>FLAT</v>
          </cell>
          <cell r="AG42" t="str">
            <v>Validado</v>
          </cell>
        </row>
        <row r="43">
          <cell r="A43">
            <v>90498</v>
          </cell>
          <cell r="B43" t="str">
            <v>CCEAL</v>
          </cell>
          <cell r="C43" t="str">
            <v>Firme</v>
          </cell>
          <cell r="D43" t="str">
            <v>Energia Incentivada Especial</v>
          </cell>
          <cell r="E43" t="str">
            <v>01/05/2011 00</v>
          </cell>
          <cell r="F43" t="str">
            <v>01/10/2027 00</v>
          </cell>
          <cell r="G43" t="str">
            <v>01/05/2011 00</v>
          </cell>
          <cell r="H43" t="str">
            <v>30/09/2027 23</v>
          </cell>
          <cell r="J43" t="str">
            <v>Validado</v>
          </cell>
          <cell r="M43" t="str">
            <v>LUZBOA I5</v>
          </cell>
          <cell r="N43" t="str">
            <v>VALE ENE I5</v>
          </cell>
          <cell r="O43" t="str">
            <v>SUDESTE</v>
          </cell>
          <cell r="P43" t="str">
            <v>X</v>
          </cell>
          <cell r="X43" t="str">
            <v>01/12/2018 00</v>
          </cell>
          <cell r="Y43" t="str">
            <v>01/01/2019 00</v>
          </cell>
          <cell r="Z43" t="str">
            <v>3,380000</v>
          </cell>
          <cell r="AF43" t="str">
            <v>FLAT</v>
          </cell>
          <cell r="AG43" t="str">
            <v>Validado</v>
          </cell>
        </row>
        <row r="44">
          <cell r="A44">
            <v>94575</v>
          </cell>
          <cell r="B44" t="str">
            <v>CCEAL</v>
          </cell>
          <cell r="C44" t="str">
            <v>Firme</v>
          </cell>
          <cell r="D44" t="str">
            <v>Energia Incentivada Especial</v>
          </cell>
          <cell r="E44" t="str">
            <v>01/07/2011 00</v>
          </cell>
          <cell r="F44" t="str">
            <v>01/10/2027 00</v>
          </cell>
          <cell r="G44" t="str">
            <v>01/07/2011 00</v>
          </cell>
          <cell r="H44" t="str">
            <v>30/09/2027 23</v>
          </cell>
          <cell r="J44" t="str">
            <v>Validado</v>
          </cell>
          <cell r="M44" t="str">
            <v>LUZBOA I5</v>
          </cell>
          <cell r="N44" t="str">
            <v>VALE ENE I5</v>
          </cell>
          <cell r="O44" t="str">
            <v>SUDESTE</v>
          </cell>
          <cell r="P44" t="str">
            <v>X</v>
          </cell>
          <cell r="X44" t="str">
            <v>01/12/2018 00</v>
          </cell>
          <cell r="Y44" t="str">
            <v>01/01/2019 00</v>
          </cell>
          <cell r="Z44" t="str">
            <v>1,640000</v>
          </cell>
          <cell r="AF44" t="str">
            <v>FLAT</v>
          </cell>
          <cell r="AG44" t="str">
            <v>Validado</v>
          </cell>
        </row>
        <row r="45">
          <cell r="A45">
            <v>98196</v>
          </cell>
          <cell r="B45" t="str">
            <v>CCEAL</v>
          </cell>
          <cell r="C45" t="str">
            <v>Firme</v>
          </cell>
          <cell r="D45" t="str">
            <v>Energia Convencional</v>
          </cell>
          <cell r="E45" t="str">
            <v>01/01/2017 00</v>
          </cell>
          <cell r="F45" t="str">
            <v>01/01/2020 00</v>
          </cell>
          <cell r="G45" t="str">
            <v>01/01/2012 00</v>
          </cell>
          <cell r="H45" t="str">
            <v>31/12/2019 23</v>
          </cell>
          <cell r="J45" t="str">
            <v>Validado</v>
          </cell>
          <cell r="M45" t="str">
            <v>CVRD PIE</v>
          </cell>
          <cell r="N45" t="str">
            <v>CVRD</v>
          </cell>
          <cell r="O45" t="str">
            <v>SUDESTE</v>
          </cell>
          <cell r="P45" t="str">
            <v>X</v>
          </cell>
          <cell r="X45" t="str">
            <v>01/12/2018 00</v>
          </cell>
          <cell r="Y45" t="str">
            <v>01/01/2019 00</v>
          </cell>
          <cell r="Z45" t="str">
            <v>0,000000</v>
          </cell>
          <cell r="AF45" t="str">
            <v>FLAT</v>
          </cell>
          <cell r="AG45" t="str">
            <v>Validado</v>
          </cell>
        </row>
        <row r="46">
          <cell r="A46">
            <v>98672</v>
          </cell>
          <cell r="B46" t="str">
            <v>CCEAL</v>
          </cell>
          <cell r="C46" t="str">
            <v>Firme</v>
          </cell>
          <cell r="D46" t="str">
            <v>Energia Convencional</v>
          </cell>
          <cell r="E46" t="str">
            <v>01/08/2018 00</v>
          </cell>
          <cell r="F46" t="str">
            <v>01/01/2019 00</v>
          </cell>
          <cell r="G46" t="str">
            <v>01/01/2012 00</v>
          </cell>
          <cell r="H46" t="str">
            <v>31/12/2018 23</v>
          </cell>
          <cell r="J46" t="str">
            <v>Validado</v>
          </cell>
          <cell r="M46" t="str">
            <v>ENGIE BR COM</v>
          </cell>
          <cell r="N46" t="str">
            <v>MOSAIC FERTILIZANTES PEK</v>
          </cell>
          <cell r="O46" t="str">
            <v>SUDESTE</v>
          </cell>
          <cell r="P46" t="str">
            <v>X</v>
          </cell>
          <cell r="X46" t="str">
            <v>01/12/2018 00</v>
          </cell>
          <cell r="Y46" t="str">
            <v>01/01/2019 00</v>
          </cell>
          <cell r="Z46" t="str">
            <v>11,636566</v>
          </cell>
          <cell r="AF46" t="str">
            <v>DECLARADA</v>
          </cell>
          <cell r="AG46" t="str">
            <v>Ajustado Validado</v>
          </cell>
        </row>
        <row r="47">
          <cell r="A47">
            <v>103851</v>
          </cell>
          <cell r="B47" t="str">
            <v>CCEAL</v>
          </cell>
          <cell r="C47" t="str">
            <v>Firme</v>
          </cell>
          <cell r="D47" t="str">
            <v>Energia Incentivada Especial</v>
          </cell>
          <cell r="E47" t="str">
            <v>01/11/2011 00</v>
          </cell>
          <cell r="F47" t="str">
            <v>01/10/2027 00</v>
          </cell>
          <cell r="G47" t="str">
            <v>01/11/2011 00</v>
          </cell>
          <cell r="H47" t="str">
            <v>30/09/2027 23</v>
          </cell>
          <cell r="J47" t="str">
            <v>Validado</v>
          </cell>
          <cell r="M47" t="str">
            <v>LUZBOA I5</v>
          </cell>
          <cell r="N47" t="str">
            <v>VALE ENE I5</v>
          </cell>
          <cell r="O47" t="str">
            <v>SUDESTE</v>
          </cell>
          <cell r="P47" t="str">
            <v>X</v>
          </cell>
          <cell r="X47" t="str">
            <v>01/12/2018 00</v>
          </cell>
          <cell r="Y47" t="str">
            <v>01/01/2019 00</v>
          </cell>
          <cell r="Z47" t="str">
            <v>5,670000</v>
          </cell>
          <cell r="AF47" t="str">
            <v>FLAT</v>
          </cell>
          <cell r="AG47" t="str">
            <v>Validado</v>
          </cell>
        </row>
        <row r="48">
          <cell r="A48">
            <v>105942</v>
          </cell>
          <cell r="B48" t="str">
            <v>PROINFA</v>
          </cell>
          <cell r="D48" t="str">
            <v>Energia Convencional</v>
          </cell>
          <cell r="E48" t="str">
            <v>01/01/2018 00</v>
          </cell>
          <cell r="F48" t="str">
            <v>01/01/2026 00</v>
          </cell>
          <cell r="G48" t="str">
            <v>01/01/2012 00</v>
          </cell>
          <cell r="H48" t="str">
            <v>31/12/2025 23</v>
          </cell>
          <cell r="J48" t="str">
            <v>Validado</v>
          </cell>
          <cell r="M48" t="str">
            <v>ACEP</v>
          </cell>
          <cell r="N48" t="str">
            <v>SALOBO</v>
          </cell>
          <cell r="O48" t="str">
            <v>NORTE</v>
          </cell>
          <cell r="P48" t="str">
            <v>X</v>
          </cell>
        </row>
        <row r="49">
          <cell r="A49">
            <v>114877</v>
          </cell>
          <cell r="B49" t="str">
            <v>CCEAL</v>
          </cell>
          <cell r="C49" t="str">
            <v>Firme</v>
          </cell>
          <cell r="D49" t="str">
            <v>Energia Incentivada Especial</v>
          </cell>
          <cell r="E49" t="str">
            <v>01/07/2012 00</v>
          </cell>
          <cell r="F49" t="str">
            <v>01/01/2025 00</v>
          </cell>
          <cell r="G49" t="str">
            <v>01/07/2012 00</v>
          </cell>
          <cell r="H49" t="str">
            <v>31/12/2024 23</v>
          </cell>
          <cell r="J49" t="str">
            <v>Validado</v>
          </cell>
          <cell r="M49" t="str">
            <v>LUZBOA I5</v>
          </cell>
          <cell r="N49" t="str">
            <v>VALE ENE I5</v>
          </cell>
          <cell r="O49" t="str">
            <v>SUDESTE</v>
          </cell>
          <cell r="P49" t="str">
            <v>X</v>
          </cell>
          <cell r="X49" t="str">
            <v>01/12/2018 00</v>
          </cell>
          <cell r="Y49" t="str">
            <v>01/01/2019 00</v>
          </cell>
          <cell r="Z49" t="str">
            <v>1,860000</v>
          </cell>
          <cell r="AF49" t="str">
            <v>FLAT</v>
          </cell>
          <cell r="AG49" t="str">
            <v>Validado</v>
          </cell>
        </row>
        <row r="50">
          <cell r="A50">
            <v>114886</v>
          </cell>
          <cell r="B50" t="str">
            <v>CCEAL</v>
          </cell>
          <cell r="C50" t="str">
            <v>Firme</v>
          </cell>
          <cell r="D50" t="str">
            <v>Energia Incentivada Especial</v>
          </cell>
          <cell r="E50" t="str">
            <v>01/07/2012 00</v>
          </cell>
          <cell r="F50" t="str">
            <v>01/01/2025 00</v>
          </cell>
          <cell r="G50" t="str">
            <v>01/07/2012 00</v>
          </cell>
          <cell r="H50" t="str">
            <v>31/12/2024 23</v>
          </cell>
          <cell r="J50" t="str">
            <v>Validado</v>
          </cell>
          <cell r="M50" t="str">
            <v>LUZBOA I5</v>
          </cell>
          <cell r="N50" t="str">
            <v>VALE ENE I5</v>
          </cell>
          <cell r="O50" t="str">
            <v>SUDESTE</v>
          </cell>
          <cell r="P50" t="str">
            <v>X</v>
          </cell>
          <cell r="X50" t="str">
            <v>01/12/2018 00</v>
          </cell>
          <cell r="Y50" t="str">
            <v>01/01/2019 00</v>
          </cell>
          <cell r="Z50" t="str">
            <v>1,980000</v>
          </cell>
          <cell r="AF50" t="str">
            <v>FLAT</v>
          </cell>
          <cell r="AG50" t="str">
            <v>Validado</v>
          </cell>
        </row>
        <row r="51">
          <cell r="A51">
            <v>134245</v>
          </cell>
          <cell r="B51" t="str">
            <v>CCEAL</v>
          </cell>
          <cell r="C51" t="str">
            <v>Firme</v>
          </cell>
          <cell r="D51" t="str">
            <v>Energia Incentivada Especial</v>
          </cell>
          <cell r="E51" t="str">
            <v>01/02/2015 00</v>
          </cell>
          <cell r="F51" t="str">
            <v>01/02/2019 00</v>
          </cell>
          <cell r="G51" t="str">
            <v>01/01/2013 00</v>
          </cell>
          <cell r="H51" t="str">
            <v>31/01/2019 23</v>
          </cell>
          <cell r="J51" t="str">
            <v>Validado</v>
          </cell>
          <cell r="M51" t="str">
            <v>CVRD APE I5</v>
          </cell>
          <cell r="N51" t="str">
            <v>CVRD</v>
          </cell>
          <cell r="O51" t="str">
            <v>SUDESTE</v>
          </cell>
          <cell r="P51" t="str">
            <v>X</v>
          </cell>
          <cell r="X51" t="str">
            <v>01/12/2018 00</v>
          </cell>
          <cell r="Y51" t="str">
            <v>01/01/2019 00</v>
          </cell>
          <cell r="Z51" t="str">
            <v>0,000000</v>
          </cell>
          <cell r="AF51" t="str">
            <v>FLAT</v>
          </cell>
          <cell r="AG51" t="str">
            <v>Validado</v>
          </cell>
        </row>
        <row r="52">
          <cell r="A52">
            <v>139754</v>
          </cell>
          <cell r="B52" t="str">
            <v>CCEAL</v>
          </cell>
          <cell r="C52" t="str">
            <v>Firme</v>
          </cell>
          <cell r="D52" t="str">
            <v>Energia Incentivada Especial</v>
          </cell>
          <cell r="E52" t="str">
            <v>01/01/2013 00</v>
          </cell>
          <cell r="F52" t="str">
            <v>01/01/2025 00</v>
          </cell>
          <cell r="G52" t="str">
            <v>01/01/2013 00</v>
          </cell>
          <cell r="H52" t="str">
            <v>31/12/2024 23</v>
          </cell>
          <cell r="J52" t="str">
            <v>Validado</v>
          </cell>
          <cell r="M52" t="str">
            <v>CPFL RENOVAVEIS I5</v>
          </cell>
          <cell r="N52" t="str">
            <v>VALE ENE I5</v>
          </cell>
          <cell r="O52" t="str">
            <v>SUDESTE</v>
          </cell>
          <cell r="P52" t="str">
            <v>X</v>
          </cell>
          <cell r="X52" t="str">
            <v>01/12/2018 00</v>
          </cell>
          <cell r="Y52" t="str">
            <v>01/01/2019 00</v>
          </cell>
          <cell r="Z52" t="str">
            <v>0,000000</v>
          </cell>
          <cell r="AF52" t="str">
            <v>FLAT</v>
          </cell>
          <cell r="AG52" t="str">
            <v>Validado</v>
          </cell>
        </row>
        <row r="53">
          <cell r="A53">
            <v>205092</v>
          </cell>
          <cell r="B53" t="str">
            <v>CCEAL</v>
          </cell>
          <cell r="C53" t="str">
            <v>Firme</v>
          </cell>
          <cell r="D53" t="str">
            <v>Energia Convencional</v>
          </cell>
          <cell r="E53" t="str">
            <v>01/01/2013 00</v>
          </cell>
          <cell r="F53" t="str">
            <v>01/01/2025 00</v>
          </cell>
          <cell r="G53" t="str">
            <v>01/01/2013 00</v>
          </cell>
          <cell r="H53" t="str">
            <v>31/12/2024 23</v>
          </cell>
          <cell r="J53" t="str">
            <v>Validado</v>
          </cell>
          <cell r="M53" t="str">
            <v>ECOGEN RIO</v>
          </cell>
          <cell r="N53" t="str">
            <v>VALE ENERGIA</v>
          </cell>
          <cell r="O53" t="str">
            <v>SUDESTE</v>
          </cell>
          <cell r="P53" t="str">
            <v>X</v>
          </cell>
          <cell r="X53" t="str">
            <v>01/12/2018 00</v>
          </cell>
          <cell r="Y53" t="str">
            <v>01/01/2019 00</v>
          </cell>
          <cell r="Z53" t="str">
            <v>0,000000</v>
          </cell>
          <cell r="AF53" t="str">
            <v>FLAT</v>
          </cell>
          <cell r="AG53" t="str">
            <v>Ajustado Validado</v>
          </cell>
        </row>
        <row r="54">
          <cell r="A54">
            <v>241132</v>
          </cell>
          <cell r="B54" t="str">
            <v>CCEAL</v>
          </cell>
          <cell r="C54" t="str">
            <v>Firme</v>
          </cell>
          <cell r="D54" t="str">
            <v>Energia Convencional</v>
          </cell>
          <cell r="E54" t="str">
            <v>01/01/2013 00</v>
          </cell>
          <cell r="F54" t="str">
            <v>01/01/2021 00</v>
          </cell>
          <cell r="G54" t="str">
            <v>01/01/2013 00</v>
          </cell>
          <cell r="H54" t="str">
            <v>31/12/2020 23</v>
          </cell>
          <cell r="J54" t="str">
            <v>Validado</v>
          </cell>
          <cell r="M54" t="str">
            <v>RIO PARANAPAN</v>
          </cell>
          <cell r="N54" t="str">
            <v>VALE ENERGIA</v>
          </cell>
          <cell r="O54" t="str">
            <v>SUDESTE</v>
          </cell>
          <cell r="P54" t="str">
            <v>X</v>
          </cell>
          <cell r="X54" t="str">
            <v>01/12/2018 00</v>
          </cell>
          <cell r="Y54" t="str">
            <v>01/01/2019 00</v>
          </cell>
          <cell r="Z54" t="str">
            <v>76,000000</v>
          </cell>
          <cell r="AF54" t="str">
            <v>FLAT</v>
          </cell>
          <cell r="AG54" t="str">
            <v>Ajustado Validado</v>
          </cell>
        </row>
        <row r="55">
          <cell r="A55">
            <v>244906</v>
          </cell>
          <cell r="B55" t="str">
            <v>PROINFA</v>
          </cell>
          <cell r="D55" t="str">
            <v>Energia Convencional</v>
          </cell>
          <cell r="E55" t="str">
            <v>01/01/2014 00</v>
          </cell>
          <cell r="F55" t="str">
            <v>01/01/2026 00</v>
          </cell>
          <cell r="G55" t="str">
            <v>01/01/2013 00</v>
          </cell>
          <cell r="H55" t="str">
            <v>31/12/2025 23</v>
          </cell>
          <cell r="J55" t="str">
            <v>Rescindido</v>
          </cell>
          <cell r="M55" t="str">
            <v>ACEP</v>
          </cell>
          <cell r="N55" t="str">
            <v>CVRD</v>
          </cell>
          <cell r="O55" t="str">
            <v>SUDESTE</v>
          </cell>
          <cell r="P55" t="str">
            <v>X</v>
          </cell>
        </row>
        <row r="56">
          <cell r="A56">
            <v>245037</v>
          </cell>
          <cell r="B56" t="str">
            <v>PROINFA</v>
          </cell>
          <cell r="D56" t="str">
            <v>Energia Convencional</v>
          </cell>
          <cell r="E56" t="str">
            <v>01/01/2018 00</v>
          </cell>
          <cell r="F56" t="str">
            <v>01/01/2026 00</v>
          </cell>
          <cell r="G56" t="str">
            <v>01/01/2013 00</v>
          </cell>
          <cell r="H56" t="str">
            <v>31/12/2025 23</v>
          </cell>
          <cell r="J56" t="str">
            <v>Validado</v>
          </cell>
          <cell r="M56" t="str">
            <v>ACEP</v>
          </cell>
          <cell r="N56" t="str">
            <v>CVRD CL2</v>
          </cell>
          <cell r="O56" t="str">
            <v>SUDESTE</v>
          </cell>
          <cell r="P56" t="str">
            <v>X</v>
          </cell>
        </row>
        <row r="57">
          <cell r="A57">
            <v>245167</v>
          </cell>
          <cell r="B57" t="str">
            <v>PROINFA</v>
          </cell>
          <cell r="D57" t="str">
            <v>Energia Convencional</v>
          </cell>
          <cell r="E57" t="str">
            <v>01/01/2018 00</v>
          </cell>
          <cell r="F57" t="str">
            <v>01/01/2026 00</v>
          </cell>
          <cell r="G57" t="str">
            <v>01/01/2013 00</v>
          </cell>
          <cell r="H57" t="str">
            <v>31/12/2025 23</v>
          </cell>
          <cell r="J57" t="str">
            <v>Validado</v>
          </cell>
          <cell r="M57" t="str">
            <v>ACEP</v>
          </cell>
          <cell r="N57" t="str">
            <v>CVRD</v>
          </cell>
          <cell r="O57" t="str">
            <v>SUDESTE</v>
          </cell>
          <cell r="P57" t="str">
            <v>X</v>
          </cell>
        </row>
        <row r="58">
          <cell r="A58">
            <v>246531</v>
          </cell>
          <cell r="B58" t="str">
            <v>CCEAL</v>
          </cell>
          <cell r="C58" t="str">
            <v>Firme</v>
          </cell>
          <cell r="D58" t="str">
            <v>Energia Convencional</v>
          </cell>
          <cell r="E58" t="str">
            <v>01/04/2013 00</v>
          </cell>
          <cell r="F58" t="str">
            <v>15/07/2032 00</v>
          </cell>
          <cell r="G58" t="str">
            <v>01/02/2013 00</v>
          </cell>
          <cell r="H58" t="str">
            <v>14/07/2032 23</v>
          </cell>
          <cell r="J58" t="str">
            <v>Validado</v>
          </cell>
          <cell r="M58" t="str">
            <v>ENGIE BR GER</v>
          </cell>
          <cell r="N58" t="str">
            <v>CVRD</v>
          </cell>
          <cell r="O58" t="str">
            <v>SUL</v>
          </cell>
          <cell r="P58" t="str">
            <v>X</v>
          </cell>
          <cell r="U58" t="str">
            <v>REPASSE DE AUTO PRODUÇÃO</v>
          </cell>
          <cell r="X58" t="str">
            <v>01/12/2018 00</v>
          </cell>
          <cell r="Y58" t="str">
            <v>01/01/2019 00</v>
          </cell>
          <cell r="Z58" t="str">
            <v>38,283083</v>
          </cell>
          <cell r="AF58" t="str">
            <v>DECLARADA</v>
          </cell>
          <cell r="AG58" t="str">
            <v>Ajustado Validado</v>
          </cell>
        </row>
        <row r="59">
          <cell r="A59">
            <v>262158</v>
          </cell>
          <cell r="B59" t="str">
            <v>CCEAL</v>
          </cell>
          <cell r="C59" t="str">
            <v>Firme</v>
          </cell>
          <cell r="D59" t="str">
            <v>Energia Convencional</v>
          </cell>
          <cell r="E59" t="str">
            <v>01/03/2015 00</v>
          </cell>
          <cell r="F59" t="str">
            <v>01/02/2019 00</v>
          </cell>
          <cell r="G59" t="str">
            <v>01/04/2013 00</v>
          </cell>
          <cell r="H59" t="str">
            <v>31/01/2019 23</v>
          </cell>
          <cell r="J59" t="str">
            <v>Validado</v>
          </cell>
          <cell r="M59" t="str">
            <v>ALIANCA GERACAO</v>
          </cell>
          <cell r="N59" t="str">
            <v>CVRD PIE</v>
          </cell>
          <cell r="O59" t="str">
            <v>SUDESTE</v>
          </cell>
          <cell r="P59" t="str">
            <v>X</v>
          </cell>
          <cell r="X59" t="str">
            <v>01/12/2018 00</v>
          </cell>
          <cell r="Y59" t="str">
            <v>01/01/2019 00</v>
          </cell>
          <cell r="Z59" t="str">
            <v>0,000000</v>
          </cell>
          <cell r="AF59" t="str">
            <v>FLAT</v>
          </cell>
          <cell r="AG59" t="str">
            <v>Validado</v>
          </cell>
        </row>
        <row r="60">
          <cell r="A60">
            <v>291617</v>
          </cell>
          <cell r="B60" t="str">
            <v>CCEAL</v>
          </cell>
          <cell r="C60" t="str">
            <v>Firme</v>
          </cell>
          <cell r="D60" t="str">
            <v>Energia Convencional</v>
          </cell>
          <cell r="E60" t="str">
            <v>01/07/2014 00</v>
          </cell>
          <cell r="F60" t="str">
            <v>01/02/2019 00</v>
          </cell>
          <cell r="G60" t="str">
            <v>01/07/2013 00</v>
          </cell>
          <cell r="H60" t="str">
            <v>31/01/2019 23</v>
          </cell>
          <cell r="J60" t="str">
            <v>Validado</v>
          </cell>
          <cell r="M60" t="str">
            <v>CVRD PIE</v>
          </cell>
          <cell r="N60" t="str">
            <v>VALE ENERGIA</v>
          </cell>
          <cell r="O60" t="str">
            <v>SUDESTE</v>
          </cell>
          <cell r="P60" t="str">
            <v>X</v>
          </cell>
          <cell r="X60" t="str">
            <v>01/12/2018 00</v>
          </cell>
          <cell r="Y60" t="str">
            <v>01/01/2019 00</v>
          </cell>
          <cell r="Z60" t="str">
            <v>0,000000</v>
          </cell>
          <cell r="AF60" t="str">
            <v>FLAT</v>
          </cell>
          <cell r="AG60" t="str">
            <v>Validado</v>
          </cell>
        </row>
        <row r="61">
          <cell r="A61">
            <v>341850</v>
          </cell>
          <cell r="B61" t="str">
            <v>CCEAL</v>
          </cell>
          <cell r="C61" t="str">
            <v>Firme</v>
          </cell>
          <cell r="D61" t="str">
            <v>Energia Convencional</v>
          </cell>
          <cell r="E61" t="str">
            <v>01/03/2015 00</v>
          </cell>
          <cell r="F61" t="str">
            <v>01/02/2019 00</v>
          </cell>
          <cell r="G61" t="str">
            <v>01/07/2013 00</v>
          </cell>
          <cell r="H61" t="str">
            <v>31/01/2019 23</v>
          </cell>
          <cell r="J61" t="str">
            <v>Validado</v>
          </cell>
          <cell r="M61" t="str">
            <v>ALIANCA GERACAO</v>
          </cell>
          <cell r="N61" t="str">
            <v>CVRD</v>
          </cell>
          <cell r="O61" t="str">
            <v>SUDESTE</v>
          </cell>
          <cell r="P61" t="str">
            <v>X</v>
          </cell>
          <cell r="U61" t="str">
            <v>REPASSE DE AUTO PRODUÇÃO</v>
          </cell>
          <cell r="X61" t="str">
            <v>01/12/2018 00</v>
          </cell>
          <cell r="Y61" t="str">
            <v>01/01/2019 00</v>
          </cell>
          <cell r="Z61" t="str">
            <v>0,000000</v>
          </cell>
          <cell r="AF61" t="str">
            <v>FLAT</v>
          </cell>
          <cell r="AG61" t="str">
            <v>Validado</v>
          </cell>
        </row>
        <row r="62">
          <cell r="A62">
            <v>395151</v>
          </cell>
          <cell r="B62" t="str">
            <v>CCEAL</v>
          </cell>
          <cell r="C62" t="str">
            <v>Firme</v>
          </cell>
          <cell r="D62" t="str">
            <v>Energia Convencional</v>
          </cell>
          <cell r="E62" t="str">
            <v>01/01/2015 00</v>
          </cell>
          <cell r="F62" t="str">
            <v>01/02/2019 00</v>
          </cell>
          <cell r="G62" t="str">
            <v>01/12/2013 00</v>
          </cell>
          <cell r="H62" t="str">
            <v>31/01/2019 23</v>
          </cell>
          <cell r="J62" t="str">
            <v>Validado</v>
          </cell>
          <cell r="M62" t="str">
            <v>CVRD</v>
          </cell>
          <cell r="N62" t="str">
            <v>CVRD CL3</v>
          </cell>
          <cell r="O62" t="str">
            <v>SUDESTE</v>
          </cell>
          <cell r="P62" t="str">
            <v>X</v>
          </cell>
          <cell r="U62" t="str">
            <v>REPASSE DE AUTO PRODUÇÃO</v>
          </cell>
          <cell r="X62" t="str">
            <v>01/12/2018 00</v>
          </cell>
          <cell r="Y62" t="str">
            <v>01/01/2019 00</v>
          </cell>
          <cell r="Z62" t="str">
            <v>0,000000</v>
          </cell>
          <cell r="AF62" t="str">
            <v>FLAT</v>
          </cell>
          <cell r="AG62" t="str">
            <v>Validado</v>
          </cell>
        </row>
        <row r="63">
          <cell r="A63">
            <v>395153</v>
          </cell>
          <cell r="B63" t="str">
            <v>CCEAL</v>
          </cell>
          <cell r="C63" t="str">
            <v>Firme</v>
          </cell>
          <cell r="D63" t="str">
            <v>Energia Incentivada Especial</v>
          </cell>
          <cell r="E63" t="str">
            <v>01/02/2015 00</v>
          </cell>
          <cell r="F63" t="str">
            <v>01/02/2019 00</v>
          </cell>
          <cell r="G63" t="str">
            <v>01/12/2013 00</v>
          </cell>
          <cell r="H63" t="str">
            <v>31/01/2019 23</v>
          </cell>
          <cell r="J63" t="str">
            <v>Validado</v>
          </cell>
          <cell r="M63" t="str">
            <v>CVRD PIE I5</v>
          </cell>
          <cell r="N63" t="str">
            <v>CVRD CL3</v>
          </cell>
          <cell r="O63" t="str">
            <v>SUDESTE</v>
          </cell>
          <cell r="P63" t="str">
            <v>X</v>
          </cell>
          <cell r="X63" t="str">
            <v>01/12/2018 00</v>
          </cell>
          <cell r="Y63" t="str">
            <v>01/01/2019 00</v>
          </cell>
          <cell r="Z63" t="str">
            <v>0,000000</v>
          </cell>
          <cell r="AF63" t="str">
            <v>FLAT</v>
          </cell>
          <cell r="AG63" t="str">
            <v>Validado</v>
          </cell>
        </row>
        <row r="64">
          <cell r="A64">
            <v>395160</v>
          </cell>
          <cell r="B64" t="str">
            <v>CCEAL</v>
          </cell>
          <cell r="C64" t="str">
            <v>Firme</v>
          </cell>
          <cell r="D64" t="str">
            <v>Energia Incentivada Especial</v>
          </cell>
          <cell r="E64" t="str">
            <v>01/02/2015 00</v>
          </cell>
          <cell r="F64" t="str">
            <v>01/02/2019 00</v>
          </cell>
          <cell r="G64" t="str">
            <v>01/12/2013 00</v>
          </cell>
          <cell r="H64" t="str">
            <v>31/01/2019 23</v>
          </cell>
          <cell r="J64" t="str">
            <v>Validado</v>
          </cell>
          <cell r="M64" t="str">
            <v>VALE ENE I5</v>
          </cell>
          <cell r="N64" t="str">
            <v>CVRD CL3</v>
          </cell>
          <cell r="O64" t="str">
            <v>SUDESTE</v>
          </cell>
          <cell r="P64" t="str">
            <v>X</v>
          </cell>
          <cell r="X64" t="str">
            <v>01/12/2018 00</v>
          </cell>
          <cell r="Y64" t="str">
            <v>01/01/2019 00</v>
          </cell>
          <cell r="Z64" t="str">
            <v>0,000000</v>
          </cell>
          <cell r="AF64" t="str">
            <v>FLAT</v>
          </cell>
          <cell r="AG64" t="str">
            <v>Validado</v>
          </cell>
        </row>
        <row r="65">
          <cell r="A65">
            <v>395247</v>
          </cell>
          <cell r="B65" t="str">
            <v>CCEAL</v>
          </cell>
          <cell r="C65" t="str">
            <v>Firme</v>
          </cell>
          <cell r="D65" t="str">
            <v>Energia Convencional</v>
          </cell>
          <cell r="E65" t="str">
            <v>01/01/2015 00</v>
          </cell>
          <cell r="F65" t="str">
            <v>01/02/2019 00</v>
          </cell>
          <cell r="G65" t="str">
            <v>01/01/2014 00</v>
          </cell>
          <cell r="H65" t="str">
            <v>31/01/2019 23</v>
          </cell>
          <cell r="J65" t="str">
            <v>Validado</v>
          </cell>
          <cell r="M65" t="str">
            <v>CVRD PIE</v>
          </cell>
          <cell r="N65" t="str">
            <v>VALE ENERGIA</v>
          </cell>
          <cell r="O65" t="str">
            <v>SUDESTE</v>
          </cell>
          <cell r="P65" t="str">
            <v>X</v>
          </cell>
          <cell r="X65" t="str">
            <v>01/12/2018 00</v>
          </cell>
          <cell r="Y65" t="str">
            <v>01/01/2019 00</v>
          </cell>
          <cell r="Z65" t="str">
            <v>0,000000</v>
          </cell>
          <cell r="AF65" t="str">
            <v>FLAT</v>
          </cell>
          <cell r="AG65" t="str">
            <v>Validado</v>
          </cell>
        </row>
        <row r="66">
          <cell r="A66">
            <v>547499</v>
          </cell>
          <cell r="B66" t="str">
            <v>PROINFA</v>
          </cell>
          <cell r="D66" t="str">
            <v>Energia Convencional</v>
          </cell>
          <cell r="E66" t="str">
            <v>01/06/2016 00</v>
          </cell>
          <cell r="F66" t="str">
            <v>01/01/2026 00</v>
          </cell>
          <cell r="G66" t="str">
            <v>01/01/2014 00</v>
          </cell>
          <cell r="H66" t="str">
            <v>31/12/2025 23</v>
          </cell>
          <cell r="J66" t="str">
            <v>Rescindido</v>
          </cell>
          <cell r="M66" t="str">
            <v>ACEP</v>
          </cell>
          <cell r="N66" t="str">
            <v>CVRD</v>
          </cell>
          <cell r="O66" t="str">
            <v>SUDESTE</v>
          </cell>
          <cell r="P66" t="str">
            <v>X</v>
          </cell>
        </row>
        <row r="67">
          <cell r="A67">
            <v>547500</v>
          </cell>
          <cell r="B67" t="str">
            <v>PROINFA</v>
          </cell>
          <cell r="D67" t="str">
            <v>Energia Convencional</v>
          </cell>
          <cell r="E67" t="str">
            <v>01/01/2018 00</v>
          </cell>
          <cell r="F67" t="str">
            <v>01/01/2026 00</v>
          </cell>
          <cell r="G67" t="str">
            <v>01/01/2014 00</v>
          </cell>
          <cell r="H67" t="str">
            <v>31/12/2025 23</v>
          </cell>
          <cell r="J67" t="str">
            <v>Validado</v>
          </cell>
          <cell r="M67" t="str">
            <v>ACEP</v>
          </cell>
          <cell r="N67" t="str">
            <v>CVRD</v>
          </cell>
          <cell r="O67" t="str">
            <v>SUDESTE</v>
          </cell>
          <cell r="P67" t="str">
            <v>X</v>
          </cell>
        </row>
        <row r="68">
          <cell r="A68">
            <v>547501</v>
          </cell>
          <cell r="B68" t="str">
            <v>PROINFA</v>
          </cell>
          <cell r="D68" t="str">
            <v>Energia Convencional</v>
          </cell>
          <cell r="E68" t="str">
            <v>01/06/2016 00</v>
          </cell>
          <cell r="F68" t="str">
            <v>01/01/2026 00</v>
          </cell>
          <cell r="G68" t="str">
            <v>01/01/2014 00</v>
          </cell>
          <cell r="H68" t="str">
            <v>31/12/2025 23</v>
          </cell>
          <cell r="J68" t="str">
            <v>Rescindido</v>
          </cell>
          <cell r="M68" t="str">
            <v>ACEP</v>
          </cell>
          <cell r="N68" t="str">
            <v>CVRD</v>
          </cell>
          <cell r="O68" t="str">
            <v>SUDESTE</v>
          </cell>
          <cell r="P68" t="str">
            <v>X</v>
          </cell>
        </row>
        <row r="69">
          <cell r="A69">
            <v>557818</v>
          </cell>
          <cell r="B69" t="str">
            <v>CCEAL</v>
          </cell>
          <cell r="C69" t="str">
            <v>Firme</v>
          </cell>
          <cell r="D69" t="str">
            <v>Energia Convencional</v>
          </cell>
          <cell r="E69" t="str">
            <v>01/02/2015 00</v>
          </cell>
          <cell r="F69" t="str">
            <v>01/02/2019 00</v>
          </cell>
          <cell r="G69" t="str">
            <v>01/02/2014 00</v>
          </cell>
          <cell r="H69" t="str">
            <v>31/01/2019 23</v>
          </cell>
          <cell r="J69" t="str">
            <v>Validado</v>
          </cell>
          <cell r="M69" t="str">
            <v>VALE ENERGIA</v>
          </cell>
          <cell r="N69" t="str">
            <v>RIO DOCE SE</v>
          </cell>
          <cell r="O69" t="str">
            <v>SUDESTE</v>
          </cell>
          <cell r="P69" t="str">
            <v>X</v>
          </cell>
          <cell r="X69" t="str">
            <v>01/12/2018 00</v>
          </cell>
          <cell r="Y69" t="str">
            <v>01/01/2019 00</v>
          </cell>
          <cell r="Z69" t="str">
            <v>0,000000</v>
          </cell>
          <cell r="AF69" t="str">
            <v>FLAT</v>
          </cell>
          <cell r="AG69" t="str">
            <v>Validado</v>
          </cell>
        </row>
        <row r="70">
          <cell r="A70">
            <v>557976</v>
          </cell>
          <cell r="B70" t="str">
            <v>CCEAL</v>
          </cell>
          <cell r="C70" t="str">
            <v>Firme</v>
          </cell>
          <cell r="D70" t="str">
            <v>Energia Incentivada Especial</v>
          </cell>
          <cell r="E70" t="str">
            <v>01/02/2015 00</v>
          </cell>
          <cell r="F70" t="str">
            <v>01/02/2019 00</v>
          </cell>
          <cell r="G70" t="str">
            <v>01/02/2014 00</v>
          </cell>
          <cell r="H70" t="str">
            <v>31/01/2019 23</v>
          </cell>
          <cell r="J70" t="str">
            <v>Validado</v>
          </cell>
          <cell r="M70" t="str">
            <v>CVRD APE I5</v>
          </cell>
          <cell r="N70" t="str">
            <v>VALE ENE I5</v>
          </cell>
          <cell r="O70" t="str">
            <v>SUDESTE</v>
          </cell>
          <cell r="P70" t="str">
            <v>X</v>
          </cell>
          <cell r="X70" t="str">
            <v>01/12/2018 00</v>
          </cell>
          <cell r="Y70" t="str">
            <v>01/01/2019 00</v>
          </cell>
          <cell r="Z70" t="str">
            <v>0,000000</v>
          </cell>
          <cell r="AF70" t="str">
            <v>FLAT</v>
          </cell>
          <cell r="AG70" t="str">
            <v>Validado</v>
          </cell>
        </row>
        <row r="71">
          <cell r="A71">
            <v>558364</v>
          </cell>
          <cell r="B71" t="str">
            <v>CCEAL</v>
          </cell>
          <cell r="C71" t="str">
            <v>Firme</v>
          </cell>
          <cell r="D71" t="str">
            <v>Energia Incentivada Especial</v>
          </cell>
          <cell r="E71" t="str">
            <v>01/02/2015 00</v>
          </cell>
          <cell r="F71" t="str">
            <v>01/02/2019 00</v>
          </cell>
          <cell r="G71" t="str">
            <v>01/02/2014 00</v>
          </cell>
          <cell r="H71" t="str">
            <v>31/01/2019 23</v>
          </cell>
          <cell r="J71" t="str">
            <v>Validado</v>
          </cell>
          <cell r="M71" t="str">
            <v>CVRD APE I5</v>
          </cell>
          <cell r="N71" t="str">
            <v>CVRD PIE I5</v>
          </cell>
          <cell r="O71" t="str">
            <v>SUDESTE</v>
          </cell>
          <cell r="P71" t="str">
            <v>X</v>
          </cell>
          <cell r="X71" t="str">
            <v>01/12/2018 00</v>
          </cell>
          <cell r="Y71" t="str">
            <v>01/01/2019 00</v>
          </cell>
          <cell r="Z71" t="str">
            <v>0,000000</v>
          </cell>
          <cell r="AF71" t="str">
            <v>FLAT</v>
          </cell>
          <cell r="AG71" t="str">
            <v>Validado</v>
          </cell>
        </row>
        <row r="72">
          <cell r="A72">
            <v>558365</v>
          </cell>
          <cell r="B72" t="str">
            <v>CCEAL</v>
          </cell>
          <cell r="C72" t="str">
            <v>Firme</v>
          </cell>
          <cell r="D72" t="str">
            <v>Energia Incentivada Especial</v>
          </cell>
          <cell r="E72" t="str">
            <v>01/02/2015 00</v>
          </cell>
          <cell r="F72" t="str">
            <v>01/02/2019 00</v>
          </cell>
          <cell r="G72" t="str">
            <v>01/02/2014 00</v>
          </cell>
          <cell r="H72" t="str">
            <v>31/01/2019 23</v>
          </cell>
          <cell r="J72" t="str">
            <v>Validado</v>
          </cell>
          <cell r="M72" t="str">
            <v>CVRD PIE I5</v>
          </cell>
          <cell r="N72" t="str">
            <v>CVRD APE I5</v>
          </cell>
          <cell r="O72" t="str">
            <v>SUDESTE</v>
          </cell>
          <cell r="P72" t="str">
            <v>X</v>
          </cell>
          <cell r="X72" t="str">
            <v>01/12/2018 00</v>
          </cell>
          <cell r="Y72" t="str">
            <v>01/01/2019 00</v>
          </cell>
          <cell r="Z72" t="str">
            <v>0,000000</v>
          </cell>
          <cell r="AF72" t="str">
            <v>FLAT</v>
          </cell>
          <cell r="AG72" t="str">
            <v>Validado</v>
          </cell>
        </row>
        <row r="73">
          <cell r="A73">
            <v>558366</v>
          </cell>
          <cell r="B73" t="str">
            <v>CCEAL</v>
          </cell>
          <cell r="C73" t="str">
            <v>Firme</v>
          </cell>
          <cell r="D73" t="str">
            <v>Energia Incentivada Especial</v>
          </cell>
          <cell r="E73" t="str">
            <v>01/02/2015 00</v>
          </cell>
          <cell r="F73" t="str">
            <v>01/02/2019 00</v>
          </cell>
          <cell r="G73" t="str">
            <v>01/02/2014 00</v>
          </cell>
          <cell r="H73" t="str">
            <v>31/01/2019 23</v>
          </cell>
          <cell r="J73" t="str">
            <v>Validado</v>
          </cell>
          <cell r="M73" t="str">
            <v>CVRD PIE I5</v>
          </cell>
          <cell r="N73" t="str">
            <v>CVRD CL2</v>
          </cell>
          <cell r="O73" t="str">
            <v>SUDESTE</v>
          </cell>
          <cell r="P73" t="str">
            <v>X</v>
          </cell>
          <cell r="X73" t="str">
            <v>01/12/2018 00</v>
          </cell>
          <cell r="Y73" t="str">
            <v>01/01/2019 00</v>
          </cell>
          <cell r="Z73" t="str">
            <v>0,000000</v>
          </cell>
          <cell r="AF73" t="str">
            <v>FLAT</v>
          </cell>
          <cell r="AG73" t="str">
            <v>Validado</v>
          </cell>
        </row>
        <row r="74">
          <cell r="A74">
            <v>558367</v>
          </cell>
          <cell r="B74" t="str">
            <v>CCEAL</v>
          </cell>
          <cell r="C74" t="str">
            <v>Firme</v>
          </cell>
          <cell r="D74" t="str">
            <v>Energia Convencional</v>
          </cell>
          <cell r="E74" t="str">
            <v>01/02/2015 00</v>
          </cell>
          <cell r="F74" t="str">
            <v>01/02/2019 00</v>
          </cell>
          <cell r="G74" t="str">
            <v>01/02/2014 00</v>
          </cell>
          <cell r="H74" t="str">
            <v>31/01/2019 23</v>
          </cell>
          <cell r="J74" t="str">
            <v>Validado</v>
          </cell>
          <cell r="M74" t="str">
            <v>CVRD PIE</v>
          </cell>
          <cell r="N74" t="str">
            <v>CVRD</v>
          </cell>
          <cell r="O74" t="str">
            <v>NORTE</v>
          </cell>
          <cell r="P74" t="str">
            <v>X</v>
          </cell>
          <cell r="X74" t="str">
            <v>01/12/2018 00</v>
          </cell>
          <cell r="Y74" t="str">
            <v>01/01/2019 00</v>
          </cell>
          <cell r="Z74" t="str">
            <v>0,000000</v>
          </cell>
          <cell r="AF74" t="str">
            <v>FLAT</v>
          </cell>
          <cell r="AG74" t="str">
            <v>Validado</v>
          </cell>
        </row>
        <row r="75">
          <cell r="A75">
            <v>558730</v>
          </cell>
          <cell r="B75" t="str">
            <v>CCEAL</v>
          </cell>
          <cell r="C75" t="str">
            <v>Firme</v>
          </cell>
          <cell r="D75" t="str">
            <v>Energia Convencional</v>
          </cell>
          <cell r="E75" t="str">
            <v>01/02/2015 00</v>
          </cell>
          <cell r="F75" t="str">
            <v>01/02/2019 00</v>
          </cell>
          <cell r="G75" t="str">
            <v>01/02/2014 00</v>
          </cell>
          <cell r="H75" t="str">
            <v>31/01/2019 23</v>
          </cell>
          <cell r="J75" t="str">
            <v>Validado</v>
          </cell>
          <cell r="M75" t="str">
            <v>VALE ENERGIA</v>
          </cell>
          <cell r="N75" t="str">
            <v>CVRD</v>
          </cell>
          <cell r="O75" t="str">
            <v>SUDESTE</v>
          </cell>
          <cell r="P75" t="str">
            <v>X</v>
          </cell>
          <cell r="X75" t="str">
            <v>01/12/2018 00</v>
          </cell>
          <cell r="Y75" t="str">
            <v>01/01/2019 00</v>
          </cell>
          <cell r="Z75" t="str">
            <v>17,971679</v>
          </cell>
          <cell r="AF75" t="str">
            <v>FLAT</v>
          </cell>
          <cell r="AG75" t="str">
            <v>Ajustado Validado</v>
          </cell>
        </row>
        <row r="76">
          <cell r="A76">
            <v>558731</v>
          </cell>
          <cell r="B76" t="str">
            <v>CCEAL</v>
          </cell>
          <cell r="C76" t="str">
            <v>Firme</v>
          </cell>
          <cell r="D76" t="str">
            <v>Energia Incentivada Especial</v>
          </cell>
          <cell r="E76" t="str">
            <v>01/02/2015 00</v>
          </cell>
          <cell r="F76" t="str">
            <v>01/02/2019 00</v>
          </cell>
          <cell r="G76" t="str">
            <v>01/02/2014 00</v>
          </cell>
          <cell r="H76" t="str">
            <v>31/01/2019 23</v>
          </cell>
          <cell r="J76" t="str">
            <v>Validado</v>
          </cell>
          <cell r="M76" t="str">
            <v>VALE ENE I5</v>
          </cell>
          <cell r="N76" t="str">
            <v>CVRD</v>
          </cell>
          <cell r="O76" t="str">
            <v>SUDESTE</v>
          </cell>
          <cell r="P76" t="str">
            <v>X</v>
          </cell>
          <cell r="X76" t="str">
            <v>01/12/2018 00</v>
          </cell>
          <cell r="Y76" t="str">
            <v>01/01/2019 00</v>
          </cell>
          <cell r="Z76" t="str">
            <v>0,000000</v>
          </cell>
          <cell r="AF76" t="str">
            <v>FLAT</v>
          </cell>
          <cell r="AG76" t="str">
            <v>Validado</v>
          </cell>
        </row>
        <row r="77">
          <cell r="A77">
            <v>558732</v>
          </cell>
          <cell r="B77" t="str">
            <v>CCEAL</v>
          </cell>
          <cell r="C77" t="str">
            <v>Firme</v>
          </cell>
          <cell r="D77" t="str">
            <v>Energia Convencional</v>
          </cell>
          <cell r="E77" t="str">
            <v>01/08/2018 00</v>
          </cell>
          <cell r="F77" t="str">
            <v>01/02/2019 00</v>
          </cell>
          <cell r="G77" t="str">
            <v>01/02/2014 00</v>
          </cell>
          <cell r="H77" t="str">
            <v>31/01/2019 23</v>
          </cell>
          <cell r="J77" t="str">
            <v>Validado</v>
          </cell>
          <cell r="M77" t="str">
            <v>CVRD PIE</v>
          </cell>
          <cell r="N77" t="str">
            <v>MOSAIC FERTILIZANTES PEK</v>
          </cell>
          <cell r="O77" t="str">
            <v>SUDESTE</v>
          </cell>
          <cell r="P77" t="str">
            <v>X</v>
          </cell>
          <cell r="X77" t="str">
            <v>01/12/2018 00</v>
          </cell>
          <cell r="Y77" t="str">
            <v>01/01/2019 00</v>
          </cell>
          <cell r="Z77" t="str">
            <v>0,000000</v>
          </cell>
          <cell r="AF77" t="str">
            <v>FLAT</v>
          </cell>
          <cell r="AG77" t="str">
            <v>Validado</v>
          </cell>
        </row>
        <row r="78">
          <cell r="A78">
            <v>558733</v>
          </cell>
          <cell r="B78" t="str">
            <v>CCEAL</v>
          </cell>
          <cell r="C78" t="str">
            <v>Firme</v>
          </cell>
          <cell r="D78" t="str">
            <v>Energia Incentivada Especial</v>
          </cell>
          <cell r="E78" t="str">
            <v>01/02/2015 00</v>
          </cell>
          <cell r="F78" t="str">
            <v>01/02/2019 00</v>
          </cell>
          <cell r="G78" t="str">
            <v>01/02/2014 00</v>
          </cell>
          <cell r="H78" t="str">
            <v>31/01/2019 23</v>
          </cell>
          <cell r="J78" t="str">
            <v>Validado</v>
          </cell>
          <cell r="M78" t="str">
            <v>VALE ENE I5</v>
          </cell>
          <cell r="N78" t="str">
            <v>CVRD PIE I5</v>
          </cell>
          <cell r="O78" t="str">
            <v>SUDESTE</v>
          </cell>
          <cell r="P78" t="str">
            <v>X</v>
          </cell>
          <cell r="X78" t="str">
            <v>01/12/2018 00</v>
          </cell>
          <cell r="Y78" t="str">
            <v>01/01/2019 00</v>
          </cell>
          <cell r="Z78" t="str">
            <v>0,000000</v>
          </cell>
          <cell r="AF78" t="str">
            <v>FLAT</v>
          </cell>
          <cell r="AG78" t="str">
            <v>Validado</v>
          </cell>
        </row>
        <row r="79">
          <cell r="A79">
            <v>558735</v>
          </cell>
          <cell r="B79" t="str">
            <v>CCEAL</v>
          </cell>
          <cell r="C79" t="str">
            <v>Firme</v>
          </cell>
          <cell r="D79" t="str">
            <v>Energia Incentivada Especial</v>
          </cell>
          <cell r="E79" t="str">
            <v>01/02/2015 00</v>
          </cell>
          <cell r="F79" t="str">
            <v>01/02/2019 00</v>
          </cell>
          <cell r="G79" t="str">
            <v>01/02/2014 00</v>
          </cell>
          <cell r="H79" t="str">
            <v>31/01/2019 23</v>
          </cell>
          <cell r="J79" t="str">
            <v>Validado</v>
          </cell>
          <cell r="M79" t="str">
            <v>VALE ENE I5</v>
          </cell>
          <cell r="N79" t="str">
            <v>CVRD PIE I5</v>
          </cell>
          <cell r="O79" t="str">
            <v>NORDESTE</v>
          </cell>
          <cell r="P79" t="str">
            <v>X</v>
          </cell>
          <cell r="X79" t="str">
            <v>01/12/2018 00</v>
          </cell>
          <cell r="Y79" t="str">
            <v>01/01/2019 00</v>
          </cell>
          <cell r="Z79" t="str">
            <v>0,000000</v>
          </cell>
          <cell r="AF79" t="str">
            <v>FLAT</v>
          </cell>
          <cell r="AG79" t="str">
            <v>Validado</v>
          </cell>
        </row>
        <row r="80">
          <cell r="A80">
            <v>558736</v>
          </cell>
          <cell r="B80" t="str">
            <v>CCEAL</v>
          </cell>
          <cell r="C80" t="str">
            <v>Firme</v>
          </cell>
          <cell r="D80" t="str">
            <v>Energia Incentivada Especial</v>
          </cell>
          <cell r="E80" t="str">
            <v>01/08/2018 00</v>
          </cell>
          <cell r="F80" t="str">
            <v>01/02/2019 00</v>
          </cell>
          <cell r="G80" t="str">
            <v>01/02/2014 00</v>
          </cell>
          <cell r="H80" t="str">
            <v>31/01/2019 23</v>
          </cell>
          <cell r="J80" t="str">
            <v>Validado</v>
          </cell>
          <cell r="M80" t="str">
            <v>CVRD PIE I5</v>
          </cell>
          <cell r="N80" t="str">
            <v>MOSAIC FERTILIZANTES I5</v>
          </cell>
          <cell r="O80" t="str">
            <v>SUDESTE</v>
          </cell>
          <cell r="P80" t="str">
            <v>X</v>
          </cell>
          <cell r="X80" t="str">
            <v>01/12/2018 00</v>
          </cell>
          <cell r="Y80" t="str">
            <v>01/01/2019 00</v>
          </cell>
          <cell r="Z80" t="str">
            <v>0,000000</v>
          </cell>
          <cell r="AF80" t="str">
            <v>FLAT</v>
          </cell>
          <cell r="AG80" t="str">
            <v>Validado</v>
          </cell>
        </row>
        <row r="81">
          <cell r="A81">
            <v>558737</v>
          </cell>
          <cell r="B81" t="str">
            <v>CCEAL</v>
          </cell>
          <cell r="C81" t="str">
            <v>Firme</v>
          </cell>
          <cell r="D81" t="str">
            <v>Energia Convencional</v>
          </cell>
          <cell r="E81" t="str">
            <v>01/02/2015 00</v>
          </cell>
          <cell r="F81" t="str">
            <v>01/02/2019 00</v>
          </cell>
          <cell r="G81" t="str">
            <v>01/02/2014 00</v>
          </cell>
          <cell r="H81" t="str">
            <v>31/01/2019 23</v>
          </cell>
          <cell r="J81" t="str">
            <v>Validado</v>
          </cell>
          <cell r="M81" t="str">
            <v>VALE ENERGIA</v>
          </cell>
          <cell r="N81" t="str">
            <v>CVRD PIE</v>
          </cell>
          <cell r="O81" t="str">
            <v>SUDESTE</v>
          </cell>
          <cell r="P81" t="str">
            <v>X</v>
          </cell>
          <cell r="X81" t="str">
            <v>01/12/2018 00</v>
          </cell>
          <cell r="Y81" t="str">
            <v>01/01/2019 00</v>
          </cell>
          <cell r="Z81" t="str">
            <v>0,000000</v>
          </cell>
          <cell r="AF81" t="str">
            <v>FLAT</v>
          </cell>
          <cell r="AG81" t="str">
            <v>Validado</v>
          </cell>
        </row>
        <row r="82">
          <cell r="A82">
            <v>566601</v>
          </cell>
          <cell r="B82" t="str">
            <v>CCEAL</v>
          </cell>
          <cell r="C82" t="str">
            <v>Firme</v>
          </cell>
          <cell r="D82" t="str">
            <v>Energia Incentivada Especial</v>
          </cell>
          <cell r="E82" t="str">
            <v>01/02/2015 00</v>
          </cell>
          <cell r="F82" t="str">
            <v>01/02/2019 00</v>
          </cell>
          <cell r="G82" t="str">
            <v>01/02/2014 00</v>
          </cell>
          <cell r="H82" t="str">
            <v>31/01/2019 23</v>
          </cell>
          <cell r="J82" t="str">
            <v>Validado</v>
          </cell>
          <cell r="M82" t="str">
            <v>CVRD APE I5</v>
          </cell>
          <cell r="N82" t="str">
            <v>CVRD CL2</v>
          </cell>
          <cell r="O82" t="str">
            <v>SUDESTE</v>
          </cell>
          <cell r="P82" t="str">
            <v>X</v>
          </cell>
          <cell r="X82" t="str">
            <v>01/12/2018 00</v>
          </cell>
          <cell r="Y82" t="str">
            <v>01/01/2019 00</v>
          </cell>
          <cell r="Z82" t="str">
            <v>0,000000</v>
          </cell>
          <cell r="AF82" t="str">
            <v>FLAT</v>
          </cell>
          <cell r="AG82" t="str">
            <v>Validado</v>
          </cell>
        </row>
        <row r="83">
          <cell r="A83">
            <v>566648</v>
          </cell>
          <cell r="B83" t="str">
            <v>CCEAL</v>
          </cell>
          <cell r="C83" t="str">
            <v>Firme</v>
          </cell>
          <cell r="D83" t="str">
            <v>Energia Incentivada Especial</v>
          </cell>
          <cell r="E83" t="str">
            <v>01/08/2018 00</v>
          </cell>
          <cell r="F83" t="str">
            <v>01/02/2019 00</v>
          </cell>
          <cell r="G83" t="str">
            <v>01/02/2014 00</v>
          </cell>
          <cell r="H83" t="str">
            <v>31/01/2019 23</v>
          </cell>
          <cell r="J83" t="str">
            <v>Validado</v>
          </cell>
          <cell r="M83" t="str">
            <v>CVRD APE I5</v>
          </cell>
          <cell r="N83" t="str">
            <v>MOSAIC FERTILIZANTES I5</v>
          </cell>
          <cell r="O83" t="str">
            <v>SUDESTE</v>
          </cell>
          <cell r="P83" t="str">
            <v>X</v>
          </cell>
          <cell r="X83" t="str">
            <v>01/12/2018 00</v>
          </cell>
          <cell r="Y83" t="str">
            <v>01/01/2019 00</v>
          </cell>
          <cell r="Z83" t="str">
            <v>0,000000</v>
          </cell>
          <cell r="AF83" t="str">
            <v>FLAT</v>
          </cell>
          <cell r="AG83" t="str">
            <v>Validado</v>
          </cell>
        </row>
        <row r="84">
          <cell r="A84">
            <v>566654</v>
          </cell>
          <cell r="B84" t="str">
            <v>CCEAL</v>
          </cell>
          <cell r="C84" t="str">
            <v>Firme</v>
          </cell>
          <cell r="D84" t="str">
            <v>Energia Incentivada Especial</v>
          </cell>
          <cell r="E84" t="str">
            <v>01/03/2015 00</v>
          </cell>
          <cell r="F84" t="str">
            <v>01/02/2019 00</v>
          </cell>
          <cell r="G84" t="str">
            <v>01/02/2014 00</v>
          </cell>
          <cell r="H84" t="str">
            <v>31/01/2019 23</v>
          </cell>
          <cell r="J84" t="str">
            <v>Validado</v>
          </cell>
          <cell r="M84" t="str">
            <v>CVRD APE I5</v>
          </cell>
          <cell r="N84" t="str">
            <v>ALIANCA GERACAO</v>
          </cell>
          <cell r="O84" t="str">
            <v>SUDESTE</v>
          </cell>
          <cell r="P84" t="str">
            <v>X</v>
          </cell>
          <cell r="X84" t="str">
            <v>01/12/2018 00</v>
          </cell>
          <cell r="Y84" t="str">
            <v>01/01/2019 00</v>
          </cell>
          <cell r="Z84" t="str">
            <v>0,000000</v>
          </cell>
          <cell r="AF84" t="str">
            <v>FLAT</v>
          </cell>
          <cell r="AG84" t="str">
            <v>Validado</v>
          </cell>
        </row>
        <row r="85">
          <cell r="A85">
            <v>566657</v>
          </cell>
          <cell r="B85" t="str">
            <v>CCEAL</v>
          </cell>
          <cell r="C85" t="str">
            <v>Firme</v>
          </cell>
          <cell r="D85" t="str">
            <v>Energia Convencional</v>
          </cell>
          <cell r="E85" t="str">
            <v>01/02/2015 00</v>
          </cell>
          <cell r="F85" t="str">
            <v>01/02/2019 00</v>
          </cell>
          <cell r="G85" t="str">
            <v>01/02/2014 00</v>
          </cell>
          <cell r="H85" t="str">
            <v>31/01/2019 23</v>
          </cell>
          <cell r="J85" t="str">
            <v>Validado</v>
          </cell>
          <cell r="M85" t="str">
            <v>CVRD PIE</v>
          </cell>
          <cell r="N85" t="str">
            <v>CVRD CL2</v>
          </cell>
          <cell r="O85" t="str">
            <v>SUDESTE</v>
          </cell>
          <cell r="P85" t="str">
            <v>X</v>
          </cell>
          <cell r="X85" t="str">
            <v>01/12/2018 00</v>
          </cell>
          <cell r="Y85" t="str">
            <v>01/01/2019 00</v>
          </cell>
          <cell r="Z85" t="str">
            <v>0,000000</v>
          </cell>
          <cell r="AF85" t="str">
            <v>FLAT</v>
          </cell>
          <cell r="AG85" t="str">
            <v>Validado</v>
          </cell>
        </row>
        <row r="86">
          <cell r="A86">
            <v>566680</v>
          </cell>
          <cell r="B86" t="str">
            <v>CCEAL</v>
          </cell>
          <cell r="C86" t="str">
            <v>Firme</v>
          </cell>
          <cell r="D86" t="str">
            <v>Energia Convencional</v>
          </cell>
          <cell r="E86" t="str">
            <v>01/03/2015 00</v>
          </cell>
          <cell r="F86" t="str">
            <v>01/02/2019 00</v>
          </cell>
          <cell r="G86" t="str">
            <v>01/02/2014 00</v>
          </cell>
          <cell r="H86" t="str">
            <v>31/01/2019 23</v>
          </cell>
          <cell r="J86" t="str">
            <v>Validado</v>
          </cell>
          <cell r="M86" t="str">
            <v>CVRD PIE</v>
          </cell>
          <cell r="N86" t="str">
            <v>ALIANCA GERACAO</v>
          </cell>
          <cell r="O86" t="str">
            <v>SUDESTE</v>
          </cell>
          <cell r="P86" t="str">
            <v>X</v>
          </cell>
          <cell r="X86" t="str">
            <v>01/12/2018 00</v>
          </cell>
          <cell r="Y86" t="str">
            <v>01/01/2019 00</v>
          </cell>
          <cell r="Z86" t="str">
            <v>0,000000</v>
          </cell>
          <cell r="AF86" t="str">
            <v>FLAT</v>
          </cell>
          <cell r="AG86" t="str">
            <v>Validado</v>
          </cell>
        </row>
        <row r="87">
          <cell r="A87">
            <v>566711</v>
          </cell>
          <cell r="B87" t="str">
            <v>CCEAL</v>
          </cell>
          <cell r="C87" t="str">
            <v>Firme</v>
          </cell>
          <cell r="D87" t="str">
            <v>Energia Convencional</v>
          </cell>
          <cell r="E87" t="str">
            <v>01/02/2015 00</v>
          </cell>
          <cell r="F87" t="str">
            <v>01/02/2019 00</v>
          </cell>
          <cell r="G87" t="str">
            <v>01/02/2014 00</v>
          </cell>
          <cell r="H87" t="str">
            <v>31/01/2019 23</v>
          </cell>
          <cell r="J87" t="str">
            <v>Validado</v>
          </cell>
          <cell r="M87" t="str">
            <v>CVRD PIE</v>
          </cell>
          <cell r="N87" t="str">
            <v>SALOBO</v>
          </cell>
          <cell r="O87" t="str">
            <v>NORTE</v>
          </cell>
          <cell r="P87" t="str">
            <v>X</v>
          </cell>
          <cell r="X87" t="str">
            <v>01/12/2018 00</v>
          </cell>
          <cell r="Y87" t="str">
            <v>01/01/2019 00</v>
          </cell>
          <cell r="Z87" t="str">
            <v>0,000000</v>
          </cell>
          <cell r="AF87" t="str">
            <v>FLAT</v>
          </cell>
          <cell r="AG87" t="str">
            <v>Validado</v>
          </cell>
        </row>
        <row r="88">
          <cell r="A88">
            <v>566783</v>
          </cell>
          <cell r="B88" t="str">
            <v>CCEAL</v>
          </cell>
          <cell r="C88" t="str">
            <v>Firme</v>
          </cell>
          <cell r="D88" t="str">
            <v>Energia Incentivada Especial</v>
          </cell>
          <cell r="E88" t="str">
            <v>01/02/2015 00</v>
          </cell>
          <cell r="F88" t="str">
            <v>01/02/2019 00</v>
          </cell>
          <cell r="G88" t="str">
            <v>01/02/2014 00</v>
          </cell>
          <cell r="H88" t="str">
            <v>31/01/2019 23</v>
          </cell>
          <cell r="J88" t="str">
            <v>Validado</v>
          </cell>
          <cell r="M88" t="str">
            <v>CVRD PIE I5</v>
          </cell>
          <cell r="N88" t="str">
            <v>VALE ENE I5</v>
          </cell>
          <cell r="O88" t="str">
            <v>SUDESTE</v>
          </cell>
          <cell r="P88" t="str">
            <v>X</v>
          </cell>
          <cell r="X88" t="str">
            <v>01/12/2018 00</v>
          </cell>
          <cell r="Y88" t="str">
            <v>01/01/2019 00</v>
          </cell>
          <cell r="Z88" t="str">
            <v>0,000000</v>
          </cell>
          <cell r="AF88" t="str">
            <v>FLAT</v>
          </cell>
          <cell r="AG88" t="str">
            <v>Validado</v>
          </cell>
        </row>
        <row r="89">
          <cell r="A89">
            <v>566784</v>
          </cell>
          <cell r="B89" t="str">
            <v>CCEAL</v>
          </cell>
          <cell r="C89" t="str">
            <v>Firme</v>
          </cell>
          <cell r="D89" t="str">
            <v>Energia Incentivada Especial</v>
          </cell>
          <cell r="E89" t="str">
            <v>01/03/2015 00</v>
          </cell>
          <cell r="F89" t="str">
            <v>01/02/2019 00</v>
          </cell>
          <cell r="G89" t="str">
            <v>01/02/2014 00</v>
          </cell>
          <cell r="H89" t="str">
            <v>31/01/2019 23</v>
          </cell>
          <cell r="J89" t="str">
            <v>Validado</v>
          </cell>
          <cell r="M89" t="str">
            <v>CVRD PIE I5</v>
          </cell>
          <cell r="N89" t="str">
            <v>ALIANCA GERACAO</v>
          </cell>
          <cell r="O89" t="str">
            <v>SUDESTE</v>
          </cell>
          <cell r="P89" t="str">
            <v>X</v>
          </cell>
          <cell r="X89" t="str">
            <v>01/12/2018 00</v>
          </cell>
          <cell r="Y89" t="str">
            <v>01/01/2019 00</v>
          </cell>
          <cell r="Z89" t="str">
            <v>0,000000</v>
          </cell>
          <cell r="AF89" t="str">
            <v>FLAT</v>
          </cell>
          <cell r="AG89" t="str">
            <v>Validado</v>
          </cell>
        </row>
        <row r="90">
          <cell r="A90">
            <v>566787</v>
          </cell>
          <cell r="B90" t="str">
            <v>CCEAL</v>
          </cell>
          <cell r="C90" t="str">
            <v>Firme</v>
          </cell>
          <cell r="D90" t="str">
            <v>Energia Convencional</v>
          </cell>
          <cell r="E90" t="str">
            <v>01/02/2015 00</v>
          </cell>
          <cell r="F90" t="str">
            <v>01/02/2019 00</v>
          </cell>
          <cell r="G90" t="str">
            <v>01/02/2014 00</v>
          </cell>
          <cell r="H90" t="str">
            <v>31/01/2019 23</v>
          </cell>
          <cell r="J90" t="str">
            <v>Validado</v>
          </cell>
          <cell r="M90" t="str">
            <v>VALE ENERGIA</v>
          </cell>
          <cell r="N90" t="str">
            <v>CVRD PIE</v>
          </cell>
          <cell r="O90" t="str">
            <v>NORTE</v>
          </cell>
          <cell r="P90" t="str">
            <v>X</v>
          </cell>
          <cell r="X90" t="str">
            <v>01/12/2018 00</v>
          </cell>
          <cell r="Y90" t="str">
            <v>01/01/2019 00</v>
          </cell>
          <cell r="Z90" t="str">
            <v>0,000000</v>
          </cell>
          <cell r="AF90" t="str">
            <v>FLAT</v>
          </cell>
          <cell r="AG90" t="str">
            <v>Validado</v>
          </cell>
        </row>
        <row r="91">
          <cell r="A91">
            <v>566824</v>
          </cell>
          <cell r="B91" t="str">
            <v>CCEAL</v>
          </cell>
          <cell r="C91" t="str">
            <v>Firme</v>
          </cell>
          <cell r="D91" t="str">
            <v>Energia Convencional</v>
          </cell>
          <cell r="E91" t="str">
            <v>01/02/2015 00</v>
          </cell>
          <cell r="F91" t="str">
            <v>01/02/2019 00</v>
          </cell>
          <cell r="G91" t="str">
            <v>01/02/2014 00</v>
          </cell>
          <cell r="H91" t="str">
            <v>31/01/2019 23</v>
          </cell>
          <cell r="J91" t="str">
            <v>Validado</v>
          </cell>
          <cell r="M91" t="str">
            <v>VALE ENERGIA</v>
          </cell>
          <cell r="N91" t="str">
            <v>CVRD CL3</v>
          </cell>
          <cell r="O91" t="str">
            <v>SUDESTE</v>
          </cell>
          <cell r="P91" t="str">
            <v>X</v>
          </cell>
          <cell r="X91" t="str">
            <v>01/12/2018 00</v>
          </cell>
          <cell r="Y91" t="str">
            <v>01/01/2019 00</v>
          </cell>
          <cell r="Z91" t="str">
            <v>0,000000</v>
          </cell>
          <cell r="AF91" t="str">
            <v>FLAT</v>
          </cell>
          <cell r="AG91" t="str">
            <v>Validado</v>
          </cell>
        </row>
        <row r="92">
          <cell r="A92">
            <v>566830</v>
          </cell>
          <cell r="B92" t="str">
            <v>CCEAL</v>
          </cell>
          <cell r="C92" t="str">
            <v>Firme</v>
          </cell>
          <cell r="D92" t="str">
            <v>Energia Convencional</v>
          </cell>
          <cell r="E92" t="str">
            <v>01/02/2015 00</v>
          </cell>
          <cell r="F92" t="str">
            <v>01/02/2019 00</v>
          </cell>
          <cell r="G92" t="str">
            <v>01/02/2014 00</v>
          </cell>
          <cell r="H92" t="str">
            <v>31/01/2019 23</v>
          </cell>
          <cell r="J92" t="str">
            <v>Validado</v>
          </cell>
          <cell r="M92" t="str">
            <v>VALE ENERGIA</v>
          </cell>
          <cell r="N92" t="str">
            <v>CVRD CL2</v>
          </cell>
          <cell r="O92" t="str">
            <v>SUDESTE</v>
          </cell>
          <cell r="P92" t="str">
            <v>X</v>
          </cell>
          <cell r="X92" t="str">
            <v>01/12/2018 00</v>
          </cell>
          <cell r="Y92" t="str">
            <v>01/01/2019 00</v>
          </cell>
          <cell r="Z92" t="str">
            <v>0,000000</v>
          </cell>
          <cell r="AF92" t="str">
            <v>FLAT</v>
          </cell>
          <cell r="AG92" t="str">
            <v>Validado</v>
          </cell>
        </row>
        <row r="93">
          <cell r="A93">
            <v>566831</v>
          </cell>
          <cell r="B93" t="str">
            <v>CCEAL</v>
          </cell>
          <cell r="C93" t="str">
            <v>Firme</v>
          </cell>
          <cell r="D93" t="str">
            <v>Energia Convencional</v>
          </cell>
          <cell r="E93" t="str">
            <v>01/03/2015 00</v>
          </cell>
          <cell r="F93" t="str">
            <v>01/02/2019 00</v>
          </cell>
          <cell r="G93" t="str">
            <v>01/02/2014 00</v>
          </cell>
          <cell r="H93" t="str">
            <v>31/01/2019 23</v>
          </cell>
          <cell r="J93" t="str">
            <v>Validado</v>
          </cell>
          <cell r="M93" t="str">
            <v>VALE ENERGIA</v>
          </cell>
          <cell r="N93" t="str">
            <v>ALIANCA GERACAO</v>
          </cell>
          <cell r="O93" t="str">
            <v>SUDESTE</v>
          </cell>
          <cell r="P93" t="str">
            <v>X</v>
          </cell>
          <cell r="X93" t="str">
            <v>01/12/2018 00</v>
          </cell>
          <cell r="Y93" t="str">
            <v>01/01/2019 00</v>
          </cell>
          <cell r="Z93" t="str">
            <v>0,000000</v>
          </cell>
          <cell r="AF93" t="str">
            <v>FLAT</v>
          </cell>
          <cell r="AG93" t="str">
            <v>Validado</v>
          </cell>
        </row>
        <row r="94">
          <cell r="A94">
            <v>566832</v>
          </cell>
          <cell r="B94" t="str">
            <v>CCEAL</v>
          </cell>
          <cell r="C94" t="str">
            <v>Firme</v>
          </cell>
          <cell r="D94" t="str">
            <v>Energia Incentivada Especial</v>
          </cell>
          <cell r="E94" t="str">
            <v>01/08/2018 00</v>
          </cell>
          <cell r="F94" t="str">
            <v>01/02/2019 00</v>
          </cell>
          <cell r="G94" t="str">
            <v>01/02/2014 00</v>
          </cell>
          <cell r="H94" t="str">
            <v>31/01/2019 23</v>
          </cell>
          <cell r="J94" t="str">
            <v>Validado</v>
          </cell>
          <cell r="M94" t="str">
            <v>VALE ENE I5</v>
          </cell>
          <cell r="N94" t="str">
            <v>MOSAIC FERTILIZANTES I5</v>
          </cell>
          <cell r="O94" t="str">
            <v>SUDESTE</v>
          </cell>
          <cell r="P94" t="str">
            <v>X</v>
          </cell>
          <cell r="X94" t="str">
            <v>01/12/2018 00</v>
          </cell>
          <cell r="Y94" t="str">
            <v>01/01/2019 00</v>
          </cell>
          <cell r="Z94" t="str">
            <v>0,000000</v>
          </cell>
          <cell r="AF94" t="str">
            <v>FLAT</v>
          </cell>
          <cell r="AG94" t="str">
            <v>Validado</v>
          </cell>
        </row>
        <row r="95">
          <cell r="A95">
            <v>566833</v>
          </cell>
          <cell r="B95" t="str">
            <v>CCEAL</v>
          </cell>
          <cell r="C95" t="str">
            <v>Firme</v>
          </cell>
          <cell r="D95" t="str">
            <v>Energia Incentivada Especial</v>
          </cell>
          <cell r="E95" t="str">
            <v>01/02/2015 00</v>
          </cell>
          <cell r="F95" t="str">
            <v>01/02/2019 00</v>
          </cell>
          <cell r="G95" t="str">
            <v>01/02/2014 00</v>
          </cell>
          <cell r="H95" t="str">
            <v>31/01/2019 23</v>
          </cell>
          <cell r="J95" t="str">
            <v>Validado</v>
          </cell>
          <cell r="M95" t="str">
            <v>VALE ENE I5</v>
          </cell>
          <cell r="N95" t="str">
            <v>CVRD APE I5</v>
          </cell>
          <cell r="O95" t="str">
            <v>SUDESTE</v>
          </cell>
          <cell r="P95" t="str">
            <v>X</v>
          </cell>
          <cell r="X95" t="str">
            <v>01/12/2018 00</v>
          </cell>
          <cell r="Y95" t="str">
            <v>01/01/2019 00</v>
          </cell>
          <cell r="Z95" t="str">
            <v>0,000000</v>
          </cell>
          <cell r="AF95" t="str">
            <v>FLAT</v>
          </cell>
          <cell r="AG95" t="str">
            <v>Validado</v>
          </cell>
        </row>
        <row r="96">
          <cell r="A96">
            <v>566834</v>
          </cell>
          <cell r="B96" t="str">
            <v>CCEAL</v>
          </cell>
          <cell r="C96" t="str">
            <v>Firme</v>
          </cell>
          <cell r="D96" t="str">
            <v>Energia Incentivada Especial</v>
          </cell>
          <cell r="E96" t="str">
            <v>01/03/2015 00</v>
          </cell>
          <cell r="F96" t="str">
            <v>01/02/2019 00</v>
          </cell>
          <cell r="G96" t="str">
            <v>01/02/2014 00</v>
          </cell>
          <cell r="H96" t="str">
            <v>31/01/2019 23</v>
          </cell>
          <cell r="J96" t="str">
            <v>Validado</v>
          </cell>
          <cell r="M96" t="str">
            <v>VALE ENE I5</v>
          </cell>
          <cell r="N96" t="str">
            <v>ALIANCA GERACAO</v>
          </cell>
          <cell r="O96" t="str">
            <v>SUDESTE</v>
          </cell>
          <cell r="P96" t="str">
            <v>X</v>
          </cell>
          <cell r="X96" t="str">
            <v>01/12/2018 00</v>
          </cell>
          <cell r="Y96" t="str">
            <v>01/01/2019 00</v>
          </cell>
          <cell r="Z96" t="str">
            <v>0,000000</v>
          </cell>
          <cell r="AF96" t="str">
            <v>FLAT</v>
          </cell>
          <cell r="AG96" t="str">
            <v>Validado</v>
          </cell>
        </row>
        <row r="97">
          <cell r="A97">
            <v>566840</v>
          </cell>
          <cell r="B97" t="str">
            <v>CCEAL</v>
          </cell>
          <cell r="C97" t="str">
            <v>Firme</v>
          </cell>
          <cell r="D97" t="str">
            <v>Energia Incentivada Especial</v>
          </cell>
          <cell r="E97" t="str">
            <v>01/02/2015 00</v>
          </cell>
          <cell r="F97" t="str">
            <v>01/02/2019 00</v>
          </cell>
          <cell r="G97" t="str">
            <v>01/02/2014 00</v>
          </cell>
          <cell r="H97" t="str">
            <v>31/01/2019 23</v>
          </cell>
          <cell r="J97" t="str">
            <v>Validado</v>
          </cell>
          <cell r="M97" t="str">
            <v>CVRD PIE I5</v>
          </cell>
          <cell r="N97" t="str">
            <v>CVRD</v>
          </cell>
          <cell r="O97" t="str">
            <v>SUDESTE</v>
          </cell>
          <cell r="P97" t="str">
            <v>X</v>
          </cell>
          <cell r="X97" t="str">
            <v>01/12/2018 00</v>
          </cell>
          <cell r="Y97" t="str">
            <v>01/01/2019 00</v>
          </cell>
          <cell r="Z97" t="str">
            <v>0,000000</v>
          </cell>
          <cell r="AF97" t="str">
            <v>FLAT</v>
          </cell>
          <cell r="AG97" t="str">
            <v>Validado</v>
          </cell>
        </row>
        <row r="98">
          <cell r="A98">
            <v>567025</v>
          </cell>
          <cell r="B98" t="str">
            <v>CCEAL</v>
          </cell>
          <cell r="C98" t="str">
            <v>Firme</v>
          </cell>
          <cell r="D98" t="str">
            <v>Energia Incentivada Especial</v>
          </cell>
          <cell r="E98" t="str">
            <v>01/02/2015 00</v>
          </cell>
          <cell r="F98" t="str">
            <v>01/02/2019 00</v>
          </cell>
          <cell r="G98" t="str">
            <v>01/02/2014 00</v>
          </cell>
          <cell r="H98" t="str">
            <v>31/01/2019 23</v>
          </cell>
          <cell r="J98" t="str">
            <v>Validado</v>
          </cell>
          <cell r="M98" t="str">
            <v>CVRD APE I5</v>
          </cell>
          <cell r="N98" t="str">
            <v>CVRD CL3</v>
          </cell>
          <cell r="O98" t="str">
            <v>SUDESTE</v>
          </cell>
          <cell r="P98" t="str">
            <v>X</v>
          </cell>
          <cell r="U98" t="str">
            <v>REPASSE DE AUTO PRODUÇÃO</v>
          </cell>
          <cell r="X98" t="str">
            <v>01/12/2018 00</v>
          </cell>
          <cell r="Y98" t="str">
            <v>01/01/2019 00</v>
          </cell>
          <cell r="Z98" t="str">
            <v>0,000000</v>
          </cell>
          <cell r="AF98" t="str">
            <v>FLAT</v>
          </cell>
          <cell r="AG98" t="str">
            <v>Validado</v>
          </cell>
        </row>
        <row r="99">
          <cell r="A99">
            <v>567046</v>
          </cell>
          <cell r="B99" t="str">
            <v>CCEAL</v>
          </cell>
          <cell r="C99" t="str">
            <v>Firme</v>
          </cell>
          <cell r="D99" t="str">
            <v>Energia Incentivada Especial</v>
          </cell>
          <cell r="E99" t="str">
            <v>01/02/2015 00</v>
          </cell>
          <cell r="F99" t="str">
            <v>01/02/2019 00</v>
          </cell>
          <cell r="G99" t="str">
            <v>01/02/2014 00</v>
          </cell>
          <cell r="H99" t="str">
            <v>31/01/2019 23</v>
          </cell>
          <cell r="J99" t="str">
            <v>Validado</v>
          </cell>
          <cell r="M99" t="str">
            <v>CVRD APE I5</v>
          </cell>
          <cell r="N99" t="str">
            <v>CVRD CL2</v>
          </cell>
          <cell r="O99" t="str">
            <v>SUDESTE</v>
          </cell>
          <cell r="P99" t="str">
            <v>X</v>
          </cell>
          <cell r="U99" t="str">
            <v>REPASSE DE AUTO PRODUÇÃO</v>
          </cell>
          <cell r="X99" t="str">
            <v>01/12/2018 00</v>
          </cell>
          <cell r="Y99" t="str">
            <v>01/01/2019 00</v>
          </cell>
          <cell r="Z99" t="str">
            <v>0,000000</v>
          </cell>
          <cell r="AF99" t="str">
            <v>FLAT</v>
          </cell>
          <cell r="AG99" t="str">
            <v>Validado</v>
          </cell>
        </row>
        <row r="100">
          <cell r="A100">
            <v>567194</v>
          </cell>
          <cell r="B100" t="str">
            <v>CCEAL</v>
          </cell>
          <cell r="C100" t="str">
            <v>Firme</v>
          </cell>
          <cell r="D100" t="str">
            <v>Energia Convencional</v>
          </cell>
          <cell r="E100" t="str">
            <v>01/02/2015 00</v>
          </cell>
          <cell r="F100" t="str">
            <v>01/02/2019 00</v>
          </cell>
          <cell r="G100" t="str">
            <v>01/02/2014 00</v>
          </cell>
          <cell r="H100" t="str">
            <v>31/01/2019 23</v>
          </cell>
          <cell r="J100" t="str">
            <v>Validado</v>
          </cell>
          <cell r="M100" t="str">
            <v>CVRD PIE</v>
          </cell>
          <cell r="N100" t="str">
            <v>CVRD</v>
          </cell>
          <cell r="O100" t="str">
            <v>SUDESTE</v>
          </cell>
          <cell r="P100" t="str">
            <v>X</v>
          </cell>
          <cell r="U100" t="str">
            <v>REPASSE DE AUTO PRODUÇÃO</v>
          </cell>
          <cell r="X100" t="str">
            <v>01/12/2018 00</v>
          </cell>
          <cell r="Y100" t="str">
            <v>01/01/2019 00</v>
          </cell>
          <cell r="Z100" t="str">
            <v>369,575796</v>
          </cell>
          <cell r="AF100" t="str">
            <v>FLAT</v>
          </cell>
          <cell r="AG100" t="str">
            <v>Ajustado Validado</v>
          </cell>
        </row>
        <row r="101">
          <cell r="A101">
            <v>567196</v>
          </cell>
          <cell r="B101" t="str">
            <v>CCEAL</v>
          </cell>
          <cell r="C101" t="str">
            <v>Firme</v>
          </cell>
          <cell r="D101" t="str">
            <v>Energia Convencional</v>
          </cell>
          <cell r="E101" t="str">
            <v>01/02/2015 00</v>
          </cell>
          <cell r="F101" t="str">
            <v>01/02/2019 00</v>
          </cell>
          <cell r="G101" t="str">
            <v>01/02/2014 00</v>
          </cell>
          <cell r="H101" t="str">
            <v>31/01/2019 23</v>
          </cell>
          <cell r="J101" t="str">
            <v>Validado</v>
          </cell>
          <cell r="M101" t="str">
            <v>CVRD PIE</v>
          </cell>
          <cell r="N101" t="str">
            <v>CVRD</v>
          </cell>
          <cell r="O101" t="str">
            <v>NORTE</v>
          </cell>
          <cell r="P101" t="str">
            <v>X</v>
          </cell>
          <cell r="U101" t="str">
            <v>REPASSE DE AUTO PRODUÇÃO</v>
          </cell>
          <cell r="X101" t="str">
            <v>01/12/2018 00</v>
          </cell>
          <cell r="Y101" t="str">
            <v>01/01/2019 00</v>
          </cell>
          <cell r="Z101" t="str">
            <v>262,998289</v>
          </cell>
          <cell r="AF101" t="str">
            <v>FLAT</v>
          </cell>
          <cell r="AG101" t="str">
            <v>Ajustado Validado</v>
          </cell>
        </row>
        <row r="102">
          <cell r="A102">
            <v>567197</v>
          </cell>
          <cell r="B102" t="str">
            <v>CCEAL</v>
          </cell>
          <cell r="C102" t="str">
            <v>Firme</v>
          </cell>
          <cell r="D102" t="str">
            <v>Energia Convencional</v>
          </cell>
          <cell r="E102" t="str">
            <v>01/02/2015 00</v>
          </cell>
          <cell r="F102" t="str">
            <v>01/02/2019 00</v>
          </cell>
          <cell r="G102" t="str">
            <v>01/02/2014 00</v>
          </cell>
          <cell r="H102" t="str">
            <v>31/01/2019 23</v>
          </cell>
          <cell r="J102" t="str">
            <v>Validado</v>
          </cell>
          <cell r="M102" t="str">
            <v>CVRD PIE</v>
          </cell>
          <cell r="N102" t="str">
            <v>CVRD CL3</v>
          </cell>
          <cell r="O102" t="str">
            <v>SUDESTE</v>
          </cell>
          <cell r="P102" t="str">
            <v>X</v>
          </cell>
          <cell r="U102" t="str">
            <v>REPASSE DE AUTO PRODUÇÃO</v>
          </cell>
          <cell r="X102" t="str">
            <v>01/12/2018 00</v>
          </cell>
          <cell r="Y102" t="str">
            <v>01/01/2019 00</v>
          </cell>
          <cell r="Z102" t="str">
            <v>213,026385</v>
          </cell>
          <cell r="AF102" t="str">
            <v>FLAT</v>
          </cell>
          <cell r="AG102" t="str">
            <v>Ajustado Validado</v>
          </cell>
        </row>
        <row r="103">
          <cell r="A103">
            <v>567235</v>
          </cell>
          <cell r="B103" t="str">
            <v>CCEAL</v>
          </cell>
          <cell r="C103" t="str">
            <v>Firme</v>
          </cell>
          <cell r="D103" t="str">
            <v>Energia Convencional</v>
          </cell>
          <cell r="E103" t="str">
            <v>01/02/2015 00</v>
          </cell>
          <cell r="F103" t="str">
            <v>01/02/2019 00</v>
          </cell>
          <cell r="G103" t="str">
            <v>01/02/2014 00</v>
          </cell>
          <cell r="H103" t="str">
            <v>31/01/2019 23</v>
          </cell>
          <cell r="J103" t="str">
            <v>Validado</v>
          </cell>
          <cell r="M103" t="str">
            <v>CVRD PIE</v>
          </cell>
          <cell r="N103" t="str">
            <v>CVRD CL2</v>
          </cell>
          <cell r="O103" t="str">
            <v>SUDESTE</v>
          </cell>
          <cell r="P103" t="str">
            <v>X</v>
          </cell>
          <cell r="U103" t="str">
            <v>REPASSE DE AUTO PRODUÇÃO</v>
          </cell>
          <cell r="X103" t="str">
            <v>01/12/2018 00</v>
          </cell>
          <cell r="Y103" t="str">
            <v>01/01/2019 00</v>
          </cell>
          <cell r="Z103" t="str">
            <v>16,614151</v>
          </cell>
          <cell r="AF103" t="str">
            <v>FLAT</v>
          </cell>
          <cell r="AG103" t="str">
            <v>Ajustado Validado</v>
          </cell>
        </row>
        <row r="104">
          <cell r="A104">
            <v>567305</v>
          </cell>
          <cell r="B104" t="str">
            <v>CCEAL</v>
          </cell>
          <cell r="C104" t="str">
            <v>Firme</v>
          </cell>
          <cell r="D104" t="str">
            <v>Energia Incentivada Especial</v>
          </cell>
          <cell r="E104" t="str">
            <v>01/02/2015 00</v>
          </cell>
          <cell r="F104" t="str">
            <v>01/02/2019 00</v>
          </cell>
          <cell r="G104" t="str">
            <v>01/02/2014 00</v>
          </cell>
          <cell r="H104" t="str">
            <v>31/01/2019 23</v>
          </cell>
          <cell r="J104" t="str">
            <v>Validado</v>
          </cell>
          <cell r="M104" t="str">
            <v>CVRD APE I5</v>
          </cell>
          <cell r="N104" t="str">
            <v>CVRD</v>
          </cell>
          <cell r="O104" t="str">
            <v>SUDESTE</v>
          </cell>
          <cell r="P104" t="str">
            <v>X</v>
          </cell>
          <cell r="U104" t="str">
            <v>REPASSE DE AUTO PRODUÇÃO</v>
          </cell>
          <cell r="X104" t="str">
            <v>01/12/2018 00</v>
          </cell>
          <cell r="Y104" t="str">
            <v>01/01/2019 00</v>
          </cell>
          <cell r="Z104" t="str">
            <v>20,685528</v>
          </cell>
          <cell r="AF104" t="str">
            <v>FLAT</v>
          </cell>
          <cell r="AG104" t="str">
            <v>Ajustado Validado</v>
          </cell>
        </row>
        <row r="105">
          <cell r="A105">
            <v>569433</v>
          </cell>
          <cell r="B105" t="str">
            <v>CCEAL</v>
          </cell>
          <cell r="C105" t="str">
            <v>Firme</v>
          </cell>
          <cell r="D105" t="str">
            <v>Energia Incentivada Especial</v>
          </cell>
          <cell r="E105" t="str">
            <v>01/08/2018 00</v>
          </cell>
          <cell r="F105" t="str">
            <v>01/02/2019 00</v>
          </cell>
          <cell r="G105" t="str">
            <v>01/02/2014 00</v>
          </cell>
          <cell r="H105" t="str">
            <v>31/01/2019 23</v>
          </cell>
          <cell r="J105" t="str">
            <v>Validado</v>
          </cell>
          <cell r="M105" t="str">
            <v>VALE ENE I5</v>
          </cell>
          <cell r="N105" t="str">
            <v>MOSAIC FERTILIZANTES NE</v>
          </cell>
          <cell r="O105" t="str">
            <v>NORDESTE</v>
          </cell>
          <cell r="P105" t="str">
            <v>X</v>
          </cell>
          <cell r="X105" t="str">
            <v>01/12/2018 00</v>
          </cell>
          <cell r="Y105" t="str">
            <v>01/01/2019 00</v>
          </cell>
          <cell r="Z105" t="str">
            <v>0,000000</v>
          </cell>
          <cell r="AF105" t="str">
            <v>FLAT</v>
          </cell>
          <cell r="AG105" t="str">
            <v>Validado</v>
          </cell>
        </row>
        <row r="106">
          <cell r="A106">
            <v>569436</v>
          </cell>
          <cell r="B106" t="str">
            <v>CCEAL</v>
          </cell>
          <cell r="C106" t="str">
            <v>Firme</v>
          </cell>
          <cell r="D106" t="str">
            <v>Energia Incentivada Especial</v>
          </cell>
          <cell r="E106" t="str">
            <v>01/08/2018 00</v>
          </cell>
          <cell r="F106" t="str">
            <v>01/02/2019 00</v>
          </cell>
          <cell r="G106" t="str">
            <v>01/02/2014 00</v>
          </cell>
          <cell r="H106" t="str">
            <v>31/01/2019 23</v>
          </cell>
          <cell r="J106" t="str">
            <v>Validado</v>
          </cell>
          <cell r="M106" t="str">
            <v>CVRD PIE I5</v>
          </cell>
          <cell r="N106" t="str">
            <v>MOSAIC FERTILIZANTES NE</v>
          </cell>
          <cell r="O106" t="str">
            <v>NORDESTE</v>
          </cell>
          <cell r="P106" t="str">
            <v>X</v>
          </cell>
          <cell r="X106" t="str">
            <v>01/12/2018 00</v>
          </cell>
          <cell r="Y106" t="str">
            <v>01/01/2019 00</v>
          </cell>
          <cell r="Z106" t="str">
            <v>0,000000</v>
          </cell>
          <cell r="AF106" t="str">
            <v>FLAT</v>
          </cell>
          <cell r="AG106" t="str">
            <v>Validado</v>
          </cell>
        </row>
        <row r="107">
          <cell r="A107">
            <v>569850</v>
          </cell>
          <cell r="B107" t="str">
            <v>CCEAL</v>
          </cell>
          <cell r="C107" t="str">
            <v>Firme</v>
          </cell>
          <cell r="D107" t="str">
            <v>Energia Convencional</v>
          </cell>
          <cell r="E107" t="str">
            <v>01/03/2015 00</v>
          </cell>
          <cell r="F107" t="str">
            <v>01/02/2019 00</v>
          </cell>
          <cell r="G107" t="str">
            <v>01/02/2014 00</v>
          </cell>
          <cell r="H107" t="str">
            <v>31/01/2019 23</v>
          </cell>
          <cell r="J107" t="str">
            <v>Validado</v>
          </cell>
          <cell r="M107" t="str">
            <v>ALIANCA GERACAO</v>
          </cell>
          <cell r="N107" t="str">
            <v>VALE ENERGIA</v>
          </cell>
          <cell r="O107" t="str">
            <v>SUDESTE</v>
          </cell>
          <cell r="P107" t="str">
            <v>X</v>
          </cell>
          <cell r="X107" t="str">
            <v>01/12/2018 00</v>
          </cell>
          <cell r="Y107" t="str">
            <v>01/01/2019 00</v>
          </cell>
          <cell r="Z107" t="str">
            <v>0,000000</v>
          </cell>
          <cell r="AF107" t="str">
            <v>FLAT</v>
          </cell>
          <cell r="AG107" t="str">
            <v>Validado</v>
          </cell>
        </row>
        <row r="108">
          <cell r="A108">
            <v>584517</v>
          </cell>
          <cell r="B108" t="str">
            <v>CCEAL</v>
          </cell>
          <cell r="C108" t="str">
            <v>Firme</v>
          </cell>
          <cell r="D108" t="str">
            <v>Energia Incentivada Especial</v>
          </cell>
          <cell r="E108" t="str">
            <v>01/02/2015 00</v>
          </cell>
          <cell r="F108" t="str">
            <v>01/02/2019 00</v>
          </cell>
          <cell r="G108" t="str">
            <v>01/02/2014 00</v>
          </cell>
          <cell r="H108" t="str">
            <v>31/01/2019 23</v>
          </cell>
          <cell r="J108" t="str">
            <v>Validado</v>
          </cell>
          <cell r="M108" t="str">
            <v>VALE ENE I5</v>
          </cell>
          <cell r="N108" t="str">
            <v>CVRD PIE I5</v>
          </cell>
          <cell r="O108" t="str">
            <v>NORTE</v>
          </cell>
          <cell r="P108" t="str">
            <v>X</v>
          </cell>
          <cell r="X108" t="str">
            <v>01/12/2018 00</v>
          </cell>
          <cell r="Y108" t="str">
            <v>01/01/2019 00</v>
          </cell>
          <cell r="Z108" t="str">
            <v>0,000000</v>
          </cell>
          <cell r="AF108" t="str">
            <v>FLAT</v>
          </cell>
          <cell r="AG108" t="str">
            <v>Validado</v>
          </cell>
        </row>
        <row r="109">
          <cell r="A109">
            <v>598099</v>
          </cell>
          <cell r="B109" t="str">
            <v>CCEAL</v>
          </cell>
          <cell r="C109" t="str">
            <v>Firme</v>
          </cell>
          <cell r="D109" t="str">
            <v>Energia Convencional</v>
          </cell>
          <cell r="E109" t="str">
            <v>01/02/2015 00</v>
          </cell>
          <cell r="F109" t="str">
            <v>01/02/2019 00</v>
          </cell>
          <cell r="G109" t="str">
            <v>01/02/2014 00</v>
          </cell>
          <cell r="H109" t="str">
            <v>31/01/2019 23</v>
          </cell>
          <cell r="J109" t="str">
            <v>Validado</v>
          </cell>
          <cell r="M109" t="str">
            <v>CVRD PIE</v>
          </cell>
          <cell r="N109" t="str">
            <v>VALE ENERGIA</v>
          </cell>
          <cell r="O109" t="str">
            <v>NORTE</v>
          </cell>
          <cell r="P109" t="str">
            <v>X</v>
          </cell>
          <cell r="X109" t="str">
            <v>01/12/2018 00</v>
          </cell>
          <cell r="Y109" t="str">
            <v>01/01/2019 00</v>
          </cell>
          <cell r="Z109" t="str">
            <v>0,000000</v>
          </cell>
          <cell r="AF109" t="str">
            <v>FLAT</v>
          </cell>
          <cell r="AG109" t="str">
            <v>Validado</v>
          </cell>
        </row>
        <row r="110">
          <cell r="A110">
            <v>637036</v>
          </cell>
          <cell r="B110" t="str">
            <v>CCEAL</v>
          </cell>
          <cell r="C110" t="str">
            <v>Firme</v>
          </cell>
          <cell r="D110" t="str">
            <v>Energia Incentivada Especial</v>
          </cell>
          <cell r="E110" t="str">
            <v>01/02/2015 00</v>
          </cell>
          <cell r="F110" t="str">
            <v>01/02/2019 00</v>
          </cell>
          <cell r="G110" t="str">
            <v>01/04/2014 00</v>
          </cell>
          <cell r="H110" t="str">
            <v>31/01/2019 23</v>
          </cell>
          <cell r="J110" t="str">
            <v>Validado</v>
          </cell>
          <cell r="M110" t="str">
            <v>VALE ENE I5</v>
          </cell>
          <cell r="N110" t="str">
            <v>CVRD CL2</v>
          </cell>
          <cell r="O110" t="str">
            <v>NORDESTE</v>
          </cell>
          <cell r="P110" t="str">
            <v>X</v>
          </cell>
          <cell r="X110" t="str">
            <v>01/12/2018 00</v>
          </cell>
          <cell r="Y110" t="str">
            <v>01/01/2019 00</v>
          </cell>
          <cell r="Z110" t="str">
            <v>0,000000</v>
          </cell>
          <cell r="AF110" t="str">
            <v>FLAT</v>
          </cell>
          <cell r="AG110" t="str">
            <v>Validado</v>
          </cell>
        </row>
        <row r="111">
          <cell r="A111">
            <v>637037</v>
          </cell>
          <cell r="B111" t="str">
            <v>CCEAL</v>
          </cell>
          <cell r="C111" t="str">
            <v>Firme</v>
          </cell>
          <cell r="D111" t="str">
            <v>Energia Incentivada Especial</v>
          </cell>
          <cell r="E111" t="str">
            <v>01/02/2015 00</v>
          </cell>
          <cell r="F111" t="str">
            <v>01/02/2019 00</v>
          </cell>
          <cell r="G111" t="str">
            <v>01/04/2014 00</v>
          </cell>
          <cell r="H111" t="str">
            <v>31/01/2019 23</v>
          </cell>
          <cell r="J111" t="str">
            <v>Validado</v>
          </cell>
          <cell r="M111" t="str">
            <v>VALE ENE I5</v>
          </cell>
          <cell r="N111" t="str">
            <v>CVRD CL3</v>
          </cell>
          <cell r="O111" t="str">
            <v>NORDESTE</v>
          </cell>
          <cell r="P111" t="str">
            <v>X</v>
          </cell>
          <cell r="X111" t="str">
            <v>01/12/2018 00</v>
          </cell>
          <cell r="Y111" t="str">
            <v>01/01/2019 00</v>
          </cell>
          <cell r="Z111" t="str">
            <v>0,000000</v>
          </cell>
          <cell r="AF111" t="str">
            <v>FLAT</v>
          </cell>
          <cell r="AG111" t="str">
            <v>Validado</v>
          </cell>
        </row>
        <row r="112">
          <cell r="A112">
            <v>659834</v>
          </cell>
          <cell r="B112" t="str">
            <v>CCEAL</v>
          </cell>
          <cell r="C112" t="str">
            <v>Firme</v>
          </cell>
          <cell r="D112" t="str">
            <v>Energia Convencional</v>
          </cell>
          <cell r="E112" t="str">
            <v>01/01/2015 00</v>
          </cell>
          <cell r="F112" t="str">
            <v>01/02/2019 00</v>
          </cell>
          <cell r="G112" t="str">
            <v>01/05/2014 00</v>
          </cell>
          <cell r="H112" t="str">
            <v>31/01/2019 23</v>
          </cell>
          <cell r="J112" t="str">
            <v>Validado</v>
          </cell>
          <cell r="M112" t="str">
            <v>VALE ENERGIA</v>
          </cell>
          <cell r="N112" t="str">
            <v>SALOBO</v>
          </cell>
          <cell r="O112" t="str">
            <v>NORTE</v>
          </cell>
          <cell r="P112" t="str">
            <v>X</v>
          </cell>
          <cell r="X112" t="str">
            <v>01/12/2018 00</v>
          </cell>
          <cell r="Y112" t="str">
            <v>01/01/2019 00</v>
          </cell>
          <cell r="Z112" t="str">
            <v>0,000000</v>
          </cell>
          <cell r="AF112" t="str">
            <v>FLAT</v>
          </cell>
          <cell r="AG112" t="str">
            <v>Validado</v>
          </cell>
        </row>
        <row r="113">
          <cell r="A113">
            <v>663805</v>
          </cell>
          <cell r="B113" t="str">
            <v>CCEAL</v>
          </cell>
          <cell r="C113" t="str">
            <v>Firme</v>
          </cell>
          <cell r="D113" t="str">
            <v>Energia Convencional</v>
          </cell>
          <cell r="E113" t="str">
            <v>01/06/2014 00</v>
          </cell>
          <cell r="F113" t="str">
            <v>01/01/2025 00</v>
          </cell>
          <cell r="G113" t="str">
            <v>01/06/2014 00</v>
          </cell>
          <cell r="H113" t="str">
            <v>31/12/2024 23</v>
          </cell>
          <cell r="J113" t="str">
            <v>Validado</v>
          </cell>
          <cell r="M113" t="str">
            <v>LIGHTCOM</v>
          </cell>
          <cell r="N113" t="str">
            <v>VALE ENERGIA</v>
          </cell>
          <cell r="O113" t="str">
            <v>SUDESTE</v>
          </cell>
          <cell r="P113" t="str">
            <v>X</v>
          </cell>
          <cell r="X113" t="str">
            <v>01/12/2018 00</v>
          </cell>
          <cell r="Y113" t="str">
            <v>01/01/2019 00</v>
          </cell>
          <cell r="Z113" t="str">
            <v>120,000000</v>
          </cell>
          <cell r="AF113" t="str">
            <v>FLAT</v>
          </cell>
          <cell r="AG113" t="str">
            <v>Ajustado Validado</v>
          </cell>
        </row>
        <row r="114">
          <cell r="A114">
            <v>746810</v>
          </cell>
          <cell r="B114" t="str">
            <v>PROINFA</v>
          </cell>
          <cell r="D114" t="str">
            <v>Energia Convencional</v>
          </cell>
          <cell r="E114" t="str">
            <v>01/01/2018 00</v>
          </cell>
          <cell r="F114" t="str">
            <v>01/01/2026 00</v>
          </cell>
          <cell r="G114" t="str">
            <v>01/01/2015 00</v>
          </cell>
          <cell r="H114" t="str">
            <v>31/12/2025 23</v>
          </cell>
          <cell r="J114" t="str">
            <v>Validado</v>
          </cell>
          <cell r="M114" t="str">
            <v>ACEP</v>
          </cell>
          <cell r="N114" t="str">
            <v>CVRD</v>
          </cell>
          <cell r="O114" t="str">
            <v>SUDESTE</v>
          </cell>
          <cell r="P114" t="str">
            <v>X</v>
          </cell>
        </row>
        <row r="115">
          <cell r="A115">
            <v>746811</v>
          </cell>
          <cell r="B115" t="str">
            <v>PROINFA</v>
          </cell>
          <cell r="D115" t="str">
            <v>Energia Convencional</v>
          </cell>
          <cell r="E115" t="str">
            <v>01/01/2018 00</v>
          </cell>
          <cell r="F115" t="str">
            <v>01/01/2026 00</v>
          </cell>
          <cell r="G115" t="str">
            <v>01/01/2015 00</v>
          </cell>
          <cell r="H115" t="str">
            <v>31/12/2025 23</v>
          </cell>
          <cell r="J115" t="str">
            <v>Validado</v>
          </cell>
          <cell r="M115" t="str">
            <v>ACEP</v>
          </cell>
          <cell r="N115" t="str">
            <v>CVRD</v>
          </cell>
          <cell r="O115" t="str">
            <v>SUDESTE</v>
          </cell>
          <cell r="P115" t="str">
            <v>X</v>
          </cell>
        </row>
        <row r="116">
          <cell r="A116">
            <v>746813</v>
          </cell>
          <cell r="B116" t="str">
            <v>PROINFA</v>
          </cell>
          <cell r="D116" t="str">
            <v>Energia Convencional</v>
          </cell>
          <cell r="E116" t="str">
            <v>01/01/2018 00</v>
          </cell>
          <cell r="F116" t="str">
            <v>01/01/2026 00</v>
          </cell>
          <cell r="G116" t="str">
            <v>01/01/2015 00</v>
          </cell>
          <cell r="H116" t="str">
            <v>31/12/2025 23</v>
          </cell>
          <cell r="J116" t="str">
            <v>Validado</v>
          </cell>
          <cell r="M116" t="str">
            <v>ACEP</v>
          </cell>
          <cell r="N116" t="str">
            <v>CVRD</v>
          </cell>
          <cell r="O116" t="str">
            <v>NORTE</v>
          </cell>
          <cell r="P116" t="str">
            <v>X</v>
          </cell>
        </row>
        <row r="117">
          <cell r="A117">
            <v>746816</v>
          </cell>
          <cell r="B117" t="str">
            <v>PROINFA</v>
          </cell>
          <cell r="D117" t="str">
            <v>Energia Convencional</v>
          </cell>
          <cell r="E117" t="str">
            <v>01/01/2018 00</v>
          </cell>
          <cell r="F117" t="str">
            <v>01/01/2026 00</v>
          </cell>
          <cell r="G117" t="str">
            <v>01/01/2015 00</v>
          </cell>
          <cell r="H117" t="str">
            <v>31/12/2025 23</v>
          </cell>
          <cell r="J117" t="str">
            <v>Validado</v>
          </cell>
          <cell r="M117" t="str">
            <v>ACEP</v>
          </cell>
          <cell r="N117" t="str">
            <v>CVRD</v>
          </cell>
          <cell r="O117" t="str">
            <v>SUDESTE</v>
          </cell>
          <cell r="P117" t="str">
            <v>X</v>
          </cell>
        </row>
        <row r="118">
          <cell r="A118">
            <v>746818</v>
          </cell>
          <cell r="B118" t="str">
            <v>PROINFA</v>
          </cell>
          <cell r="D118" t="str">
            <v>Energia Convencional</v>
          </cell>
          <cell r="E118" t="str">
            <v>01/01/2018 00</v>
          </cell>
          <cell r="F118" t="str">
            <v>01/01/2026 00</v>
          </cell>
          <cell r="G118" t="str">
            <v>01/01/2015 00</v>
          </cell>
          <cell r="H118" t="str">
            <v>31/12/2025 23</v>
          </cell>
          <cell r="J118" t="str">
            <v>Validado</v>
          </cell>
          <cell r="M118" t="str">
            <v>ACEP</v>
          </cell>
          <cell r="N118" t="str">
            <v>CVRD CL2</v>
          </cell>
          <cell r="O118" t="str">
            <v>NORTE</v>
          </cell>
          <cell r="P118" t="str">
            <v>X</v>
          </cell>
        </row>
        <row r="119">
          <cell r="A119">
            <v>746819</v>
          </cell>
          <cell r="B119" t="str">
            <v>PROINFA</v>
          </cell>
          <cell r="D119" t="str">
            <v>Energia Convencional</v>
          </cell>
          <cell r="E119" t="str">
            <v>01/01/2018 00</v>
          </cell>
          <cell r="F119" t="str">
            <v>01/01/2026 00</v>
          </cell>
          <cell r="G119" t="str">
            <v>01/01/2015 00</v>
          </cell>
          <cell r="H119" t="str">
            <v>31/12/2025 23</v>
          </cell>
          <cell r="J119" t="str">
            <v>Validado</v>
          </cell>
          <cell r="M119" t="str">
            <v>ACEP</v>
          </cell>
          <cell r="N119" t="str">
            <v>CVRD</v>
          </cell>
          <cell r="O119" t="str">
            <v>SUDESTE</v>
          </cell>
          <cell r="P119" t="str">
            <v>X</v>
          </cell>
        </row>
        <row r="120">
          <cell r="A120">
            <v>747536</v>
          </cell>
          <cell r="B120" t="str">
            <v>CCEAL</v>
          </cell>
          <cell r="C120" t="str">
            <v>Firme</v>
          </cell>
          <cell r="D120" t="str">
            <v>Energia Incentivada Especial</v>
          </cell>
          <cell r="E120" t="str">
            <v>01/01/2015 00</v>
          </cell>
          <cell r="F120" t="str">
            <v>01/02/2019 00</v>
          </cell>
          <cell r="G120" t="str">
            <v>01/01/2015 00</v>
          </cell>
          <cell r="H120" t="str">
            <v>31/01/2019 23</v>
          </cell>
          <cell r="J120" t="str">
            <v>Validado</v>
          </cell>
          <cell r="M120" t="str">
            <v>VALE ENE I5</v>
          </cell>
          <cell r="N120" t="str">
            <v>RIO DOCE SE</v>
          </cell>
          <cell r="O120" t="str">
            <v>SUDESTE</v>
          </cell>
          <cell r="P120" t="str">
            <v>X</v>
          </cell>
          <cell r="X120" t="str">
            <v>01/12/2018 00</v>
          </cell>
          <cell r="Y120" t="str">
            <v>01/01/2019 00</v>
          </cell>
          <cell r="Z120" t="str">
            <v>0,000000</v>
          </cell>
          <cell r="AF120" t="str">
            <v>FLAT</v>
          </cell>
          <cell r="AG120" t="str">
            <v>Validado</v>
          </cell>
        </row>
        <row r="121">
          <cell r="A121">
            <v>747543</v>
          </cell>
          <cell r="B121" t="str">
            <v>CCEAL</v>
          </cell>
          <cell r="C121" t="str">
            <v>Firme</v>
          </cell>
          <cell r="D121" t="str">
            <v>Energia Incentivada Especial</v>
          </cell>
          <cell r="E121" t="str">
            <v>01/01/2015 00</v>
          </cell>
          <cell r="F121" t="str">
            <v>01/02/2019 00</v>
          </cell>
          <cell r="G121" t="str">
            <v>01/01/2015 00</v>
          </cell>
          <cell r="H121" t="str">
            <v>31/01/2019 23</v>
          </cell>
          <cell r="J121" t="str">
            <v>Validado</v>
          </cell>
          <cell r="M121" t="str">
            <v>CVRD APE I5</v>
          </cell>
          <cell r="N121" t="str">
            <v>RIO DOCE SE</v>
          </cell>
          <cell r="O121" t="str">
            <v>SUDESTE</v>
          </cell>
          <cell r="P121" t="str">
            <v>X</v>
          </cell>
          <cell r="X121" t="str">
            <v>01/12/2018 00</v>
          </cell>
          <cell r="Y121" t="str">
            <v>01/01/2019 00</v>
          </cell>
          <cell r="Z121" t="str">
            <v>0,000000</v>
          </cell>
          <cell r="AF121" t="str">
            <v>FLAT</v>
          </cell>
          <cell r="AG121" t="str">
            <v>Validado</v>
          </cell>
        </row>
        <row r="122">
          <cell r="A122">
            <v>747625</v>
          </cell>
          <cell r="B122" t="str">
            <v>CCEAL</v>
          </cell>
          <cell r="C122" t="str">
            <v>Firme</v>
          </cell>
          <cell r="D122" t="str">
            <v>Energia Incentivada Especial</v>
          </cell>
          <cell r="E122" t="str">
            <v>01/01/2015 00</v>
          </cell>
          <cell r="F122" t="str">
            <v>01/02/2019 00</v>
          </cell>
          <cell r="G122" t="str">
            <v>01/01/2015 00</v>
          </cell>
          <cell r="H122" t="str">
            <v>31/01/2019 23</v>
          </cell>
          <cell r="J122" t="str">
            <v>Validado</v>
          </cell>
          <cell r="M122" t="str">
            <v>CVRD PIE I5</v>
          </cell>
          <cell r="N122" t="str">
            <v>RIO DOCE SE</v>
          </cell>
          <cell r="O122" t="str">
            <v>SUDESTE</v>
          </cell>
          <cell r="P122" t="str">
            <v>X</v>
          </cell>
          <cell r="X122" t="str">
            <v>01/12/2018 00</v>
          </cell>
          <cell r="Y122" t="str">
            <v>01/01/2019 00</v>
          </cell>
          <cell r="Z122" t="str">
            <v>0,000000</v>
          </cell>
          <cell r="AF122" t="str">
            <v>FLAT</v>
          </cell>
          <cell r="AG122" t="str">
            <v>Validado</v>
          </cell>
        </row>
        <row r="123">
          <cell r="A123">
            <v>749341</v>
          </cell>
          <cell r="B123" t="str">
            <v>CCEAL</v>
          </cell>
          <cell r="C123" t="str">
            <v>Firme</v>
          </cell>
          <cell r="D123" t="str">
            <v>Energia Convencional</v>
          </cell>
          <cell r="E123" t="str">
            <v>01/01/2015 00</v>
          </cell>
          <cell r="F123" t="str">
            <v>01/01/2021 00</v>
          </cell>
          <cell r="G123" t="str">
            <v>01/01/2015 00</v>
          </cell>
          <cell r="H123" t="str">
            <v>31/12/2020 23</v>
          </cell>
          <cell r="J123" t="str">
            <v>Registrado e Não Validado</v>
          </cell>
          <cell r="M123" t="str">
            <v>FERREIRA GOMES</v>
          </cell>
          <cell r="N123" t="str">
            <v>VALE ENERGIA</v>
          </cell>
          <cell r="O123" t="str">
            <v>NORTE</v>
          </cell>
          <cell r="P123" t="str">
            <v>X</v>
          </cell>
          <cell r="X123" t="str">
            <v>01/01/2015 00</v>
          </cell>
          <cell r="Y123" t="str">
            <v>01/01/2021 00</v>
          </cell>
          <cell r="Z123" t="str">
            <v>0,000000</v>
          </cell>
          <cell r="AF123" t="str">
            <v>FLAT</v>
          </cell>
          <cell r="AG123" t="str">
            <v>Inserido Não Validado</v>
          </cell>
        </row>
        <row r="124">
          <cell r="A124">
            <v>751962</v>
          </cell>
          <cell r="B124" t="str">
            <v>CCEAL</v>
          </cell>
          <cell r="C124" t="str">
            <v>Firme</v>
          </cell>
          <cell r="D124" t="str">
            <v>Energia Incentivada Especial</v>
          </cell>
          <cell r="E124" t="str">
            <v>01/01/2015 00</v>
          </cell>
          <cell r="F124" t="str">
            <v>01/01/2025 00</v>
          </cell>
          <cell r="G124" t="str">
            <v>01/01/2015 00</v>
          </cell>
          <cell r="H124" t="str">
            <v>31/12/2024 23</v>
          </cell>
          <cell r="J124" t="str">
            <v>Validado</v>
          </cell>
          <cell r="M124" t="str">
            <v>CPFL BARRA DA PACIENCIA I5</v>
          </cell>
          <cell r="N124" t="str">
            <v>VALE ENE I5</v>
          </cell>
          <cell r="O124" t="str">
            <v>SUDESTE</v>
          </cell>
          <cell r="P124" t="str">
            <v>X</v>
          </cell>
          <cell r="X124" t="str">
            <v>01/01/2015 00</v>
          </cell>
          <cell r="Y124" t="str">
            <v>01/01/2025 00</v>
          </cell>
          <cell r="Z124" t="str">
            <v>14,755000</v>
          </cell>
          <cell r="AF124" t="str">
            <v>FLAT</v>
          </cell>
          <cell r="AG124" t="str">
            <v>Validado</v>
          </cell>
        </row>
        <row r="125">
          <cell r="A125">
            <v>751963</v>
          </cell>
          <cell r="B125" t="str">
            <v>CCEAL</v>
          </cell>
          <cell r="C125" t="str">
            <v>Firme</v>
          </cell>
          <cell r="D125" t="str">
            <v>Energia Incentivada Especial</v>
          </cell>
          <cell r="E125" t="str">
            <v>01/01/2015 00</v>
          </cell>
          <cell r="F125" t="str">
            <v>01/01/2025 00</v>
          </cell>
          <cell r="G125" t="str">
            <v>01/01/2015 00</v>
          </cell>
          <cell r="H125" t="str">
            <v>31/12/2024 23</v>
          </cell>
          <cell r="J125" t="str">
            <v>Validado</v>
          </cell>
          <cell r="M125" t="str">
            <v>CPFL PAIOL I5</v>
          </cell>
          <cell r="N125" t="str">
            <v>VALE ENE I5</v>
          </cell>
          <cell r="O125" t="str">
            <v>SUDESTE</v>
          </cell>
          <cell r="P125" t="str">
            <v>X</v>
          </cell>
          <cell r="X125" t="str">
            <v>01/01/2015 00</v>
          </cell>
          <cell r="Y125" t="str">
            <v>01/01/2025 00</v>
          </cell>
          <cell r="Z125" t="str">
            <v>10,930000</v>
          </cell>
          <cell r="AF125" t="str">
            <v>FLAT</v>
          </cell>
          <cell r="AG125" t="str">
            <v>Validado</v>
          </cell>
        </row>
        <row r="126">
          <cell r="A126">
            <v>751964</v>
          </cell>
          <cell r="B126" t="str">
            <v>CCEAL</v>
          </cell>
          <cell r="C126" t="str">
            <v>Firme</v>
          </cell>
          <cell r="D126" t="str">
            <v>Energia Incentivada Especial</v>
          </cell>
          <cell r="E126" t="str">
            <v>01/01/2015 00</v>
          </cell>
          <cell r="F126" t="str">
            <v>01/01/2025 00</v>
          </cell>
          <cell r="G126" t="str">
            <v>01/01/2015 00</v>
          </cell>
          <cell r="H126" t="str">
            <v>31/12/2024 23</v>
          </cell>
          <cell r="J126" t="str">
            <v>Validado</v>
          </cell>
          <cell r="M126" t="str">
            <v>CPFL CORRENTE GRANDE I5</v>
          </cell>
          <cell r="N126" t="str">
            <v>VALE ENE I5</v>
          </cell>
          <cell r="O126" t="str">
            <v>SUDESTE</v>
          </cell>
          <cell r="P126" t="str">
            <v>X</v>
          </cell>
          <cell r="X126" t="str">
            <v>01/01/2015 00</v>
          </cell>
          <cell r="Y126" t="str">
            <v>01/01/2025 00</v>
          </cell>
          <cell r="Z126" t="str">
            <v>8,438000</v>
          </cell>
          <cell r="AF126" t="str">
            <v>FLAT</v>
          </cell>
          <cell r="AG126" t="str">
            <v>Validado</v>
          </cell>
        </row>
        <row r="127">
          <cell r="A127">
            <v>751965</v>
          </cell>
          <cell r="B127" t="str">
            <v>CCEAL</v>
          </cell>
          <cell r="C127" t="str">
            <v>Firme</v>
          </cell>
          <cell r="D127" t="str">
            <v>Energia Incentivada Especial</v>
          </cell>
          <cell r="E127" t="str">
            <v>01/01/2015 00</v>
          </cell>
          <cell r="F127" t="str">
            <v>01/01/2025 00</v>
          </cell>
          <cell r="G127" t="str">
            <v>01/01/2015 00</v>
          </cell>
          <cell r="H127" t="str">
            <v>31/12/2024 23</v>
          </cell>
          <cell r="J127" t="str">
            <v>Validado</v>
          </cell>
          <cell r="M127" t="str">
            <v>CPFL SAO GONCALO I5</v>
          </cell>
          <cell r="N127" t="str">
            <v>VALE ENE I5</v>
          </cell>
          <cell r="O127" t="str">
            <v>SUDESTE</v>
          </cell>
          <cell r="P127" t="str">
            <v>X</v>
          </cell>
          <cell r="X127" t="str">
            <v>01/01/2015 00</v>
          </cell>
          <cell r="Y127" t="str">
            <v>01/01/2025 00</v>
          </cell>
          <cell r="Z127" t="str">
            <v>6,440000</v>
          </cell>
          <cell r="AF127" t="str">
            <v>FLAT</v>
          </cell>
          <cell r="AG127" t="str">
            <v>Validado</v>
          </cell>
        </row>
        <row r="128">
          <cell r="A128">
            <v>751966</v>
          </cell>
          <cell r="B128" t="str">
            <v>CCEAL</v>
          </cell>
          <cell r="C128" t="str">
            <v>Firme</v>
          </cell>
          <cell r="D128" t="str">
            <v>Energia Incentivada Especial</v>
          </cell>
          <cell r="E128" t="str">
            <v>01/01/2015 00</v>
          </cell>
          <cell r="F128" t="str">
            <v>01/01/2025 00</v>
          </cell>
          <cell r="G128" t="str">
            <v>01/01/2015 00</v>
          </cell>
          <cell r="H128" t="str">
            <v>31/12/2024 23</v>
          </cell>
          <cell r="J128" t="str">
            <v>Validado</v>
          </cell>
          <cell r="M128" t="str">
            <v>CPFL NINHO DA AGUIA I5</v>
          </cell>
          <cell r="N128" t="str">
            <v>VALE ENE I5</v>
          </cell>
          <cell r="O128" t="str">
            <v>SUDESTE</v>
          </cell>
          <cell r="P128" t="str">
            <v>X</v>
          </cell>
          <cell r="X128" t="str">
            <v>01/01/2015 00</v>
          </cell>
          <cell r="Y128" t="str">
            <v>01/01/2025 00</v>
          </cell>
          <cell r="Z128" t="str">
            <v>4,160000</v>
          </cell>
          <cell r="AF128" t="str">
            <v>FLAT</v>
          </cell>
          <cell r="AG128" t="str">
            <v>Validado</v>
          </cell>
        </row>
        <row r="129">
          <cell r="A129">
            <v>751967</v>
          </cell>
          <cell r="B129" t="str">
            <v>CCEAL</v>
          </cell>
          <cell r="C129" t="str">
            <v>Firme</v>
          </cell>
          <cell r="D129" t="str">
            <v>Energia Incentivada Especial</v>
          </cell>
          <cell r="E129" t="str">
            <v>01/01/2015 00</v>
          </cell>
          <cell r="F129" t="str">
            <v>01/01/2025 00</v>
          </cell>
          <cell r="G129" t="str">
            <v>01/01/2015 00</v>
          </cell>
          <cell r="H129" t="str">
            <v>31/12/2024 23</v>
          </cell>
          <cell r="J129" t="str">
            <v>Validado</v>
          </cell>
          <cell r="M129" t="str">
            <v>CPFL VARZEA ALEGRE I5</v>
          </cell>
          <cell r="N129" t="str">
            <v>VALE ENE I5</v>
          </cell>
          <cell r="O129" t="str">
            <v>SUDESTE</v>
          </cell>
          <cell r="P129" t="str">
            <v>X</v>
          </cell>
          <cell r="X129" t="str">
            <v>01/01/2015 00</v>
          </cell>
          <cell r="Y129" t="str">
            <v>01/01/2025 00</v>
          </cell>
          <cell r="Z129" t="str">
            <v>4,788000</v>
          </cell>
          <cell r="AF129" t="str">
            <v>FLAT</v>
          </cell>
          <cell r="AG129" t="str">
            <v>Validado</v>
          </cell>
        </row>
        <row r="130">
          <cell r="A130">
            <v>766103</v>
          </cell>
          <cell r="B130" t="str">
            <v>CCEAL</v>
          </cell>
          <cell r="C130" t="str">
            <v>Firme</v>
          </cell>
          <cell r="D130" t="str">
            <v>Energia Incentivada Especial</v>
          </cell>
          <cell r="E130" t="str">
            <v>01/01/2015 00</v>
          </cell>
          <cell r="F130" t="str">
            <v>01/01/2021 00</v>
          </cell>
          <cell r="G130" t="str">
            <v>01/01/2015 00</v>
          </cell>
          <cell r="H130" t="str">
            <v>31/12/2020 23</v>
          </cell>
          <cell r="J130" t="str">
            <v>Registrado e Não Validado</v>
          </cell>
          <cell r="M130" t="str">
            <v>CAPITALE I5</v>
          </cell>
          <cell r="N130" t="str">
            <v>CVRD PIE I5</v>
          </cell>
          <cell r="O130" t="str">
            <v>SUDESTE</v>
          </cell>
          <cell r="P130" t="str">
            <v>X</v>
          </cell>
          <cell r="X130" t="str">
            <v>01/12/2018 00</v>
          </cell>
          <cell r="Y130" t="str">
            <v>01/01/2019 00</v>
          </cell>
          <cell r="Z130" t="str">
            <v>0,000000</v>
          </cell>
          <cell r="AF130" t="str">
            <v>FLAT</v>
          </cell>
          <cell r="AG130" t="str">
            <v>Inserido Não Validado</v>
          </cell>
        </row>
        <row r="131">
          <cell r="A131">
            <v>796225</v>
          </cell>
          <cell r="B131" t="str">
            <v>CCEAL</v>
          </cell>
          <cell r="C131" t="str">
            <v>Firme</v>
          </cell>
          <cell r="D131" t="str">
            <v>Energia Convencional</v>
          </cell>
          <cell r="E131" t="str">
            <v>01/01/2015 00</v>
          </cell>
          <cell r="F131" t="str">
            <v>01/01/2020 00</v>
          </cell>
          <cell r="G131" t="str">
            <v>01/01/2015 00</v>
          </cell>
          <cell r="H131" t="str">
            <v>31/12/2019 23</v>
          </cell>
          <cell r="J131" t="str">
            <v>Validado</v>
          </cell>
          <cell r="M131" t="str">
            <v>VALE ENERGIA</v>
          </cell>
          <cell r="N131" t="str">
            <v>SALOBO</v>
          </cell>
          <cell r="O131" t="str">
            <v>NORTE</v>
          </cell>
          <cell r="P131" t="str">
            <v>X</v>
          </cell>
          <cell r="X131" t="str">
            <v>01/12/2018 00</v>
          </cell>
          <cell r="Y131" t="str">
            <v>01/01/2019 00</v>
          </cell>
          <cell r="Z131" t="str">
            <v>0,000000</v>
          </cell>
          <cell r="AF131" t="str">
            <v>FLAT</v>
          </cell>
          <cell r="AG131" t="str">
            <v>Validado</v>
          </cell>
        </row>
        <row r="132">
          <cell r="A132">
            <v>821559</v>
          </cell>
          <cell r="B132" t="str">
            <v>CCEAL</v>
          </cell>
          <cell r="C132" t="str">
            <v>Firme</v>
          </cell>
          <cell r="D132" t="str">
            <v>Energia Convencional</v>
          </cell>
          <cell r="E132" t="str">
            <v>01/03/2015 00</v>
          </cell>
          <cell r="F132" t="str">
            <v>30/12/2028 00</v>
          </cell>
          <cell r="G132" t="str">
            <v>01/03/2015 00</v>
          </cell>
          <cell r="H132" t="str">
            <v>29/12/2028 23</v>
          </cell>
          <cell r="J132" t="str">
            <v>Validado</v>
          </cell>
          <cell r="M132" t="str">
            <v>ALIANCA GERACAO</v>
          </cell>
          <cell r="N132" t="str">
            <v>CVRD PIE</v>
          </cell>
          <cell r="O132" t="str">
            <v>SUDESTE</v>
          </cell>
          <cell r="P132" t="str">
            <v>X</v>
          </cell>
          <cell r="U132" t="str">
            <v>REPASSE DE AUTO PRODUÇÃO</v>
          </cell>
          <cell r="X132" t="str">
            <v>01/12/2018 00</v>
          </cell>
          <cell r="Y132" t="str">
            <v>01/01/2019 00</v>
          </cell>
          <cell r="Z132" t="str">
            <v>46,950613</v>
          </cell>
          <cell r="AF132" t="str">
            <v>DECLARADA</v>
          </cell>
          <cell r="AG132" t="str">
            <v>Ajustado Validado</v>
          </cell>
        </row>
        <row r="133">
          <cell r="A133">
            <v>821572</v>
          </cell>
          <cell r="B133" t="str">
            <v>CCEAL</v>
          </cell>
          <cell r="C133" t="str">
            <v>Firme</v>
          </cell>
          <cell r="D133" t="str">
            <v>Energia Convencional</v>
          </cell>
          <cell r="E133" t="str">
            <v>01/03/2015 00</v>
          </cell>
          <cell r="F133" t="str">
            <v>10/07/2032 00</v>
          </cell>
          <cell r="G133" t="str">
            <v>01/03/2015 00</v>
          </cell>
          <cell r="H133" t="str">
            <v>09/07/2032 23</v>
          </cell>
          <cell r="J133" t="str">
            <v>Validado</v>
          </cell>
          <cell r="M133" t="str">
            <v>ALIANCA GERACAO</v>
          </cell>
          <cell r="N133" t="str">
            <v>CVRD PIE</v>
          </cell>
          <cell r="O133" t="str">
            <v>SUDESTE</v>
          </cell>
          <cell r="P133" t="str">
            <v>X</v>
          </cell>
          <cell r="U133" t="str">
            <v>REPASSE DE AUTO PRODUÇÃO</v>
          </cell>
          <cell r="X133" t="str">
            <v>01/12/2018 00</v>
          </cell>
          <cell r="Y133" t="str">
            <v>01/01/2019 00</v>
          </cell>
          <cell r="Z133" t="str">
            <v>16,556821</v>
          </cell>
          <cell r="AF133" t="str">
            <v>DECLARADA</v>
          </cell>
          <cell r="AG133" t="str">
            <v>Ajustado Validado</v>
          </cell>
        </row>
        <row r="134">
          <cell r="A134">
            <v>821574</v>
          </cell>
          <cell r="B134" t="str">
            <v>CCEAL</v>
          </cell>
          <cell r="C134" t="str">
            <v>Firme</v>
          </cell>
          <cell r="D134" t="str">
            <v>Energia Convencional</v>
          </cell>
          <cell r="E134" t="str">
            <v>01/03/2015 00</v>
          </cell>
          <cell r="F134" t="str">
            <v>20/12/2035 00</v>
          </cell>
          <cell r="G134" t="str">
            <v>01/03/2015 00</v>
          </cell>
          <cell r="H134" t="str">
            <v>19/12/2035 23</v>
          </cell>
          <cell r="J134" t="str">
            <v>Validado</v>
          </cell>
          <cell r="M134" t="str">
            <v>ALIANCA GERACAO</v>
          </cell>
          <cell r="N134" t="str">
            <v>CVRD PIE</v>
          </cell>
          <cell r="O134" t="str">
            <v>SUDESTE</v>
          </cell>
          <cell r="P134" t="str">
            <v>X</v>
          </cell>
          <cell r="U134" t="str">
            <v>REPASSE DE AUTO PRODUÇÃO</v>
          </cell>
          <cell r="X134" t="str">
            <v>01/12/2018 00</v>
          </cell>
          <cell r="Y134" t="str">
            <v>01/01/2019 00</v>
          </cell>
          <cell r="Z134" t="str">
            <v>41,414815</v>
          </cell>
          <cell r="AF134" t="str">
            <v>DECLARADA</v>
          </cell>
          <cell r="AG134" t="str">
            <v>Ajustado Validado</v>
          </cell>
        </row>
        <row r="135">
          <cell r="A135">
            <v>821609</v>
          </cell>
          <cell r="B135" t="str">
            <v>CCEAL</v>
          </cell>
          <cell r="C135" t="str">
            <v>Firme</v>
          </cell>
          <cell r="D135" t="str">
            <v>Energia Convencional</v>
          </cell>
          <cell r="E135" t="str">
            <v>01/03/2015 00</v>
          </cell>
          <cell r="F135" t="str">
            <v>25/05/2035 00</v>
          </cell>
          <cell r="G135" t="str">
            <v>01/03/2015 00</v>
          </cell>
          <cell r="H135" t="str">
            <v>24/05/2035 23</v>
          </cell>
          <cell r="J135" t="str">
            <v>Validado</v>
          </cell>
          <cell r="M135" t="str">
            <v>ALIANCA GERACAO</v>
          </cell>
          <cell r="N135" t="str">
            <v>CVRD PIE</v>
          </cell>
          <cell r="O135" t="str">
            <v>SUDESTE</v>
          </cell>
          <cell r="P135" t="str">
            <v>X</v>
          </cell>
          <cell r="U135" t="str">
            <v>REPASSE DE AUTO PRODUÇÃO</v>
          </cell>
          <cell r="X135" t="str">
            <v>01/12/2018 00</v>
          </cell>
          <cell r="Y135" t="str">
            <v>01/01/2019 00</v>
          </cell>
          <cell r="Z135" t="str">
            <v>28,975527</v>
          </cell>
          <cell r="AF135" t="str">
            <v>DECLARADA</v>
          </cell>
          <cell r="AG135" t="str">
            <v>Ajustado Validado</v>
          </cell>
        </row>
        <row r="136">
          <cell r="A136">
            <v>821614</v>
          </cell>
          <cell r="B136" t="str">
            <v>CCEAL</v>
          </cell>
          <cell r="C136" t="str">
            <v>Firme</v>
          </cell>
          <cell r="D136" t="str">
            <v>Energia Convencional</v>
          </cell>
          <cell r="E136" t="str">
            <v>01/03/2015 00</v>
          </cell>
          <cell r="F136" t="str">
            <v>20/12/2035 00</v>
          </cell>
          <cell r="G136" t="str">
            <v>01/03/2015 00</v>
          </cell>
          <cell r="H136" t="str">
            <v>19/12/2035 23</v>
          </cell>
          <cell r="J136" t="str">
            <v>Validado</v>
          </cell>
          <cell r="M136" t="str">
            <v>ALIANCA GERACAO</v>
          </cell>
          <cell r="N136" t="str">
            <v>CVRD PIE</v>
          </cell>
          <cell r="O136" t="str">
            <v>SUDESTE</v>
          </cell>
          <cell r="P136" t="str">
            <v>X</v>
          </cell>
          <cell r="U136" t="str">
            <v>REPASSE DE AUTO PRODUÇÃO</v>
          </cell>
          <cell r="X136" t="str">
            <v>01/12/2018 00</v>
          </cell>
          <cell r="Y136" t="str">
            <v>01/01/2019 00</v>
          </cell>
          <cell r="Z136" t="str">
            <v>77,618534</v>
          </cell>
          <cell r="AF136" t="str">
            <v>DECLARADA</v>
          </cell>
          <cell r="AG136" t="str">
            <v>Ajustado Validado</v>
          </cell>
        </row>
        <row r="137">
          <cell r="A137">
            <v>821616</v>
          </cell>
          <cell r="B137" t="str">
            <v>CCEAL</v>
          </cell>
          <cell r="C137" t="str">
            <v>Firme</v>
          </cell>
          <cell r="D137" t="str">
            <v>Energia Convencional</v>
          </cell>
          <cell r="E137" t="str">
            <v>01/03/2015 00</v>
          </cell>
          <cell r="F137" t="str">
            <v>29/08/2036 00</v>
          </cell>
          <cell r="G137" t="str">
            <v>01/03/2015 00</v>
          </cell>
          <cell r="H137" t="str">
            <v>28/08/2036 23</v>
          </cell>
          <cell r="J137" t="str">
            <v>Validado</v>
          </cell>
          <cell r="M137" t="str">
            <v>ALIANCA GERACAO</v>
          </cell>
          <cell r="N137" t="str">
            <v>CVRD PIE</v>
          </cell>
          <cell r="O137" t="str">
            <v>SUDESTE</v>
          </cell>
          <cell r="P137" t="str">
            <v>X</v>
          </cell>
          <cell r="U137" t="str">
            <v>REPASSE DE AUTO PRODUÇÃO</v>
          </cell>
          <cell r="X137" t="str">
            <v>01/12/2018 00</v>
          </cell>
          <cell r="Y137" t="str">
            <v>01/01/2019 00</v>
          </cell>
          <cell r="Z137" t="str">
            <v>84,620977</v>
          </cell>
          <cell r="AF137" t="str">
            <v>DECLARADA</v>
          </cell>
          <cell r="AG137" t="str">
            <v>Ajustado Validado</v>
          </cell>
        </row>
        <row r="138">
          <cell r="A138">
            <v>821618</v>
          </cell>
          <cell r="B138" t="str">
            <v>CCEAL</v>
          </cell>
          <cell r="C138" t="str">
            <v>Firme</v>
          </cell>
          <cell r="D138" t="str">
            <v>Energia Convencional</v>
          </cell>
          <cell r="E138" t="str">
            <v>01/03/2015 00</v>
          </cell>
          <cell r="F138" t="str">
            <v>29/08/2036 00</v>
          </cell>
          <cell r="G138" t="str">
            <v>01/03/2015 00</v>
          </cell>
          <cell r="H138" t="str">
            <v>28/08/2036 23</v>
          </cell>
          <cell r="J138" t="str">
            <v>Validado</v>
          </cell>
          <cell r="M138" t="str">
            <v>ALIANCA GERACAO</v>
          </cell>
          <cell r="N138" t="str">
            <v>CVRD PIE</v>
          </cell>
          <cell r="O138" t="str">
            <v>SUDESTE</v>
          </cell>
          <cell r="P138" t="str">
            <v>X</v>
          </cell>
          <cell r="U138" t="str">
            <v>REPASSE DE AUTO PRODUÇÃO</v>
          </cell>
          <cell r="X138" t="str">
            <v>01/12/2018 00</v>
          </cell>
          <cell r="Y138" t="str">
            <v>01/01/2019 00</v>
          </cell>
          <cell r="Z138" t="str">
            <v>72,812792</v>
          </cell>
          <cell r="AF138" t="str">
            <v>DECLARADA</v>
          </cell>
          <cell r="AG138" t="str">
            <v>Ajustado Validado</v>
          </cell>
        </row>
        <row r="139">
          <cell r="A139">
            <v>832615</v>
          </cell>
          <cell r="B139" t="str">
            <v>CCEAL</v>
          </cell>
          <cell r="C139" t="str">
            <v>Firme</v>
          </cell>
          <cell r="D139" t="str">
            <v>Energia Incentivada Especial</v>
          </cell>
          <cell r="E139" t="str">
            <v>01/07/2015 00</v>
          </cell>
          <cell r="F139" t="str">
            <v>01/02/2019 00</v>
          </cell>
          <cell r="G139" t="str">
            <v>01/07/2015 00</v>
          </cell>
          <cell r="H139" t="str">
            <v>31/01/2019 23</v>
          </cell>
          <cell r="J139" t="str">
            <v>Validado</v>
          </cell>
          <cell r="M139" t="str">
            <v>VALE ENE I5</v>
          </cell>
          <cell r="N139" t="str">
            <v>RIO DOCE CO</v>
          </cell>
          <cell r="O139" t="str">
            <v>SUDESTE</v>
          </cell>
          <cell r="P139" t="str">
            <v>X</v>
          </cell>
          <cell r="X139" t="str">
            <v>01/12/2018 00</v>
          </cell>
          <cell r="Y139" t="str">
            <v>01/01/2019 00</v>
          </cell>
          <cell r="Z139" t="str">
            <v>0,000000</v>
          </cell>
          <cell r="AF139" t="str">
            <v>FLAT</v>
          </cell>
          <cell r="AG139" t="str">
            <v>Validado</v>
          </cell>
        </row>
        <row r="140">
          <cell r="A140">
            <v>835503</v>
          </cell>
          <cell r="B140" t="str">
            <v>CCEAL</v>
          </cell>
          <cell r="C140" t="str">
            <v>Firme</v>
          </cell>
          <cell r="D140" t="str">
            <v>Energia Convencional</v>
          </cell>
          <cell r="E140" t="str">
            <v>01/08/2018 00</v>
          </cell>
          <cell r="F140" t="str">
            <v>01/02/2019 00</v>
          </cell>
          <cell r="G140" t="str">
            <v>01/08/2015 00</v>
          </cell>
          <cell r="H140" t="str">
            <v>31/01/2019 23</v>
          </cell>
          <cell r="J140" t="str">
            <v>Validado</v>
          </cell>
          <cell r="M140" t="str">
            <v>VALE ENERGIA</v>
          </cell>
          <cell r="N140" t="str">
            <v>MOSAIC FERTILIZANTES PEK</v>
          </cell>
          <cell r="O140" t="str">
            <v>SUDESTE</v>
          </cell>
          <cell r="P140" t="str">
            <v>X</v>
          </cell>
          <cell r="X140" t="str">
            <v>01/12/2018 00</v>
          </cell>
          <cell r="Y140" t="str">
            <v>01/01/2019 00</v>
          </cell>
          <cell r="Z140" t="str">
            <v>0,000000</v>
          </cell>
          <cell r="AF140" t="str">
            <v>FLAT</v>
          </cell>
          <cell r="AG140" t="str">
            <v>Validado</v>
          </cell>
        </row>
        <row r="141">
          <cell r="A141">
            <v>835504</v>
          </cell>
          <cell r="B141" t="str">
            <v>CCEAL</v>
          </cell>
          <cell r="C141" t="str">
            <v>Firme</v>
          </cell>
          <cell r="D141" t="str">
            <v>Energia Incentivada Especial</v>
          </cell>
          <cell r="E141" t="str">
            <v>01/08/2018 00</v>
          </cell>
          <cell r="F141" t="str">
            <v>01/02/2019 00</v>
          </cell>
          <cell r="G141" t="str">
            <v>01/08/2015 00</v>
          </cell>
          <cell r="H141" t="str">
            <v>31/01/2019 23</v>
          </cell>
          <cell r="J141" t="str">
            <v>Validado</v>
          </cell>
          <cell r="M141" t="str">
            <v>VALE ENE I5</v>
          </cell>
          <cell r="N141" t="str">
            <v>MOSAIC FERTILIZANTES PEK</v>
          </cell>
          <cell r="O141" t="str">
            <v>SUDESTE</v>
          </cell>
          <cell r="P141" t="str">
            <v>X</v>
          </cell>
          <cell r="X141" t="str">
            <v>01/12/2018 00</v>
          </cell>
          <cell r="Y141" t="str">
            <v>01/01/2019 00</v>
          </cell>
          <cell r="Z141" t="str">
            <v>0,000000</v>
          </cell>
          <cell r="AF141" t="str">
            <v>FLAT</v>
          </cell>
          <cell r="AG141" t="str">
            <v>Validado</v>
          </cell>
        </row>
        <row r="142">
          <cell r="A142">
            <v>839296</v>
          </cell>
          <cell r="B142" t="str">
            <v>CCEAL</v>
          </cell>
          <cell r="C142" t="str">
            <v>Firme</v>
          </cell>
          <cell r="D142" t="str">
            <v>Energia Convencional</v>
          </cell>
          <cell r="E142" t="str">
            <v>01/09/2015 00</v>
          </cell>
          <cell r="F142" t="str">
            <v>01/02/2019 00</v>
          </cell>
          <cell r="G142" t="str">
            <v>01/09/2015 00</v>
          </cell>
          <cell r="H142" t="str">
            <v>31/01/2019 23</v>
          </cell>
          <cell r="J142" t="str">
            <v>Validado</v>
          </cell>
          <cell r="M142" t="str">
            <v>VALE ENERGIA</v>
          </cell>
          <cell r="N142" t="str">
            <v>RIO DOCE</v>
          </cell>
          <cell r="O142" t="str">
            <v>NORDESTE</v>
          </cell>
          <cell r="P142" t="str">
            <v>X</v>
          </cell>
          <cell r="X142" t="str">
            <v>01/12/2018 00</v>
          </cell>
          <cell r="Y142" t="str">
            <v>01/01/2019 00</v>
          </cell>
          <cell r="Z142" t="str">
            <v>0,000000</v>
          </cell>
          <cell r="AF142" t="str">
            <v>FLAT</v>
          </cell>
          <cell r="AG142" t="str">
            <v>Validado</v>
          </cell>
        </row>
        <row r="143">
          <cell r="A143">
            <v>843685</v>
          </cell>
          <cell r="B143" t="str">
            <v>CCEAL</v>
          </cell>
          <cell r="C143" t="str">
            <v>Firme</v>
          </cell>
          <cell r="D143" t="str">
            <v>Energia Convencional</v>
          </cell>
          <cell r="E143" t="str">
            <v>01/12/2015 00</v>
          </cell>
          <cell r="F143" t="str">
            <v>01/02/2019 00</v>
          </cell>
          <cell r="G143" t="str">
            <v>01/12/2015 00</v>
          </cell>
          <cell r="H143" t="str">
            <v>31/01/2019 23</v>
          </cell>
          <cell r="J143" t="str">
            <v>Validado</v>
          </cell>
          <cell r="M143" t="str">
            <v>CVRD PIE</v>
          </cell>
          <cell r="N143" t="str">
            <v>CVRD CL SE-CO</v>
          </cell>
          <cell r="O143" t="str">
            <v>SUDESTE</v>
          </cell>
          <cell r="P143" t="str">
            <v>X</v>
          </cell>
          <cell r="X143" t="str">
            <v>01/12/2018 00</v>
          </cell>
          <cell r="Y143" t="str">
            <v>01/01/2019 00</v>
          </cell>
          <cell r="Z143" t="str">
            <v>0,000000</v>
          </cell>
          <cell r="AF143" t="str">
            <v>FLAT</v>
          </cell>
          <cell r="AG143" t="str">
            <v>Validado</v>
          </cell>
        </row>
        <row r="144">
          <cell r="A144">
            <v>843740</v>
          </cell>
          <cell r="B144" t="str">
            <v>CCEAL</v>
          </cell>
          <cell r="C144" t="str">
            <v>Firme</v>
          </cell>
          <cell r="D144" t="str">
            <v>Energia Incentivada Especial</v>
          </cell>
          <cell r="E144" t="str">
            <v>01/12/2015 00</v>
          </cell>
          <cell r="F144" t="str">
            <v>01/02/2019 00</v>
          </cell>
          <cell r="G144" t="str">
            <v>01/12/2015 00</v>
          </cell>
          <cell r="H144" t="str">
            <v>31/01/2019 23</v>
          </cell>
          <cell r="J144" t="str">
            <v>Validado</v>
          </cell>
          <cell r="M144" t="str">
            <v>CVRD APE I5</v>
          </cell>
          <cell r="N144" t="str">
            <v>CVRD CL SE-CO</v>
          </cell>
          <cell r="O144" t="str">
            <v>SUDESTE</v>
          </cell>
          <cell r="P144" t="str">
            <v>X</v>
          </cell>
          <cell r="X144" t="str">
            <v>01/12/2018 00</v>
          </cell>
          <cell r="Y144" t="str">
            <v>01/01/2019 00</v>
          </cell>
          <cell r="Z144" t="str">
            <v>0,000000</v>
          </cell>
          <cell r="AF144" t="str">
            <v>FLAT</v>
          </cell>
          <cell r="AG144" t="str">
            <v>Validado</v>
          </cell>
        </row>
        <row r="145">
          <cell r="A145">
            <v>843741</v>
          </cell>
          <cell r="B145" t="str">
            <v>CCEAL</v>
          </cell>
          <cell r="C145" t="str">
            <v>Firme</v>
          </cell>
          <cell r="D145" t="str">
            <v>Energia Convencional</v>
          </cell>
          <cell r="E145" t="str">
            <v>01/12/2015 00</v>
          </cell>
          <cell r="F145" t="str">
            <v>01/02/2019 00</v>
          </cell>
          <cell r="G145" t="str">
            <v>01/12/2015 00</v>
          </cell>
          <cell r="H145" t="str">
            <v>31/01/2019 23</v>
          </cell>
          <cell r="J145" t="str">
            <v>Validado</v>
          </cell>
          <cell r="M145" t="str">
            <v>VALE ENERGIA</v>
          </cell>
          <cell r="N145" t="str">
            <v>CVRD CL SE-CO</v>
          </cell>
          <cell r="O145" t="str">
            <v>SUDESTE</v>
          </cell>
          <cell r="P145" t="str">
            <v>X</v>
          </cell>
          <cell r="X145" t="str">
            <v>01/12/2018 00</v>
          </cell>
          <cell r="Y145" t="str">
            <v>01/01/2019 00</v>
          </cell>
          <cell r="Z145" t="str">
            <v>0,000000</v>
          </cell>
          <cell r="AF145" t="str">
            <v>FLAT</v>
          </cell>
          <cell r="AG145" t="str">
            <v>Validado</v>
          </cell>
        </row>
        <row r="146">
          <cell r="A146">
            <v>843743</v>
          </cell>
          <cell r="B146" t="str">
            <v>CCEAL</v>
          </cell>
          <cell r="C146" t="str">
            <v>Firme</v>
          </cell>
          <cell r="D146" t="str">
            <v>Energia Incentivada Especial</v>
          </cell>
          <cell r="E146" t="str">
            <v>01/12/2015 00</v>
          </cell>
          <cell r="F146" t="str">
            <v>01/02/2019 00</v>
          </cell>
          <cell r="G146" t="str">
            <v>01/12/2015 00</v>
          </cell>
          <cell r="H146" t="str">
            <v>31/01/2019 23</v>
          </cell>
          <cell r="J146" t="str">
            <v>Validado</v>
          </cell>
          <cell r="M146" t="str">
            <v>VALE ENE I5</v>
          </cell>
          <cell r="N146" t="str">
            <v>CVRD CL SE-CO</v>
          </cell>
          <cell r="O146" t="str">
            <v>SUDESTE</v>
          </cell>
          <cell r="P146" t="str">
            <v>X</v>
          </cell>
          <cell r="X146" t="str">
            <v>01/12/2018 00</v>
          </cell>
          <cell r="Y146" t="str">
            <v>01/01/2019 00</v>
          </cell>
          <cell r="Z146" t="str">
            <v>0,000000</v>
          </cell>
          <cell r="AF146" t="str">
            <v>FLAT</v>
          </cell>
          <cell r="AG146" t="str">
            <v>Validado</v>
          </cell>
        </row>
        <row r="147">
          <cell r="A147">
            <v>851180</v>
          </cell>
          <cell r="B147" t="str">
            <v>CCEAL</v>
          </cell>
          <cell r="C147" t="str">
            <v>Firme</v>
          </cell>
          <cell r="D147" t="str">
            <v>Energia Convencional</v>
          </cell>
          <cell r="E147" t="str">
            <v>01/12/2015 00</v>
          </cell>
          <cell r="F147" t="str">
            <v>01/01/2045 00</v>
          </cell>
          <cell r="G147" t="str">
            <v>01/12/2015 00</v>
          </cell>
          <cell r="H147" t="str">
            <v>31/12/2044 23</v>
          </cell>
          <cell r="J147" t="str">
            <v>Registrado e Não Validado</v>
          </cell>
          <cell r="M147" t="str">
            <v>NESA</v>
          </cell>
          <cell r="N147" t="str">
            <v>CVRD PIE</v>
          </cell>
          <cell r="O147" t="str">
            <v>NORTE</v>
          </cell>
          <cell r="P147" t="str">
            <v>X</v>
          </cell>
          <cell r="X147" t="str">
            <v>01/12/2015 00</v>
          </cell>
          <cell r="Y147" t="str">
            <v>01/01/2045 00</v>
          </cell>
          <cell r="Z147" t="str">
            <v>0,000000</v>
          </cell>
          <cell r="AF147" t="str">
            <v>FLAT</v>
          </cell>
          <cell r="AG147" t="str">
            <v>Inserido Não Validado</v>
          </cell>
        </row>
        <row r="148">
          <cell r="A148">
            <v>855820</v>
          </cell>
          <cell r="B148" t="str">
            <v>CCEAL</v>
          </cell>
          <cell r="C148" t="str">
            <v>Firme</v>
          </cell>
          <cell r="D148" t="str">
            <v>Energia Incentivada Especial</v>
          </cell>
          <cell r="E148" t="str">
            <v>01/01/2016 00</v>
          </cell>
          <cell r="F148" t="str">
            <v>01/01/2019 00</v>
          </cell>
          <cell r="G148" t="str">
            <v>01/01/2016 00</v>
          </cell>
          <cell r="H148" t="str">
            <v>31/12/2018 23</v>
          </cell>
          <cell r="J148" t="str">
            <v>Registrado e Não Validado</v>
          </cell>
          <cell r="M148" t="str">
            <v>CMU TR I5</v>
          </cell>
          <cell r="N148" t="str">
            <v>VALE ENE I5</v>
          </cell>
          <cell r="O148" t="str">
            <v>SUDESTE</v>
          </cell>
          <cell r="P148" t="str">
            <v>X</v>
          </cell>
          <cell r="X148" t="str">
            <v>01/12/2018 00</v>
          </cell>
          <cell r="Y148" t="str">
            <v>01/01/2019 00</v>
          </cell>
          <cell r="Z148" t="str">
            <v>0,000000</v>
          </cell>
          <cell r="AF148" t="str">
            <v>FLAT</v>
          </cell>
          <cell r="AG148" t="str">
            <v>Inserido Não Validado</v>
          </cell>
        </row>
        <row r="149">
          <cell r="A149">
            <v>855821</v>
          </cell>
          <cell r="B149" t="str">
            <v>CCEAL</v>
          </cell>
          <cell r="C149" t="str">
            <v>Firme</v>
          </cell>
          <cell r="D149" t="str">
            <v>Energia Incentivada Especial</v>
          </cell>
          <cell r="E149" t="str">
            <v>01/01/2016 00</v>
          </cell>
          <cell r="F149" t="str">
            <v>01/01/2019 00</v>
          </cell>
          <cell r="G149" t="str">
            <v>01/01/2016 00</v>
          </cell>
          <cell r="H149" t="str">
            <v>31/12/2018 23</v>
          </cell>
          <cell r="J149" t="str">
            <v>Registrado e Não Validado</v>
          </cell>
          <cell r="M149" t="str">
            <v>CMU TR I5</v>
          </cell>
          <cell r="N149" t="str">
            <v>VALE ENE I5</v>
          </cell>
          <cell r="O149" t="str">
            <v>SUL</v>
          </cell>
          <cell r="P149" t="str">
            <v>X</v>
          </cell>
          <cell r="X149" t="str">
            <v>01/12/2018 00</v>
          </cell>
          <cell r="Y149" t="str">
            <v>01/01/2019 00</v>
          </cell>
          <cell r="Z149" t="str">
            <v>0,000000</v>
          </cell>
          <cell r="AF149" t="str">
            <v>FLAT</v>
          </cell>
          <cell r="AG149" t="str">
            <v>Inserido Não Validado</v>
          </cell>
        </row>
        <row r="150">
          <cell r="A150">
            <v>855822</v>
          </cell>
          <cell r="B150" t="str">
            <v>CCEAL</v>
          </cell>
          <cell r="C150" t="str">
            <v>Firme</v>
          </cell>
          <cell r="D150" t="str">
            <v>Energia Incentivada Especial</v>
          </cell>
          <cell r="E150" t="str">
            <v>01/01/2016 00</v>
          </cell>
          <cell r="F150" t="str">
            <v>01/01/2019 00</v>
          </cell>
          <cell r="G150" t="str">
            <v>01/01/2016 00</v>
          </cell>
          <cell r="H150" t="str">
            <v>31/12/2018 23</v>
          </cell>
          <cell r="J150" t="str">
            <v>Registrado e Não Validado</v>
          </cell>
          <cell r="M150" t="str">
            <v>CMU TR I5</v>
          </cell>
          <cell r="N150" t="str">
            <v>VALE ENE I5</v>
          </cell>
          <cell r="O150" t="str">
            <v>NORDESTE</v>
          </cell>
          <cell r="P150" t="str">
            <v>X</v>
          </cell>
          <cell r="X150" t="str">
            <v>01/12/2018 00</v>
          </cell>
          <cell r="Y150" t="str">
            <v>01/01/2019 00</v>
          </cell>
          <cell r="Z150" t="str">
            <v>0,000000</v>
          </cell>
          <cell r="AF150" t="str">
            <v>FLAT</v>
          </cell>
          <cell r="AG150" t="str">
            <v>Inserido Não Validado</v>
          </cell>
        </row>
        <row r="151">
          <cell r="A151">
            <v>855823</v>
          </cell>
          <cell r="B151" t="str">
            <v>CCEAL</v>
          </cell>
          <cell r="C151" t="str">
            <v>Firme</v>
          </cell>
          <cell r="D151" t="str">
            <v>Energia Incentivada Especial</v>
          </cell>
          <cell r="E151" t="str">
            <v>01/01/2016 00</v>
          </cell>
          <cell r="F151" t="str">
            <v>01/01/2019 00</v>
          </cell>
          <cell r="G151" t="str">
            <v>01/01/2016 00</v>
          </cell>
          <cell r="H151" t="str">
            <v>31/12/2018 23</v>
          </cell>
          <cell r="J151" t="str">
            <v>Registrado e Não Validado</v>
          </cell>
          <cell r="M151" t="str">
            <v>CMU TR I5</v>
          </cell>
          <cell r="N151" t="str">
            <v>VALE ENE I5</v>
          </cell>
          <cell r="O151" t="str">
            <v>NORTE</v>
          </cell>
          <cell r="P151" t="str">
            <v>X</v>
          </cell>
          <cell r="X151" t="str">
            <v>01/12/2018 00</v>
          </cell>
          <cell r="Y151" t="str">
            <v>01/01/2019 00</v>
          </cell>
          <cell r="Z151" t="str">
            <v>0,000000</v>
          </cell>
          <cell r="AF151" t="str">
            <v>FLAT</v>
          </cell>
          <cell r="AG151" t="str">
            <v>Inserido Não Validado</v>
          </cell>
        </row>
        <row r="152">
          <cell r="A152">
            <v>870982</v>
          </cell>
          <cell r="B152" t="str">
            <v>CCEAL</v>
          </cell>
          <cell r="C152" t="str">
            <v>Firme</v>
          </cell>
          <cell r="D152" t="str">
            <v>Energia Incentivada Especial</v>
          </cell>
          <cell r="E152" t="str">
            <v>01/01/2016 00</v>
          </cell>
          <cell r="F152" t="str">
            <v>01/01/2020 00</v>
          </cell>
          <cell r="G152" t="str">
            <v>01/01/2016 00</v>
          </cell>
          <cell r="H152" t="str">
            <v>31/12/2019 23</v>
          </cell>
          <cell r="J152" t="str">
            <v>Validado</v>
          </cell>
          <cell r="M152" t="str">
            <v>VALE ENE I5</v>
          </cell>
          <cell r="N152" t="str">
            <v>CVRD CL SE-CO</v>
          </cell>
          <cell r="O152" t="str">
            <v>NORDESTE</v>
          </cell>
          <cell r="P152" t="str">
            <v>X</v>
          </cell>
          <cell r="X152" t="str">
            <v>01/12/2018 00</v>
          </cell>
          <cell r="Y152" t="str">
            <v>01/01/2019 00</v>
          </cell>
          <cell r="Z152" t="str">
            <v>0,000000</v>
          </cell>
          <cell r="AF152" t="str">
            <v>FLAT</v>
          </cell>
          <cell r="AG152" t="str">
            <v>Validado</v>
          </cell>
        </row>
        <row r="153">
          <cell r="A153">
            <v>876788</v>
          </cell>
          <cell r="B153" t="str">
            <v>CCEAL</v>
          </cell>
          <cell r="C153" t="str">
            <v>Firme</v>
          </cell>
          <cell r="D153" t="str">
            <v>Energia Incentivada Especial</v>
          </cell>
          <cell r="E153" t="str">
            <v>01/01/2016 00</v>
          </cell>
          <cell r="F153" t="str">
            <v>01/01/2020 00</v>
          </cell>
          <cell r="G153" t="str">
            <v>01/01/2016 00</v>
          </cell>
          <cell r="H153" t="str">
            <v>31/12/2019 23</v>
          </cell>
          <cell r="J153" t="str">
            <v>Validado</v>
          </cell>
          <cell r="M153" t="str">
            <v>VALE ENE I5</v>
          </cell>
          <cell r="N153" t="str">
            <v>SALOBO</v>
          </cell>
          <cell r="O153" t="str">
            <v>SUDESTE</v>
          </cell>
          <cell r="P153" t="str">
            <v>X</v>
          </cell>
          <cell r="X153" t="str">
            <v>01/12/2018 00</v>
          </cell>
          <cell r="Y153" t="str">
            <v>01/01/2019 00</v>
          </cell>
          <cell r="Z153" t="str">
            <v>0,000000</v>
          </cell>
          <cell r="AF153" t="str">
            <v>FLAT</v>
          </cell>
          <cell r="AG153" t="str">
            <v>Validado</v>
          </cell>
        </row>
        <row r="154">
          <cell r="A154">
            <v>876844</v>
          </cell>
          <cell r="B154" t="str">
            <v>CCEAL</v>
          </cell>
          <cell r="C154" t="str">
            <v>Firme</v>
          </cell>
          <cell r="D154" t="str">
            <v>Energia Convencional</v>
          </cell>
          <cell r="E154" t="str">
            <v>01/01/2016 00</v>
          </cell>
          <cell r="F154" t="str">
            <v>01/01/2020 00</v>
          </cell>
          <cell r="G154" t="str">
            <v>01/01/2016 00</v>
          </cell>
          <cell r="H154" t="str">
            <v>31/12/2019 23</v>
          </cell>
          <cell r="J154" t="str">
            <v>Validado</v>
          </cell>
          <cell r="M154" t="str">
            <v>VALE ENERGIA</v>
          </cell>
          <cell r="N154" t="str">
            <v>SALOBO</v>
          </cell>
          <cell r="O154" t="str">
            <v>SUDESTE</v>
          </cell>
          <cell r="P154" t="str">
            <v>X</v>
          </cell>
          <cell r="X154" t="str">
            <v>01/12/2018 00</v>
          </cell>
          <cell r="Y154" t="str">
            <v>01/01/2019 00</v>
          </cell>
          <cell r="Z154" t="str">
            <v>0,000000</v>
          </cell>
          <cell r="AF154" t="str">
            <v>FLAT</v>
          </cell>
          <cell r="AG154" t="str">
            <v>Validado</v>
          </cell>
        </row>
        <row r="155">
          <cell r="A155">
            <v>877512</v>
          </cell>
          <cell r="B155" t="str">
            <v>CCEAL</v>
          </cell>
          <cell r="C155" t="str">
            <v>Firme</v>
          </cell>
          <cell r="D155" t="str">
            <v>Energia Convencional</v>
          </cell>
          <cell r="E155" t="str">
            <v>01/01/2016 00</v>
          </cell>
          <cell r="F155" t="str">
            <v>01/09/2045 00</v>
          </cell>
          <cell r="G155" t="str">
            <v>01/01/2016 00</v>
          </cell>
          <cell r="H155" t="str">
            <v>31/08/2045 23</v>
          </cell>
          <cell r="J155" t="str">
            <v>Validado</v>
          </cell>
          <cell r="M155" t="str">
            <v>NESA</v>
          </cell>
          <cell r="N155" t="str">
            <v>CVRD PIE</v>
          </cell>
          <cell r="O155" t="str">
            <v>NORTE</v>
          </cell>
          <cell r="P155" t="str">
            <v>X</v>
          </cell>
          <cell r="U155" t="str">
            <v>REPASSE DE AUTO PRODUÇÃO</v>
          </cell>
          <cell r="X155" t="str">
            <v>01/12/2018 00</v>
          </cell>
          <cell r="Y155" t="str">
            <v>01/01/2019 00</v>
          </cell>
          <cell r="Z155" t="str">
            <v>0,000000</v>
          </cell>
          <cell r="AF155" t="str">
            <v>FLAT</v>
          </cell>
          <cell r="AG155" t="str">
            <v>Validado</v>
          </cell>
        </row>
        <row r="156">
          <cell r="A156">
            <v>880826</v>
          </cell>
          <cell r="B156" t="str">
            <v>CCEAL</v>
          </cell>
          <cell r="C156" t="str">
            <v>Firme</v>
          </cell>
          <cell r="D156" t="str">
            <v>Energia Incentivada Especial</v>
          </cell>
          <cell r="E156" t="str">
            <v>01/02/2016 00</v>
          </cell>
          <cell r="F156" t="str">
            <v>01/01/2020 00</v>
          </cell>
          <cell r="G156" t="str">
            <v>01/02/2016 00</v>
          </cell>
          <cell r="H156" t="str">
            <v>31/12/2019 23</v>
          </cell>
          <cell r="J156" t="str">
            <v>Validado</v>
          </cell>
          <cell r="M156" t="str">
            <v>VALE ENE I5</v>
          </cell>
          <cell r="N156" t="str">
            <v>CVRD CL2</v>
          </cell>
          <cell r="O156" t="str">
            <v>NORTE</v>
          </cell>
          <cell r="P156" t="str">
            <v>X</v>
          </cell>
          <cell r="X156" t="str">
            <v>01/12/2018 00</v>
          </cell>
          <cell r="Y156" t="str">
            <v>01/01/2019 00</v>
          </cell>
          <cell r="Z156" t="str">
            <v>0,000000</v>
          </cell>
          <cell r="AF156" t="str">
            <v>FLAT</v>
          </cell>
          <cell r="AG156" t="str">
            <v>Validado</v>
          </cell>
        </row>
        <row r="157">
          <cell r="A157">
            <v>880827</v>
          </cell>
          <cell r="B157" t="str">
            <v>CCEAL</v>
          </cell>
          <cell r="C157" t="str">
            <v>Firme</v>
          </cell>
          <cell r="D157" t="str">
            <v>Energia Incentivada Especial</v>
          </cell>
          <cell r="E157" t="str">
            <v>01/02/2016 00</v>
          </cell>
          <cell r="F157" t="str">
            <v>01/01/2020 00</v>
          </cell>
          <cell r="G157" t="str">
            <v>01/02/2016 00</v>
          </cell>
          <cell r="H157" t="str">
            <v>31/12/2019 23</v>
          </cell>
          <cell r="J157" t="str">
            <v>Validado</v>
          </cell>
          <cell r="M157" t="str">
            <v>VALE ENE I5</v>
          </cell>
          <cell r="N157" t="str">
            <v>RIO DOCE CO</v>
          </cell>
          <cell r="O157" t="str">
            <v>SUDESTE</v>
          </cell>
          <cell r="P157" t="str">
            <v>X</v>
          </cell>
          <cell r="X157" t="str">
            <v>01/12/2018 00</v>
          </cell>
          <cell r="Y157" t="str">
            <v>01/01/2019 00</v>
          </cell>
          <cell r="Z157" t="str">
            <v>0,000000</v>
          </cell>
          <cell r="AF157" t="str">
            <v>FLAT</v>
          </cell>
          <cell r="AG157" t="str">
            <v>Validado</v>
          </cell>
        </row>
        <row r="158">
          <cell r="A158">
            <v>880832</v>
          </cell>
          <cell r="B158" t="str">
            <v>CCEAL</v>
          </cell>
          <cell r="C158" t="str">
            <v>Firme</v>
          </cell>
          <cell r="D158" t="str">
            <v>Energia Convencional</v>
          </cell>
          <cell r="E158" t="str">
            <v>01/08/2018 00</v>
          </cell>
          <cell r="F158" t="str">
            <v>01/01/2020 00</v>
          </cell>
          <cell r="G158" t="str">
            <v>01/02/2016 00</v>
          </cell>
          <cell r="H158" t="str">
            <v>31/12/2019 23</v>
          </cell>
          <cell r="J158" t="str">
            <v>Validado</v>
          </cell>
          <cell r="M158" t="str">
            <v>VALE ENERGIA</v>
          </cell>
          <cell r="N158" t="str">
            <v>MOSAIC FERTILIZANTES PEK</v>
          </cell>
          <cell r="O158" t="str">
            <v>SUDESTE</v>
          </cell>
          <cell r="P158" t="str">
            <v>X</v>
          </cell>
          <cell r="X158" t="str">
            <v>01/12/2018 00</v>
          </cell>
          <cell r="Y158" t="str">
            <v>01/01/2019 00</v>
          </cell>
          <cell r="Z158" t="str">
            <v>0,000000</v>
          </cell>
          <cell r="AF158" t="str">
            <v>FLAT</v>
          </cell>
          <cell r="AG158" t="str">
            <v>Validado</v>
          </cell>
        </row>
        <row r="159">
          <cell r="A159">
            <v>887537</v>
          </cell>
          <cell r="B159" t="str">
            <v>CCEAL</v>
          </cell>
          <cell r="C159" t="str">
            <v>Firme</v>
          </cell>
          <cell r="D159" t="str">
            <v>Energia Incentivada Especial</v>
          </cell>
          <cell r="E159" t="str">
            <v>01/05/2016 00</v>
          </cell>
          <cell r="F159" t="str">
            <v>01/01/2021 00</v>
          </cell>
          <cell r="G159" t="str">
            <v>01/05/2016 00</v>
          </cell>
          <cell r="H159" t="str">
            <v>31/12/2020 23</v>
          </cell>
          <cell r="J159" t="str">
            <v>Validado</v>
          </cell>
          <cell r="M159" t="str">
            <v>BROOKFIELD I5</v>
          </cell>
          <cell r="N159" t="str">
            <v>VALE ENE I5</v>
          </cell>
          <cell r="O159" t="str">
            <v>SUDESTE</v>
          </cell>
          <cell r="P159" t="str">
            <v>X</v>
          </cell>
          <cell r="X159" t="str">
            <v>01/12/2018 00</v>
          </cell>
          <cell r="Y159" t="str">
            <v>01/01/2019 00</v>
          </cell>
          <cell r="Z159" t="str">
            <v>1,940000</v>
          </cell>
          <cell r="AF159" t="str">
            <v>FLAT</v>
          </cell>
          <cell r="AG159" t="str">
            <v>Ajustado Validado</v>
          </cell>
        </row>
        <row r="160">
          <cell r="A160">
            <v>887550</v>
          </cell>
          <cell r="B160" t="str">
            <v>CCEAL</v>
          </cell>
          <cell r="C160" t="str">
            <v>Firme</v>
          </cell>
          <cell r="D160" t="str">
            <v>Energia Incentivada Especial</v>
          </cell>
          <cell r="E160" t="str">
            <v>01/04/2016 00</v>
          </cell>
          <cell r="F160" t="str">
            <v>01/01/2025 00</v>
          </cell>
          <cell r="G160" t="str">
            <v>01/04/2016 00</v>
          </cell>
          <cell r="H160" t="str">
            <v>31/12/2024 23</v>
          </cell>
          <cell r="J160" t="str">
            <v>Validado</v>
          </cell>
          <cell r="M160" t="str">
            <v>BROOKFIELD I5</v>
          </cell>
          <cell r="N160" t="str">
            <v>VALE ENE I5</v>
          </cell>
          <cell r="O160" t="str">
            <v>SUDESTE</v>
          </cell>
          <cell r="P160" t="str">
            <v>X</v>
          </cell>
          <cell r="X160" t="str">
            <v>01/12/2018 00</v>
          </cell>
          <cell r="Y160" t="str">
            <v>01/01/2019 00</v>
          </cell>
          <cell r="Z160" t="str">
            <v>0,000000</v>
          </cell>
          <cell r="AF160" t="str">
            <v>FLAT</v>
          </cell>
          <cell r="AG160" t="str">
            <v>Validado</v>
          </cell>
        </row>
        <row r="161">
          <cell r="A161">
            <v>910820</v>
          </cell>
          <cell r="B161" t="str">
            <v>PROINFA</v>
          </cell>
          <cell r="D161" t="str">
            <v>Energia Convencional</v>
          </cell>
          <cell r="E161" t="str">
            <v>01/01/2018 00</v>
          </cell>
          <cell r="F161" t="str">
            <v>01/01/2026 00</v>
          </cell>
          <cell r="G161" t="str">
            <v>01/06/2016 00</v>
          </cell>
          <cell r="H161" t="str">
            <v>31/12/2025 23</v>
          </cell>
          <cell r="J161" t="str">
            <v>Validado</v>
          </cell>
          <cell r="M161" t="str">
            <v>ACEP</v>
          </cell>
          <cell r="N161" t="str">
            <v>CVRD</v>
          </cell>
          <cell r="O161" t="str">
            <v>SUDESTE</v>
          </cell>
          <cell r="P161" t="str">
            <v>X</v>
          </cell>
        </row>
        <row r="162">
          <cell r="A162">
            <v>916171</v>
          </cell>
          <cell r="B162" t="str">
            <v>CCEAL</v>
          </cell>
          <cell r="C162" t="str">
            <v>Firme</v>
          </cell>
          <cell r="D162" t="str">
            <v>Energia Incentivada Especial</v>
          </cell>
          <cell r="E162" t="str">
            <v>01/01/2017 00</v>
          </cell>
          <cell r="F162" t="str">
            <v>01/01/2020 00</v>
          </cell>
          <cell r="G162" t="str">
            <v>01/01/2017 00</v>
          </cell>
          <cell r="H162" t="str">
            <v>31/12/2019 23</v>
          </cell>
          <cell r="J162" t="str">
            <v>Validado</v>
          </cell>
          <cell r="M162" t="str">
            <v>VALE ENE I5</v>
          </cell>
          <cell r="N162" t="str">
            <v>VOTENER I5</v>
          </cell>
          <cell r="O162" t="str">
            <v>SUDESTE</v>
          </cell>
          <cell r="P162" t="str">
            <v>X</v>
          </cell>
          <cell r="X162" t="str">
            <v>01/12/2018 00</v>
          </cell>
          <cell r="Y162" t="str">
            <v>01/01/2019 00</v>
          </cell>
          <cell r="Z162" t="str">
            <v>3,000000</v>
          </cell>
          <cell r="AF162" t="str">
            <v>FLAT</v>
          </cell>
          <cell r="AG162" t="str">
            <v>Ajustado Não Validado</v>
          </cell>
        </row>
        <row r="163">
          <cell r="A163">
            <v>916173</v>
          </cell>
          <cell r="B163" t="str">
            <v>CCEAL</v>
          </cell>
          <cell r="C163" t="str">
            <v>Firme</v>
          </cell>
          <cell r="D163" t="str">
            <v>Energia Incentivada Especial</v>
          </cell>
          <cell r="E163" t="str">
            <v>01/01/2017 00</v>
          </cell>
          <cell r="F163" t="str">
            <v>01/01/2019 00</v>
          </cell>
          <cell r="G163" t="str">
            <v>01/01/2017 00</v>
          </cell>
          <cell r="H163" t="str">
            <v>31/12/2018 23</v>
          </cell>
          <cell r="J163" t="str">
            <v>Validado</v>
          </cell>
          <cell r="M163" t="str">
            <v>VALE ENE I5</v>
          </cell>
          <cell r="N163" t="str">
            <v>MATRIX COM I5</v>
          </cell>
          <cell r="O163" t="str">
            <v>SUDESTE</v>
          </cell>
          <cell r="P163" t="str">
            <v>X</v>
          </cell>
          <cell r="X163" t="str">
            <v>01/12/2018 00</v>
          </cell>
          <cell r="Y163" t="str">
            <v>01/01/2019 00</v>
          </cell>
          <cell r="Z163" t="str">
            <v>0,000000</v>
          </cell>
          <cell r="AF163" t="str">
            <v>FLAT</v>
          </cell>
          <cell r="AG163" t="str">
            <v>Validado</v>
          </cell>
        </row>
        <row r="164">
          <cell r="A164">
            <v>916174</v>
          </cell>
          <cell r="B164" t="str">
            <v>CCEAL</v>
          </cell>
          <cell r="C164" t="str">
            <v>Firme</v>
          </cell>
          <cell r="D164" t="str">
            <v>Energia Incentivada Especial</v>
          </cell>
          <cell r="E164" t="str">
            <v>01/01/2017 00</v>
          </cell>
          <cell r="F164" t="str">
            <v>01/01/2019 00</v>
          </cell>
          <cell r="G164" t="str">
            <v>01/01/2017 00</v>
          </cell>
          <cell r="H164" t="str">
            <v>31/12/2018 23</v>
          </cell>
          <cell r="J164" t="str">
            <v>Validado</v>
          </cell>
          <cell r="M164" t="str">
            <v>VALE ENE I5</v>
          </cell>
          <cell r="N164" t="str">
            <v>COMERC I5</v>
          </cell>
          <cell r="O164" t="str">
            <v>SUDESTE</v>
          </cell>
          <cell r="P164" t="str">
            <v>X</v>
          </cell>
          <cell r="X164" t="str">
            <v>01/12/2018 00</v>
          </cell>
          <cell r="Y164" t="str">
            <v>01/01/2019 00</v>
          </cell>
          <cell r="Z164" t="str">
            <v>10,000000</v>
          </cell>
          <cell r="AF164" t="str">
            <v>FLAT</v>
          </cell>
          <cell r="AG164" t="str">
            <v>Ajustado Não Validado</v>
          </cell>
        </row>
        <row r="165">
          <cell r="A165">
            <v>916175</v>
          </cell>
          <cell r="B165" t="str">
            <v>CCEAL</v>
          </cell>
          <cell r="C165" t="str">
            <v>Firme</v>
          </cell>
          <cell r="D165" t="str">
            <v>Energia Incentivada Especial</v>
          </cell>
          <cell r="E165" t="str">
            <v>01/01/2018 00</v>
          </cell>
          <cell r="F165" t="str">
            <v>01/01/2019 00</v>
          </cell>
          <cell r="G165" t="str">
            <v>01/01/2018 00</v>
          </cell>
          <cell r="H165" t="str">
            <v>31/12/2018 23</v>
          </cell>
          <cell r="J165" t="str">
            <v>Validado</v>
          </cell>
          <cell r="M165" t="str">
            <v>VALE ENE I5</v>
          </cell>
          <cell r="N165" t="str">
            <v>FOCUS I5</v>
          </cell>
          <cell r="O165" t="str">
            <v>SUDESTE</v>
          </cell>
          <cell r="P165" t="str">
            <v>X</v>
          </cell>
          <cell r="X165" t="str">
            <v>01/12/2018 00</v>
          </cell>
          <cell r="Y165" t="str">
            <v>01/01/2019 00</v>
          </cell>
          <cell r="Z165" t="str">
            <v>2,000000</v>
          </cell>
          <cell r="AF165" t="str">
            <v>FLAT</v>
          </cell>
          <cell r="AG165" t="str">
            <v>Ajustado Validado</v>
          </cell>
        </row>
        <row r="166">
          <cell r="A166">
            <v>916176</v>
          </cell>
          <cell r="B166" t="str">
            <v>CCEAL</v>
          </cell>
          <cell r="C166" t="str">
            <v>Firme</v>
          </cell>
          <cell r="D166" t="str">
            <v>Energia Incentivada Especial</v>
          </cell>
          <cell r="E166" t="str">
            <v>01/01/2017 00</v>
          </cell>
          <cell r="F166" t="str">
            <v>01/01/2019 00</v>
          </cell>
          <cell r="G166" t="str">
            <v>01/01/2017 00</v>
          </cell>
          <cell r="H166" t="str">
            <v>31/12/2018 23</v>
          </cell>
          <cell r="J166" t="str">
            <v>Validado</v>
          </cell>
          <cell r="M166" t="str">
            <v>VALE ENE I5</v>
          </cell>
          <cell r="N166" t="str">
            <v>DEAL COMERCIALIZADORA I5</v>
          </cell>
          <cell r="O166" t="str">
            <v>NORDESTE</v>
          </cell>
          <cell r="P166" t="str">
            <v>X</v>
          </cell>
          <cell r="X166" t="str">
            <v>01/12/2018 00</v>
          </cell>
          <cell r="Y166" t="str">
            <v>01/01/2019 00</v>
          </cell>
          <cell r="Z166" t="str">
            <v>0,000000</v>
          </cell>
          <cell r="AF166" t="str">
            <v>FLAT</v>
          </cell>
          <cell r="AG166" t="str">
            <v>Validado</v>
          </cell>
        </row>
        <row r="167">
          <cell r="A167">
            <v>916177</v>
          </cell>
          <cell r="B167" t="str">
            <v>CCEAL</v>
          </cell>
          <cell r="C167" t="str">
            <v>Firme</v>
          </cell>
          <cell r="D167" t="str">
            <v>Energia Incentivada Especial</v>
          </cell>
          <cell r="E167" t="str">
            <v>01/01/2017 00</v>
          </cell>
          <cell r="F167" t="str">
            <v>01/01/2019 00</v>
          </cell>
          <cell r="G167" t="str">
            <v>01/01/2017 00</v>
          </cell>
          <cell r="H167" t="str">
            <v>31/12/2018 23</v>
          </cell>
          <cell r="J167" t="str">
            <v>Validado</v>
          </cell>
          <cell r="M167" t="str">
            <v>VALE ENE I5</v>
          </cell>
          <cell r="N167" t="str">
            <v>ENGIE BR COM I5</v>
          </cell>
          <cell r="O167" t="str">
            <v>NORDESTE</v>
          </cell>
          <cell r="P167" t="str">
            <v>X</v>
          </cell>
          <cell r="X167" t="str">
            <v>01/12/2018 00</v>
          </cell>
          <cell r="Y167" t="str">
            <v>01/01/2019 00</v>
          </cell>
          <cell r="Z167" t="str">
            <v>0,000000</v>
          </cell>
          <cell r="AF167" t="str">
            <v>FLAT</v>
          </cell>
          <cell r="AG167" t="str">
            <v>Validado</v>
          </cell>
        </row>
        <row r="168">
          <cell r="A168">
            <v>916178</v>
          </cell>
          <cell r="B168" t="str">
            <v>CCEAL</v>
          </cell>
          <cell r="C168" t="str">
            <v>Firme</v>
          </cell>
          <cell r="D168" t="str">
            <v>Energia Incentivada Especial</v>
          </cell>
          <cell r="E168" t="str">
            <v>01/01/2018 00</v>
          </cell>
          <cell r="F168" t="str">
            <v>01/01/2019 00</v>
          </cell>
          <cell r="G168" t="str">
            <v>01/01/2018 00</v>
          </cell>
          <cell r="H168" t="str">
            <v>31/12/2018 23</v>
          </cell>
          <cell r="J168" t="str">
            <v>Validado</v>
          </cell>
          <cell r="M168" t="str">
            <v>VALE ENE I5</v>
          </cell>
          <cell r="N168" t="str">
            <v>COMERC I5</v>
          </cell>
          <cell r="O168" t="str">
            <v>NORDESTE</v>
          </cell>
          <cell r="P168" t="str">
            <v>X</v>
          </cell>
          <cell r="X168" t="str">
            <v>01/12/2018 00</v>
          </cell>
          <cell r="Y168" t="str">
            <v>01/01/2019 00</v>
          </cell>
          <cell r="Z168" t="str">
            <v>0,000000</v>
          </cell>
          <cell r="AF168" t="str">
            <v>FLAT</v>
          </cell>
          <cell r="AG168" t="str">
            <v>Validado</v>
          </cell>
        </row>
        <row r="169">
          <cell r="A169">
            <v>916179</v>
          </cell>
          <cell r="B169" t="str">
            <v>CCEAL</v>
          </cell>
          <cell r="C169" t="str">
            <v>Firme</v>
          </cell>
          <cell r="D169" t="str">
            <v>Energia Incentivada Especial</v>
          </cell>
          <cell r="E169" t="str">
            <v>01/01/2018 00</v>
          </cell>
          <cell r="F169" t="str">
            <v>01/01/2019 00</v>
          </cell>
          <cell r="G169" t="str">
            <v>01/01/2018 00</v>
          </cell>
          <cell r="H169" t="str">
            <v>31/12/2018 23</v>
          </cell>
          <cell r="J169" t="str">
            <v>Validado</v>
          </cell>
          <cell r="M169" t="str">
            <v>VALE ENE I5</v>
          </cell>
          <cell r="N169" t="str">
            <v>ELETRON I5</v>
          </cell>
          <cell r="O169" t="str">
            <v>NORDESTE</v>
          </cell>
          <cell r="P169" t="str">
            <v>X</v>
          </cell>
          <cell r="X169" t="str">
            <v>01/12/2018 00</v>
          </cell>
          <cell r="Y169" t="str">
            <v>01/01/2019 00</v>
          </cell>
          <cell r="Z169" t="str">
            <v>2,500000</v>
          </cell>
          <cell r="AF169" t="str">
            <v>FLAT</v>
          </cell>
          <cell r="AG169" t="str">
            <v>Ajustado Validado</v>
          </cell>
        </row>
        <row r="170">
          <cell r="A170">
            <v>921705</v>
          </cell>
          <cell r="B170" t="str">
            <v>CCEAL</v>
          </cell>
          <cell r="C170" t="str">
            <v>Firme</v>
          </cell>
          <cell r="D170" t="str">
            <v>Energia Convencional</v>
          </cell>
          <cell r="E170" t="str">
            <v>01/09/2016 00</v>
          </cell>
          <cell r="F170" t="str">
            <v>01/01/2019 00</v>
          </cell>
          <cell r="G170" t="str">
            <v>01/09/2016 00</v>
          </cell>
          <cell r="H170" t="str">
            <v>31/12/2018 23</v>
          </cell>
          <cell r="J170" t="str">
            <v>Validado</v>
          </cell>
          <cell r="M170" t="str">
            <v>BOLT</v>
          </cell>
          <cell r="N170" t="str">
            <v>RIO DOCE SE</v>
          </cell>
          <cell r="O170" t="str">
            <v>SUDESTE</v>
          </cell>
          <cell r="P170" t="str">
            <v>X</v>
          </cell>
          <cell r="X170" t="str">
            <v>01/12/2018 00</v>
          </cell>
          <cell r="Y170" t="str">
            <v>01/01/2019 00</v>
          </cell>
          <cell r="Z170" t="str">
            <v>0,000000</v>
          </cell>
          <cell r="AF170" t="str">
            <v>FLAT</v>
          </cell>
          <cell r="AG170" t="str">
            <v>Validado</v>
          </cell>
        </row>
        <row r="171">
          <cell r="A171">
            <v>924757</v>
          </cell>
          <cell r="B171" t="str">
            <v>CCEAL</v>
          </cell>
          <cell r="C171" t="str">
            <v>Firme</v>
          </cell>
          <cell r="D171" t="str">
            <v>Energia Convencional</v>
          </cell>
          <cell r="E171" t="str">
            <v>01/01/2017 00</v>
          </cell>
          <cell r="F171" t="str">
            <v>01/01/2020 00</v>
          </cell>
          <cell r="G171" t="str">
            <v>01/01/2017 00</v>
          </cell>
          <cell r="H171" t="str">
            <v>31/12/2019 23</v>
          </cell>
          <cell r="J171" t="str">
            <v>Validado</v>
          </cell>
          <cell r="M171" t="str">
            <v>VALE ENERGIA</v>
          </cell>
          <cell r="N171" t="str">
            <v>CEMIG GERACAO</v>
          </cell>
          <cell r="O171" t="str">
            <v>SUDESTE</v>
          </cell>
          <cell r="P171" t="str">
            <v>X</v>
          </cell>
          <cell r="X171" t="str">
            <v>01/12/2018 00</v>
          </cell>
          <cell r="Y171" t="str">
            <v>01/01/2019 00</v>
          </cell>
          <cell r="Z171" t="str">
            <v>20,000000</v>
          </cell>
          <cell r="AF171" t="str">
            <v>FLAT</v>
          </cell>
          <cell r="AG171" t="str">
            <v>Validado</v>
          </cell>
        </row>
        <row r="172">
          <cell r="A172">
            <v>924758</v>
          </cell>
          <cell r="B172" t="str">
            <v>CCEAL</v>
          </cell>
          <cell r="C172" t="str">
            <v>Firme</v>
          </cell>
          <cell r="D172" t="str">
            <v>Energia Incentivada Especial</v>
          </cell>
          <cell r="E172" t="str">
            <v>01/01/2017 00</v>
          </cell>
          <cell r="F172" t="str">
            <v>01/01/2020 00</v>
          </cell>
          <cell r="G172" t="str">
            <v>01/01/2017 00</v>
          </cell>
          <cell r="H172" t="str">
            <v>31/12/2019 23</v>
          </cell>
          <cell r="J172" t="str">
            <v>Validado</v>
          </cell>
          <cell r="M172" t="str">
            <v>VALE ENE I5</v>
          </cell>
          <cell r="N172" t="str">
            <v>CEMIG GERA I5</v>
          </cell>
          <cell r="O172" t="str">
            <v>SUDESTE</v>
          </cell>
          <cell r="P172" t="str">
            <v>X</v>
          </cell>
          <cell r="X172" t="str">
            <v>01/12/2018 00</v>
          </cell>
          <cell r="Y172" t="str">
            <v>01/01/2019 00</v>
          </cell>
          <cell r="Z172" t="str">
            <v>20,000000</v>
          </cell>
          <cell r="AF172" t="str">
            <v>FLAT</v>
          </cell>
          <cell r="AG172" t="str">
            <v>Validado</v>
          </cell>
        </row>
        <row r="173">
          <cell r="A173">
            <v>931122</v>
          </cell>
          <cell r="B173" t="str">
            <v>CCEAL</v>
          </cell>
          <cell r="C173" t="str">
            <v>Firme</v>
          </cell>
          <cell r="D173" t="str">
            <v>Energia Incentivada Especial</v>
          </cell>
          <cell r="E173" t="str">
            <v>01/01/2017 00</v>
          </cell>
          <cell r="F173" t="str">
            <v>01/01/2019 00</v>
          </cell>
          <cell r="G173" t="str">
            <v>01/01/2017 00</v>
          </cell>
          <cell r="H173" t="str">
            <v>31/12/2018 23</v>
          </cell>
          <cell r="J173" t="str">
            <v>Validado</v>
          </cell>
          <cell r="M173" t="str">
            <v>VALE ENE I5</v>
          </cell>
          <cell r="N173" t="str">
            <v>MATRIX COM I5</v>
          </cell>
          <cell r="O173" t="str">
            <v>SUDESTE</v>
          </cell>
          <cell r="P173" t="str">
            <v>X</v>
          </cell>
          <cell r="X173" t="str">
            <v>01/12/2018 00</v>
          </cell>
          <cell r="Y173" t="str">
            <v>01/01/2019 00</v>
          </cell>
          <cell r="Z173" t="str">
            <v>10,000000</v>
          </cell>
          <cell r="AF173" t="str">
            <v>FLAT</v>
          </cell>
          <cell r="AG173" t="str">
            <v>Ajustado Não Validado</v>
          </cell>
        </row>
        <row r="174">
          <cell r="A174">
            <v>931126</v>
          </cell>
          <cell r="B174" t="str">
            <v>CCEAL</v>
          </cell>
          <cell r="C174" t="str">
            <v>Firme</v>
          </cell>
          <cell r="D174" t="str">
            <v>Energia Incentivada Especial</v>
          </cell>
          <cell r="E174" t="str">
            <v>01/01/2017 00</v>
          </cell>
          <cell r="F174" t="str">
            <v>01/01/2019 00</v>
          </cell>
          <cell r="G174" t="str">
            <v>01/01/2017 00</v>
          </cell>
          <cell r="H174" t="str">
            <v>31/12/2018 23</v>
          </cell>
          <cell r="J174" t="str">
            <v>Validado</v>
          </cell>
          <cell r="M174" t="str">
            <v>VALE ENE I5</v>
          </cell>
          <cell r="N174" t="str">
            <v>COMERC I5</v>
          </cell>
          <cell r="O174" t="str">
            <v>SUDESTE</v>
          </cell>
          <cell r="P174" t="str">
            <v>X</v>
          </cell>
          <cell r="X174" t="str">
            <v>01/12/2018 00</v>
          </cell>
          <cell r="Y174" t="str">
            <v>01/01/2019 00</v>
          </cell>
          <cell r="Z174" t="str">
            <v>5,000000</v>
          </cell>
          <cell r="AF174" t="str">
            <v>FLAT</v>
          </cell>
          <cell r="AG174" t="str">
            <v>Ajustado Validado</v>
          </cell>
        </row>
        <row r="175">
          <cell r="A175">
            <v>931127</v>
          </cell>
          <cell r="B175" t="str">
            <v>CCEAL</v>
          </cell>
          <cell r="C175" t="str">
            <v>Firme</v>
          </cell>
          <cell r="D175" t="str">
            <v>Energia Incentivada Especial</v>
          </cell>
          <cell r="E175" t="str">
            <v>01/01/2018 00</v>
          </cell>
          <cell r="F175" t="str">
            <v>01/01/2019 00</v>
          </cell>
          <cell r="G175" t="str">
            <v>01/01/2018 00</v>
          </cell>
          <cell r="H175" t="str">
            <v>31/12/2018 23</v>
          </cell>
          <cell r="J175" t="str">
            <v>Validado</v>
          </cell>
          <cell r="M175" t="str">
            <v>VALE ENE I5</v>
          </cell>
          <cell r="N175" t="str">
            <v>COMERC I5</v>
          </cell>
          <cell r="O175" t="str">
            <v>NORDESTE</v>
          </cell>
          <cell r="P175" t="str">
            <v>X</v>
          </cell>
          <cell r="X175" t="str">
            <v>01/12/2018 00</v>
          </cell>
          <cell r="Y175" t="str">
            <v>01/01/2019 00</v>
          </cell>
          <cell r="Z175" t="str">
            <v>5,000000</v>
          </cell>
          <cell r="AF175" t="str">
            <v>FLAT</v>
          </cell>
          <cell r="AG175" t="str">
            <v>Ajustado Validado</v>
          </cell>
        </row>
        <row r="176">
          <cell r="A176">
            <v>931128</v>
          </cell>
          <cell r="B176" t="str">
            <v>CCEAL</v>
          </cell>
          <cell r="C176" t="str">
            <v>Firme</v>
          </cell>
          <cell r="D176" t="str">
            <v>Energia Incentivada Especial</v>
          </cell>
          <cell r="E176" t="str">
            <v>01/01/2018 00</v>
          </cell>
          <cell r="F176" t="str">
            <v>01/01/2019 00</v>
          </cell>
          <cell r="G176" t="str">
            <v>01/01/2018 00</v>
          </cell>
          <cell r="H176" t="str">
            <v>31/12/2018 23</v>
          </cell>
          <cell r="J176" t="str">
            <v>Validado</v>
          </cell>
          <cell r="M176" t="str">
            <v>VALE ENE I5</v>
          </cell>
          <cell r="N176" t="str">
            <v>FOCUS I5</v>
          </cell>
          <cell r="O176" t="str">
            <v>SUDESTE</v>
          </cell>
          <cell r="P176" t="str">
            <v>X</v>
          </cell>
          <cell r="X176" t="str">
            <v>01/12/2018 00</v>
          </cell>
          <cell r="Y176" t="str">
            <v>01/01/2019 00</v>
          </cell>
          <cell r="Z176" t="str">
            <v>0,000000</v>
          </cell>
          <cell r="AF176" t="str">
            <v>FLAT</v>
          </cell>
          <cell r="AG176" t="str">
            <v>Ajustado Validado</v>
          </cell>
        </row>
        <row r="177">
          <cell r="A177">
            <v>931129</v>
          </cell>
          <cell r="B177" t="str">
            <v>CCEAL</v>
          </cell>
          <cell r="C177" t="str">
            <v>Firme</v>
          </cell>
          <cell r="D177" t="str">
            <v>Energia Incentivada Especial</v>
          </cell>
          <cell r="E177" t="str">
            <v>01/01/2017 00</v>
          </cell>
          <cell r="F177" t="str">
            <v>01/01/2019 00</v>
          </cell>
          <cell r="G177" t="str">
            <v>01/01/2017 00</v>
          </cell>
          <cell r="H177" t="str">
            <v>31/12/2018 23</v>
          </cell>
          <cell r="J177" t="str">
            <v>Validado</v>
          </cell>
          <cell r="M177" t="str">
            <v>VALE ENE I5</v>
          </cell>
          <cell r="N177" t="str">
            <v>DEAL COMERCIALIZADORA I5</v>
          </cell>
          <cell r="O177" t="str">
            <v>NORDESTE</v>
          </cell>
          <cell r="P177" t="str">
            <v>X</v>
          </cell>
          <cell r="X177" t="str">
            <v>01/12/2018 00</v>
          </cell>
          <cell r="Y177" t="str">
            <v>01/01/2019 00</v>
          </cell>
          <cell r="Z177" t="str">
            <v>10,000000</v>
          </cell>
          <cell r="AF177" t="str">
            <v>FLAT</v>
          </cell>
          <cell r="AG177" t="str">
            <v>Ajustado Validado</v>
          </cell>
        </row>
        <row r="178">
          <cell r="A178">
            <v>931140</v>
          </cell>
          <cell r="B178" t="str">
            <v>CCEAL</v>
          </cell>
          <cell r="C178" t="str">
            <v>Firme</v>
          </cell>
          <cell r="D178" t="str">
            <v>Energia Incentivada Especial</v>
          </cell>
          <cell r="E178" t="str">
            <v>01/01/2017 00</v>
          </cell>
          <cell r="F178" t="str">
            <v>01/01/2019 00</v>
          </cell>
          <cell r="G178" t="str">
            <v>01/01/2017 00</v>
          </cell>
          <cell r="H178" t="str">
            <v>31/12/2018 23</v>
          </cell>
          <cell r="J178" t="str">
            <v>Validado</v>
          </cell>
          <cell r="M178" t="str">
            <v>VALE ENE I5</v>
          </cell>
          <cell r="N178" t="str">
            <v>ENGIE BR COM I5</v>
          </cell>
          <cell r="O178" t="str">
            <v>NORDESTE</v>
          </cell>
          <cell r="P178" t="str">
            <v>X</v>
          </cell>
          <cell r="X178" t="str">
            <v>01/12/2018 00</v>
          </cell>
          <cell r="Y178" t="str">
            <v>01/01/2019 00</v>
          </cell>
          <cell r="Z178" t="str">
            <v>2,000000</v>
          </cell>
          <cell r="AF178" t="str">
            <v>FLAT</v>
          </cell>
          <cell r="AG178" t="str">
            <v>Ajustado Validado</v>
          </cell>
        </row>
        <row r="179">
          <cell r="A179">
            <v>932977</v>
          </cell>
          <cell r="B179" t="str">
            <v>PROINFA</v>
          </cell>
          <cell r="D179" t="str">
            <v>Energia Convencional</v>
          </cell>
          <cell r="E179" t="str">
            <v>01/01/2018 00</v>
          </cell>
          <cell r="F179" t="str">
            <v>01/01/2026 00</v>
          </cell>
          <cell r="G179" t="str">
            <v>01/01/2017 00</v>
          </cell>
          <cell r="H179" t="str">
            <v>31/12/2025 23</v>
          </cell>
          <cell r="J179" t="str">
            <v>Validado</v>
          </cell>
          <cell r="M179" t="str">
            <v>ACEP</v>
          </cell>
          <cell r="N179" t="str">
            <v>CPBS MATRIZ</v>
          </cell>
          <cell r="O179" t="str">
            <v>SUDESTE</v>
          </cell>
          <cell r="P179" t="str">
            <v>X</v>
          </cell>
        </row>
        <row r="180">
          <cell r="A180">
            <v>937456</v>
          </cell>
          <cell r="B180" t="str">
            <v>CCEAL</v>
          </cell>
          <cell r="C180" t="str">
            <v>Firme</v>
          </cell>
          <cell r="D180" t="str">
            <v>Energia Convencional</v>
          </cell>
          <cell r="E180" t="str">
            <v>01/01/2017 00</v>
          </cell>
          <cell r="F180" t="str">
            <v>27/02/2035 00</v>
          </cell>
          <cell r="G180" t="str">
            <v>01/01/2017 00</v>
          </cell>
          <cell r="H180" t="str">
            <v>26/02/2035 23</v>
          </cell>
          <cell r="J180" t="str">
            <v>Validado</v>
          </cell>
          <cell r="M180" t="str">
            <v>FURNAS</v>
          </cell>
          <cell r="N180" t="str">
            <v>RIO DOCE</v>
          </cell>
          <cell r="O180" t="str">
            <v>SUDESTE</v>
          </cell>
          <cell r="P180" t="str">
            <v>X</v>
          </cell>
          <cell r="X180" t="str">
            <v>01/12/2018 00</v>
          </cell>
          <cell r="Y180" t="str">
            <v>01/01/2019 00</v>
          </cell>
          <cell r="Z180" t="str">
            <v>0,000000</v>
          </cell>
          <cell r="AF180" t="str">
            <v>FLAT</v>
          </cell>
          <cell r="AG180" t="str">
            <v>Validado</v>
          </cell>
        </row>
        <row r="181">
          <cell r="A181">
            <v>952937</v>
          </cell>
          <cell r="B181" t="str">
            <v>CCEAL</v>
          </cell>
          <cell r="C181" t="str">
            <v>Firme</v>
          </cell>
          <cell r="D181" t="str">
            <v>Energia Convencional</v>
          </cell>
          <cell r="E181" t="str">
            <v>01/01/2017 00</v>
          </cell>
          <cell r="F181" t="str">
            <v>27/02/2035 00</v>
          </cell>
          <cell r="G181" t="str">
            <v>01/01/2017 00</v>
          </cell>
          <cell r="H181" t="str">
            <v>26/02/2035 23</v>
          </cell>
          <cell r="J181" t="str">
            <v>Validado</v>
          </cell>
          <cell r="M181" t="str">
            <v>FURNAS</v>
          </cell>
          <cell r="N181" t="str">
            <v>RIO DOCE SE</v>
          </cell>
          <cell r="O181" t="str">
            <v>SUDESTE</v>
          </cell>
          <cell r="P181" t="str">
            <v>X</v>
          </cell>
          <cell r="X181" t="str">
            <v>01/12/2018 00</v>
          </cell>
          <cell r="Y181" t="str">
            <v>01/01/2019 00</v>
          </cell>
          <cell r="Z181" t="str">
            <v>0,000000</v>
          </cell>
          <cell r="AF181" t="str">
            <v>FLAT</v>
          </cell>
          <cell r="AG181" t="str">
            <v>Ajustado Validado</v>
          </cell>
        </row>
        <row r="182">
          <cell r="A182">
            <v>956179</v>
          </cell>
          <cell r="B182" t="str">
            <v>PROINFA</v>
          </cell>
          <cell r="D182" t="str">
            <v>Energia Convencional</v>
          </cell>
          <cell r="E182" t="str">
            <v>01/01/2018 00</v>
          </cell>
          <cell r="F182" t="str">
            <v>01/01/2026 00</v>
          </cell>
          <cell r="G182" t="str">
            <v>01/02/2017 00</v>
          </cell>
          <cell r="H182" t="str">
            <v>31/12/2025 23</v>
          </cell>
          <cell r="J182" t="str">
            <v>Validado</v>
          </cell>
          <cell r="M182" t="str">
            <v>ACEP</v>
          </cell>
          <cell r="N182" t="str">
            <v>CVRD CE</v>
          </cell>
          <cell r="O182" t="str">
            <v>SUDESTE</v>
          </cell>
          <cell r="P182" t="str">
            <v>X</v>
          </cell>
        </row>
        <row r="183">
          <cell r="A183">
            <v>956261</v>
          </cell>
          <cell r="B183" t="str">
            <v>PROINFA</v>
          </cell>
          <cell r="D183" t="str">
            <v>Energia Convencional</v>
          </cell>
          <cell r="E183" t="str">
            <v>01/01/2018 00</v>
          </cell>
          <cell r="F183" t="str">
            <v>01/01/2026 00</v>
          </cell>
          <cell r="G183" t="str">
            <v>01/02/2017 00</v>
          </cell>
          <cell r="H183" t="str">
            <v>31/12/2025 23</v>
          </cell>
          <cell r="J183" t="str">
            <v>Validado</v>
          </cell>
          <cell r="M183" t="str">
            <v>ACEP</v>
          </cell>
          <cell r="N183" t="str">
            <v>MCR</v>
          </cell>
          <cell r="O183" t="str">
            <v>SUDESTE</v>
          </cell>
          <cell r="P183" t="str">
            <v>X</v>
          </cell>
        </row>
        <row r="184">
          <cell r="A184">
            <v>956373</v>
          </cell>
          <cell r="B184" t="str">
            <v>PROINFA</v>
          </cell>
          <cell r="D184" t="str">
            <v>Energia Convencional</v>
          </cell>
          <cell r="E184" t="str">
            <v>01/01/2018 00</v>
          </cell>
          <cell r="F184" t="str">
            <v>01/01/2026 00</v>
          </cell>
          <cell r="G184" t="str">
            <v>01/02/2017 00</v>
          </cell>
          <cell r="H184" t="str">
            <v>31/12/2025 23</v>
          </cell>
          <cell r="J184" t="str">
            <v>Validado</v>
          </cell>
          <cell r="M184" t="str">
            <v>ACEP</v>
          </cell>
          <cell r="N184" t="str">
            <v>CVRD CE</v>
          </cell>
          <cell r="O184" t="str">
            <v>SUDESTE</v>
          </cell>
          <cell r="P184" t="str">
            <v>X</v>
          </cell>
        </row>
        <row r="185">
          <cell r="A185">
            <v>958861</v>
          </cell>
          <cell r="B185" t="str">
            <v>CCEAL</v>
          </cell>
          <cell r="C185" t="str">
            <v>Firme</v>
          </cell>
          <cell r="D185" t="str">
            <v>Energia Incentivada Especial</v>
          </cell>
          <cell r="E185" t="str">
            <v>01/02/2017 00</v>
          </cell>
          <cell r="F185" t="str">
            <v>01/01/2019 00</v>
          </cell>
          <cell r="G185" t="str">
            <v>01/02/2017 00</v>
          </cell>
          <cell r="H185" t="str">
            <v>31/12/2018 23</v>
          </cell>
          <cell r="J185" t="str">
            <v>Registrado e Não Validado</v>
          </cell>
          <cell r="M185" t="str">
            <v>BOLT I5</v>
          </cell>
          <cell r="N185" t="str">
            <v>RIO DOCE CO</v>
          </cell>
          <cell r="O185" t="str">
            <v>SUL</v>
          </cell>
          <cell r="P185" t="str">
            <v>X</v>
          </cell>
          <cell r="X185" t="str">
            <v>01/12/2018 00</v>
          </cell>
          <cell r="Y185" t="str">
            <v>01/01/2019 00</v>
          </cell>
          <cell r="Z185" t="str">
            <v>0,000000</v>
          </cell>
          <cell r="AF185" t="str">
            <v>FLAT</v>
          </cell>
          <cell r="AG185" t="str">
            <v>Inserido Não Validado</v>
          </cell>
        </row>
        <row r="186">
          <cell r="A186">
            <v>958863</v>
          </cell>
          <cell r="B186" t="str">
            <v>CCEAL</v>
          </cell>
          <cell r="C186" t="str">
            <v>Firme</v>
          </cell>
          <cell r="D186" t="str">
            <v>Energia Incentivada Especial</v>
          </cell>
          <cell r="E186" t="str">
            <v>01/02/2017 00</v>
          </cell>
          <cell r="F186" t="str">
            <v>01/01/2019 00</v>
          </cell>
          <cell r="G186" t="str">
            <v>01/02/2017 00</v>
          </cell>
          <cell r="H186" t="str">
            <v>31/12/2018 23</v>
          </cell>
          <cell r="J186" t="str">
            <v>Validado</v>
          </cell>
          <cell r="M186" t="str">
            <v>BOLT I1</v>
          </cell>
          <cell r="N186" t="str">
            <v>RIO DOCE CO</v>
          </cell>
          <cell r="O186" t="str">
            <v>SUDESTE</v>
          </cell>
          <cell r="P186" t="str">
            <v>X</v>
          </cell>
          <cell r="X186" t="str">
            <v>01/12/2018 00</v>
          </cell>
          <cell r="Y186" t="str">
            <v>01/01/2019 00</v>
          </cell>
          <cell r="Z186" t="str">
            <v>0,000000</v>
          </cell>
          <cell r="AF186" t="str">
            <v>FLAT</v>
          </cell>
          <cell r="AG186" t="str">
            <v>Validado</v>
          </cell>
        </row>
        <row r="187">
          <cell r="A187">
            <v>996722</v>
          </cell>
          <cell r="B187" t="str">
            <v>CCEAL</v>
          </cell>
          <cell r="C187" t="str">
            <v>Firme</v>
          </cell>
          <cell r="D187" t="str">
            <v>Energia Convencional</v>
          </cell>
          <cell r="E187" t="str">
            <v>01/07/2017 00</v>
          </cell>
          <cell r="F187" t="str">
            <v>01/02/2019 00</v>
          </cell>
          <cell r="G187" t="str">
            <v>01/07/2017 00</v>
          </cell>
          <cell r="H187" t="str">
            <v>31/01/2019 23</v>
          </cell>
          <cell r="J187" t="str">
            <v>Validado</v>
          </cell>
          <cell r="M187" t="str">
            <v>CVRD PIE</v>
          </cell>
          <cell r="N187" t="str">
            <v>VALE CUBATAO</v>
          </cell>
          <cell r="O187" t="str">
            <v>SUDESTE</v>
          </cell>
          <cell r="P187" t="str">
            <v>X</v>
          </cell>
          <cell r="X187" t="str">
            <v>01/12/2018 00</v>
          </cell>
          <cell r="Y187" t="str">
            <v>01/01/2019 00</v>
          </cell>
          <cell r="Z187" t="str">
            <v>0,000000</v>
          </cell>
          <cell r="AF187" t="str">
            <v>FLAT</v>
          </cell>
          <cell r="AG187" t="str">
            <v>Validado</v>
          </cell>
        </row>
        <row r="188">
          <cell r="A188">
            <v>996724</v>
          </cell>
          <cell r="B188" t="str">
            <v>CCEAL</v>
          </cell>
          <cell r="C188" t="str">
            <v>Firme</v>
          </cell>
          <cell r="D188" t="str">
            <v>Energia Incentivada Especial</v>
          </cell>
          <cell r="E188" t="str">
            <v>01/07/2017 00</v>
          </cell>
          <cell r="F188" t="str">
            <v>01/02/2019 00</v>
          </cell>
          <cell r="G188" t="str">
            <v>01/07/2017 00</v>
          </cell>
          <cell r="H188" t="str">
            <v>31/01/2019 23</v>
          </cell>
          <cell r="J188" t="str">
            <v>Validado</v>
          </cell>
          <cell r="M188" t="str">
            <v>VALE ENE I5</v>
          </cell>
          <cell r="N188" t="str">
            <v>VALE CUBATAO CE</v>
          </cell>
          <cell r="O188" t="str">
            <v>SUDESTE</v>
          </cell>
          <cell r="P188" t="str">
            <v>X</v>
          </cell>
          <cell r="X188" t="str">
            <v>01/12/2018 00</v>
          </cell>
          <cell r="Y188" t="str">
            <v>01/01/2019 00</v>
          </cell>
          <cell r="Z188" t="str">
            <v>0,059227</v>
          </cell>
          <cell r="AF188" t="str">
            <v>FLAT</v>
          </cell>
          <cell r="AG188" t="str">
            <v>Ajustado Validado</v>
          </cell>
        </row>
        <row r="189">
          <cell r="A189">
            <v>997356</v>
          </cell>
          <cell r="B189" t="str">
            <v>PROINFA</v>
          </cell>
          <cell r="D189" t="str">
            <v>Energia Convencional</v>
          </cell>
          <cell r="E189" t="str">
            <v>01/01/2018 00</v>
          </cell>
          <cell r="F189" t="str">
            <v>01/01/2026 00</v>
          </cell>
          <cell r="G189" t="str">
            <v>01/07/2017 00</v>
          </cell>
          <cell r="H189" t="str">
            <v>31/12/2025 23</v>
          </cell>
          <cell r="J189" t="str">
            <v>Validado</v>
          </cell>
          <cell r="M189" t="str">
            <v>ACEP</v>
          </cell>
          <cell r="N189" t="str">
            <v>MCR</v>
          </cell>
          <cell r="O189" t="str">
            <v>SUDESTE</v>
          </cell>
          <cell r="P189" t="str">
            <v>X</v>
          </cell>
        </row>
        <row r="190">
          <cell r="A190">
            <v>999582</v>
          </cell>
          <cell r="B190" t="str">
            <v>CCEAL</v>
          </cell>
          <cell r="C190" t="str">
            <v>Firme</v>
          </cell>
          <cell r="D190" t="str">
            <v>Energia Convencional</v>
          </cell>
          <cell r="E190" t="str">
            <v>01/07/2017 00</v>
          </cell>
          <cell r="F190" t="str">
            <v>01/01/2019 00</v>
          </cell>
          <cell r="G190" t="str">
            <v>01/07/2017 00</v>
          </cell>
          <cell r="H190" t="str">
            <v>31/12/2018 23</v>
          </cell>
          <cell r="J190" t="str">
            <v>Validado</v>
          </cell>
          <cell r="M190" t="str">
            <v>ENGIE BR COM</v>
          </cell>
          <cell r="N190" t="str">
            <v>VALE CUBATAO</v>
          </cell>
          <cell r="O190" t="str">
            <v>SUDESTE</v>
          </cell>
          <cell r="P190" t="str">
            <v>X</v>
          </cell>
          <cell r="X190" t="str">
            <v>01/12/2018 00</v>
          </cell>
          <cell r="Y190" t="str">
            <v>01/01/2019 00</v>
          </cell>
          <cell r="Z190" t="str">
            <v>5,201663</v>
          </cell>
          <cell r="AF190" t="str">
            <v>DECLARADA</v>
          </cell>
          <cell r="AG190" t="str">
            <v>Ajustado Validado</v>
          </cell>
        </row>
        <row r="191">
          <cell r="A191">
            <v>1003206</v>
          </cell>
          <cell r="B191" t="str">
            <v>PROINFA</v>
          </cell>
          <cell r="D191" t="str">
            <v>Energia Convencional</v>
          </cell>
          <cell r="E191" t="str">
            <v>01/01/2018 00</v>
          </cell>
          <cell r="F191" t="str">
            <v>01/01/2026 00</v>
          </cell>
          <cell r="G191" t="str">
            <v>01/08/2017 00</v>
          </cell>
          <cell r="H191" t="str">
            <v>31/12/2025 23</v>
          </cell>
          <cell r="J191" t="str">
            <v>Validado</v>
          </cell>
          <cell r="M191" t="str">
            <v>ACEP</v>
          </cell>
          <cell r="N191" t="str">
            <v>MCR</v>
          </cell>
          <cell r="O191" t="str">
            <v>SUDESTE</v>
          </cell>
          <cell r="P191" t="str">
            <v>X</v>
          </cell>
        </row>
        <row r="192">
          <cell r="A192">
            <v>1007319</v>
          </cell>
          <cell r="B192" t="str">
            <v>CCEAL</v>
          </cell>
          <cell r="C192" t="str">
            <v>Firme</v>
          </cell>
          <cell r="D192" t="str">
            <v>Energia Convencional</v>
          </cell>
          <cell r="E192" t="str">
            <v>01/09/2017 00</v>
          </cell>
          <cell r="F192" t="str">
            <v>27/02/2035 00</v>
          </cell>
          <cell r="G192" t="str">
            <v>01/09/2017 00</v>
          </cell>
          <cell r="H192" t="str">
            <v>26/02/2035 23</v>
          </cell>
          <cell r="J192" t="str">
            <v>Validado</v>
          </cell>
          <cell r="M192" t="str">
            <v>FURNAS</v>
          </cell>
          <cell r="N192" t="str">
            <v>RIO DOCE CO</v>
          </cell>
          <cell r="O192" t="str">
            <v>SUDESTE</v>
          </cell>
          <cell r="P192" t="str">
            <v>X</v>
          </cell>
          <cell r="X192" t="str">
            <v>01/12/2018 00</v>
          </cell>
          <cell r="Y192" t="str">
            <v>01/01/2019 00</v>
          </cell>
          <cell r="Z192" t="str">
            <v>0,000000</v>
          </cell>
          <cell r="AF192" t="str">
            <v>FLAT</v>
          </cell>
          <cell r="AG192" t="str">
            <v>Validado</v>
          </cell>
        </row>
        <row r="193">
          <cell r="A193">
            <v>1043859</v>
          </cell>
          <cell r="B193" t="str">
            <v>CCEAL</v>
          </cell>
          <cell r="C193" t="str">
            <v>Firme</v>
          </cell>
          <cell r="D193" t="str">
            <v>Energia Convencional</v>
          </cell>
          <cell r="E193" t="str">
            <v>01/01/2018 00</v>
          </cell>
          <cell r="F193" t="str">
            <v>01/01/2019 00</v>
          </cell>
          <cell r="G193" t="str">
            <v>01/01/2018 00</v>
          </cell>
          <cell r="H193" t="str">
            <v>31/12/2018 23</v>
          </cell>
          <cell r="J193" t="str">
            <v>Validado</v>
          </cell>
          <cell r="M193" t="str">
            <v>DEAL COMERCIALIZADORA</v>
          </cell>
          <cell r="N193" t="str">
            <v>RIO DOCE</v>
          </cell>
          <cell r="O193" t="str">
            <v>NORDESTE</v>
          </cell>
          <cell r="P193" t="str">
            <v>X</v>
          </cell>
          <cell r="X193" t="str">
            <v>01/12/2018 00</v>
          </cell>
          <cell r="Y193" t="str">
            <v>01/01/2019 00</v>
          </cell>
          <cell r="Z193" t="str">
            <v>0,000000</v>
          </cell>
          <cell r="AF193" t="str">
            <v>FLAT</v>
          </cell>
          <cell r="AG193" t="str">
            <v>Validado</v>
          </cell>
        </row>
        <row r="194">
          <cell r="A194">
            <v>1043934</v>
          </cell>
          <cell r="B194" t="str">
            <v>CCEAL</v>
          </cell>
          <cell r="C194" t="str">
            <v>Firme</v>
          </cell>
          <cell r="D194" t="str">
            <v>Energia Convencional</v>
          </cell>
          <cell r="E194" t="str">
            <v>01/12/2017 00</v>
          </cell>
          <cell r="F194" t="str">
            <v>01/01/2019 00</v>
          </cell>
          <cell r="G194" t="str">
            <v>01/12/2017 00</v>
          </cell>
          <cell r="H194" t="str">
            <v>31/12/2018 23</v>
          </cell>
          <cell r="J194" t="str">
            <v>Validado</v>
          </cell>
          <cell r="M194" t="str">
            <v>DEAL COMERCIALIZADORA</v>
          </cell>
          <cell r="N194" t="str">
            <v>RIO DOCE</v>
          </cell>
          <cell r="O194" t="str">
            <v>NORDESTE</v>
          </cell>
          <cell r="P194" t="str">
            <v>X</v>
          </cell>
          <cell r="X194" t="str">
            <v>01/12/2018 00</v>
          </cell>
          <cell r="Y194" t="str">
            <v>01/01/2019 00</v>
          </cell>
          <cell r="Z194" t="str">
            <v>0,000000</v>
          </cell>
          <cell r="AF194" t="str">
            <v>FLAT</v>
          </cell>
          <cell r="AG194" t="str">
            <v>Validado</v>
          </cell>
        </row>
        <row r="195">
          <cell r="A195">
            <v>1048105</v>
          </cell>
          <cell r="B195" t="str">
            <v>CCEAL</v>
          </cell>
          <cell r="C195" t="str">
            <v>Firme</v>
          </cell>
          <cell r="D195" t="str">
            <v>Energia Convencional</v>
          </cell>
          <cell r="E195" t="str">
            <v>01/12/2017 00</v>
          </cell>
          <cell r="F195" t="str">
            <v>01/01/2019 00</v>
          </cell>
          <cell r="G195" t="str">
            <v>01/12/2017 00</v>
          </cell>
          <cell r="H195" t="str">
            <v>31/12/2018 23</v>
          </cell>
          <cell r="J195" t="str">
            <v>Validado</v>
          </cell>
          <cell r="M195" t="str">
            <v>CVRD</v>
          </cell>
          <cell r="N195" t="str">
            <v>CVRD CL2</v>
          </cell>
          <cell r="O195" t="str">
            <v>SUDESTE</v>
          </cell>
          <cell r="P195" t="str">
            <v>X</v>
          </cell>
          <cell r="X195" t="str">
            <v>01/12/2018 00</v>
          </cell>
          <cell r="Y195" t="str">
            <v>01/01/2019 00</v>
          </cell>
          <cell r="Z195" t="str">
            <v>0,000000</v>
          </cell>
          <cell r="AF195" t="str">
            <v>FLAT</v>
          </cell>
          <cell r="AG195" t="str">
            <v>Validado</v>
          </cell>
        </row>
        <row r="196">
          <cell r="A196">
            <v>1072562</v>
          </cell>
          <cell r="B196" t="str">
            <v>CCEAL</v>
          </cell>
          <cell r="C196" t="str">
            <v>Firme</v>
          </cell>
          <cell r="D196" t="str">
            <v>Energia Convencional</v>
          </cell>
          <cell r="E196" t="str">
            <v>01/01/2018 00</v>
          </cell>
          <cell r="F196" t="str">
            <v>01/01/2019 00</v>
          </cell>
          <cell r="G196" t="str">
            <v>01/01/2018 00</v>
          </cell>
          <cell r="H196" t="str">
            <v>31/12/2018 23</v>
          </cell>
          <cell r="J196" t="str">
            <v>Registrado e Não Validado</v>
          </cell>
          <cell r="M196" t="str">
            <v>RBE ENERGIA</v>
          </cell>
          <cell r="N196" t="str">
            <v>VALE ENERGIA</v>
          </cell>
          <cell r="O196" t="str">
            <v>SUDESTE</v>
          </cell>
          <cell r="P196" t="str">
            <v>X</v>
          </cell>
          <cell r="X196" t="str">
            <v>01/12/2018 00</v>
          </cell>
          <cell r="Y196" t="str">
            <v>01/01/2019 00</v>
          </cell>
          <cell r="Z196" t="str">
            <v>0,000000</v>
          </cell>
          <cell r="AF196" t="str">
            <v>FLAT</v>
          </cell>
          <cell r="AG196" t="str">
            <v>Inserido Não Validado</v>
          </cell>
        </row>
        <row r="197">
          <cell r="A197">
            <v>1072563</v>
          </cell>
          <cell r="B197" t="str">
            <v>CCEAL</v>
          </cell>
          <cell r="C197" t="str">
            <v>Firme</v>
          </cell>
          <cell r="D197" t="str">
            <v>Energia Convencional</v>
          </cell>
          <cell r="E197" t="str">
            <v>01/01/2018 00</v>
          </cell>
          <cell r="F197" t="str">
            <v>01/01/2019 00</v>
          </cell>
          <cell r="G197" t="str">
            <v>01/01/2018 00</v>
          </cell>
          <cell r="H197" t="str">
            <v>31/12/2018 23</v>
          </cell>
          <cell r="J197" t="str">
            <v>Registrado e Não Validado</v>
          </cell>
          <cell r="M197" t="str">
            <v>RBE ENERGIA</v>
          </cell>
          <cell r="N197" t="str">
            <v>VALE ENERGIA</v>
          </cell>
          <cell r="O197" t="str">
            <v>SUL</v>
          </cell>
          <cell r="P197" t="str">
            <v>X</v>
          </cell>
          <cell r="X197" t="str">
            <v>01/12/2018 00</v>
          </cell>
          <cell r="Y197" t="str">
            <v>01/01/2019 00</v>
          </cell>
          <cell r="Z197" t="str">
            <v>0,000000</v>
          </cell>
          <cell r="AF197" t="str">
            <v>FLAT</v>
          </cell>
          <cell r="AG197" t="str">
            <v>Inserido Não Validado</v>
          </cell>
        </row>
        <row r="198">
          <cell r="A198">
            <v>1072564</v>
          </cell>
          <cell r="B198" t="str">
            <v>CCEAL</v>
          </cell>
          <cell r="C198" t="str">
            <v>Firme</v>
          </cell>
          <cell r="D198" t="str">
            <v>Energia Convencional</v>
          </cell>
          <cell r="E198" t="str">
            <v>01/01/2018 00</v>
          </cell>
          <cell r="F198" t="str">
            <v>01/01/2019 00</v>
          </cell>
          <cell r="G198" t="str">
            <v>01/01/2018 00</v>
          </cell>
          <cell r="H198" t="str">
            <v>31/12/2018 23</v>
          </cell>
          <cell r="J198" t="str">
            <v>Registrado e Não Validado</v>
          </cell>
          <cell r="M198" t="str">
            <v>RBE ENERGIA</v>
          </cell>
          <cell r="N198" t="str">
            <v>VALE ENERGIA</v>
          </cell>
          <cell r="O198" t="str">
            <v>NORDESTE</v>
          </cell>
          <cell r="P198" t="str">
            <v>X</v>
          </cell>
          <cell r="X198" t="str">
            <v>01/12/2018 00</v>
          </cell>
          <cell r="Y198" t="str">
            <v>01/01/2019 00</v>
          </cell>
          <cell r="Z198" t="str">
            <v>0,000000</v>
          </cell>
          <cell r="AF198" t="str">
            <v>FLAT</v>
          </cell>
          <cell r="AG198" t="str">
            <v>Inserido Não Validado</v>
          </cell>
        </row>
        <row r="199">
          <cell r="A199">
            <v>1072565</v>
          </cell>
          <cell r="B199" t="str">
            <v>CCEAL</v>
          </cell>
          <cell r="C199" t="str">
            <v>Firme</v>
          </cell>
          <cell r="D199" t="str">
            <v>Energia Incentivada Especial</v>
          </cell>
          <cell r="E199" t="str">
            <v>01/01/2018 00</v>
          </cell>
          <cell r="F199" t="str">
            <v>01/01/2019 00</v>
          </cell>
          <cell r="G199" t="str">
            <v>01/01/2018 00</v>
          </cell>
          <cell r="H199" t="str">
            <v>31/12/2018 23</v>
          </cell>
          <cell r="J199" t="str">
            <v>Registrado e Não Validado</v>
          </cell>
          <cell r="M199" t="str">
            <v>RBE ENERGIA I5</v>
          </cell>
          <cell r="N199" t="str">
            <v>VALE ENE I5</v>
          </cell>
          <cell r="O199" t="str">
            <v>SUDESTE</v>
          </cell>
          <cell r="P199" t="str">
            <v>X</v>
          </cell>
          <cell r="X199" t="str">
            <v>01/12/2018 00</v>
          </cell>
          <cell r="Y199" t="str">
            <v>01/01/2019 00</v>
          </cell>
          <cell r="Z199" t="str">
            <v>0,000000</v>
          </cell>
          <cell r="AF199" t="str">
            <v>FLAT</v>
          </cell>
          <cell r="AG199" t="str">
            <v>Inserido Não Validado</v>
          </cell>
        </row>
        <row r="200">
          <cell r="A200">
            <v>1072566</v>
          </cell>
          <cell r="B200" t="str">
            <v>CCEAL</v>
          </cell>
          <cell r="C200" t="str">
            <v>Firme</v>
          </cell>
          <cell r="D200" t="str">
            <v>Energia Incentivada Especial</v>
          </cell>
          <cell r="E200" t="str">
            <v>01/01/2018 00</v>
          </cell>
          <cell r="F200" t="str">
            <v>01/01/2019 00</v>
          </cell>
          <cell r="G200" t="str">
            <v>01/01/2018 00</v>
          </cell>
          <cell r="H200" t="str">
            <v>31/12/2018 23</v>
          </cell>
          <cell r="J200" t="str">
            <v>Registrado e Não Validado</v>
          </cell>
          <cell r="M200" t="str">
            <v>RBE ENERGIA I5</v>
          </cell>
          <cell r="N200" t="str">
            <v>VALE ENE I5</v>
          </cell>
          <cell r="O200" t="str">
            <v>SUL</v>
          </cell>
          <cell r="P200" t="str">
            <v>X</v>
          </cell>
          <cell r="X200" t="str">
            <v>01/12/2018 00</v>
          </cell>
          <cell r="Y200" t="str">
            <v>01/01/2019 00</v>
          </cell>
          <cell r="Z200" t="str">
            <v>0,000000</v>
          </cell>
          <cell r="AF200" t="str">
            <v>FLAT</v>
          </cell>
          <cell r="AG200" t="str">
            <v>Inserido Não Validado</v>
          </cell>
        </row>
        <row r="201">
          <cell r="A201">
            <v>1072567</v>
          </cell>
          <cell r="B201" t="str">
            <v>CCEAL</v>
          </cell>
          <cell r="C201" t="str">
            <v>Firme</v>
          </cell>
          <cell r="D201" t="str">
            <v>Energia Incentivada Especial</v>
          </cell>
          <cell r="E201" t="str">
            <v>01/01/2018 00</v>
          </cell>
          <cell r="F201" t="str">
            <v>01/01/2019 00</v>
          </cell>
          <cell r="G201" t="str">
            <v>01/01/2018 00</v>
          </cell>
          <cell r="H201" t="str">
            <v>31/12/2018 23</v>
          </cell>
          <cell r="J201" t="str">
            <v>Registrado e Não Validado</v>
          </cell>
          <cell r="M201" t="str">
            <v>RBE ENERGIA I5</v>
          </cell>
          <cell r="N201" t="str">
            <v>VALE ENE I5</v>
          </cell>
          <cell r="O201" t="str">
            <v>NORDESTE</v>
          </cell>
          <cell r="P201" t="str">
            <v>X</v>
          </cell>
          <cell r="X201" t="str">
            <v>01/12/2018 00</v>
          </cell>
          <cell r="Y201" t="str">
            <v>01/01/2019 00</v>
          </cell>
          <cell r="Z201" t="str">
            <v>0,000000</v>
          </cell>
          <cell r="AF201" t="str">
            <v>FLAT</v>
          </cell>
          <cell r="AG201" t="str">
            <v>Inserido Não Validado</v>
          </cell>
        </row>
        <row r="202">
          <cell r="A202">
            <v>1088556</v>
          </cell>
          <cell r="B202" t="str">
            <v>CCEAL</v>
          </cell>
          <cell r="C202" t="str">
            <v>Firme</v>
          </cell>
          <cell r="D202" t="str">
            <v>Energia Convencional</v>
          </cell>
          <cell r="E202" t="str">
            <v>01/01/2018 00</v>
          </cell>
          <cell r="F202" t="str">
            <v>01/01/2019 00</v>
          </cell>
          <cell r="G202" t="str">
            <v>01/01/2018 00</v>
          </cell>
          <cell r="H202" t="str">
            <v>31/12/2018 23</v>
          </cell>
          <cell r="J202" t="str">
            <v>Validado</v>
          </cell>
          <cell r="M202" t="str">
            <v>CELER</v>
          </cell>
          <cell r="N202" t="str">
            <v>CVRD</v>
          </cell>
          <cell r="O202" t="str">
            <v>SUDESTE</v>
          </cell>
          <cell r="P202" t="str">
            <v>X</v>
          </cell>
          <cell r="X202" t="str">
            <v>01/12/2018 00</v>
          </cell>
          <cell r="Y202" t="str">
            <v>01/01/2019 00</v>
          </cell>
          <cell r="Z202" t="str">
            <v>0,000000</v>
          </cell>
          <cell r="AF202" t="str">
            <v>FLAT</v>
          </cell>
          <cell r="AG202" t="str">
            <v>Validado</v>
          </cell>
        </row>
        <row r="203">
          <cell r="A203">
            <v>1088557</v>
          </cell>
          <cell r="B203" t="str">
            <v>CCEAL</v>
          </cell>
          <cell r="C203" t="str">
            <v>Firme</v>
          </cell>
          <cell r="D203" t="str">
            <v>Energia Convencional</v>
          </cell>
          <cell r="E203" t="str">
            <v>01/01/2018 00</v>
          </cell>
          <cell r="F203" t="str">
            <v>01/01/2019 00</v>
          </cell>
          <cell r="G203" t="str">
            <v>01/01/2018 00</v>
          </cell>
          <cell r="H203" t="str">
            <v>31/12/2018 23</v>
          </cell>
          <cell r="J203" t="str">
            <v>Registrado e Não Validado</v>
          </cell>
          <cell r="M203" t="str">
            <v>CELER</v>
          </cell>
          <cell r="N203" t="str">
            <v>CVRD CL2</v>
          </cell>
          <cell r="O203" t="str">
            <v>SUDESTE</v>
          </cell>
          <cell r="P203" t="str">
            <v>X</v>
          </cell>
          <cell r="X203" t="str">
            <v>01/12/2018 00</v>
          </cell>
          <cell r="Y203" t="str">
            <v>01/01/2019 00</v>
          </cell>
          <cell r="Z203" t="str">
            <v>0,000000</v>
          </cell>
          <cell r="AF203" t="str">
            <v>FLAT</v>
          </cell>
          <cell r="AG203" t="str">
            <v>Inserido Não Validado</v>
          </cell>
        </row>
        <row r="204">
          <cell r="A204">
            <v>1088558</v>
          </cell>
          <cell r="B204" t="str">
            <v>CCEAL</v>
          </cell>
          <cell r="C204" t="str">
            <v>Firme</v>
          </cell>
          <cell r="D204" t="str">
            <v>Energia Convencional</v>
          </cell>
          <cell r="E204" t="str">
            <v>01/01/2018 00</v>
          </cell>
          <cell r="F204" t="str">
            <v>01/01/2019 00</v>
          </cell>
          <cell r="G204" t="str">
            <v>01/01/2018 00</v>
          </cell>
          <cell r="H204" t="str">
            <v>31/12/2018 23</v>
          </cell>
          <cell r="J204" t="str">
            <v>Validado</v>
          </cell>
          <cell r="M204" t="str">
            <v>CELER</v>
          </cell>
          <cell r="N204" t="str">
            <v>CVRD CL3</v>
          </cell>
          <cell r="O204" t="str">
            <v>SUDESTE</v>
          </cell>
          <cell r="P204" t="str">
            <v>X</v>
          </cell>
          <cell r="X204" t="str">
            <v>01/12/2018 00</v>
          </cell>
          <cell r="Y204" t="str">
            <v>01/01/2019 00</v>
          </cell>
          <cell r="Z204" t="str">
            <v>0,000000</v>
          </cell>
          <cell r="AF204" t="str">
            <v>FLAT</v>
          </cell>
          <cell r="AG204" t="str">
            <v>Validado</v>
          </cell>
        </row>
        <row r="205">
          <cell r="A205">
            <v>1097141</v>
          </cell>
          <cell r="B205" t="str">
            <v>CCEAL</v>
          </cell>
          <cell r="C205" t="str">
            <v>Firme</v>
          </cell>
          <cell r="D205" t="str">
            <v>Energia Convencional</v>
          </cell>
          <cell r="E205" t="str">
            <v>01/01/2018 00</v>
          </cell>
          <cell r="F205" t="str">
            <v>01/01/2019 00</v>
          </cell>
          <cell r="G205" t="str">
            <v>01/01/2018 00</v>
          </cell>
          <cell r="H205" t="str">
            <v>31/12/2018 23</v>
          </cell>
          <cell r="J205" t="str">
            <v>Validado</v>
          </cell>
          <cell r="M205" t="str">
            <v>VALE ENERGIA</v>
          </cell>
          <cell r="N205" t="str">
            <v>CVRD PIE</v>
          </cell>
          <cell r="O205" t="str">
            <v>SUDESTE</v>
          </cell>
          <cell r="P205" t="str">
            <v>X</v>
          </cell>
          <cell r="X205" t="str">
            <v>01/12/2018 00</v>
          </cell>
          <cell r="Y205" t="str">
            <v>01/01/2019 00</v>
          </cell>
          <cell r="Z205" t="str">
            <v>15,028321</v>
          </cell>
          <cell r="AF205" t="str">
            <v>FLAT</v>
          </cell>
          <cell r="AG205" t="str">
            <v>Ajustado Validado</v>
          </cell>
        </row>
        <row r="206">
          <cell r="A206">
            <v>1097143</v>
          </cell>
          <cell r="B206" t="str">
            <v>CCEAL</v>
          </cell>
          <cell r="C206" t="str">
            <v>Firme</v>
          </cell>
          <cell r="D206" t="str">
            <v>Energia Convencional</v>
          </cell>
          <cell r="E206" t="str">
            <v>01/01/2018 00</v>
          </cell>
          <cell r="F206" t="str">
            <v>01/01/2019 00</v>
          </cell>
          <cell r="G206" t="str">
            <v>01/01/2018 00</v>
          </cell>
          <cell r="H206" t="str">
            <v>31/12/2018 23</v>
          </cell>
          <cell r="J206" t="str">
            <v>Validado</v>
          </cell>
          <cell r="M206" t="str">
            <v>CVRD PIE</v>
          </cell>
          <cell r="N206" t="str">
            <v>SALOBO</v>
          </cell>
          <cell r="O206" t="str">
            <v>NORTE</v>
          </cell>
          <cell r="P206" t="str">
            <v>X</v>
          </cell>
          <cell r="X206" t="str">
            <v>01/12/2018 00</v>
          </cell>
          <cell r="Y206" t="str">
            <v>01/01/2019 00</v>
          </cell>
          <cell r="Z206" t="str">
            <v>108,689554</v>
          </cell>
          <cell r="AF206" t="str">
            <v>FLAT</v>
          </cell>
          <cell r="AG206" t="str">
            <v>Ajustado Validado</v>
          </cell>
        </row>
        <row r="207">
          <cell r="A207">
            <v>1097145</v>
          </cell>
          <cell r="B207" t="str">
            <v>CCEAL</v>
          </cell>
          <cell r="C207" t="str">
            <v>Firme</v>
          </cell>
          <cell r="D207" t="str">
            <v>Energia Convencional</v>
          </cell>
          <cell r="E207" t="str">
            <v>01/01/2018 00</v>
          </cell>
          <cell r="F207" t="str">
            <v>01/01/2019 00</v>
          </cell>
          <cell r="G207" t="str">
            <v>01/01/2018 00</v>
          </cell>
          <cell r="H207" t="str">
            <v>31/12/2018 23</v>
          </cell>
          <cell r="J207" t="str">
            <v>Validado</v>
          </cell>
          <cell r="M207" t="str">
            <v>CVRD PIE</v>
          </cell>
          <cell r="N207" t="str">
            <v>CPBS MATRIZ</v>
          </cell>
          <cell r="O207" t="str">
            <v>SUDESTE</v>
          </cell>
          <cell r="P207" t="str">
            <v>X</v>
          </cell>
          <cell r="X207" t="str">
            <v>01/12/2018 00</v>
          </cell>
          <cell r="Y207" t="str">
            <v>01/01/2019 00</v>
          </cell>
          <cell r="Z207" t="str">
            <v>3,391573</v>
          </cell>
          <cell r="AF207" t="str">
            <v>FLAT</v>
          </cell>
          <cell r="AG207" t="str">
            <v>Ajustado Validado</v>
          </cell>
        </row>
        <row r="208">
          <cell r="A208">
            <v>1097147</v>
          </cell>
          <cell r="B208" t="str">
            <v>CCEAL</v>
          </cell>
          <cell r="C208" t="str">
            <v>Firme</v>
          </cell>
          <cell r="D208" t="str">
            <v>Energia Incentivada Especial</v>
          </cell>
          <cell r="E208" t="str">
            <v>01/01/2018 00</v>
          </cell>
          <cell r="F208" t="str">
            <v>01/01/2019 00</v>
          </cell>
          <cell r="G208" t="str">
            <v>01/01/2018 00</v>
          </cell>
          <cell r="H208" t="str">
            <v>31/12/2018 23</v>
          </cell>
          <cell r="J208" t="str">
            <v>Validado</v>
          </cell>
          <cell r="M208" t="str">
            <v>VALE ENE I5</v>
          </cell>
          <cell r="N208" t="str">
            <v>MCR</v>
          </cell>
          <cell r="O208" t="str">
            <v>SUDESTE</v>
          </cell>
          <cell r="P208" t="str">
            <v>X</v>
          </cell>
          <cell r="X208" t="str">
            <v>01/12/2018 00</v>
          </cell>
          <cell r="Y208" t="str">
            <v>01/01/2019 00</v>
          </cell>
          <cell r="Z208" t="str">
            <v>0,162550</v>
          </cell>
          <cell r="AF208" t="str">
            <v>FLAT</v>
          </cell>
          <cell r="AG208" t="str">
            <v>Ajustado Validado</v>
          </cell>
        </row>
        <row r="209">
          <cell r="A209">
            <v>1097148</v>
          </cell>
          <cell r="B209" t="str">
            <v>CCEAL</v>
          </cell>
          <cell r="C209" t="str">
            <v>Firme</v>
          </cell>
          <cell r="D209" t="str">
            <v>Energia Incentivada Especial</v>
          </cell>
          <cell r="E209" t="str">
            <v>01/01/2018 00</v>
          </cell>
          <cell r="F209" t="str">
            <v>01/01/2019 00</v>
          </cell>
          <cell r="G209" t="str">
            <v>01/01/2018 00</v>
          </cell>
          <cell r="H209" t="str">
            <v>31/12/2018 23</v>
          </cell>
          <cell r="J209" t="str">
            <v>Validado</v>
          </cell>
          <cell r="M209" t="str">
            <v>VALE ENE I5</v>
          </cell>
          <cell r="N209" t="str">
            <v>MCR</v>
          </cell>
          <cell r="O209" t="str">
            <v>SUDESTE</v>
          </cell>
          <cell r="P209" t="str">
            <v>X</v>
          </cell>
          <cell r="X209" t="str">
            <v>01/12/2018 00</v>
          </cell>
          <cell r="Y209" t="str">
            <v>01/01/2019 00</v>
          </cell>
          <cell r="Z209" t="str">
            <v>0,996301</v>
          </cell>
          <cell r="AF209" t="str">
            <v>FLAT</v>
          </cell>
          <cell r="AG209" t="str">
            <v>Ajustado Validado</v>
          </cell>
        </row>
        <row r="210">
          <cell r="A210">
            <v>1097157</v>
          </cell>
          <cell r="B210" t="str">
            <v>CCEAL</v>
          </cell>
          <cell r="C210" t="str">
            <v>Firme</v>
          </cell>
          <cell r="D210" t="str">
            <v>Energia Incentivada Especial</v>
          </cell>
          <cell r="E210" t="str">
            <v>01/01/2018 00</v>
          </cell>
          <cell r="F210" t="str">
            <v>01/01/2019 00</v>
          </cell>
          <cell r="G210" t="str">
            <v>01/01/2018 00</v>
          </cell>
          <cell r="H210" t="str">
            <v>31/12/2018 23</v>
          </cell>
          <cell r="J210" t="str">
            <v>Validado</v>
          </cell>
          <cell r="M210" t="str">
            <v>VALE ENE I5</v>
          </cell>
          <cell r="N210" t="str">
            <v>MCR</v>
          </cell>
          <cell r="O210" t="str">
            <v>SUDESTE</v>
          </cell>
          <cell r="P210" t="str">
            <v>X</v>
          </cell>
          <cell r="X210" t="str">
            <v>01/12/2018 00</v>
          </cell>
          <cell r="Y210" t="str">
            <v>01/01/2019 00</v>
          </cell>
          <cell r="Z210" t="str">
            <v>0,718770</v>
          </cell>
          <cell r="AF210" t="str">
            <v>FLAT</v>
          </cell>
          <cell r="AG210" t="str">
            <v>Ajustado Validado</v>
          </cell>
        </row>
        <row r="211">
          <cell r="A211">
            <v>1097167</v>
          </cell>
          <cell r="B211" t="str">
            <v>CCEAL</v>
          </cell>
          <cell r="C211" t="str">
            <v>Firme</v>
          </cell>
          <cell r="D211" t="str">
            <v>Energia Incentivada Especial</v>
          </cell>
          <cell r="E211" t="str">
            <v>01/01/2018 00</v>
          </cell>
          <cell r="F211" t="str">
            <v>01/01/2019 00</v>
          </cell>
          <cell r="G211" t="str">
            <v>01/01/2018 00</v>
          </cell>
          <cell r="H211" t="str">
            <v>31/12/2018 23</v>
          </cell>
          <cell r="J211" t="str">
            <v>Rascunho</v>
          </cell>
          <cell r="M211" t="str">
            <v>VALE ENE I5</v>
          </cell>
          <cell r="N211" t="str">
            <v>ELETRON I5</v>
          </cell>
          <cell r="O211" t="str">
            <v>NORDESTE</v>
          </cell>
          <cell r="P211" t="str">
            <v>X</v>
          </cell>
        </row>
        <row r="212">
          <cell r="A212">
            <v>1097176</v>
          </cell>
          <cell r="B212" t="str">
            <v>CCEAL</v>
          </cell>
          <cell r="C212" t="str">
            <v>Firme</v>
          </cell>
          <cell r="D212" t="str">
            <v>Energia Convencional</v>
          </cell>
          <cell r="E212" t="str">
            <v>01/01/2018 00</v>
          </cell>
          <cell r="F212" t="str">
            <v>01/01/2022 00</v>
          </cell>
          <cell r="G212" t="str">
            <v>01/01/2018 00</v>
          </cell>
          <cell r="H212" t="str">
            <v>31/12/2021 23</v>
          </cell>
          <cell r="J212" t="str">
            <v>Validado</v>
          </cell>
          <cell r="M212" t="str">
            <v>VALE ENERGIA</v>
          </cell>
          <cell r="N212" t="str">
            <v>VALE CUBATAO</v>
          </cell>
          <cell r="O212" t="str">
            <v>SUDESTE</v>
          </cell>
          <cell r="P212" t="str">
            <v>X</v>
          </cell>
          <cell r="X212" t="str">
            <v>01/12/2018 00</v>
          </cell>
          <cell r="Y212" t="str">
            <v>01/01/2019 00</v>
          </cell>
          <cell r="Z212" t="str">
            <v>26,756599</v>
          </cell>
          <cell r="AF212" t="str">
            <v>FLAT</v>
          </cell>
          <cell r="AG212" t="str">
            <v>Ajustado Validado</v>
          </cell>
        </row>
        <row r="213">
          <cell r="A213">
            <v>1097627</v>
          </cell>
          <cell r="B213" t="str">
            <v>CCEAL</v>
          </cell>
          <cell r="C213" t="str">
            <v>Firme</v>
          </cell>
          <cell r="D213" t="str">
            <v>Energia Convencional</v>
          </cell>
          <cell r="E213" t="str">
            <v>01/01/2018 00</v>
          </cell>
          <cell r="F213" t="str">
            <v>01/01/2021 00</v>
          </cell>
          <cell r="G213" t="str">
            <v>01/01/2018 00</v>
          </cell>
          <cell r="H213" t="str">
            <v>31/12/2020 23</v>
          </cell>
          <cell r="J213" t="str">
            <v>Validado</v>
          </cell>
          <cell r="M213" t="str">
            <v>VALE ENERGIA</v>
          </cell>
          <cell r="N213" t="str">
            <v>SALOBO</v>
          </cell>
          <cell r="O213" t="str">
            <v>NORTE</v>
          </cell>
          <cell r="P213" t="str">
            <v>X</v>
          </cell>
          <cell r="X213" t="str">
            <v>01/12/2018 00</v>
          </cell>
          <cell r="Y213" t="str">
            <v>01/01/2019 00</v>
          </cell>
          <cell r="Z213" t="str">
            <v>10,700000</v>
          </cell>
          <cell r="AF213" t="str">
            <v>FLAT</v>
          </cell>
          <cell r="AG213" t="str">
            <v>Validado</v>
          </cell>
        </row>
        <row r="214">
          <cell r="A214">
            <v>1098443</v>
          </cell>
          <cell r="B214" t="str">
            <v>CCEAL</v>
          </cell>
          <cell r="C214" t="str">
            <v>Firme</v>
          </cell>
          <cell r="D214" t="str">
            <v>Energia Convencional</v>
          </cell>
          <cell r="E214" t="str">
            <v>01/01/2018 00</v>
          </cell>
          <cell r="F214" t="str">
            <v>01/01/2020 00</v>
          </cell>
          <cell r="G214" t="str">
            <v>01/01/2018 00</v>
          </cell>
          <cell r="H214" t="str">
            <v>31/12/2019 23</v>
          </cell>
          <cell r="J214" t="str">
            <v>Validado</v>
          </cell>
          <cell r="M214" t="str">
            <v>FOCUS</v>
          </cell>
          <cell r="N214" t="str">
            <v>RIO DOCE</v>
          </cell>
          <cell r="O214" t="str">
            <v>NORDESTE</v>
          </cell>
          <cell r="P214" t="str">
            <v>X</v>
          </cell>
          <cell r="X214" t="str">
            <v>01/12/2018 00</v>
          </cell>
          <cell r="Y214" t="str">
            <v>01/01/2019 00</v>
          </cell>
          <cell r="Z214" t="str">
            <v>0,000000</v>
          </cell>
          <cell r="AF214" t="str">
            <v>FLAT</v>
          </cell>
          <cell r="AG214" t="str">
            <v>Validado</v>
          </cell>
        </row>
        <row r="215">
          <cell r="A215">
            <v>1105274</v>
          </cell>
          <cell r="B215" t="str">
            <v>CCEAL</v>
          </cell>
          <cell r="C215" t="str">
            <v>Firme</v>
          </cell>
          <cell r="D215" t="str">
            <v>Energia Convencional</v>
          </cell>
          <cell r="E215" t="str">
            <v>01/01/2018 00</v>
          </cell>
          <cell r="F215" t="str">
            <v>01/01/2022 00</v>
          </cell>
          <cell r="G215" t="str">
            <v>01/01/2018 00</v>
          </cell>
          <cell r="H215" t="str">
            <v>31/12/2021 23</v>
          </cell>
          <cell r="J215" t="str">
            <v>Rascunho</v>
          </cell>
          <cell r="M215" t="str">
            <v>VALE ENERGIA</v>
          </cell>
          <cell r="N215" t="str">
            <v>FERTILIZANTES</v>
          </cell>
          <cell r="O215" t="str">
            <v>SUDESTE</v>
          </cell>
          <cell r="P215" t="str">
            <v>X</v>
          </cell>
        </row>
        <row r="216">
          <cell r="A216">
            <v>1106200</v>
          </cell>
          <cell r="B216" t="str">
            <v>CCEAL</v>
          </cell>
          <cell r="C216" t="str">
            <v>Firme</v>
          </cell>
          <cell r="D216" t="str">
            <v>Energia Convencional</v>
          </cell>
          <cell r="E216" t="str">
            <v>01/08/2018 00</v>
          </cell>
          <cell r="F216" t="str">
            <v>01/01/2022 00</v>
          </cell>
          <cell r="G216" t="str">
            <v>01/01/2018 00</v>
          </cell>
          <cell r="H216" t="str">
            <v>31/12/2021 23</v>
          </cell>
          <cell r="J216" t="str">
            <v>Validado</v>
          </cell>
          <cell r="M216" t="str">
            <v>VALE ENERGIA</v>
          </cell>
          <cell r="N216" t="str">
            <v>MOSAIC FERTILIZANTES PEK</v>
          </cell>
          <cell r="O216" t="str">
            <v>SUDESTE</v>
          </cell>
          <cell r="P216" t="str">
            <v>X</v>
          </cell>
          <cell r="X216" t="str">
            <v>01/12/2018 00</v>
          </cell>
          <cell r="Y216" t="str">
            <v>01/01/2019 00</v>
          </cell>
          <cell r="Z216" t="str">
            <v>91,800000</v>
          </cell>
          <cell r="AF216" t="str">
            <v>CARGA</v>
          </cell>
          <cell r="AG216" t="str">
            <v>Ajustado Validado</v>
          </cell>
        </row>
        <row r="217">
          <cell r="A217">
            <v>1106203</v>
          </cell>
          <cell r="B217" t="str">
            <v>CCEAL</v>
          </cell>
          <cell r="C217" t="str">
            <v>Firme</v>
          </cell>
          <cell r="D217" t="str">
            <v>Energia Convencional</v>
          </cell>
          <cell r="E217" t="str">
            <v>01/08/2018 00</v>
          </cell>
          <cell r="F217" t="str">
            <v>01/01/2022 00</v>
          </cell>
          <cell r="G217" t="str">
            <v>01/01/2018 00</v>
          </cell>
          <cell r="H217" t="str">
            <v>31/12/2021 23</v>
          </cell>
          <cell r="J217" t="str">
            <v>Validado</v>
          </cell>
          <cell r="M217" t="str">
            <v>VALE ENERGIA</v>
          </cell>
          <cell r="N217" t="str">
            <v>MOSAIC FERTILIZANTES NE</v>
          </cell>
          <cell r="O217" t="str">
            <v>SUDESTE</v>
          </cell>
          <cell r="P217" t="str">
            <v>X</v>
          </cell>
          <cell r="X217" t="str">
            <v>01/12/2018 00</v>
          </cell>
          <cell r="Y217" t="str">
            <v>01/01/2019 00</v>
          </cell>
          <cell r="Z217" t="str">
            <v>0,000000</v>
          </cell>
          <cell r="AF217" t="str">
            <v>CARGA</v>
          </cell>
          <cell r="AG217" t="str">
            <v>Validado</v>
          </cell>
        </row>
        <row r="218">
          <cell r="A218">
            <v>1113768</v>
          </cell>
          <cell r="B218" t="str">
            <v>CBR</v>
          </cell>
          <cell r="C218" t="str">
            <v>Art. 5º Lei nº 13.182/2015</v>
          </cell>
          <cell r="D218" t="str">
            <v>Energia Convencional</v>
          </cell>
          <cell r="E218" t="str">
            <v>01/01/2018 00</v>
          </cell>
          <cell r="F218" t="str">
            <v>09/02/2037 00</v>
          </cell>
          <cell r="G218" t="str">
            <v>01/01/2018 00</v>
          </cell>
          <cell r="H218" t="str">
            <v>08/02/2037 23</v>
          </cell>
          <cell r="J218" t="str">
            <v>Validado</v>
          </cell>
          <cell r="M218" t="str">
            <v>CHESF</v>
          </cell>
          <cell r="N218" t="str">
            <v>RIO DOCE</v>
          </cell>
          <cell r="O218" t="str">
            <v>NORDESTE</v>
          </cell>
          <cell r="P218" t="str">
            <v>X</v>
          </cell>
          <cell r="AH218">
            <v>43435</v>
          </cell>
          <cell r="AI218" t="str">
            <v>0,000000</v>
          </cell>
          <cell r="AJ218" t="str">
            <v>CARGA</v>
          </cell>
          <cell r="AK218" t="str">
            <v>Validado</v>
          </cell>
        </row>
        <row r="219">
          <cell r="A219">
            <v>1113869</v>
          </cell>
          <cell r="B219" t="str">
            <v>CCEAL</v>
          </cell>
          <cell r="C219" t="str">
            <v>Firme</v>
          </cell>
          <cell r="D219" t="str">
            <v>Energia Convencional</v>
          </cell>
          <cell r="E219" t="str">
            <v>01/01/2018 00</v>
          </cell>
          <cell r="F219" t="str">
            <v>01/01/2019 00</v>
          </cell>
          <cell r="G219" t="str">
            <v>01/01/2018 00</v>
          </cell>
          <cell r="H219" t="str">
            <v>31/12/2018 23</v>
          </cell>
          <cell r="J219" t="str">
            <v>Registrado e Não Validado</v>
          </cell>
          <cell r="M219" t="str">
            <v>DEAL COMERCIALIZADORA</v>
          </cell>
          <cell r="N219" t="str">
            <v>CVRD PIE</v>
          </cell>
          <cell r="O219" t="str">
            <v>SUDESTE</v>
          </cell>
          <cell r="P219" t="str">
            <v>X</v>
          </cell>
          <cell r="X219" t="str">
            <v>01/12/2018 00</v>
          </cell>
          <cell r="Y219" t="str">
            <v>01/01/2019 00</v>
          </cell>
          <cell r="Z219" t="str">
            <v>0,000000</v>
          </cell>
          <cell r="AF219" t="str">
            <v>FLAT</v>
          </cell>
          <cell r="AG219" t="str">
            <v>Validado</v>
          </cell>
        </row>
        <row r="220">
          <cell r="A220">
            <v>1115080</v>
          </cell>
          <cell r="B220" t="str">
            <v>CCEAL</v>
          </cell>
          <cell r="C220" t="str">
            <v>Firme</v>
          </cell>
          <cell r="D220" t="str">
            <v>Energia Convencional</v>
          </cell>
          <cell r="E220" t="str">
            <v>01/01/2018 00</v>
          </cell>
          <cell r="F220" t="str">
            <v>01/02/2020 00</v>
          </cell>
          <cell r="G220" t="str">
            <v>01/01/2018 00</v>
          </cell>
          <cell r="H220" t="str">
            <v>31/01/2020 23</v>
          </cell>
          <cell r="J220" t="str">
            <v>Validado</v>
          </cell>
          <cell r="M220" t="str">
            <v>KROMA</v>
          </cell>
          <cell r="N220" t="str">
            <v>CVRD</v>
          </cell>
          <cell r="O220" t="str">
            <v>SUDESTE</v>
          </cell>
          <cell r="P220" t="str">
            <v>X</v>
          </cell>
          <cell r="X220" t="str">
            <v>01/12/2018 00</v>
          </cell>
          <cell r="Y220" t="str">
            <v>01/01/2019 00</v>
          </cell>
          <cell r="Z220" t="str">
            <v>0,000000</v>
          </cell>
          <cell r="AF220" t="str">
            <v>FLAT</v>
          </cell>
          <cell r="AG220" t="str">
            <v>Validado</v>
          </cell>
        </row>
        <row r="221">
          <cell r="A221">
            <v>1117355</v>
          </cell>
          <cell r="B221" t="str">
            <v>CCEAL</v>
          </cell>
          <cell r="C221" t="str">
            <v>Firme</v>
          </cell>
          <cell r="D221" t="str">
            <v>Energia Incentivada Especial</v>
          </cell>
          <cell r="E221" t="str">
            <v>01/01/2018 00</v>
          </cell>
          <cell r="F221" t="str">
            <v>07/06/2046 00</v>
          </cell>
          <cell r="G221" t="str">
            <v>01/01/2018 00</v>
          </cell>
          <cell r="H221" t="str">
            <v>06/06/2046 23</v>
          </cell>
          <cell r="J221" t="str">
            <v>Validado</v>
          </cell>
          <cell r="M221" t="str">
            <v>GARROTE I5</v>
          </cell>
          <cell r="N221" t="str">
            <v>VALE ENE I5</v>
          </cell>
          <cell r="O221" t="str">
            <v>NORDESTE</v>
          </cell>
          <cell r="P221" t="str">
            <v>X</v>
          </cell>
          <cell r="X221" t="str">
            <v>01/12/2018 00</v>
          </cell>
          <cell r="Y221" t="str">
            <v>01/01/2019 00</v>
          </cell>
          <cell r="Z221" t="str">
            <v>12,955904</v>
          </cell>
          <cell r="AF221" t="str">
            <v>FLAT</v>
          </cell>
          <cell r="AG221" t="str">
            <v>Ajustado Validado</v>
          </cell>
        </row>
        <row r="222">
          <cell r="A222">
            <v>1117360</v>
          </cell>
          <cell r="B222" t="str">
            <v>CCEAL</v>
          </cell>
          <cell r="C222" t="str">
            <v>Firme</v>
          </cell>
          <cell r="D222" t="str">
            <v>Energia Incentivada Especial</v>
          </cell>
          <cell r="E222" t="str">
            <v>01/01/2018 00</v>
          </cell>
          <cell r="F222" t="str">
            <v>07/06/2046 00</v>
          </cell>
          <cell r="G222" t="str">
            <v>01/01/2018 00</v>
          </cell>
          <cell r="H222" t="str">
            <v>06/06/2046 23</v>
          </cell>
          <cell r="J222" t="str">
            <v>Validado</v>
          </cell>
          <cell r="M222" t="str">
            <v>SANTO INACIO III I5</v>
          </cell>
          <cell r="N222" t="str">
            <v>VALE ENE I5</v>
          </cell>
          <cell r="O222" t="str">
            <v>NORDESTE</v>
          </cell>
          <cell r="P222" t="str">
            <v>X</v>
          </cell>
          <cell r="X222" t="str">
            <v>01/12/2018 00</v>
          </cell>
          <cell r="Y222" t="str">
            <v>01/01/2019 00</v>
          </cell>
          <cell r="Z222" t="str">
            <v>16,292456</v>
          </cell>
          <cell r="AF222" t="str">
            <v>FLAT</v>
          </cell>
          <cell r="AG222" t="str">
            <v>Ajustado Validado</v>
          </cell>
        </row>
        <row r="223">
          <cell r="A223">
            <v>1117361</v>
          </cell>
          <cell r="B223" t="str">
            <v>CCEAL</v>
          </cell>
          <cell r="C223" t="str">
            <v>Firme</v>
          </cell>
          <cell r="D223" t="str">
            <v>Energia Incentivada Especial</v>
          </cell>
          <cell r="E223" t="str">
            <v>01/01/2018 00</v>
          </cell>
          <cell r="F223" t="str">
            <v>07/06/2046 00</v>
          </cell>
          <cell r="G223" t="str">
            <v>01/01/2018 00</v>
          </cell>
          <cell r="H223" t="str">
            <v>06/06/2046 23</v>
          </cell>
          <cell r="J223" t="str">
            <v>Validado</v>
          </cell>
          <cell r="M223" t="str">
            <v>SANTO INACIO IV I5</v>
          </cell>
          <cell r="N223" t="str">
            <v>VALE ENE I5</v>
          </cell>
          <cell r="O223" t="str">
            <v>NORDESTE</v>
          </cell>
          <cell r="P223" t="str">
            <v>X</v>
          </cell>
          <cell r="X223" t="str">
            <v>01/12/2018 00</v>
          </cell>
          <cell r="Y223" t="str">
            <v>01/01/2019 00</v>
          </cell>
          <cell r="Z223" t="str">
            <v>11,723771</v>
          </cell>
          <cell r="AF223" t="str">
            <v>FLAT</v>
          </cell>
          <cell r="AG223" t="str">
            <v>Ajustado Validado</v>
          </cell>
        </row>
        <row r="224">
          <cell r="A224">
            <v>1117363</v>
          </cell>
          <cell r="B224" t="str">
            <v>CCEAL</v>
          </cell>
          <cell r="C224" t="str">
            <v>Firme</v>
          </cell>
          <cell r="D224" t="str">
            <v>Energia Incentivada Especial</v>
          </cell>
          <cell r="E224" t="str">
            <v>01/01/2018 00</v>
          </cell>
          <cell r="F224" t="str">
            <v>07/06/2046 00</v>
          </cell>
          <cell r="G224" t="str">
            <v>01/01/2018 00</v>
          </cell>
          <cell r="H224" t="str">
            <v>06/06/2046 23</v>
          </cell>
          <cell r="J224" t="str">
            <v>Validado</v>
          </cell>
          <cell r="M224" t="str">
            <v>SAO RAIMUNDO I5</v>
          </cell>
          <cell r="N224" t="str">
            <v>VALE ENE I5</v>
          </cell>
          <cell r="O224" t="str">
            <v>NORDESTE</v>
          </cell>
          <cell r="P224" t="str">
            <v>X</v>
          </cell>
          <cell r="X224" t="str">
            <v>01/12/2018 00</v>
          </cell>
          <cell r="Y224" t="str">
            <v>01/01/2019 00</v>
          </cell>
          <cell r="Z224" t="str">
            <v>7,945426</v>
          </cell>
          <cell r="AF224" t="str">
            <v>FLAT</v>
          </cell>
          <cell r="AG224" t="str">
            <v>Ajustado Validado</v>
          </cell>
        </row>
        <row r="225">
          <cell r="A225">
            <v>1119278</v>
          </cell>
          <cell r="B225" t="str">
            <v>CCEAL</v>
          </cell>
          <cell r="C225" t="str">
            <v>Firme</v>
          </cell>
          <cell r="D225" t="str">
            <v>Energia Convencional</v>
          </cell>
          <cell r="E225" t="str">
            <v>01/01/2018 00</v>
          </cell>
          <cell r="F225" t="str">
            <v>01/01/2020 00</v>
          </cell>
          <cell r="G225" t="str">
            <v>01/01/2018 00</v>
          </cell>
          <cell r="H225" t="str">
            <v>31/12/2019 23</v>
          </cell>
          <cell r="J225" t="str">
            <v>Validado</v>
          </cell>
          <cell r="M225" t="str">
            <v>VALE ENERGIA</v>
          </cell>
          <cell r="N225" t="str">
            <v>CVRD CL2</v>
          </cell>
          <cell r="O225" t="str">
            <v>NORTE</v>
          </cell>
          <cell r="P225" t="str">
            <v>X</v>
          </cell>
          <cell r="X225" t="str">
            <v>01/12/2018 00</v>
          </cell>
          <cell r="Y225" t="str">
            <v>01/01/2019 00</v>
          </cell>
          <cell r="Z225" t="str">
            <v>0,000000</v>
          </cell>
          <cell r="AF225" t="str">
            <v>FLAT</v>
          </cell>
          <cell r="AG225" t="str">
            <v>Validado</v>
          </cell>
        </row>
        <row r="226">
          <cell r="A226">
            <v>1119574</v>
          </cell>
          <cell r="B226" t="str">
            <v>CCEAL</v>
          </cell>
          <cell r="C226" t="str">
            <v>Firme</v>
          </cell>
          <cell r="D226" t="str">
            <v>Energia Incentivada Especial</v>
          </cell>
          <cell r="E226" t="str">
            <v>01/01/2018 00</v>
          </cell>
          <cell r="F226" t="str">
            <v>01/01/2020 00</v>
          </cell>
          <cell r="G226" t="str">
            <v>01/01/2018 00</v>
          </cell>
          <cell r="H226" t="str">
            <v>31/12/2019 23</v>
          </cell>
          <cell r="J226" t="str">
            <v>Validado</v>
          </cell>
          <cell r="M226" t="str">
            <v>VALE ENE I5</v>
          </cell>
          <cell r="N226" t="str">
            <v>CVRD CE</v>
          </cell>
          <cell r="O226" t="str">
            <v>SUDESTE</v>
          </cell>
          <cell r="P226" t="str">
            <v>X</v>
          </cell>
          <cell r="X226" t="str">
            <v>01/12/2018 00</v>
          </cell>
          <cell r="Y226" t="str">
            <v>01/01/2019 00</v>
          </cell>
          <cell r="Z226" t="str">
            <v>0,636955</v>
          </cell>
          <cell r="AF226" t="str">
            <v>FLAT</v>
          </cell>
          <cell r="AG226" t="str">
            <v>Ajustado Validado</v>
          </cell>
        </row>
        <row r="227">
          <cell r="A227">
            <v>1123043</v>
          </cell>
          <cell r="B227" t="str">
            <v>CCEAL</v>
          </cell>
          <cell r="C227" t="str">
            <v>Firme</v>
          </cell>
          <cell r="D227" t="str">
            <v>Energia Convencional</v>
          </cell>
          <cell r="E227" t="str">
            <v>01/01/2018 00</v>
          </cell>
          <cell r="F227" t="str">
            <v>01/01/2019 00</v>
          </cell>
          <cell r="G227" t="str">
            <v>01/01/2018 00</v>
          </cell>
          <cell r="H227" t="str">
            <v>31/12/2018 23</v>
          </cell>
          <cell r="J227" t="str">
            <v>Validado</v>
          </cell>
          <cell r="M227" t="str">
            <v>DEAL COMERCIALIZADORA</v>
          </cell>
          <cell r="N227" t="str">
            <v>CVRD</v>
          </cell>
          <cell r="O227" t="str">
            <v>SUDESTE</v>
          </cell>
          <cell r="P227" t="str">
            <v>X</v>
          </cell>
          <cell r="X227" t="str">
            <v>01/12/2018 00</v>
          </cell>
          <cell r="Y227" t="str">
            <v>01/01/2019 00</v>
          </cell>
          <cell r="Z227" t="str">
            <v>0,000000</v>
          </cell>
          <cell r="AF227" t="str">
            <v>FLAT</v>
          </cell>
          <cell r="AG227" t="str">
            <v>Validado</v>
          </cell>
        </row>
        <row r="228">
          <cell r="A228">
            <v>1124803</v>
          </cell>
          <cell r="B228" t="str">
            <v>CCEAL</v>
          </cell>
          <cell r="C228" t="str">
            <v>Firme</v>
          </cell>
          <cell r="D228" t="str">
            <v>Energia Incentivada Especial</v>
          </cell>
          <cell r="E228" t="str">
            <v>01/02/2018 00</v>
          </cell>
          <cell r="F228" t="str">
            <v>01/01/2019 00</v>
          </cell>
          <cell r="G228" t="str">
            <v>01/02/2018 00</v>
          </cell>
          <cell r="H228" t="str">
            <v>31/12/2018 23</v>
          </cell>
          <cell r="J228" t="str">
            <v>Validado</v>
          </cell>
          <cell r="M228" t="str">
            <v>VALE ENE I5</v>
          </cell>
          <cell r="N228" t="str">
            <v>QUEIROZ GALVAO ENERGIA I5</v>
          </cell>
          <cell r="O228" t="str">
            <v>SUDESTE</v>
          </cell>
          <cell r="P228" t="str">
            <v>X</v>
          </cell>
          <cell r="X228" t="str">
            <v>01/12/2018 00</v>
          </cell>
          <cell r="Y228" t="str">
            <v>01/01/2019 00</v>
          </cell>
          <cell r="Z228" t="str">
            <v>5,000000</v>
          </cell>
          <cell r="AF228" t="str">
            <v>FLAT</v>
          </cell>
          <cell r="AG228" t="str">
            <v>Ajustado Não Validado</v>
          </cell>
        </row>
        <row r="229">
          <cell r="A229">
            <v>1127965</v>
          </cell>
          <cell r="B229" t="str">
            <v>CCEAL</v>
          </cell>
          <cell r="C229" t="str">
            <v>Firme</v>
          </cell>
          <cell r="D229" t="str">
            <v>Energia Convencional</v>
          </cell>
          <cell r="E229" t="str">
            <v>01/02/2018 00</v>
          </cell>
          <cell r="F229" t="str">
            <v>01/01/2019 00</v>
          </cell>
          <cell r="G229" t="str">
            <v>01/02/2018 00</v>
          </cell>
          <cell r="H229" t="str">
            <v>31/12/2018 23</v>
          </cell>
          <cell r="J229" t="str">
            <v>Validado</v>
          </cell>
          <cell r="M229" t="str">
            <v>CELER</v>
          </cell>
          <cell r="N229" t="str">
            <v>CVRD CL2</v>
          </cell>
          <cell r="O229" t="str">
            <v>SUDESTE</v>
          </cell>
          <cell r="P229" t="str">
            <v>X</v>
          </cell>
          <cell r="X229" t="str">
            <v>01/12/2018 00</v>
          </cell>
          <cell r="Y229" t="str">
            <v>01/01/2019 00</v>
          </cell>
          <cell r="Z229" t="str">
            <v>0,000000</v>
          </cell>
          <cell r="AF229" t="str">
            <v>FLAT</v>
          </cell>
          <cell r="AG229" t="str">
            <v>Validado</v>
          </cell>
        </row>
        <row r="230">
          <cell r="A230">
            <v>1127966</v>
          </cell>
          <cell r="B230" t="str">
            <v>CCEAL</v>
          </cell>
          <cell r="C230" t="str">
            <v>Firme</v>
          </cell>
          <cell r="D230" t="str">
            <v>Energia Convencional</v>
          </cell>
          <cell r="E230" t="str">
            <v>01/02/2018 00</v>
          </cell>
          <cell r="F230" t="str">
            <v>01/01/2019 00</v>
          </cell>
          <cell r="G230" t="str">
            <v>01/02/2018 00</v>
          </cell>
          <cell r="H230" t="str">
            <v>31/12/2018 23</v>
          </cell>
          <cell r="J230" t="str">
            <v>Validado</v>
          </cell>
          <cell r="M230" t="str">
            <v>CELER</v>
          </cell>
          <cell r="N230" t="str">
            <v>CVRD CL2</v>
          </cell>
          <cell r="O230" t="str">
            <v>SUDESTE</v>
          </cell>
          <cell r="P230" t="str">
            <v>X</v>
          </cell>
          <cell r="X230" t="str">
            <v>01/12/2018 00</v>
          </cell>
          <cell r="Y230" t="str">
            <v>01/01/2019 00</v>
          </cell>
          <cell r="Z230" t="str">
            <v>0,000000</v>
          </cell>
          <cell r="AF230" t="str">
            <v>FLAT</v>
          </cell>
          <cell r="AG230" t="str">
            <v>Validado</v>
          </cell>
        </row>
        <row r="231">
          <cell r="A231">
            <v>1127967</v>
          </cell>
          <cell r="B231" t="str">
            <v>CCEAL</v>
          </cell>
          <cell r="C231" t="str">
            <v>Firme</v>
          </cell>
          <cell r="D231" t="str">
            <v>Energia Convencional</v>
          </cell>
          <cell r="E231" t="str">
            <v>01/02/2018 00</v>
          </cell>
          <cell r="F231" t="str">
            <v>01/01/2019 00</v>
          </cell>
          <cell r="G231" t="str">
            <v>01/02/2018 00</v>
          </cell>
          <cell r="H231" t="str">
            <v>31/12/2018 23</v>
          </cell>
          <cell r="J231" t="str">
            <v>Validado</v>
          </cell>
          <cell r="M231" t="str">
            <v>CELER</v>
          </cell>
          <cell r="N231" t="str">
            <v>CVRD</v>
          </cell>
          <cell r="O231" t="str">
            <v>SUDESTE</v>
          </cell>
          <cell r="P231" t="str">
            <v>X</v>
          </cell>
          <cell r="X231" t="str">
            <v>01/12/2018 00</v>
          </cell>
          <cell r="Y231" t="str">
            <v>01/01/2019 00</v>
          </cell>
          <cell r="Z231" t="str">
            <v>0,000000</v>
          </cell>
          <cell r="AF231" t="str">
            <v>FLAT</v>
          </cell>
          <cell r="AG231" t="str">
            <v>Validado</v>
          </cell>
        </row>
        <row r="232">
          <cell r="A232">
            <v>1127968</v>
          </cell>
          <cell r="B232" t="str">
            <v>CCEAL</v>
          </cell>
          <cell r="C232" t="str">
            <v>Firme</v>
          </cell>
          <cell r="D232" t="str">
            <v>Energia Convencional</v>
          </cell>
          <cell r="E232" t="str">
            <v>01/02/2018 00</v>
          </cell>
          <cell r="F232" t="str">
            <v>01/01/2019 00</v>
          </cell>
          <cell r="G232" t="str">
            <v>01/02/2018 00</v>
          </cell>
          <cell r="H232" t="str">
            <v>31/12/2018 23</v>
          </cell>
          <cell r="J232" t="str">
            <v>Validado</v>
          </cell>
          <cell r="M232" t="str">
            <v>CELER</v>
          </cell>
          <cell r="N232" t="str">
            <v>CVRD CL3</v>
          </cell>
          <cell r="O232" t="str">
            <v>SUDESTE</v>
          </cell>
          <cell r="P232" t="str">
            <v>X</v>
          </cell>
          <cell r="X232" t="str">
            <v>01/12/2018 00</v>
          </cell>
          <cell r="Y232" t="str">
            <v>01/01/2019 00</v>
          </cell>
          <cell r="Z232" t="str">
            <v>0,000000</v>
          </cell>
          <cell r="AF232" t="str">
            <v>FLAT</v>
          </cell>
          <cell r="AG232" t="str">
            <v>Validado</v>
          </cell>
        </row>
        <row r="233">
          <cell r="A233">
            <v>1127969</v>
          </cell>
          <cell r="B233" t="str">
            <v>CCEAL</v>
          </cell>
          <cell r="C233" t="str">
            <v>Firme</v>
          </cell>
          <cell r="D233" t="str">
            <v>Energia Convencional</v>
          </cell>
          <cell r="E233" t="str">
            <v>01/02/2018 00</v>
          </cell>
          <cell r="F233" t="str">
            <v>01/01/2019 00</v>
          </cell>
          <cell r="G233" t="str">
            <v>01/02/2018 00</v>
          </cell>
          <cell r="H233" t="str">
            <v>31/12/2018 23</v>
          </cell>
          <cell r="J233" t="str">
            <v>Validado</v>
          </cell>
          <cell r="M233" t="str">
            <v>CELER</v>
          </cell>
          <cell r="N233" t="str">
            <v>CVRD PIE</v>
          </cell>
          <cell r="O233" t="str">
            <v>SUDESTE</v>
          </cell>
          <cell r="P233" t="str">
            <v>X</v>
          </cell>
          <cell r="X233" t="str">
            <v>01/12/2018 00</v>
          </cell>
          <cell r="Y233" t="str">
            <v>01/01/2019 00</v>
          </cell>
          <cell r="Z233" t="str">
            <v>0,000000</v>
          </cell>
          <cell r="AF233" t="str">
            <v>FLAT</v>
          </cell>
          <cell r="AG233" t="str">
            <v>Validado</v>
          </cell>
        </row>
        <row r="234">
          <cell r="A234">
            <v>1128347</v>
          </cell>
          <cell r="B234" t="str">
            <v>CCEAL</v>
          </cell>
          <cell r="C234" t="str">
            <v>Firme</v>
          </cell>
          <cell r="D234" t="str">
            <v>Energia Convencional</v>
          </cell>
          <cell r="E234" t="str">
            <v>01/02/2018 00</v>
          </cell>
          <cell r="F234" t="str">
            <v>01/01/2019 00</v>
          </cell>
          <cell r="G234" t="str">
            <v>01/02/2018 00</v>
          </cell>
          <cell r="H234" t="str">
            <v>31/12/2018 23</v>
          </cell>
          <cell r="J234" t="str">
            <v>Validado</v>
          </cell>
          <cell r="M234" t="str">
            <v>CAPITALE</v>
          </cell>
          <cell r="N234" t="str">
            <v>VALE ENERGIA</v>
          </cell>
          <cell r="O234" t="str">
            <v>SUDESTE</v>
          </cell>
          <cell r="P234" t="str">
            <v>X</v>
          </cell>
          <cell r="X234" t="str">
            <v>01/12/2018 00</v>
          </cell>
          <cell r="Y234" t="str">
            <v>01/01/2019 00</v>
          </cell>
          <cell r="Z234" t="str">
            <v>0,000000</v>
          </cell>
          <cell r="AF234" t="str">
            <v>FLAT</v>
          </cell>
          <cell r="AG234" t="str">
            <v>Validado</v>
          </cell>
        </row>
        <row r="235">
          <cell r="A235">
            <v>1128439</v>
          </cell>
          <cell r="B235" t="str">
            <v>CCEAL</v>
          </cell>
          <cell r="C235" t="str">
            <v>Firme</v>
          </cell>
          <cell r="D235" t="str">
            <v>Energia Convencional</v>
          </cell>
          <cell r="E235" t="str">
            <v>01/02/2018 00</v>
          </cell>
          <cell r="F235" t="str">
            <v>01/01/2019 00</v>
          </cell>
          <cell r="G235" t="str">
            <v>01/02/2018 00</v>
          </cell>
          <cell r="H235" t="str">
            <v>31/12/2018 23</v>
          </cell>
          <cell r="J235" t="str">
            <v>Validado</v>
          </cell>
          <cell r="M235" t="str">
            <v>CAPITALE</v>
          </cell>
          <cell r="N235" t="str">
            <v>CVRD PIE</v>
          </cell>
          <cell r="O235" t="str">
            <v>SUDESTE</v>
          </cell>
          <cell r="P235" t="str">
            <v>X</v>
          </cell>
          <cell r="X235" t="str">
            <v>01/12/2018 00</v>
          </cell>
          <cell r="Y235" t="str">
            <v>01/01/2019 00</v>
          </cell>
          <cell r="Z235" t="str">
            <v>0,000000</v>
          </cell>
          <cell r="AF235" t="str">
            <v>FLAT</v>
          </cell>
          <cell r="AG235" t="str">
            <v>Validado</v>
          </cell>
        </row>
        <row r="236">
          <cell r="A236">
            <v>1129937</v>
          </cell>
          <cell r="B236" t="str">
            <v>CCEAL</v>
          </cell>
          <cell r="C236" t="str">
            <v>Firme</v>
          </cell>
          <cell r="D236" t="str">
            <v>Energia Convencional</v>
          </cell>
          <cell r="E236" t="str">
            <v>01/08/2018 00</v>
          </cell>
          <cell r="F236" t="str">
            <v>01/01/2022 00</v>
          </cell>
          <cell r="G236" t="str">
            <v>01/02/2018 00</v>
          </cell>
          <cell r="H236" t="str">
            <v>31/12/2021 23</v>
          </cell>
          <cell r="J236" t="str">
            <v>Validado</v>
          </cell>
          <cell r="M236" t="str">
            <v>VALE ENERGIA</v>
          </cell>
          <cell r="N236" t="str">
            <v>MOSAIC FERTILIZANTES NE</v>
          </cell>
          <cell r="O236" t="str">
            <v>NORDESTE</v>
          </cell>
          <cell r="P236" t="str">
            <v>X</v>
          </cell>
          <cell r="X236" t="str">
            <v>01/12/2018 00</v>
          </cell>
          <cell r="Y236" t="str">
            <v>01/01/2019 00</v>
          </cell>
          <cell r="Z236" t="str">
            <v>18,000000</v>
          </cell>
          <cell r="AF236" t="str">
            <v>CARGA</v>
          </cell>
          <cell r="AG236" t="str">
            <v>Ajustado Validado</v>
          </cell>
        </row>
        <row r="237">
          <cell r="A237">
            <v>1130303</v>
          </cell>
          <cell r="B237" t="str">
            <v>CCEAL</v>
          </cell>
          <cell r="C237" t="str">
            <v>Firme</v>
          </cell>
          <cell r="D237" t="str">
            <v>Energia Convencional</v>
          </cell>
          <cell r="E237" t="str">
            <v>01/10/2018 00</v>
          </cell>
          <cell r="F237" t="str">
            <v>01/01/2019 00</v>
          </cell>
          <cell r="G237" t="str">
            <v>01/02/2018 00</v>
          </cell>
          <cell r="H237" t="str">
            <v>31/12/2018 23</v>
          </cell>
          <cell r="J237" t="str">
            <v>Validado</v>
          </cell>
          <cell r="M237" t="str">
            <v>RRCOM</v>
          </cell>
          <cell r="N237" t="str">
            <v>RIO DOCE</v>
          </cell>
          <cell r="O237" t="str">
            <v>NORDESTE</v>
          </cell>
          <cell r="P237" t="str">
            <v>X</v>
          </cell>
          <cell r="X237" t="str">
            <v>01/12/2018 00</v>
          </cell>
          <cell r="Y237" t="str">
            <v>01/01/2019 00</v>
          </cell>
          <cell r="Z237" t="str">
            <v>0,000000</v>
          </cell>
          <cell r="AF237" t="str">
            <v>FLAT</v>
          </cell>
          <cell r="AG237" t="str">
            <v>Validado</v>
          </cell>
        </row>
        <row r="238">
          <cell r="A238">
            <v>1130307</v>
          </cell>
          <cell r="B238" t="str">
            <v>CCEAL</v>
          </cell>
          <cell r="C238" t="str">
            <v>Firme</v>
          </cell>
          <cell r="D238" t="str">
            <v>Energia Convencional</v>
          </cell>
          <cell r="E238" t="str">
            <v>01/02/2018 00</v>
          </cell>
          <cell r="F238" t="str">
            <v>01/01/2019 00</v>
          </cell>
          <cell r="G238" t="str">
            <v>01/02/2018 00</v>
          </cell>
          <cell r="H238" t="str">
            <v>31/12/2018 23</v>
          </cell>
          <cell r="J238" t="str">
            <v>Validado</v>
          </cell>
          <cell r="M238" t="str">
            <v>DEAL COMERCIALIZADORA</v>
          </cell>
          <cell r="N238" t="str">
            <v>CVRD PIE</v>
          </cell>
          <cell r="O238" t="str">
            <v>SUDESTE</v>
          </cell>
          <cell r="P238" t="str">
            <v>X</v>
          </cell>
          <cell r="X238" t="str">
            <v>01/12/2018 00</v>
          </cell>
          <cell r="Y238" t="str">
            <v>01/01/2019 00</v>
          </cell>
          <cell r="Z238" t="str">
            <v>0,000000</v>
          </cell>
          <cell r="AF238" t="str">
            <v>FLAT</v>
          </cell>
          <cell r="AG238" t="str">
            <v>Validado</v>
          </cell>
        </row>
        <row r="239">
          <cell r="A239">
            <v>1130330</v>
          </cell>
          <cell r="B239" t="str">
            <v>CCEAL</v>
          </cell>
          <cell r="C239" t="str">
            <v>Firme</v>
          </cell>
          <cell r="D239" t="str">
            <v>Energia Convencional</v>
          </cell>
          <cell r="E239" t="str">
            <v>01/10/2018 00</v>
          </cell>
          <cell r="F239" t="str">
            <v>01/01/2019 00</v>
          </cell>
          <cell r="G239" t="str">
            <v>01/02/2018 00</v>
          </cell>
          <cell r="H239" t="str">
            <v>31/12/2018 23</v>
          </cell>
          <cell r="J239" t="str">
            <v>Validado</v>
          </cell>
          <cell r="M239" t="str">
            <v>RRCOM</v>
          </cell>
          <cell r="N239" t="str">
            <v>CVRD PIE</v>
          </cell>
          <cell r="O239" t="str">
            <v>SUDESTE</v>
          </cell>
          <cell r="P239" t="str">
            <v>X</v>
          </cell>
          <cell r="X239" t="str">
            <v>01/12/2018 00</v>
          </cell>
          <cell r="Y239" t="str">
            <v>01/01/2019 00</v>
          </cell>
          <cell r="Z239" t="str">
            <v>0,000000</v>
          </cell>
          <cell r="AF239" t="str">
            <v>FLAT</v>
          </cell>
          <cell r="AG239" t="str">
            <v>Validado</v>
          </cell>
        </row>
        <row r="240">
          <cell r="A240">
            <v>1131124</v>
          </cell>
          <cell r="B240" t="str">
            <v>CCEAL</v>
          </cell>
          <cell r="C240" t="str">
            <v>Firme</v>
          </cell>
          <cell r="D240" t="str">
            <v>Energia Convencional</v>
          </cell>
          <cell r="E240" t="str">
            <v>01/02/2018 00</v>
          </cell>
          <cell r="F240" t="str">
            <v>01/01/2019 00</v>
          </cell>
          <cell r="G240" t="str">
            <v>01/02/2018 00</v>
          </cell>
          <cell r="H240" t="str">
            <v>31/12/2018 23</v>
          </cell>
          <cell r="J240" t="str">
            <v>Validado</v>
          </cell>
          <cell r="M240" t="str">
            <v>QUEIROZ GALVAO ENERGIA</v>
          </cell>
          <cell r="N240" t="str">
            <v>VALE ENERGIA</v>
          </cell>
          <cell r="O240" t="str">
            <v>SUDESTE</v>
          </cell>
          <cell r="P240" t="str">
            <v>X</v>
          </cell>
          <cell r="X240" t="str">
            <v>01/12/2018 00</v>
          </cell>
          <cell r="Y240" t="str">
            <v>01/01/2019 00</v>
          </cell>
          <cell r="Z240" t="str">
            <v>0,000000</v>
          </cell>
          <cell r="AF240" t="str">
            <v>FLAT</v>
          </cell>
          <cell r="AG240" t="str">
            <v>Validado</v>
          </cell>
        </row>
        <row r="241">
          <cell r="A241">
            <v>1131347</v>
          </cell>
          <cell r="B241" t="str">
            <v>CCEAL</v>
          </cell>
          <cell r="C241" t="str">
            <v>Firme</v>
          </cell>
          <cell r="D241" t="str">
            <v>Energia Convencional</v>
          </cell>
          <cell r="E241" t="str">
            <v>01/02/2018 00</v>
          </cell>
          <cell r="F241" t="str">
            <v>01/01/2019 00</v>
          </cell>
          <cell r="G241" t="str">
            <v>01/02/2018 00</v>
          </cell>
          <cell r="H241" t="str">
            <v>31/12/2018 23</v>
          </cell>
          <cell r="J241" t="str">
            <v>Validado</v>
          </cell>
          <cell r="M241" t="str">
            <v>DIFERENCIAL</v>
          </cell>
          <cell r="N241" t="str">
            <v>CVRD PIE</v>
          </cell>
          <cell r="O241" t="str">
            <v>SUDESTE</v>
          </cell>
          <cell r="P241" t="str">
            <v>X</v>
          </cell>
          <cell r="X241" t="str">
            <v>01/12/2018 00</v>
          </cell>
          <cell r="Y241" t="str">
            <v>01/01/2019 00</v>
          </cell>
          <cell r="Z241" t="str">
            <v>0,000000</v>
          </cell>
          <cell r="AF241" t="str">
            <v>FLAT</v>
          </cell>
          <cell r="AG241" t="str">
            <v>Validado</v>
          </cell>
        </row>
        <row r="242">
          <cell r="A242">
            <v>1131782</v>
          </cell>
          <cell r="B242" t="str">
            <v>CCEAL</v>
          </cell>
          <cell r="C242" t="str">
            <v>Firme</v>
          </cell>
          <cell r="D242" t="str">
            <v>Energia Convencional</v>
          </cell>
          <cell r="E242" t="str">
            <v>01/03/2018 00</v>
          </cell>
          <cell r="F242" t="str">
            <v>01/02/2021 00</v>
          </cell>
          <cell r="G242" t="str">
            <v>01/03/2018 00</v>
          </cell>
          <cell r="H242" t="str">
            <v>31/01/2021 23</v>
          </cell>
          <cell r="J242" t="str">
            <v>Validado</v>
          </cell>
          <cell r="M242" t="str">
            <v>CVRD PIE</v>
          </cell>
          <cell r="N242" t="str">
            <v>CVRD CL2</v>
          </cell>
          <cell r="O242" t="str">
            <v>NORTE</v>
          </cell>
          <cell r="P242" t="str">
            <v>X</v>
          </cell>
          <cell r="X242" t="str">
            <v>01/12/2018 00</v>
          </cell>
          <cell r="Y242" t="str">
            <v>01/01/2019 00</v>
          </cell>
          <cell r="Z242" t="str">
            <v>28,597345</v>
          </cell>
          <cell r="AF242" t="str">
            <v>FLAT</v>
          </cell>
          <cell r="AG242" t="str">
            <v>Ajustado Validado</v>
          </cell>
        </row>
        <row r="243">
          <cell r="A243">
            <v>1133169</v>
          </cell>
          <cell r="B243" t="str">
            <v>CCEAL</v>
          </cell>
          <cell r="C243" t="str">
            <v>Firme</v>
          </cell>
          <cell r="D243" t="str">
            <v>Energia Convencional</v>
          </cell>
          <cell r="E243" t="str">
            <v>01/03/2018 00</v>
          </cell>
          <cell r="F243" t="str">
            <v>01/01/2019 00</v>
          </cell>
          <cell r="G243" t="str">
            <v>01/03/2018 00</v>
          </cell>
          <cell r="H243" t="str">
            <v>31/12/2018 23</v>
          </cell>
          <cell r="J243" t="str">
            <v>Registrado e Não Validado</v>
          </cell>
          <cell r="M243" t="str">
            <v>LIBRA ENERGIA</v>
          </cell>
          <cell r="N243" t="str">
            <v>VALE ENERGIA</v>
          </cell>
          <cell r="O243" t="str">
            <v>SUDESTE</v>
          </cell>
          <cell r="P243" t="str">
            <v>X</v>
          </cell>
          <cell r="X243" t="str">
            <v>01/12/2018 00</v>
          </cell>
          <cell r="Y243" t="str">
            <v>01/01/2019 00</v>
          </cell>
          <cell r="Z243" t="str">
            <v>0,000000</v>
          </cell>
          <cell r="AF243" t="str">
            <v>FLAT</v>
          </cell>
          <cell r="AG243" t="str">
            <v>Inserido Não Validado</v>
          </cell>
        </row>
        <row r="244">
          <cell r="A244">
            <v>1134610</v>
          </cell>
          <cell r="B244" t="str">
            <v>CCEAL</v>
          </cell>
          <cell r="C244" t="str">
            <v>Firme</v>
          </cell>
          <cell r="D244" t="str">
            <v>Energia Convencional</v>
          </cell>
          <cell r="E244" t="str">
            <v>01/03/2018 00</v>
          </cell>
          <cell r="F244" t="str">
            <v>01/01/2019 00</v>
          </cell>
          <cell r="G244" t="str">
            <v>01/03/2018 00</v>
          </cell>
          <cell r="H244" t="str">
            <v>31/12/2018 23</v>
          </cell>
          <cell r="J244" t="str">
            <v>Validado</v>
          </cell>
          <cell r="M244" t="str">
            <v>LIBRA ENERGIA</v>
          </cell>
          <cell r="N244" t="str">
            <v>CVRD</v>
          </cell>
          <cell r="O244" t="str">
            <v>SUDESTE</v>
          </cell>
          <cell r="P244" t="str">
            <v>X</v>
          </cell>
          <cell r="X244" t="str">
            <v>01/12/2018 00</v>
          </cell>
          <cell r="Y244" t="str">
            <v>01/01/2019 00</v>
          </cell>
          <cell r="Z244" t="str">
            <v>0,000000</v>
          </cell>
          <cell r="AF244" t="str">
            <v>FLAT</v>
          </cell>
          <cell r="AG244" t="str">
            <v>Validado</v>
          </cell>
        </row>
        <row r="245">
          <cell r="A245">
            <v>1135346</v>
          </cell>
          <cell r="B245" t="str">
            <v>CCEAL</v>
          </cell>
          <cell r="C245" t="str">
            <v>Firme</v>
          </cell>
          <cell r="D245" t="str">
            <v>Energia Convencional</v>
          </cell>
          <cell r="E245" t="str">
            <v>01/03/2018 00</v>
          </cell>
          <cell r="F245" t="str">
            <v>01/02/2020 00</v>
          </cell>
          <cell r="G245" t="str">
            <v>01/03/2018 00</v>
          </cell>
          <cell r="H245" t="str">
            <v>31/01/2020 23</v>
          </cell>
          <cell r="J245" t="str">
            <v>Validado</v>
          </cell>
          <cell r="M245" t="str">
            <v>KROMA</v>
          </cell>
          <cell r="N245" t="str">
            <v>VALE ENERGIA</v>
          </cell>
          <cell r="O245" t="str">
            <v>SUDESTE</v>
          </cell>
          <cell r="P245" t="str">
            <v>X</v>
          </cell>
          <cell r="X245" t="str">
            <v>01/12/2018 00</v>
          </cell>
          <cell r="Y245" t="str">
            <v>01/01/2019 00</v>
          </cell>
          <cell r="Z245" t="str">
            <v>0,000000</v>
          </cell>
          <cell r="AF245" t="str">
            <v>FLAT</v>
          </cell>
          <cell r="AG245" t="str">
            <v>Validado</v>
          </cell>
        </row>
        <row r="246">
          <cell r="A246">
            <v>1137235</v>
          </cell>
          <cell r="B246" t="str">
            <v>CCEAL</v>
          </cell>
          <cell r="C246" t="str">
            <v>Firme</v>
          </cell>
          <cell r="D246" t="str">
            <v>Energia Convencional</v>
          </cell>
          <cell r="E246" t="str">
            <v>01/10/2018 00</v>
          </cell>
          <cell r="F246" t="str">
            <v>01/01/2019 00</v>
          </cell>
          <cell r="G246" t="str">
            <v>01/03/2018 00</v>
          </cell>
          <cell r="H246" t="str">
            <v>31/12/2018 23</v>
          </cell>
          <cell r="J246" t="str">
            <v>Validado</v>
          </cell>
          <cell r="M246" t="str">
            <v>RRCOM</v>
          </cell>
          <cell r="N246" t="str">
            <v>VALE ENERGIA</v>
          </cell>
          <cell r="O246" t="str">
            <v>SUDESTE</v>
          </cell>
          <cell r="P246" t="str">
            <v>X</v>
          </cell>
          <cell r="X246" t="str">
            <v>01/12/2018 00</v>
          </cell>
          <cell r="Y246" t="str">
            <v>01/01/2019 00</v>
          </cell>
          <cell r="Z246" t="str">
            <v>0,000000</v>
          </cell>
          <cell r="AF246" t="str">
            <v>FLAT</v>
          </cell>
          <cell r="AG246" t="str">
            <v>Validado</v>
          </cell>
        </row>
        <row r="247">
          <cell r="A247">
            <v>1141750</v>
          </cell>
          <cell r="B247" t="str">
            <v>CCEAL</v>
          </cell>
          <cell r="C247" t="str">
            <v>Firme</v>
          </cell>
          <cell r="D247" t="str">
            <v>Energia Convencional</v>
          </cell>
          <cell r="E247" t="str">
            <v>01/04/2018 00</v>
          </cell>
          <cell r="F247" t="str">
            <v>01/01/2019 00</v>
          </cell>
          <cell r="G247" t="str">
            <v>01/04/2018 00</v>
          </cell>
          <cell r="H247" t="str">
            <v>31/12/2018 23</v>
          </cell>
          <cell r="J247" t="str">
            <v>Validado</v>
          </cell>
          <cell r="M247" t="str">
            <v>LIBRA ENERGIA</v>
          </cell>
          <cell r="N247" t="str">
            <v>CVRD CL3</v>
          </cell>
          <cell r="O247" t="str">
            <v>SUDESTE</v>
          </cell>
          <cell r="P247" t="str">
            <v>X</v>
          </cell>
          <cell r="X247" t="str">
            <v>01/12/2018 00</v>
          </cell>
          <cell r="Y247" t="str">
            <v>01/01/2019 00</v>
          </cell>
          <cell r="Z247" t="str">
            <v>0,000000</v>
          </cell>
          <cell r="AF247" t="str">
            <v>FLAT</v>
          </cell>
          <cell r="AG247" t="str">
            <v>Validado</v>
          </cell>
        </row>
        <row r="248">
          <cell r="A248">
            <v>1142105</v>
          </cell>
          <cell r="B248" t="str">
            <v>CCEAL</v>
          </cell>
          <cell r="C248" t="str">
            <v>Firme</v>
          </cell>
          <cell r="D248" t="str">
            <v>Energia Convencional</v>
          </cell>
          <cell r="E248" t="str">
            <v>01/04/2018 00</v>
          </cell>
          <cell r="F248" t="str">
            <v>01/01/2019 00</v>
          </cell>
          <cell r="G248" t="str">
            <v>01/04/2018 00</v>
          </cell>
          <cell r="H248" t="str">
            <v>31/12/2018 23</v>
          </cell>
          <cell r="J248" t="str">
            <v>Validado</v>
          </cell>
          <cell r="M248" t="str">
            <v>CAPITALE</v>
          </cell>
          <cell r="N248" t="str">
            <v>CVRD CL3</v>
          </cell>
          <cell r="O248" t="str">
            <v>SUDESTE</v>
          </cell>
          <cell r="P248" t="str">
            <v>X</v>
          </cell>
          <cell r="X248" t="str">
            <v>01/12/2018 00</v>
          </cell>
          <cell r="Y248" t="str">
            <v>01/01/2019 00</v>
          </cell>
          <cell r="Z248" t="str">
            <v>0,000000</v>
          </cell>
          <cell r="AF248" t="str">
            <v>FLAT</v>
          </cell>
          <cell r="AG248" t="str">
            <v>Validado</v>
          </cell>
        </row>
        <row r="249">
          <cell r="A249">
            <v>1150873</v>
          </cell>
          <cell r="B249" t="str">
            <v>CCEAL</v>
          </cell>
          <cell r="C249" t="str">
            <v>Firme</v>
          </cell>
          <cell r="D249" t="str">
            <v>Energia Convencional</v>
          </cell>
          <cell r="E249" t="str">
            <v>01/04/2018 00</v>
          </cell>
          <cell r="F249" t="str">
            <v>01/02/2020 00</v>
          </cell>
          <cell r="G249" t="str">
            <v>01/04/2018 00</v>
          </cell>
          <cell r="H249" t="str">
            <v>31/01/2020 23</v>
          </cell>
          <cell r="J249" t="str">
            <v>Validado</v>
          </cell>
          <cell r="M249" t="str">
            <v>KROMA</v>
          </cell>
          <cell r="N249" t="str">
            <v>CVRD CL3</v>
          </cell>
          <cell r="O249" t="str">
            <v>SUDESTE</v>
          </cell>
          <cell r="P249" t="str">
            <v>X</v>
          </cell>
          <cell r="X249" t="str">
            <v>01/12/2018 00</v>
          </cell>
          <cell r="Y249" t="str">
            <v>01/01/2019 00</v>
          </cell>
          <cell r="Z249" t="str">
            <v>0,000000</v>
          </cell>
          <cell r="AF249" t="str">
            <v>FLAT</v>
          </cell>
          <cell r="AG249" t="str">
            <v>Validado</v>
          </cell>
        </row>
        <row r="250">
          <cell r="A250">
            <v>1151709</v>
          </cell>
          <cell r="B250" t="str">
            <v>CCEAL</v>
          </cell>
          <cell r="C250" t="str">
            <v>Firme</v>
          </cell>
          <cell r="D250" t="str">
            <v>Energia Convencional</v>
          </cell>
          <cell r="E250" t="str">
            <v>01/04/2018 00</v>
          </cell>
          <cell r="F250" t="str">
            <v>01/01/2019 00</v>
          </cell>
          <cell r="G250" t="str">
            <v>01/04/2018 00</v>
          </cell>
          <cell r="H250" t="str">
            <v>31/12/2018 23</v>
          </cell>
          <cell r="J250" t="str">
            <v>Validado</v>
          </cell>
          <cell r="M250" t="str">
            <v>DEAL COMERCIALIZADORA</v>
          </cell>
          <cell r="N250" t="str">
            <v>CVRD CL3</v>
          </cell>
          <cell r="O250" t="str">
            <v>SUDESTE</v>
          </cell>
          <cell r="P250" t="str">
            <v>X</v>
          </cell>
          <cell r="X250" t="str">
            <v>01/12/2018 00</v>
          </cell>
          <cell r="Y250" t="str">
            <v>01/01/2019 00</v>
          </cell>
          <cell r="Z250" t="str">
            <v>0,000000</v>
          </cell>
          <cell r="AF250" t="str">
            <v>FLAT</v>
          </cell>
          <cell r="AG250" t="str">
            <v>Validado</v>
          </cell>
        </row>
        <row r="251">
          <cell r="A251">
            <v>1153438</v>
          </cell>
          <cell r="B251" t="str">
            <v>CCEAL</v>
          </cell>
          <cell r="C251" t="str">
            <v>Firme</v>
          </cell>
          <cell r="D251" t="str">
            <v>Energia Convencional</v>
          </cell>
          <cell r="E251" t="str">
            <v>01/10/2018 00</v>
          </cell>
          <cell r="F251" t="str">
            <v>01/01/2019 00</v>
          </cell>
          <cell r="G251" t="str">
            <v>01/04/2018 00</v>
          </cell>
          <cell r="H251" t="str">
            <v>31/12/2018 23</v>
          </cell>
          <cell r="J251" t="str">
            <v>Validado</v>
          </cell>
          <cell r="M251" t="str">
            <v>RRCOM</v>
          </cell>
          <cell r="N251" t="str">
            <v>CVRD CL3</v>
          </cell>
          <cell r="O251" t="str">
            <v>SUDESTE</v>
          </cell>
          <cell r="P251" t="str">
            <v>X</v>
          </cell>
          <cell r="X251" t="str">
            <v>01/12/2018 00</v>
          </cell>
          <cell r="Y251" t="str">
            <v>01/01/2019 00</v>
          </cell>
          <cell r="Z251" t="str">
            <v>0,000000</v>
          </cell>
          <cell r="AF251" t="str">
            <v>FLAT</v>
          </cell>
          <cell r="AG251" t="str">
            <v>Validado</v>
          </cell>
        </row>
        <row r="252">
          <cell r="A252">
            <v>1153618</v>
          </cell>
          <cell r="B252" t="str">
            <v>CCEAL</v>
          </cell>
          <cell r="C252" t="str">
            <v>Firme</v>
          </cell>
          <cell r="D252" t="str">
            <v>Energia Convencional</v>
          </cell>
          <cell r="E252" t="str">
            <v>01/04/2018 00</v>
          </cell>
          <cell r="F252" t="str">
            <v>01/01/2019 00</v>
          </cell>
          <cell r="G252" t="str">
            <v>01/04/2018 00</v>
          </cell>
          <cell r="H252" t="str">
            <v>31/12/2018 23</v>
          </cell>
          <cell r="J252" t="str">
            <v>Validado</v>
          </cell>
          <cell r="M252" t="str">
            <v>CAPITALE</v>
          </cell>
          <cell r="N252" t="str">
            <v>VALE ENERGIA</v>
          </cell>
          <cell r="O252" t="str">
            <v>NORDESTE</v>
          </cell>
          <cell r="P252" t="str">
            <v>X</v>
          </cell>
          <cell r="X252" t="str">
            <v>01/12/2018 00</v>
          </cell>
          <cell r="Y252" t="str">
            <v>01/01/2019 00</v>
          </cell>
          <cell r="Z252" t="str">
            <v>0,000000</v>
          </cell>
          <cell r="AF252" t="str">
            <v>FLAT</v>
          </cell>
          <cell r="AG252" t="str">
            <v>Validado</v>
          </cell>
        </row>
        <row r="253">
          <cell r="A253">
            <v>1153634</v>
          </cell>
          <cell r="B253" t="str">
            <v>CCEAL</v>
          </cell>
          <cell r="C253" t="str">
            <v>Firme</v>
          </cell>
          <cell r="D253" t="str">
            <v>Energia Convencional</v>
          </cell>
          <cell r="E253" t="str">
            <v>01/04/2018 00</v>
          </cell>
          <cell r="F253" t="str">
            <v>01/01/2019 00</v>
          </cell>
          <cell r="G253" t="str">
            <v>01/04/2018 00</v>
          </cell>
          <cell r="H253" t="str">
            <v>31/12/2018 23</v>
          </cell>
          <cell r="J253" t="str">
            <v>Validado</v>
          </cell>
          <cell r="M253" t="str">
            <v>ECOM</v>
          </cell>
          <cell r="N253" t="str">
            <v>VALE ENERGIA</v>
          </cell>
          <cell r="O253" t="str">
            <v>NORDESTE</v>
          </cell>
          <cell r="P253" t="str">
            <v>X</v>
          </cell>
          <cell r="X253" t="str">
            <v>01/12/2018 00</v>
          </cell>
          <cell r="Y253" t="str">
            <v>01/01/2019 00</v>
          </cell>
          <cell r="Z253" t="str">
            <v>0,000000</v>
          </cell>
          <cell r="AF253" t="str">
            <v>FLAT</v>
          </cell>
          <cell r="AG253" t="str">
            <v>Validado</v>
          </cell>
        </row>
        <row r="254">
          <cell r="A254">
            <v>1161948</v>
          </cell>
          <cell r="B254" t="str">
            <v>CCEAL</v>
          </cell>
          <cell r="C254" t="str">
            <v>Firme</v>
          </cell>
          <cell r="D254" t="str">
            <v>Energia Convencional</v>
          </cell>
          <cell r="E254" t="str">
            <v>01/05/2018 00</v>
          </cell>
          <cell r="F254" t="str">
            <v>01/01/2019 00</v>
          </cell>
          <cell r="G254" t="str">
            <v>01/05/2018 00</v>
          </cell>
          <cell r="H254" t="str">
            <v>31/12/2018 23</v>
          </cell>
          <cell r="J254" t="str">
            <v>Validado</v>
          </cell>
          <cell r="M254" t="str">
            <v>ECOM</v>
          </cell>
          <cell r="N254" t="str">
            <v>CVRD PIE</v>
          </cell>
          <cell r="O254" t="str">
            <v>SUDESTE</v>
          </cell>
          <cell r="P254" t="str">
            <v>X</v>
          </cell>
          <cell r="X254" t="str">
            <v>01/12/2018 00</v>
          </cell>
          <cell r="Y254" t="str">
            <v>01/01/2019 00</v>
          </cell>
          <cell r="Z254" t="str">
            <v>0,000000</v>
          </cell>
          <cell r="AF254" t="str">
            <v>FLAT</v>
          </cell>
          <cell r="AG254" t="str">
            <v>Validado</v>
          </cell>
        </row>
        <row r="255">
          <cell r="A255">
            <v>1163750</v>
          </cell>
          <cell r="B255" t="str">
            <v>CCEAL</v>
          </cell>
          <cell r="C255" t="str">
            <v>Firme</v>
          </cell>
          <cell r="D255" t="str">
            <v>Energia Convencional</v>
          </cell>
          <cell r="E255" t="str">
            <v>01/05/2018 00</v>
          </cell>
          <cell r="F255" t="str">
            <v>01/01/2019 00</v>
          </cell>
          <cell r="G255" t="str">
            <v>01/05/2018 00</v>
          </cell>
          <cell r="H255" t="str">
            <v>31/12/2018 23</v>
          </cell>
          <cell r="J255" t="str">
            <v>Validado</v>
          </cell>
          <cell r="M255" t="str">
            <v>MERITO CONV</v>
          </cell>
          <cell r="N255" t="str">
            <v>CVRD PIE</v>
          </cell>
          <cell r="O255" t="str">
            <v>SUDESTE</v>
          </cell>
          <cell r="P255" t="str">
            <v>X</v>
          </cell>
          <cell r="X255" t="str">
            <v>01/12/2018 00</v>
          </cell>
          <cell r="Y255" t="str">
            <v>01/01/2019 00</v>
          </cell>
          <cell r="Z255" t="str">
            <v>0,000000</v>
          </cell>
          <cell r="AF255" t="str">
            <v>FLAT</v>
          </cell>
          <cell r="AG255" t="str">
            <v>Validado</v>
          </cell>
        </row>
        <row r="256">
          <cell r="A256">
            <v>1167485</v>
          </cell>
          <cell r="B256" t="str">
            <v>CCEAL</v>
          </cell>
          <cell r="C256" t="str">
            <v>Firme</v>
          </cell>
          <cell r="D256" t="str">
            <v>Energia Incentivada Especial</v>
          </cell>
          <cell r="E256" t="str">
            <v>01/06/2018 00</v>
          </cell>
          <cell r="F256" t="str">
            <v>01/02/2022 00</v>
          </cell>
          <cell r="G256" t="str">
            <v>01/06/2018 00</v>
          </cell>
          <cell r="H256" t="str">
            <v>31/01/2022 23</v>
          </cell>
          <cell r="J256" t="str">
            <v>Validado</v>
          </cell>
          <cell r="M256" t="str">
            <v>CVRD APE I5</v>
          </cell>
          <cell r="N256" t="str">
            <v>CVRD TIG</v>
          </cell>
          <cell r="O256" t="str">
            <v>SUDESTE</v>
          </cell>
          <cell r="P256" t="str">
            <v>X</v>
          </cell>
          <cell r="X256" t="str">
            <v>01/12/2018 00</v>
          </cell>
          <cell r="Y256" t="str">
            <v>01/01/2019 00</v>
          </cell>
          <cell r="Z256" t="str">
            <v>4,979315</v>
          </cell>
          <cell r="AF256" t="str">
            <v>FLAT</v>
          </cell>
          <cell r="AG256" t="str">
            <v>Ajustado Validado</v>
          </cell>
        </row>
        <row r="257">
          <cell r="A257">
            <v>1167486</v>
          </cell>
          <cell r="B257" t="str">
            <v>CCEAL</v>
          </cell>
          <cell r="C257" t="str">
            <v>Firme</v>
          </cell>
          <cell r="D257" t="str">
            <v>Energia Convencional</v>
          </cell>
          <cell r="E257" t="str">
            <v>01/06/2018 00</v>
          </cell>
          <cell r="F257" t="str">
            <v>01/02/2022 00</v>
          </cell>
          <cell r="G257" t="str">
            <v>01/06/2018 00</v>
          </cell>
          <cell r="H257" t="str">
            <v>31/01/2022 23</v>
          </cell>
          <cell r="J257" t="str">
            <v>Validado</v>
          </cell>
          <cell r="M257" t="str">
            <v>CVRD PIE</v>
          </cell>
          <cell r="N257" t="str">
            <v>CVRD TIG</v>
          </cell>
          <cell r="O257" t="str">
            <v>SUDESTE</v>
          </cell>
          <cell r="P257" t="str">
            <v>X</v>
          </cell>
          <cell r="X257" t="str">
            <v>01/12/2018 00</v>
          </cell>
          <cell r="Y257" t="str">
            <v>01/01/2019 00</v>
          </cell>
          <cell r="Z257" t="str">
            <v>0,000000</v>
          </cell>
          <cell r="AF257" t="str">
            <v>FLAT</v>
          </cell>
          <cell r="AG257" t="str">
            <v>Validado</v>
          </cell>
        </row>
        <row r="258">
          <cell r="A258">
            <v>1167490</v>
          </cell>
          <cell r="B258" t="str">
            <v>CCEAL</v>
          </cell>
          <cell r="C258" t="str">
            <v>Firme</v>
          </cell>
          <cell r="D258" t="str">
            <v>Energia Incentivada Especial</v>
          </cell>
          <cell r="E258" t="str">
            <v>01/06/2018 00</v>
          </cell>
          <cell r="F258" t="str">
            <v>02/01/2022 00</v>
          </cell>
          <cell r="G258" t="str">
            <v>01/06/2018 00</v>
          </cell>
          <cell r="H258" t="str">
            <v>01/01/2022 23</v>
          </cell>
          <cell r="J258" t="str">
            <v>Rascunho</v>
          </cell>
          <cell r="M258" t="str">
            <v>CVRD PIE I5</v>
          </cell>
          <cell r="N258" t="str">
            <v>CVRD TIG</v>
          </cell>
          <cell r="O258" t="str">
            <v>SUDESTE</v>
          </cell>
          <cell r="P258" t="str">
            <v>X</v>
          </cell>
        </row>
        <row r="259">
          <cell r="A259">
            <v>1167491</v>
          </cell>
          <cell r="B259" t="str">
            <v>CCEAL</v>
          </cell>
          <cell r="C259" t="str">
            <v>Firme</v>
          </cell>
          <cell r="D259" t="str">
            <v>Energia Incentivada Especial</v>
          </cell>
          <cell r="E259" t="str">
            <v>01/06/2018 00</v>
          </cell>
          <cell r="F259" t="str">
            <v>01/02/2022 00</v>
          </cell>
          <cell r="G259" t="str">
            <v>01/06/2018 00</v>
          </cell>
          <cell r="H259" t="str">
            <v>31/01/2022 23</v>
          </cell>
          <cell r="J259" t="str">
            <v>Validado</v>
          </cell>
          <cell r="M259" t="str">
            <v>CVRD PIE I5</v>
          </cell>
          <cell r="N259" t="str">
            <v>CVRD TIG</v>
          </cell>
          <cell r="O259" t="str">
            <v>SUDESTE</v>
          </cell>
          <cell r="P259" t="str">
            <v>X</v>
          </cell>
          <cell r="X259" t="str">
            <v>01/12/2018 00</v>
          </cell>
          <cell r="Y259" t="str">
            <v>01/01/2019 00</v>
          </cell>
          <cell r="Z259" t="str">
            <v>0,000000</v>
          </cell>
          <cell r="AF259" t="str">
            <v>FLAT</v>
          </cell>
          <cell r="AG259" t="str">
            <v>Validado</v>
          </cell>
        </row>
        <row r="260">
          <cell r="A260">
            <v>1167492</v>
          </cell>
          <cell r="B260" t="str">
            <v>CCEAL</v>
          </cell>
          <cell r="C260" t="str">
            <v>Firme</v>
          </cell>
          <cell r="D260" t="str">
            <v>Energia Convencional</v>
          </cell>
          <cell r="E260" t="str">
            <v>01/06/2018 00</v>
          </cell>
          <cell r="F260" t="str">
            <v>01/02/2022 00</v>
          </cell>
          <cell r="G260" t="str">
            <v>01/06/2018 00</v>
          </cell>
          <cell r="H260" t="str">
            <v>31/01/2022 23</v>
          </cell>
          <cell r="J260" t="str">
            <v>Validado</v>
          </cell>
          <cell r="M260" t="str">
            <v>VALE ENERGIA</v>
          </cell>
          <cell r="N260" t="str">
            <v>CVRD TIG</v>
          </cell>
          <cell r="O260" t="str">
            <v>SUDESTE</v>
          </cell>
          <cell r="P260" t="str">
            <v>X</v>
          </cell>
          <cell r="X260" t="str">
            <v>01/12/2018 00</v>
          </cell>
          <cell r="Y260" t="str">
            <v>01/01/2019 00</v>
          </cell>
          <cell r="Z260" t="str">
            <v>0,000000</v>
          </cell>
          <cell r="AF260" t="str">
            <v>FLAT</v>
          </cell>
          <cell r="AG260" t="str">
            <v>Validado</v>
          </cell>
        </row>
        <row r="261">
          <cell r="A261">
            <v>1167530</v>
          </cell>
          <cell r="B261" t="str">
            <v>CCEAL</v>
          </cell>
          <cell r="C261" t="str">
            <v>Firme</v>
          </cell>
          <cell r="D261" t="str">
            <v>Energia Incentivada Especial</v>
          </cell>
          <cell r="E261" t="str">
            <v>01/06/2018 00</v>
          </cell>
          <cell r="F261" t="str">
            <v>01/02/2022 00</v>
          </cell>
          <cell r="G261" t="str">
            <v>01/06/2018 00</v>
          </cell>
          <cell r="H261" t="str">
            <v>31/01/2022 23</v>
          </cell>
          <cell r="J261" t="str">
            <v>Validado</v>
          </cell>
          <cell r="M261" t="str">
            <v>VALE ENE I5</v>
          </cell>
          <cell r="N261" t="str">
            <v>CVRD TIG</v>
          </cell>
          <cell r="O261" t="str">
            <v>SUDESTE</v>
          </cell>
          <cell r="P261" t="str">
            <v>X</v>
          </cell>
          <cell r="X261" t="str">
            <v>01/12/2018 00</v>
          </cell>
          <cell r="Y261" t="str">
            <v>01/01/2019 00</v>
          </cell>
          <cell r="Z261" t="str">
            <v>0,000000</v>
          </cell>
          <cell r="AF261" t="str">
            <v>FLAT</v>
          </cell>
          <cell r="AG261" t="str">
            <v>Validado</v>
          </cell>
        </row>
        <row r="262">
          <cell r="A262">
            <v>1168728</v>
          </cell>
          <cell r="B262" t="str">
            <v>CCEAL</v>
          </cell>
          <cell r="C262" t="str">
            <v>Firme</v>
          </cell>
          <cell r="D262" t="str">
            <v>Energia Convencional</v>
          </cell>
          <cell r="E262" t="str">
            <v>01/06/2018 00</v>
          </cell>
          <cell r="F262" t="str">
            <v>01/01/2019 00</v>
          </cell>
          <cell r="G262" t="str">
            <v>01/06/2018 00</v>
          </cell>
          <cell r="H262" t="str">
            <v>31/12/2018 23</v>
          </cell>
          <cell r="J262" t="str">
            <v>Validado</v>
          </cell>
          <cell r="M262" t="str">
            <v>MERITO CONV</v>
          </cell>
          <cell r="N262" t="str">
            <v>VALE ENERGIA</v>
          </cell>
          <cell r="O262" t="str">
            <v>NORDESTE</v>
          </cell>
          <cell r="P262" t="str">
            <v>X</v>
          </cell>
          <cell r="X262" t="str">
            <v>01/12/2018 00</v>
          </cell>
          <cell r="Y262" t="str">
            <v>01/01/2019 00</v>
          </cell>
          <cell r="Z262" t="str">
            <v>0,000000</v>
          </cell>
          <cell r="AF262" t="str">
            <v>FLAT</v>
          </cell>
          <cell r="AG262" t="str">
            <v>Validado</v>
          </cell>
        </row>
        <row r="263">
          <cell r="A263">
            <v>1171931</v>
          </cell>
          <cell r="B263" t="str">
            <v>CCEAL</v>
          </cell>
          <cell r="C263" t="str">
            <v>Firme</v>
          </cell>
          <cell r="D263" t="str">
            <v>Energia Convencional</v>
          </cell>
          <cell r="E263" t="str">
            <v>01/06/2018 00</v>
          </cell>
          <cell r="F263" t="str">
            <v>01/01/2020 00</v>
          </cell>
          <cell r="G263" t="str">
            <v>01/06/2018 00</v>
          </cell>
          <cell r="H263" t="str">
            <v>31/12/2019 23</v>
          </cell>
          <cell r="J263" t="str">
            <v>Validado</v>
          </cell>
          <cell r="M263" t="str">
            <v>AMERICA</v>
          </cell>
          <cell r="N263" t="str">
            <v>CVRD PIE</v>
          </cell>
          <cell r="O263" t="str">
            <v>SUDESTE</v>
          </cell>
          <cell r="P263" t="str">
            <v>X</v>
          </cell>
          <cell r="X263" t="str">
            <v>01/12/2018 00</v>
          </cell>
          <cell r="Y263" t="str">
            <v>01/01/2019 00</v>
          </cell>
          <cell r="Z263" t="str">
            <v>0,000000</v>
          </cell>
          <cell r="AF263" t="str">
            <v>FLAT</v>
          </cell>
          <cell r="AG263" t="str">
            <v>Validado</v>
          </cell>
        </row>
        <row r="264">
          <cell r="A264">
            <v>1173927</v>
          </cell>
          <cell r="B264" t="str">
            <v>CCEAL</v>
          </cell>
          <cell r="C264" t="str">
            <v>Firme</v>
          </cell>
          <cell r="D264" t="str">
            <v>Energia Convencional</v>
          </cell>
          <cell r="E264" t="str">
            <v>01/07/2018 00</v>
          </cell>
          <cell r="F264" t="str">
            <v>01/01/2019 00</v>
          </cell>
          <cell r="G264" t="str">
            <v>01/07/2018 00</v>
          </cell>
          <cell r="H264" t="str">
            <v>31/12/2018 23</v>
          </cell>
          <cell r="J264" t="str">
            <v>Validado</v>
          </cell>
          <cell r="M264" t="str">
            <v>COMERC</v>
          </cell>
          <cell r="N264" t="str">
            <v>VALE ENERGIA</v>
          </cell>
          <cell r="O264" t="str">
            <v>SUDESTE</v>
          </cell>
          <cell r="P264" t="str">
            <v>X</v>
          </cell>
          <cell r="X264" t="str">
            <v>01/12/2018 00</v>
          </cell>
          <cell r="Y264" t="str">
            <v>01/01/2019 00</v>
          </cell>
          <cell r="Z264" t="str">
            <v>0,000000</v>
          </cell>
          <cell r="AF264" t="str">
            <v>FLAT</v>
          </cell>
          <cell r="AG264" t="str">
            <v>Validado</v>
          </cell>
        </row>
        <row r="265">
          <cell r="A265">
            <v>1179044</v>
          </cell>
          <cell r="B265" t="str">
            <v>CCEAL</v>
          </cell>
          <cell r="C265" t="str">
            <v>Firme</v>
          </cell>
          <cell r="D265" t="str">
            <v>Energia Convencional</v>
          </cell>
          <cell r="E265" t="str">
            <v>01/07/2018 00</v>
          </cell>
          <cell r="F265" t="str">
            <v>01/01/2019 00</v>
          </cell>
          <cell r="G265" t="str">
            <v>01/07/2018 00</v>
          </cell>
          <cell r="H265" t="str">
            <v>31/12/2018 23</v>
          </cell>
          <cell r="J265" t="str">
            <v>Validado</v>
          </cell>
          <cell r="M265" t="str">
            <v>EDP C</v>
          </cell>
          <cell r="N265" t="str">
            <v>RIO DOCE SE</v>
          </cell>
          <cell r="O265" t="str">
            <v>SUDESTE</v>
          </cell>
          <cell r="P265" t="str">
            <v>X</v>
          </cell>
          <cell r="X265" t="str">
            <v>01/12/2018 00</v>
          </cell>
          <cell r="Y265" t="str">
            <v>01/01/2019 00</v>
          </cell>
          <cell r="Z265" t="str">
            <v>0,000000</v>
          </cell>
          <cell r="AF265" t="str">
            <v>FLAT</v>
          </cell>
          <cell r="AG265" t="str">
            <v>Validado</v>
          </cell>
        </row>
        <row r="266">
          <cell r="A266">
            <v>1193406</v>
          </cell>
          <cell r="B266" t="str">
            <v>CCEAL</v>
          </cell>
          <cell r="C266" t="str">
            <v>Firme</v>
          </cell>
          <cell r="D266" t="str">
            <v>Energia Convencional</v>
          </cell>
          <cell r="E266" t="str">
            <v>01/09/2018 00</v>
          </cell>
          <cell r="F266" t="str">
            <v>01/01/2019 00</v>
          </cell>
          <cell r="G266" t="str">
            <v>01/09/2018 00</v>
          </cell>
          <cell r="H266" t="str">
            <v>31/12/2018 23</v>
          </cell>
          <cell r="J266" t="str">
            <v>Validado</v>
          </cell>
          <cell r="M266" t="str">
            <v>VALE ENERGIA</v>
          </cell>
          <cell r="N266" t="str">
            <v>PRINCIPAL ENERGIA</v>
          </cell>
          <cell r="O266" t="str">
            <v>SUDESTE</v>
          </cell>
          <cell r="P266" t="str">
            <v>X</v>
          </cell>
          <cell r="X266" t="str">
            <v>01/12/2018 00</v>
          </cell>
          <cell r="Y266" t="str">
            <v>01/01/2019 00</v>
          </cell>
          <cell r="Z266" t="str">
            <v>10,000000</v>
          </cell>
          <cell r="AF266" t="str">
            <v>FLAT</v>
          </cell>
          <cell r="AG266" t="str">
            <v>Ajustado Não Validado</v>
          </cell>
        </row>
        <row r="267">
          <cell r="A267">
            <v>1196137</v>
          </cell>
          <cell r="B267" t="str">
            <v>PROINFA</v>
          </cell>
          <cell r="D267" t="str">
            <v>Energia Convencional</v>
          </cell>
          <cell r="E267" t="str">
            <v>01/09/2018 00</v>
          </cell>
          <cell r="F267" t="str">
            <v>01/01/2026 00</v>
          </cell>
          <cell r="G267" t="str">
            <v>01/09/2018 00</v>
          </cell>
          <cell r="H267" t="str">
            <v>31/12/2025 23</v>
          </cell>
          <cell r="J267" t="str">
            <v>Validado</v>
          </cell>
          <cell r="M267" t="str">
            <v>ACEP</v>
          </cell>
          <cell r="N267" t="str">
            <v>MOSAIC FERTILIZANTES I5</v>
          </cell>
          <cell r="O267" t="str">
            <v>SUDESTE</v>
          </cell>
          <cell r="P267" t="str">
            <v>X</v>
          </cell>
        </row>
        <row r="268">
          <cell r="A268">
            <v>1214939</v>
          </cell>
          <cell r="B268" t="str">
            <v>CCEAL</v>
          </cell>
          <cell r="C268" t="str">
            <v>Firme</v>
          </cell>
          <cell r="D268" t="str">
            <v>Energia Convencional</v>
          </cell>
          <cell r="E268" t="str">
            <v>01/12/2018 00</v>
          </cell>
          <cell r="F268" t="str">
            <v>01/01/2019 00</v>
          </cell>
          <cell r="G268" t="str">
            <v>01/12/2018 00</v>
          </cell>
          <cell r="H268" t="str">
            <v>31/12/2018 23</v>
          </cell>
          <cell r="J268" t="str">
            <v>Registrado e Não Validado</v>
          </cell>
          <cell r="M268" t="str">
            <v>CVRD PIE</v>
          </cell>
          <cell r="N268" t="str">
            <v>WXE</v>
          </cell>
          <cell r="O268" t="str">
            <v>SUDESTE</v>
          </cell>
          <cell r="P268" t="str">
            <v>X</v>
          </cell>
          <cell r="X268" t="str">
            <v>01/12/2018 00</v>
          </cell>
          <cell r="Y268" t="str">
            <v>01/01/2019 00</v>
          </cell>
          <cell r="Z268" t="str">
            <v>0,000000</v>
          </cell>
          <cell r="AF268" t="str">
            <v>FLAT</v>
          </cell>
          <cell r="AG268" t="str">
            <v>Inserido Não Validado</v>
          </cell>
        </row>
        <row r="269">
          <cell r="A269">
            <v>1214942</v>
          </cell>
          <cell r="B269" t="str">
            <v>CCEAL</v>
          </cell>
          <cell r="C269" t="str">
            <v>Firme</v>
          </cell>
          <cell r="D269" t="str">
            <v>Energia Incentivada Especial</v>
          </cell>
          <cell r="E269" t="str">
            <v>01/12/2018 00</v>
          </cell>
          <cell r="F269" t="str">
            <v>01/01/2019 00</v>
          </cell>
          <cell r="G269" t="str">
            <v>01/12/2018 00</v>
          </cell>
          <cell r="H269" t="str">
            <v>31/12/2018 23</v>
          </cell>
          <cell r="J269" t="str">
            <v>Validado</v>
          </cell>
          <cell r="M269" t="str">
            <v>VALE ENE I5</v>
          </cell>
          <cell r="N269" t="str">
            <v>QUANTUM ENERGIAS I5</v>
          </cell>
          <cell r="O269" t="str">
            <v>SUDESTE</v>
          </cell>
          <cell r="P269" t="str">
            <v>X</v>
          </cell>
          <cell r="X269" t="str">
            <v>01/12/2018 00</v>
          </cell>
          <cell r="Y269" t="str">
            <v>01/01/2019 00</v>
          </cell>
          <cell r="Z269" t="str">
            <v>10,000000</v>
          </cell>
          <cell r="AF269" t="str">
            <v>FLAT</v>
          </cell>
          <cell r="AG269" t="str">
            <v>Ajustado Não Validado</v>
          </cell>
        </row>
        <row r="270">
          <cell r="A270">
            <v>1214945</v>
          </cell>
          <cell r="B270" t="str">
            <v>CCEAL</v>
          </cell>
          <cell r="C270" t="str">
            <v>Firme</v>
          </cell>
          <cell r="D270" t="str">
            <v>Energia Incentivada Especial</v>
          </cell>
          <cell r="E270" t="str">
            <v>01/12/2018 00</v>
          </cell>
          <cell r="F270" t="str">
            <v>01/01/2019 00</v>
          </cell>
          <cell r="G270" t="str">
            <v>01/12/2018 00</v>
          </cell>
          <cell r="H270" t="str">
            <v>31/12/2018 23</v>
          </cell>
          <cell r="J270" t="str">
            <v>Validado</v>
          </cell>
          <cell r="M270" t="str">
            <v>VALE ENE I5</v>
          </cell>
          <cell r="N270" t="str">
            <v>DELTA ENERG I5</v>
          </cell>
          <cell r="O270" t="str">
            <v>SUDESTE</v>
          </cell>
          <cell r="P270" t="str">
            <v>X</v>
          </cell>
          <cell r="X270" t="str">
            <v>01/12/2018 00</v>
          </cell>
          <cell r="Y270" t="str">
            <v>01/01/2019 00</v>
          </cell>
          <cell r="Z270" t="str">
            <v>0,000000</v>
          </cell>
          <cell r="AF270" t="str">
            <v>FLAT</v>
          </cell>
          <cell r="AG270" t="str">
            <v>Validado</v>
          </cell>
        </row>
        <row r="271">
          <cell r="A271">
            <v>1214947</v>
          </cell>
          <cell r="B271" t="str">
            <v>CCEAL</v>
          </cell>
          <cell r="C271" t="str">
            <v>Firme</v>
          </cell>
          <cell r="D271" t="str">
            <v>Energia Incentivada Especial</v>
          </cell>
          <cell r="E271" t="str">
            <v>01/12/2018 00</v>
          </cell>
          <cell r="F271" t="str">
            <v>01/01/2019 00</v>
          </cell>
          <cell r="G271" t="str">
            <v>01/12/2018 00</v>
          </cell>
          <cell r="H271" t="str">
            <v>31/12/2018 23</v>
          </cell>
          <cell r="J271" t="str">
            <v>Validado</v>
          </cell>
          <cell r="M271" t="str">
            <v>VALE ENE I5</v>
          </cell>
          <cell r="N271" t="str">
            <v>DEAL COMERCIALIZADORA I5</v>
          </cell>
          <cell r="O271" t="str">
            <v>SUDESTE</v>
          </cell>
          <cell r="P271" t="str">
            <v>X</v>
          </cell>
          <cell r="X271" t="str">
            <v>01/12/2018 00</v>
          </cell>
          <cell r="Y271" t="str">
            <v>01/01/2019 00</v>
          </cell>
          <cell r="Z271" t="str">
            <v>10,000000</v>
          </cell>
          <cell r="AF271" t="str">
            <v>FLAT</v>
          </cell>
          <cell r="AG271" t="str">
            <v>Ajustado Não Validado</v>
          </cell>
        </row>
        <row r="272">
          <cell r="A272">
            <v>1214948</v>
          </cell>
          <cell r="B272" t="str">
            <v>CCEAL</v>
          </cell>
          <cell r="C272" t="str">
            <v>Firme</v>
          </cell>
          <cell r="D272" t="str">
            <v>Energia Incentivada Especial</v>
          </cell>
          <cell r="E272" t="str">
            <v>01/12/2018 00</v>
          </cell>
          <cell r="F272" t="str">
            <v>01/01/2019 00</v>
          </cell>
          <cell r="G272" t="str">
            <v>01/12/2018 00</v>
          </cell>
          <cell r="H272" t="str">
            <v>31/12/2018 23</v>
          </cell>
          <cell r="J272" t="str">
            <v>Registrado e Não Validado</v>
          </cell>
          <cell r="M272" t="str">
            <v>VALE ENE I5</v>
          </cell>
          <cell r="N272" t="str">
            <v>WXE I5</v>
          </cell>
          <cell r="O272" t="str">
            <v>SUDESTE</v>
          </cell>
          <cell r="P272" t="str">
            <v>X</v>
          </cell>
          <cell r="X272" t="str">
            <v>01/12/2018 00</v>
          </cell>
          <cell r="Y272" t="str">
            <v>01/01/2019 00</v>
          </cell>
          <cell r="Z272" t="str">
            <v>0,000000</v>
          </cell>
          <cell r="AF272" t="str">
            <v>FLAT</v>
          </cell>
          <cell r="AG272" t="str">
            <v>Inserido Não Validado</v>
          </cell>
        </row>
        <row r="273">
          <cell r="A273">
            <v>1214954</v>
          </cell>
          <cell r="B273" t="str">
            <v>CCEAL</v>
          </cell>
          <cell r="C273" t="str">
            <v>Firme</v>
          </cell>
          <cell r="D273" t="str">
            <v>Energia Incentivada Especial</v>
          </cell>
          <cell r="E273" t="str">
            <v>01/12/2018 00</v>
          </cell>
          <cell r="F273" t="str">
            <v>01/01/2019 00</v>
          </cell>
          <cell r="G273" t="str">
            <v>01/12/2018 00</v>
          </cell>
          <cell r="H273" t="str">
            <v>31/12/2018 23</v>
          </cell>
          <cell r="J273" t="str">
            <v>Validado</v>
          </cell>
          <cell r="M273" t="str">
            <v>VALE ENE I5</v>
          </cell>
          <cell r="N273" t="str">
            <v>RRCOM I5</v>
          </cell>
          <cell r="O273" t="str">
            <v>SUDESTE</v>
          </cell>
          <cell r="P273" t="str">
            <v>X</v>
          </cell>
          <cell r="X273" t="str">
            <v>01/12/2018 00</v>
          </cell>
          <cell r="Y273" t="str">
            <v>01/01/2019 00</v>
          </cell>
          <cell r="Z273" t="str">
            <v>9,700000</v>
          </cell>
          <cell r="AF273" t="str">
            <v>FLAT</v>
          </cell>
          <cell r="AG273" t="str">
            <v>Ajustado Não Validado</v>
          </cell>
        </row>
        <row r="274">
          <cell r="A274">
            <v>1215226</v>
          </cell>
          <cell r="B274" t="str">
            <v>CCEAL</v>
          </cell>
          <cell r="C274" t="str">
            <v>Firme</v>
          </cell>
          <cell r="D274" t="str">
            <v>Energia Incentivada Especial</v>
          </cell>
          <cell r="E274" t="str">
            <v>01/12/2018 00</v>
          </cell>
          <cell r="F274" t="str">
            <v>01/01/2019 00</v>
          </cell>
          <cell r="G274" t="str">
            <v>01/12/2018 00</v>
          </cell>
          <cell r="H274" t="str">
            <v>31/12/2018 23</v>
          </cell>
          <cell r="J274" t="str">
            <v>Validado</v>
          </cell>
          <cell r="M274" t="str">
            <v>VALE ENE I5</v>
          </cell>
          <cell r="N274" t="str">
            <v>COMERC I5</v>
          </cell>
          <cell r="O274" t="str">
            <v>SUDESTE</v>
          </cell>
          <cell r="P274" t="str">
            <v>X</v>
          </cell>
          <cell r="X274" t="str">
            <v>01/12/2018 00</v>
          </cell>
          <cell r="Y274" t="str">
            <v>01/01/2019 00</v>
          </cell>
          <cell r="Z274" t="str">
            <v>5,700000</v>
          </cell>
          <cell r="AF274" t="str">
            <v>FLAT</v>
          </cell>
          <cell r="AG274" t="str">
            <v>Ajustado Não Validado</v>
          </cell>
        </row>
        <row r="275">
          <cell r="A275">
            <v>1217716</v>
          </cell>
          <cell r="B275" t="str">
            <v>CCEAL</v>
          </cell>
          <cell r="C275" t="str">
            <v>Firme</v>
          </cell>
          <cell r="D275" t="str">
            <v>Energia Incentivada Especial</v>
          </cell>
          <cell r="E275" t="str">
            <v>01/12/2018 00</v>
          </cell>
          <cell r="F275" t="str">
            <v>01/01/2019 00</v>
          </cell>
          <cell r="G275" t="str">
            <v>01/12/2018 00</v>
          </cell>
          <cell r="H275" t="str">
            <v>31/12/2018 23</v>
          </cell>
          <cell r="J275" t="str">
            <v>Registrado e Não Validado</v>
          </cell>
          <cell r="M275" t="str">
            <v>DEAL COMERCIALIZADORA I1</v>
          </cell>
          <cell r="N275" t="str">
            <v>MOSAIC FERTILIZANTES PEK</v>
          </cell>
          <cell r="O275" t="str">
            <v>SUDESTE</v>
          </cell>
          <cell r="P275" t="str">
            <v>X</v>
          </cell>
          <cell r="X275" t="str">
            <v>01/12/2018 00</v>
          </cell>
          <cell r="Y275" t="str">
            <v>01/01/2019 00</v>
          </cell>
          <cell r="Z275" t="str">
            <v>0,000000</v>
          </cell>
          <cell r="AF275" t="str">
            <v>FLAT</v>
          </cell>
          <cell r="AG275" t="str">
            <v>Inserido Não Validado</v>
          </cell>
        </row>
        <row r="276">
          <cell r="A276">
            <v>1219557</v>
          </cell>
          <cell r="B276" t="str">
            <v>CCEAL</v>
          </cell>
          <cell r="C276" t="str">
            <v>Firme</v>
          </cell>
          <cell r="D276" t="str">
            <v>Energia Incentivada Especial</v>
          </cell>
          <cell r="E276" t="str">
            <v>01/12/2018 00</v>
          </cell>
          <cell r="F276" t="str">
            <v>01/01/2019 00</v>
          </cell>
          <cell r="G276" t="str">
            <v>01/12/2018 00</v>
          </cell>
          <cell r="H276" t="str">
            <v>31/12/2018 23</v>
          </cell>
          <cell r="J276" t="str">
            <v>Validado</v>
          </cell>
          <cell r="M276" t="str">
            <v>DEAL COMERCIALIZADORA I1</v>
          </cell>
          <cell r="N276" t="str">
            <v>MOSAIC FERTILIZANTES I5</v>
          </cell>
          <cell r="O276" t="str">
            <v>SUDESTE</v>
          </cell>
          <cell r="P276" t="str">
            <v>X</v>
          </cell>
          <cell r="X276" t="str">
            <v>01/12/2018 00</v>
          </cell>
          <cell r="Y276" t="str">
            <v>01/01/2019 00</v>
          </cell>
          <cell r="Z276" t="str">
            <v>0,000000</v>
          </cell>
          <cell r="AF276" t="str">
            <v>FLAT</v>
          </cell>
          <cell r="AG276" t="str">
            <v>Validado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TO_PRAZO_2017"/>
      <sheetName val="LONGO_PRAZO"/>
      <sheetName val="LP_TIMELINE_MWh"/>
      <sheetName val="LP_TIMELINE_R$"/>
      <sheetName val="Série Histórica IGPM preço duke"/>
      <sheetName val="IGPM"/>
      <sheetName val="Lista"/>
      <sheetName val="Série Histórica IPCA"/>
      <sheetName val="Planilha1 (2)"/>
    </sheetNames>
    <sheetDataSet>
      <sheetData sheetId="0" refreshError="1"/>
      <sheetData sheetId="1">
        <row r="4">
          <cell r="AQ4">
            <v>268.25851919471961</v>
          </cell>
        </row>
        <row r="5">
          <cell r="AQ5">
            <v>267.50983374416529</v>
          </cell>
        </row>
        <row r="6">
          <cell r="AQ6">
            <v>267.50983374416529</v>
          </cell>
        </row>
        <row r="7">
          <cell r="AQ7">
            <v>267.50983374416529</v>
          </cell>
        </row>
        <row r="8">
          <cell r="AQ8">
            <v>267.47161805363038</v>
          </cell>
        </row>
        <row r="9">
          <cell r="AQ9">
            <v>267.50983374416529</v>
          </cell>
        </row>
        <row r="10">
          <cell r="AQ10">
            <v>267.50983374416529</v>
          </cell>
        </row>
        <row r="11">
          <cell r="AQ11">
            <v>267.31993245268171</v>
          </cell>
        </row>
        <row r="15">
          <cell r="AQ15">
            <v>224.6</v>
          </cell>
        </row>
        <row r="21">
          <cell r="AQ21">
            <v>267.50983374416529</v>
          </cell>
        </row>
        <row r="22">
          <cell r="AQ22">
            <v>267.50983374416529</v>
          </cell>
        </row>
        <row r="23">
          <cell r="AQ23">
            <v>267.50983374416529</v>
          </cell>
        </row>
        <row r="24">
          <cell r="AQ24">
            <v>267.50983374416529</v>
          </cell>
        </row>
        <row r="25">
          <cell r="AQ25">
            <v>267.50983374416529</v>
          </cell>
        </row>
        <row r="26">
          <cell r="AQ26">
            <v>267.50983374416529</v>
          </cell>
        </row>
        <row r="27">
          <cell r="AQ27">
            <v>267.50983374416529</v>
          </cell>
        </row>
        <row r="28">
          <cell r="AP28">
            <v>160.75</v>
          </cell>
        </row>
        <row r="29">
          <cell r="AQ29">
            <v>160.14889744785506</v>
          </cell>
        </row>
        <row r="30">
          <cell r="AQ30">
            <v>160.14889744785506</v>
          </cell>
        </row>
        <row r="31">
          <cell r="AQ31">
            <v>160.14889744785506</v>
          </cell>
        </row>
        <row r="32">
          <cell r="AQ32">
            <v>160.14889744785506</v>
          </cell>
        </row>
        <row r="33">
          <cell r="AQ33">
            <v>160.14889744785506</v>
          </cell>
        </row>
        <row r="34">
          <cell r="AQ34">
            <v>160.14889744785506</v>
          </cell>
        </row>
        <row r="35">
          <cell r="AQ35">
            <v>160.14889744785506</v>
          </cell>
        </row>
        <row r="43">
          <cell r="AP43">
            <v>212.67</v>
          </cell>
        </row>
        <row r="58">
          <cell r="AQ58">
            <v>184.06291811706444</v>
          </cell>
        </row>
        <row r="60">
          <cell r="AQ60">
            <v>166.01893451852104</v>
          </cell>
        </row>
        <row r="61">
          <cell r="AP61">
            <v>201.73</v>
          </cell>
        </row>
        <row r="73">
          <cell r="AP73">
            <v>145.28</v>
          </cell>
        </row>
        <row r="89">
          <cell r="AQ89">
            <v>177.61002848961675</v>
          </cell>
        </row>
        <row r="90">
          <cell r="AQ90">
            <v>197.96457790981177</v>
          </cell>
        </row>
        <row r="91">
          <cell r="AQ91">
            <v>174.27200874507366</v>
          </cell>
        </row>
        <row r="92">
          <cell r="AQ92">
            <v>218.9757981759233</v>
          </cell>
        </row>
        <row r="102">
          <cell r="AQ102">
            <v>210.70959387129639</v>
          </cell>
        </row>
        <row r="106">
          <cell r="M106">
            <v>1182243</v>
          </cell>
        </row>
        <row r="108">
          <cell r="M108">
            <v>1182244</v>
          </cell>
        </row>
        <row r="110">
          <cell r="M110">
            <v>1182245</v>
          </cell>
        </row>
        <row r="112">
          <cell r="M112">
            <v>1182246</v>
          </cell>
        </row>
        <row r="114">
          <cell r="M114">
            <v>1182247</v>
          </cell>
        </row>
        <row r="118">
          <cell r="AQ118">
            <v>199</v>
          </cell>
        </row>
        <row r="119">
          <cell r="AM119">
            <v>200</v>
          </cell>
        </row>
        <row r="120">
          <cell r="AQ120">
            <v>200</v>
          </cell>
        </row>
        <row r="122">
          <cell r="M122">
            <v>1196348</v>
          </cell>
        </row>
        <row r="124">
          <cell r="M124">
            <v>1196349</v>
          </cell>
        </row>
        <row r="126">
          <cell r="M126">
            <v>1196350</v>
          </cell>
        </row>
        <row r="128">
          <cell r="M128">
            <v>1196351</v>
          </cell>
        </row>
        <row r="130">
          <cell r="M130">
            <v>1196352</v>
          </cell>
        </row>
        <row r="137">
          <cell r="M137">
            <v>1197054</v>
          </cell>
        </row>
        <row r="139">
          <cell r="M139">
            <v>1197055</v>
          </cell>
        </row>
        <row r="141">
          <cell r="M141">
            <v>1197056</v>
          </cell>
        </row>
      </sheetData>
      <sheetData sheetId="2">
        <row r="4">
          <cell r="AY4">
            <v>1443.36</v>
          </cell>
        </row>
        <row r="5">
          <cell r="AY5">
            <v>10977.720000000001</v>
          </cell>
        </row>
        <row r="6">
          <cell r="AY6">
            <v>6277.8720000000003</v>
          </cell>
        </row>
        <row r="7">
          <cell r="AY7">
            <v>3095.04</v>
          </cell>
        </row>
        <row r="8">
          <cell r="AY8">
            <v>8131.92</v>
          </cell>
        </row>
        <row r="9">
          <cell r="AY9">
            <v>4791.3600000000006</v>
          </cell>
        </row>
        <row r="10">
          <cell r="AY10">
            <v>3562.2720000000004</v>
          </cell>
        </row>
        <row r="11">
          <cell r="AY11">
            <v>14136</v>
          </cell>
        </row>
        <row r="12">
          <cell r="AY12">
            <v>89280</v>
          </cell>
        </row>
        <row r="15">
          <cell r="AY15">
            <v>56544</v>
          </cell>
        </row>
        <row r="21">
          <cell r="AY21">
            <v>1465.68</v>
          </cell>
        </row>
        <row r="22">
          <cell r="AY22">
            <v>2514.7199999999998</v>
          </cell>
        </row>
        <row r="23">
          <cell r="AY23">
            <v>1242.48</v>
          </cell>
        </row>
        <row r="24">
          <cell r="AY24">
            <v>1220.1599999999999</v>
          </cell>
        </row>
        <row r="25">
          <cell r="AY25">
            <v>4218.4799999999996</v>
          </cell>
        </row>
        <row r="26">
          <cell r="AY26">
            <v>1383.8400000000001</v>
          </cell>
        </row>
        <row r="27">
          <cell r="AY27">
            <v>1473.12</v>
          </cell>
        </row>
        <row r="28">
          <cell r="AY28">
            <v>260163.03599999996</v>
          </cell>
        </row>
        <row r="29">
          <cell r="AY29">
            <v>11386.188062715668</v>
          </cell>
        </row>
        <row r="30">
          <cell r="AY30">
            <v>20020.612584418708</v>
          </cell>
        </row>
        <row r="31">
          <cell r="AY31">
            <v>28481.094446800613</v>
          </cell>
        </row>
        <row r="32">
          <cell r="AY32">
            <v>32288.081783035468</v>
          </cell>
        </row>
        <row r="33">
          <cell r="AY33">
            <v>58194.111065014971</v>
          </cell>
        </row>
        <row r="34">
          <cell r="AY34">
            <v>50073.578326378461</v>
          </cell>
        </row>
        <row r="35">
          <cell r="AY35">
            <v>53378.468933975921</v>
          </cell>
        </row>
        <row r="43">
          <cell r="AX43">
            <v>2232</v>
          </cell>
        </row>
        <row r="60">
          <cell r="AY60">
            <v>14880</v>
          </cell>
        </row>
        <row r="61">
          <cell r="AX61">
            <v>14880</v>
          </cell>
        </row>
        <row r="68">
          <cell r="AY68">
            <v>7960.7999999999993</v>
          </cell>
        </row>
        <row r="89">
          <cell r="AY89">
            <v>76334.399999999994</v>
          </cell>
        </row>
        <row r="90">
          <cell r="AY90">
            <v>14880</v>
          </cell>
        </row>
        <row r="91">
          <cell r="AY91">
            <v>22543.200000000001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sas"/>
      <sheetName val="Balanço"/>
      <sheetName val="Custo Fixo"/>
      <sheetName val="Custo Médio Vale"/>
      <sheetName val="Unidade"/>
      <sheetName val="Custo Médio Vale Energia"/>
      <sheetName val="Custo Médio Representadas"/>
      <sheetName val="Consumo Total"/>
      <sheetName val="Vale e Representadas"/>
      <sheetName val="Vale"/>
      <sheetName val="DIFS"/>
      <sheetName val="Água Limpa"/>
      <sheetName val="Brucutu"/>
      <sheetName val="Conexão Itabira 4"/>
      <sheetName val="Conexão Itabira 2"/>
      <sheetName val="Alegria"/>
      <sheetName val="Fábrica Nova"/>
      <sheetName val="Gongo Soco"/>
      <sheetName val="Timbopeba"/>
      <sheetName val="Apolo"/>
      <sheetName val="DIFL"/>
      <sheetName val="Pico"/>
      <sheetName val="VGR DIFL 1"/>
      <sheetName val="VGR DIFL 2"/>
      <sheetName val="Córrego do Feijão"/>
      <sheetName val="Fábrica DIFL"/>
      <sheetName val="Tamanduá"/>
      <sheetName val="Jangada"/>
      <sheetName val="DIFN"/>
      <sheetName val="Carajás"/>
      <sheetName val="Serra Leste"/>
      <sheetName val="S11D"/>
      <sheetName val="S11D (Opex)"/>
      <sheetName val="S11D (Capex)"/>
      <sheetName val="DIPE"/>
      <sheetName val="Pelotização Sul (US 1 e 2)"/>
      <sheetName val="Itabrasco (US 3)"/>
      <sheetName val="Hispanobras (US 4)"/>
      <sheetName val="Utilidades Portuárias"/>
      <sheetName val="Utilidades SER 1"/>
      <sheetName val="Nibrasco (US 5 e 6)"/>
      <sheetName val="Kobrasco (US 7)"/>
      <sheetName val="Utilidades SER 2"/>
      <sheetName val="Usina 8"/>
      <sheetName val="VGR DIPE"/>
      <sheetName val="Fábrica DIPE"/>
      <sheetName val="São Luís"/>
      <sheetName val="DIPS"/>
      <sheetName val="TIG"/>
      <sheetName val="CPBS"/>
      <sheetName val="DIPN"/>
      <sheetName val="Porto São Luís"/>
      <sheetName val="DIOP"/>
      <sheetName val="Terminal Minério"/>
      <sheetName val="Terminal Carga Geral"/>
      <sheetName val="ADM"/>
      <sheetName val="CDM"/>
      <sheetName val="MAC"/>
      <sheetName val="DIMB"/>
      <sheetName val="Onça Puma"/>
      <sheetName val="Sossego"/>
      <sheetName val="Salobo"/>
      <sheetName val="Cristalino"/>
      <sheetName val="FELI"/>
      <sheetName val="RDM Bahia"/>
      <sheetName val="RDM Ouro Preto"/>
      <sheetName val="RDM Barbacena"/>
      <sheetName val="MCR"/>
      <sheetName val="MCR Urucum"/>
      <sheetName val="MCR PGC"/>
      <sheetName val="MCR Santa Cruz"/>
      <sheetName val="FERT"/>
      <sheetName val="Cubatão CCB"/>
      <sheetName val="Cubatão Piaçaguera CPG"/>
      <sheetName val="Cubatão CUB"/>
      <sheetName val="Mosaic"/>
      <sheetName val="FERT (Mosaic)"/>
      <sheetName val="Araxá CMA"/>
      <sheetName val="Uberaba CIU"/>
      <sheetName val="Tapira CMT"/>
      <sheetName val="Cajati"/>
      <sheetName val="Catalão CMC"/>
      <sheetName val="Projeto Patrocínio CMP"/>
      <sheetName val="Potássio"/>
      <sheetName val="Projeto Bombeamento CIU"/>
      <sheetName val="Vale e Representadas c Fert."/>
      <sheetName val="Tarifas Distribribuição"/>
      <sheetName val="Tarifas Transmissão"/>
      <sheetName val="ICMS Total Energia"/>
      <sheetName val="Encargos CCEE"/>
      <sheetName val="Contratos"/>
      <sheetName val="Contratos_Curto Prazo (Venda)"/>
      <sheetName val="Contratos_Curto Prazo (Compra)"/>
      <sheetName val="Geração"/>
      <sheetName val="Sazonalização"/>
      <sheetName val="APE"/>
      <sheetName val="GPAS Aloc"/>
      <sheetName val="APE Alocada"/>
      <sheetName val="Proinfa (CCEE)"/>
      <sheetName val="Proinfa"/>
      <sheetName val="Encargo Conexão"/>
      <sheetName val="Representação"/>
      <sheetName val="Consumo (Entrada de Dados)"/>
      <sheetName val="Demanda Registrada"/>
      <sheetName val="Consumo Total (Repasse)"/>
      <sheetName val="Ultrapassagem Demanda"/>
      <sheetName val="Dados"/>
      <sheetName val="Nomes_Guias"/>
      <sheetName val="Responsáveis"/>
      <sheetName val="SELEÇÃO"/>
      <sheetName val="SECO"/>
      <sheetName val="NE"/>
      <sheetName val="N"/>
      <sheetName val="GSF_PRO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>
        <row r="57">
          <cell r="L57">
            <v>233.07075644370261</v>
          </cell>
        </row>
        <row r="58">
          <cell r="L58">
            <v>189.17270530879418</v>
          </cell>
        </row>
        <row r="59">
          <cell r="L59">
            <v>256.92839293006585</v>
          </cell>
        </row>
        <row r="60">
          <cell r="L60">
            <v>245.02500000000001</v>
          </cell>
        </row>
        <row r="61">
          <cell r="L61">
            <v>235.95</v>
          </cell>
        </row>
        <row r="64">
          <cell r="L64">
            <v>218.79825</v>
          </cell>
        </row>
        <row r="65">
          <cell r="L65">
            <v>218.25375</v>
          </cell>
        </row>
        <row r="66">
          <cell r="L66">
            <v>217.84537499999999</v>
          </cell>
        </row>
        <row r="67">
          <cell r="L67">
            <v>219.61499999999998</v>
          </cell>
        </row>
        <row r="68">
          <cell r="L68">
            <v>217.87260000000001</v>
          </cell>
        </row>
        <row r="69">
          <cell r="L69">
            <v>212.146275</v>
          </cell>
        </row>
        <row r="70">
          <cell r="L70">
            <v>210.08625000000001</v>
          </cell>
        </row>
        <row r="71">
          <cell r="L71">
            <v>218.79825</v>
          </cell>
        </row>
      </sheetData>
      <sheetData sheetId="92">
        <row r="39">
          <cell r="L39">
            <v>131.58750000000001</v>
          </cell>
        </row>
        <row r="40">
          <cell r="L40">
            <v>118.88249999999999</v>
          </cell>
        </row>
        <row r="41">
          <cell r="L41">
            <v>120.24374999999999</v>
          </cell>
        </row>
        <row r="42">
          <cell r="L42">
            <v>120.69749999999999</v>
          </cell>
        </row>
        <row r="43">
          <cell r="L43">
            <v>120.85177499999999</v>
          </cell>
        </row>
        <row r="44">
          <cell r="L44">
            <v>137.48624999999998</v>
          </cell>
        </row>
        <row r="45">
          <cell r="L45">
            <v>137.0325</v>
          </cell>
        </row>
        <row r="46">
          <cell r="L46">
            <v>136.94175000000001</v>
          </cell>
        </row>
        <row r="47">
          <cell r="L47">
            <v>125.68875</v>
          </cell>
        </row>
        <row r="48">
          <cell r="L48">
            <v>109.181325</v>
          </cell>
        </row>
        <row r="49">
          <cell r="L49">
            <v>109.62599999999999</v>
          </cell>
        </row>
        <row r="50">
          <cell r="L50">
            <v>108.854625</v>
          </cell>
        </row>
        <row r="51">
          <cell r="L51">
            <v>108.854625</v>
          </cell>
        </row>
        <row r="52">
          <cell r="L52">
            <v>108.44624999999999</v>
          </cell>
        </row>
        <row r="53">
          <cell r="L53">
            <v>108.44624999999999</v>
          </cell>
        </row>
        <row r="54">
          <cell r="L54">
            <v>108.44624999999999</v>
          </cell>
        </row>
        <row r="55">
          <cell r="L55">
            <v>107.17574999999999</v>
          </cell>
        </row>
        <row r="56">
          <cell r="L56">
            <v>107.17574999999999</v>
          </cell>
        </row>
        <row r="57">
          <cell r="L57">
            <v>107.17574999999999</v>
          </cell>
        </row>
        <row r="58">
          <cell r="L58">
            <v>104.34435000000001</v>
          </cell>
        </row>
        <row r="59">
          <cell r="L59">
            <v>104.34435000000001</v>
          </cell>
        </row>
        <row r="60">
          <cell r="L60">
            <v>104.34435000000001</v>
          </cell>
        </row>
        <row r="61">
          <cell r="L61">
            <v>104.34435000000001</v>
          </cell>
        </row>
        <row r="62">
          <cell r="L62">
            <v>104.37157500000001</v>
          </cell>
        </row>
        <row r="63">
          <cell r="L63">
            <v>104.37157500000001</v>
          </cell>
        </row>
        <row r="64">
          <cell r="L64">
            <v>104.37157500000001</v>
          </cell>
        </row>
        <row r="65">
          <cell r="L65">
            <v>104.37157500000001</v>
          </cell>
        </row>
        <row r="66">
          <cell r="L66">
            <v>104.37157500000001</v>
          </cell>
        </row>
        <row r="67">
          <cell r="L67">
            <v>72.599999999999994</v>
          </cell>
        </row>
        <row r="68">
          <cell r="L68">
            <v>74.868749999999991</v>
          </cell>
        </row>
        <row r="122">
          <cell r="L122">
            <v>183.52028066433274</v>
          </cell>
        </row>
        <row r="123">
          <cell r="L123">
            <v>137.64021049824956</v>
          </cell>
        </row>
        <row r="124">
          <cell r="L124">
            <v>205.54271434405268</v>
          </cell>
        </row>
        <row r="125">
          <cell r="L125">
            <v>190.57499999999999</v>
          </cell>
        </row>
        <row r="126">
          <cell r="L126">
            <v>181.5</v>
          </cell>
        </row>
        <row r="127">
          <cell r="L127">
            <v>172.42499999999998</v>
          </cell>
        </row>
        <row r="128">
          <cell r="L128">
            <v>172.42499999999998</v>
          </cell>
        </row>
        <row r="129">
          <cell r="L129">
            <v>172.42499999999998</v>
          </cell>
        </row>
        <row r="130">
          <cell r="L130">
            <v>172.42499999999998</v>
          </cell>
        </row>
        <row r="131">
          <cell r="L131">
            <v>172.42499999999998</v>
          </cell>
        </row>
        <row r="132">
          <cell r="L132">
            <v>163.35</v>
          </cell>
        </row>
        <row r="133">
          <cell r="L133">
            <v>163.35</v>
          </cell>
        </row>
        <row r="134">
          <cell r="L134">
            <v>172.42499999999998</v>
          </cell>
        </row>
        <row r="135">
          <cell r="L135">
            <v>149.73749999999998</v>
          </cell>
        </row>
        <row r="136">
          <cell r="L136">
            <v>147.01499999999999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SCDE"/>
      <sheetName val="CSP"/>
      <sheetName val="CCEE"/>
      <sheetName val="BD_SCDE - TIG (HP e HFP)"/>
      <sheetName val="BD_SCDE - RDM Bahia (HP e HFP)"/>
      <sheetName val="BD_SCDE - RDM BAR (HP e HFP)"/>
      <sheetName val="BD_SCDE - RDM OP (HP e HFP)"/>
      <sheetName val="BD_SGME"/>
      <sheetName val="Vale"/>
      <sheetName val="Comparação"/>
      <sheetName val="Compilação"/>
      <sheetName val="Consolid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G2">
            <v>2254.7359166666647</v>
          </cell>
        </row>
        <row r="3">
          <cell r="G3">
            <v>4848.46297687285</v>
          </cell>
        </row>
        <row r="4">
          <cell r="G4">
            <v>11007.495268831624</v>
          </cell>
        </row>
        <row r="5">
          <cell r="G5">
            <v>5072.2151177663209</v>
          </cell>
        </row>
        <row r="6">
          <cell r="G6">
            <v>46233.374725944981</v>
          </cell>
        </row>
        <row r="7">
          <cell r="G7">
            <v>337.7225713402068</v>
          </cell>
        </row>
        <row r="8">
          <cell r="G8">
            <v>66667.947817525768</v>
          </cell>
        </row>
        <row r="9">
          <cell r="G9">
            <v>67765.18814515468</v>
          </cell>
        </row>
        <row r="10">
          <cell r="G10">
            <v>176.15496104279239</v>
          </cell>
        </row>
        <row r="11">
          <cell r="G11">
            <v>1588.4779670103098</v>
          </cell>
        </row>
        <row r="12">
          <cell r="G12">
            <v>6890.872674501682</v>
          </cell>
        </row>
        <row r="13">
          <cell r="G13">
            <v>17332.505154639173</v>
          </cell>
        </row>
        <row r="14">
          <cell r="G14">
            <v>283.62727518900368</v>
          </cell>
        </row>
        <row r="15">
          <cell r="G15">
            <v>396.20619340206184</v>
          </cell>
        </row>
        <row r="16">
          <cell r="G16">
            <v>9734.8036478350568</v>
          </cell>
        </row>
        <row r="20">
          <cell r="G20">
            <v>11005.95195404183</v>
          </cell>
        </row>
        <row r="21">
          <cell r="G21">
            <v>7428.6074481987253</v>
          </cell>
        </row>
        <row r="22">
          <cell r="G22">
            <v>20278.612628521179</v>
          </cell>
        </row>
        <row r="23">
          <cell r="G23">
            <v>33368.541398482281</v>
          </cell>
        </row>
        <row r="24">
          <cell r="G24">
            <v>92.33232854603628</v>
          </cell>
        </row>
        <row r="25">
          <cell r="G25">
            <v>793.8746480981157</v>
          </cell>
        </row>
        <row r="26">
          <cell r="G26">
            <v>548.15936132243132</v>
          </cell>
        </row>
        <row r="28">
          <cell r="G28">
            <v>28311.249703916314</v>
          </cell>
        </row>
        <row r="29">
          <cell r="G29">
            <v>8923.2970783960081</v>
          </cell>
        </row>
        <row r="30">
          <cell r="G30">
            <v>17933.493259595933</v>
          </cell>
        </row>
        <row r="31">
          <cell r="G31">
            <v>3049.0774121557156</v>
          </cell>
        </row>
        <row r="33">
          <cell r="G33">
            <v>44518.145673019433</v>
          </cell>
        </row>
        <row r="34">
          <cell r="G34">
            <v>21244.186535895598</v>
          </cell>
        </row>
        <row r="35">
          <cell r="G35">
            <v>4792.4102137653254</v>
          </cell>
        </row>
        <row r="37">
          <cell r="G37">
            <v>31327.498061855651</v>
          </cell>
        </row>
        <row r="38">
          <cell r="G38">
            <v>3054.5730201628498</v>
          </cell>
        </row>
        <row r="39">
          <cell r="G39">
            <v>10455.646762886599</v>
          </cell>
        </row>
        <row r="40">
          <cell r="G40">
            <v>4405.1060721649501</v>
          </cell>
        </row>
        <row r="41">
          <cell r="G41">
            <v>2447.9300206185535</v>
          </cell>
        </row>
        <row r="42">
          <cell r="G42">
            <v>3784.7808200901709</v>
          </cell>
        </row>
        <row r="43">
          <cell r="G43">
            <v>29171.398192336783</v>
          </cell>
        </row>
        <row r="44">
          <cell r="G44">
            <v>16312.616642130582</v>
          </cell>
        </row>
        <row r="45">
          <cell r="G45">
            <v>39933.697600790336</v>
          </cell>
        </row>
        <row r="46">
          <cell r="G46">
            <v>23846.257218247436</v>
          </cell>
        </row>
        <row r="47">
          <cell r="G47">
            <v>85727.355312061816</v>
          </cell>
        </row>
        <row r="48">
          <cell r="G48">
            <v>35372.926533883205</v>
          </cell>
        </row>
        <row r="49">
          <cell r="G49">
            <v>78262.053178109927</v>
          </cell>
        </row>
        <row r="50">
          <cell r="C50">
            <v>221.74883936666669</v>
          </cell>
          <cell r="D50">
            <v>36604.353343733346</v>
          </cell>
          <cell r="G50">
            <v>37930.885248593011</v>
          </cell>
        </row>
        <row r="51">
          <cell r="G51">
            <v>21971.933994226805</v>
          </cell>
        </row>
        <row r="52">
          <cell r="G52">
            <v>5161.4751861511977</v>
          </cell>
        </row>
        <row r="53">
          <cell r="G53">
            <v>13386.07237131176</v>
          </cell>
        </row>
        <row r="55">
          <cell r="F55">
            <v>0.03</v>
          </cell>
          <cell r="G55">
            <v>9707.5443718805491</v>
          </cell>
        </row>
        <row r="56">
          <cell r="G56">
            <v>8503.2766822253816</v>
          </cell>
        </row>
        <row r="57">
          <cell r="F57">
            <v>0.03</v>
          </cell>
          <cell r="G57">
            <v>10535.3160928546</v>
          </cell>
        </row>
        <row r="58">
          <cell r="F58">
            <v>0.03</v>
          </cell>
          <cell r="G58">
            <v>5387.3628041237171</v>
          </cell>
        </row>
        <row r="59">
          <cell r="F59">
            <v>0.03</v>
          </cell>
          <cell r="G59">
            <v>15845.006261030916</v>
          </cell>
        </row>
        <row r="60">
          <cell r="G60">
            <v>3480.0690366157132</v>
          </cell>
        </row>
        <row r="61">
          <cell r="G61">
            <v>46.228904467353942</v>
          </cell>
        </row>
        <row r="62">
          <cell r="G62">
            <v>59.141372413793093</v>
          </cell>
        </row>
        <row r="63">
          <cell r="F63">
            <v>0.03</v>
          </cell>
          <cell r="G63">
            <v>24622.094162815512</v>
          </cell>
        </row>
        <row r="64">
          <cell r="F64">
            <v>0.03</v>
          </cell>
          <cell r="G64">
            <v>14832.905567010313</v>
          </cell>
        </row>
        <row r="65">
          <cell r="G65">
            <v>2506.0144329896921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resentadas"/>
      <sheetName val="unid. vale"/>
      <sheetName val="2019"/>
      <sheetName val="Planilha2"/>
    </sheetNames>
    <sheetDataSet>
      <sheetData sheetId="0"/>
      <sheetData sheetId="1"/>
      <sheetData sheetId="2">
        <row r="2">
          <cell r="A2" t="str">
            <v>Unidade</v>
          </cell>
        </row>
        <row r="3">
          <cell r="F3">
            <v>127.366</v>
          </cell>
        </row>
        <row r="4">
          <cell r="F4">
            <v>116.32899999999999</v>
          </cell>
        </row>
        <row r="5">
          <cell r="F5">
            <v>25.646999999999998</v>
          </cell>
        </row>
        <row r="6">
          <cell r="F6">
            <v>794.83100000000002</v>
          </cell>
        </row>
        <row r="7">
          <cell r="F7">
            <v>39.67</v>
          </cell>
        </row>
        <row r="8">
          <cell r="F8">
            <v>778.827</v>
          </cell>
        </row>
        <row r="9">
          <cell r="F9">
            <v>681.64</v>
          </cell>
        </row>
        <row r="10">
          <cell r="F10">
            <v>110.298</v>
          </cell>
        </row>
        <row r="11">
          <cell r="F11">
            <v>444.24900000000002</v>
          </cell>
        </row>
        <row r="12">
          <cell r="F12">
            <v>423.87299999999999</v>
          </cell>
        </row>
        <row r="13">
          <cell r="F13">
            <v>1979.6179999999999</v>
          </cell>
        </row>
        <row r="14">
          <cell r="F14">
            <v>1432.36</v>
          </cell>
        </row>
        <row r="15">
          <cell r="F15">
            <v>55.343000000000004</v>
          </cell>
        </row>
        <row r="16">
          <cell r="F16">
            <v>248.99199999999999</v>
          </cell>
        </row>
        <row r="17">
          <cell r="F17">
            <v>199.81800000000001</v>
          </cell>
        </row>
        <row r="18">
          <cell r="F18">
            <v>2.4510000000000001</v>
          </cell>
        </row>
        <row r="19">
          <cell r="F19">
            <v>45.36</v>
          </cell>
        </row>
        <row r="20">
          <cell r="F20">
            <v>4.0990000000000002</v>
          </cell>
        </row>
        <row r="21">
          <cell r="F21">
            <v>21.87</v>
          </cell>
        </row>
        <row r="22">
          <cell r="F22">
            <v>413.16800000000001</v>
          </cell>
        </row>
        <row r="23">
          <cell r="F23">
            <v>34.72</v>
          </cell>
        </row>
        <row r="24">
          <cell r="F24">
            <v>17.754000000000001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155.11699999999999</v>
          </cell>
        </row>
        <row r="28">
          <cell r="F28">
            <v>353.50099999999998</v>
          </cell>
        </row>
        <row r="29">
          <cell r="F29">
            <v>30.512</v>
          </cell>
        </row>
        <row r="30">
          <cell r="F30">
            <v>1.655</v>
          </cell>
        </row>
        <row r="31">
          <cell r="F31">
            <v>2.2530000000000001</v>
          </cell>
        </row>
        <row r="32">
          <cell r="F32">
            <v>7.5940000000000003</v>
          </cell>
        </row>
        <row r="33">
          <cell r="F33">
            <v>50.860999999999997</v>
          </cell>
        </row>
        <row r="34">
          <cell r="F34">
            <v>18.515999999999998</v>
          </cell>
        </row>
        <row r="35">
          <cell r="F35">
            <v>2.9929999999999999</v>
          </cell>
        </row>
        <row r="36">
          <cell r="F36">
            <v>13.156000000000001</v>
          </cell>
        </row>
        <row r="37">
          <cell r="F37">
            <v>354.529</v>
          </cell>
        </row>
        <row r="38">
          <cell r="F38">
            <v>108.47799999999999</v>
          </cell>
        </row>
        <row r="39">
          <cell r="F39">
            <v>271.92700000000002</v>
          </cell>
        </row>
        <row r="40">
          <cell r="F40">
            <v>312.06400000000002</v>
          </cell>
        </row>
        <row r="41">
          <cell r="F41">
            <v>195.23599999999999</v>
          </cell>
        </row>
        <row r="42">
          <cell r="F42">
            <v>58.878</v>
          </cell>
        </row>
        <row r="43">
          <cell r="F43">
            <v>596.89800000000002</v>
          </cell>
        </row>
        <row r="44">
          <cell r="F44">
            <v>398.41199999999998</v>
          </cell>
        </row>
        <row r="45">
          <cell r="F45">
            <v>277.52199999999999</v>
          </cell>
        </row>
        <row r="46">
          <cell r="F46">
            <v>1.218</v>
          </cell>
        </row>
      </sheetData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 Médio Vale"/>
      <sheetName val="Unidade"/>
      <sheetName val="Custo Médio Vale Energia"/>
      <sheetName val="Custo Médio Representadas"/>
      <sheetName val="Consumo Total"/>
      <sheetName val="Premissas"/>
      <sheetName val="Vale e Representadas"/>
      <sheetName val="Vale e Representadas (sem Fert)"/>
      <sheetName val="Vale"/>
      <sheetName val="DIFS"/>
      <sheetName val="Água Limpa"/>
      <sheetName val="Brucutu"/>
      <sheetName val="Conexão Itabira 4"/>
      <sheetName val="Conexão Itabira 2"/>
      <sheetName val="Alegria"/>
      <sheetName val="Fábrica Nova"/>
      <sheetName val="Gongo Soco"/>
      <sheetName val="Timbopeba"/>
      <sheetName val="DIFL"/>
      <sheetName val="Pico"/>
      <sheetName val="VGR DIFL 1"/>
      <sheetName val="VGR DIFL 2"/>
      <sheetName val="Córrego do Feijão"/>
      <sheetName val="Fábrica DIFL"/>
      <sheetName val="Tamanduá"/>
      <sheetName val="Jangada"/>
      <sheetName val="DIFN"/>
      <sheetName val="Carajás"/>
      <sheetName val="S11D"/>
      <sheetName val="S11D (Opex)"/>
      <sheetName val="S11D (Capex)"/>
      <sheetName val="DIPE"/>
      <sheetName val="Pelotização Sul (US 1 e 2)"/>
      <sheetName val="Itabrasco (US 3)"/>
      <sheetName val="Hispanobras (US 4)"/>
      <sheetName val="Utilidades Portuárias"/>
      <sheetName val="Utilidades SER 1"/>
      <sheetName val="Nibrasco (US 5 e 6)"/>
      <sheetName val="Kobrasco (US 7)"/>
      <sheetName val="Utilidades SER 2"/>
      <sheetName val="Usina 8"/>
      <sheetName val="VGR DIPE"/>
      <sheetName val="Fábrica DIPE"/>
      <sheetName val="São Luís"/>
      <sheetName val="DIPS"/>
      <sheetName val="TIG"/>
      <sheetName val="CPBS"/>
      <sheetName val="DIPN"/>
      <sheetName val="Porto São Luís"/>
      <sheetName val="DIOP"/>
      <sheetName val="Terminal Minério"/>
      <sheetName val="Terminal Carga Geral"/>
      <sheetName val="ADM"/>
      <sheetName val="CDM"/>
      <sheetName val="MAC"/>
      <sheetName val="DIMB"/>
      <sheetName val="Onça Puma"/>
      <sheetName val="Sossego"/>
      <sheetName val="Salobo"/>
      <sheetName val="FERT"/>
      <sheetName val="Cubatão CCB"/>
      <sheetName val="Cubatão Piaçaguera CPG"/>
      <sheetName val="Cubatão CUB"/>
      <sheetName val="Mosaic"/>
      <sheetName val="FERT (Mosaic)"/>
      <sheetName val="Araxá CMA"/>
      <sheetName val="Uberaba CIU"/>
      <sheetName val="Tapira CMT"/>
      <sheetName val="Cajati"/>
      <sheetName val="Catalão CMC"/>
      <sheetName val="Projeto Patrocínio CMP"/>
      <sheetName val="Potássio"/>
      <sheetName val="Projeto Bombeamento CIU"/>
      <sheetName val="FELI"/>
      <sheetName val="RDM Bahia"/>
      <sheetName val="RDM Ouro Preto"/>
      <sheetName val="RDM Barbacena"/>
      <sheetName val="MCR"/>
      <sheetName val="MCR Urucum"/>
      <sheetName val="MCR PGC"/>
      <sheetName val="MCR Santa Cruz"/>
      <sheetName val="Tarifas Distribribuição"/>
      <sheetName val="Tarifas Transmissão"/>
      <sheetName val="Encargos CCEE"/>
      <sheetName val="Contratos"/>
      <sheetName val="Contratos_Curto Prazo (Venda)"/>
      <sheetName val="Contratos_Curto Prazo (Compra)"/>
      <sheetName val="Geração"/>
      <sheetName val="APE"/>
      <sheetName val="GPAS Aloc"/>
      <sheetName val="APE Alocada"/>
      <sheetName val="Proinfa (CCEE)"/>
      <sheetName val="Proinfa"/>
      <sheetName val="Encargo Conexão"/>
      <sheetName val="Representação"/>
      <sheetName val="Consumo (Entrada de Dados)"/>
      <sheetName val="Demanda Registrada"/>
      <sheetName val="Consumo Total (Repasse)"/>
      <sheetName val="Ultrapassagem Demanda"/>
      <sheetName val="Dados"/>
      <sheetName val="Nomes_Guias"/>
      <sheetName val="Responsáveis"/>
      <sheetName val="Custo Médio Vale (Repasse)"/>
      <sheetName val="Unidade Fert e RDM"/>
    </sheetNames>
    <sheetDataSet>
      <sheetData sheetId="0" refreshError="1"/>
      <sheetData sheetId="1" refreshError="1"/>
      <sheetData sheetId="2">
        <row r="4">
          <cell r="V4">
            <v>56544</v>
          </cell>
        </row>
      </sheetData>
      <sheetData sheetId="3" refreshError="1"/>
      <sheetData sheetId="4" refreshError="1"/>
      <sheetData sheetId="5" refreshError="1">
        <row r="3">
          <cell r="X3">
            <v>66</v>
          </cell>
        </row>
        <row r="4">
          <cell r="X4">
            <v>678</v>
          </cell>
        </row>
      </sheetData>
      <sheetData sheetId="6" refreshError="1"/>
      <sheetData sheetId="7"/>
      <sheetData sheetId="8" refreshError="1"/>
      <sheetData sheetId="9" refreshError="1"/>
      <sheetData sheetId="10">
        <row r="4">
          <cell r="AF4">
            <v>8621.999600000001</v>
          </cell>
        </row>
      </sheetData>
      <sheetData sheetId="11">
        <row r="4">
          <cell r="AF4">
            <v>71700</v>
          </cell>
        </row>
      </sheetData>
      <sheetData sheetId="12">
        <row r="4">
          <cell r="AF4">
            <v>104000</v>
          </cell>
        </row>
      </sheetData>
      <sheetData sheetId="13">
        <row r="4">
          <cell r="AF4">
            <v>110200</v>
          </cell>
        </row>
      </sheetData>
      <sheetData sheetId="14">
        <row r="4">
          <cell r="AF4">
            <v>4500</v>
          </cell>
        </row>
      </sheetData>
      <sheetData sheetId="15">
        <row r="4">
          <cell r="AF4">
            <v>9300</v>
          </cell>
        </row>
      </sheetData>
      <sheetData sheetId="16">
        <row r="4">
          <cell r="AF4"/>
        </row>
      </sheetData>
      <sheetData sheetId="17">
        <row r="4">
          <cell r="AF4">
            <v>20000</v>
          </cell>
        </row>
      </sheetData>
      <sheetData sheetId="18" refreshError="1"/>
      <sheetData sheetId="19">
        <row r="4">
          <cell r="AF4">
            <v>54551.724137931051</v>
          </cell>
        </row>
      </sheetData>
      <sheetData sheetId="20">
        <row r="4">
          <cell r="AF4">
            <v>34289.65517241379</v>
          </cell>
        </row>
      </sheetData>
      <sheetData sheetId="21">
        <row r="4">
          <cell r="AF4">
            <v>54551.724137931029</v>
          </cell>
        </row>
      </sheetData>
      <sheetData sheetId="22">
        <row r="4">
          <cell r="AF4"/>
        </row>
      </sheetData>
      <sheetData sheetId="23">
        <row r="4">
          <cell r="AF4">
            <v>12196.613980064532</v>
          </cell>
        </row>
      </sheetData>
      <sheetData sheetId="24">
        <row r="4">
          <cell r="AF4">
            <v>19898</v>
          </cell>
        </row>
      </sheetData>
      <sheetData sheetId="25">
        <row r="4">
          <cell r="AF4">
            <v>0</v>
          </cell>
        </row>
      </sheetData>
      <sheetData sheetId="26" refreshError="1"/>
      <sheetData sheetId="27">
        <row r="4">
          <cell r="AF4">
            <v>73800</v>
          </cell>
        </row>
      </sheetData>
      <sheetData sheetId="28">
        <row r="4">
          <cell r="AF4">
            <v>69900</v>
          </cell>
        </row>
      </sheetData>
      <sheetData sheetId="29" refreshError="1"/>
      <sheetData sheetId="30" refreshError="1"/>
      <sheetData sheetId="31" refreshError="1"/>
      <sheetData sheetId="32">
        <row r="4">
          <cell r="AF4">
            <v>34357.216915890131</v>
          </cell>
        </row>
      </sheetData>
      <sheetData sheetId="33">
        <row r="4">
          <cell r="AF4">
            <v>28997.856305992613</v>
          </cell>
        </row>
      </sheetData>
      <sheetData sheetId="34">
        <row r="4">
          <cell r="AF4">
            <v>30895.796746624583</v>
          </cell>
        </row>
      </sheetData>
      <sheetData sheetId="35">
        <row r="4">
          <cell r="AF4">
            <v>5561.6384979181703</v>
          </cell>
        </row>
      </sheetData>
      <sheetData sheetId="36">
        <row r="4">
          <cell r="AF4">
            <v>4815.5675806451618</v>
          </cell>
        </row>
      </sheetData>
      <sheetData sheetId="37">
        <row r="4">
          <cell r="AF4">
            <v>68924.481069822636</v>
          </cell>
        </row>
      </sheetData>
      <sheetData sheetId="38">
        <row r="4">
          <cell r="AF4">
            <v>31899.869829851388</v>
          </cell>
        </row>
      </sheetData>
      <sheetData sheetId="39">
        <row r="4">
          <cell r="AF4">
            <v>6812.5375325828418</v>
          </cell>
        </row>
      </sheetData>
      <sheetData sheetId="40">
        <row r="4">
          <cell r="AF4">
            <v>47342.399999999994</v>
          </cell>
        </row>
      </sheetData>
      <sheetData sheetId="41">
        <row r="4">
          <cell r="AF4">
            <v>82606.89655172413</v>
          </cell>
        </row>
      </sheetData>
      <sheetData sheetId="42">
        <row r="4">
          <cell r="AF4">
            <v>26303.386019935468</v>
          </cell>
        </row>
      </sheetData>
      <sheetData sheetId="43">
        <row r="4">
          <cell r="AF4">
            <v>33000</v>
          </cell>
        </row>
      </sheetData>
      <sheetData sheetId="44" refreshError="1"/>
      <sheetData sheetId="45">
        <row r="4">
          <cell r="AF4">
            <v>10500</v>
          </cell>
        </row>
      </sheetData>
      <sheetData sheetId="46">
        <row r="4">
          <cell r="AF4">
            <v>7200</v>
          </cell>
        </row>
      </sheetData>
      <sheetData sheetId="47" refreshError="1"/>
      <sheetData sheetId="48">
        <row r="4">
          <cell r="AF4">
            <v>68000</v>
          </cell>
        </row>
      </sheetData>
      <sheetData sheetId="49" refreshError="1"/>
      <sheetData sheetId="50">
        <row r="4">
          <cell r="AF4">
            <v>21500</v>
          </cell>
        </row>
      </sheetData>
      <sheetData sheetId="51">
        <row r="4">
          <cell r="AF4">
            <v>5732.9506965220062</v>
          </cell>
        </row>
      </sheetData>
      <sheetData sheetId="52" refreshError="1"/>
      <sheetData sheetId="53">
        <row r="4">
          <cell r="AF4">
            <v>380</v>
          </cell>
        </row>
      </sheetData>
      <sheetData sheetId="54">
        <row r="4">
          <cell r="AF4">
            <v>900</v>
          </cell>
        </row>
      </sheetData>
      <sheetData sheetId="55" refreshError="1"/>
      <sheetData sheetId="56">
        <row r="4">
          <cell r="AF4">
            <v>125000</v>
          </cell>
        </row>
      </sheetData>
      <sheetData sheetId="57">
        <row r="4">
          <cell r="AF4">
            <v>54000</v>
          </cell>
        </row>
      </sheetData>
      <sheetData sheetId="58">
        <row r="4">
          <cell r="AF4">
            <v>132945.68270670573</v>
          </cell>
        </row>
      </sheetData>
      <sheetData sheetId="59" refreshError="1"/>
      <sheetData sheetId="60">
        <row r="4">
          <cell r="AF4">
            <v>7500</v>
          </cell>
        </row>
      </sheetData>
      <sheetData sheetId="61">
        <row r="4">
          <cell r="AF4">
            <v>23000</v>
          </cell>
        </row>
      </sheetData>
      <sheetData sheetId="62">
        <row r="4">
          <cell r="AF4">
            <v>9300</v>
          </cell>
        </row>
      </sheetData>
      <sheetData sheetId="63">
        <row r="4">
          <cell r="AF4">
            <v>400</v>
          </cell>
        </row>
      </sheetData>
      <sheetData sheetId="64" refreshError="1"/>
      <sheetData sheetId="65">
        <row r="4">
          <cell r="AF4">
            <v>22576</v>
          </cell>
        </row>
      </sheetData>
      <sheetData sheetId="66">
        <row r="4">
          <cell r="AF4">
            <v>33455</v>
          </cell>
        </row>
      </sheetData>
      <sheetData sheetId="67">
        <row r="4">
          <cell r="AF4">
            <v>38341.852057842094</v>
          </cell>
        </row>
      </sheetData>
      <sheetData sheetId="68">
        <row r="4">
          <cell r="AF4">
            <v>17000</v>
          </cell>
        </row>
      </sheetData>
      <sheetData sheetId="69">
        <row r="4">
          <cell r="AF4">
            <v>20000</v>
          </cell>
        </row>
      </sheetData>
      <sheetData sheetId="70">
        <row r="4">
          <cell r="AF4">
            <v>2400</v>
          </cell>
        </row>
      </sheetData>
      <sheetData sheetId="71">
        <row r="4">
          <cell r="AF4">
            <v>24750</v>
          </cell>
        </row>
      </sheetData>
      <sheetData sheetId="72">
        <row r="4">
          <cell r="AF4">
            <v>2700</v>
          </cell>
        </row>
      </sheetData>
      <sheetData sheetId="73" refreshError="1"/>
      <sheetData sheetId="74">
        <row r="4">
          <cell r="AF4">
            <v>4593</v>
          </cell>
        </row>
      </sheetData>
      <sheetData sheetId="75">
        <row r="4">
          <cell r="AF4">
            <v>2348.8208620689661</v>
          </cell>
        </row>
      </sheetData>
      <sheetData sheetId="76">
        <row r="4">
          <cell r="AF4">
            <v>7902.6897758620671</v>
          </cell>
        </row>
      </sheetData>
      <sheetData sheetId="77" refreshError="1"/>
      <sheetData sheetId="78">
        <row r="4">
          <cell r="AF4">
            <v>1550</v>
          </cell>
        </row>
      </sheetData>
      <sheetData sheetId="79">
        <row r="4">
          <cell r="AF4">
            <v>550</v>
          </cell>
        </row>
      </sheetData>
      <sheetData sheetId="80">
        <row r="4">
          <cell r="AF4">
            <v>2000</v>
          </cell>
        </row>
      </sheetData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7"/>
  <dimension ref="A1:C12"/>
  <sheetViews>
    <sheetView workbookViewId="0">
      <selection activeCell="C1" activeCellId="1" sqref="A1:A1048576 C1:C1048576"/>
    </sheetView>
  </sheetViews>
  <sheetFormatPr defaultRowHeight="15" x14ac:dyDescent="0.25"/>
  <cols>
    <col min="1" max="1" width="16.28515625" customWidth="1"/>
    <col min="5" max="5" width="24.85546875" bestFit="1" customWidth="1"/>
    <col min="6" max="6" width="11.85546875" customWidth="1"/>
    <col min="7" max="7" width="26.42578125" customWidth="1"/>
  </cols>
  <sheetData>
    <row r="1" spans="1:3" x14ac:dyDescent="0.25">
      <c r="A1" s="4" t="s">
        <v>436</v>
      </c>
      <c r="B1" s="5">
        <f xml:space="preserve"> ( 24 * 31 )</f>
        <v>744</v>
      </c>
      <c r="C1" s="6">
        <v>43466</v>
      </c>
    </row>
    <row r="2" spans="1:3" x14ac:dyDescent="0.25">
      <c r="A2" s="4" t="s">
        <v>437</v>
      </c>
      <c r="B2" s="5">
        <f xml:space="preserve"> ( 24 * 28 ) + 1</f>
        <v>673</v>
      </c>
      <c r="C2" s="6">
        <v>43497</v>
      </c>
    </row>
    <row r="3" spans="1:3" x14ac:dyDescent="0.25">
      <c r="A3" s="4" t="s">
        <v>438</v>
      </c>
      <c r="B3" s="5">
        <f xml:space="preserve"> ( 24 * 31 )</f>
        <v>744</v>
      </c>
      <c r="C3" s="6">
        <v>43525</v>
      </c>
    </row>
    <row r="4" spans="1:3" x14ac:dyDescent="0.25">
      <c r="A4" s="4" t="s">
        <v>439</v>
      </c>
      <c r="B4" s="5">
        <f xml:space="preserve"> ( 24 * 30 )</f>
        <v>720</v>
      </c>
      <c r="C4" s="6">
        <v>43556</v>
      </c>
    </row>
    <row r="5" spans="1:3" x14ac:dyDescent="0.25">
      <c r="A5" s="4" t="s">
        <v>440</v>
      </c>
      <c r="B5" s="5">
        <f xml:space="preserve"> ( 24 * 31 )</f>
        <v>744</v>
      </c>
      <c r="C5" s="6">
        <v>43586</v>
      </c>
    </row>
    <row r="6" spans="1:3" x14ac:dyDescent="0.25">
      <c r="A6" s="4" t="s">
        <v>441</v>
      </c>
      <c r="B6" s="5">
        <f xml:space="preserve"> ( 24 * 30 )</f>
        <v>720</v>
      </c>
      <c r="C6" s="6">
        <v>43617</v>
      </c>
    </row>
    <row r="7" spans="1:3" x14ac:dyDescent="0.25">
      <c r="A7" s="4" t="s">
        <v>442</v>
      </c>
      <c r="B7" s="5">
        <f xml:space="preserve"> ( 24 * 31 )</f>
        <v>744</v>
      </c>
      <c r="C7" s="6">
        <v>43647</v>
      </c>
    </row>
    <row r="8" spans="1:3" x14ac:dyDescent="0.25">
      <c r="A8" s="4" t="s">
        <v>443</v>
      </c>
      <c r="B8" s="5">
        <f xml:space="preserve"> ( 24 * 31 )</f>
        <v>744</v>
      </c>
      <c r="C8" s="6">
        <v>43678</v>
      </c>
    </row>
    <row r="9" spans="1:3" x14ac:dyDescent="0.25">
      <c r="A9" s="4" t="s">
        <v>444</v>
      </c>
      <c r="B9" s="5">
        <f xml:space="preserve"> ( 24 * 30 )</f>
        <v>720</v>
      </c>
      <c r="C9" s="6">
        <v>43709</v>
      </c>
    </row>
    <row r="10" spans="1:3" x14ac:dyDescent="0.25">
      <c r="A10" s="4" t="s">
        <v>445</v>
      </c>
      <c r="B10" s="5">
        <f xml:space="preserve"> ( 24 * 31 )</f>
        <v>744</v>
      </c>
      <c r="C10" s="6">
        <v>43739</v>
      </c>
    </row>
    <row r="11" spans="1:3" x14ac:dyDescent="0.25">
      <c r="A11" s="4" t="s">
        <v>446</v>
      </c>
      <c r="B11" s="5">
        <f xml:space="preserve"> ( 24 * 30 ) - 1</f>
        <v>719</v>
      </c>
      <c r="C11" s="6">
        <v>43770</v>
      </c>
    </row>
    <row r="12" spans="1:3" x14ac:dyDescent="0.25">
      <c r="A12" s="4" t="s">
        <v>447</v>
      </c>
      <c r="B12" s="5">
        <f xml:space="preserve"> ( 24 * 31 )</f>
        <v>744</v>
      </c>
      <c r="C12" s="6">
        <v>43800</v>
      </c>
    </row>
  </sheetData>
  <pageMargins left="0.511811024" right="0.511811024" top="0.78740157499999996" bottom="0.78740157499999996" header="0.31496062000000002" footer="0.31496062000000002"/>
  <ignoredErrors>
    <ignoredError sqref="B2:B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>
    <pageSetUpPr fitToPage="1"/>
  </sheetPr>
  <dimension ref="A1:Y1054"/>
  <sheetViews>
    <sheetView showGridLines="0" zoomScaleNormal="100" workbookViewId="0">
      <selection activeCell="F24" sqref="F24"/>
    </sheetView>
  </sheetViews>
  <sheetFormatPr defaultRowHeight="10.5" outlineLevelRow="1" x14ac:dyDescent="0.15"/>
  <cols>
    <col min="1" max="1" width="28.42578125" style="515" customWidth="1"/>
    <col min="2" max="2" width="32" style="515" customWidth="1"/>
    <col min="3" max="3" width="27.85546875" style="515" bestFit="1" customWidth="1"/>
    <col min="4" max="4" width="20" style="452" customWidth="1"/>
    <col min="5" max="5" width="27.140625" style="515" bestFit="1" customWidth="1"/>
    <col min="6" max="6" width="24.140625" style="515" bestFit="1" customWidth="1"/>
    <col min="7" max="7" width="15.85546875" style="515" customWidth="1"/>
    <col min="8" max="8" width="17.28515625" style="515" customWidth="1"/>
    <col min="9" max="9" width="12.28515625" style="515" bestFit="1" customWidth="1"/>
    <col min="10" max="10" width="12.140625" style="515" bestFit="1" customWidth="1"/>
    <col min="11" max="11" width="19.28515625" style="515" bestFit="1" customWidth="1"/>
    <col min="12" max="12" width="18.42578125" style="515" bestFit="1" customWidth="1"/>
    <col min="13" max="13" width="19.7109375" style="515" bestFit="1" customWidth="1"/>
    <col min="14" max="14" width="19.140625" style="515" bestFit="1" customWidth="1"/>
    <col min="15" max="15" width="17.7109375" style="515" bestFit="1" customWidth="1"/>
    <col min="16" max="16" width="11.28515625" style="515" bestFit="1" customWidth="1"/>
    <col min="17" max="17" width="9.140625" style="515" bestFit="1" customWidth="1"/>
    <col min="18" max="18" width="24.42578125" style="515" bestFit="1" customWidth="1"/>
    <col min="19" max="19" width="13.28515625" style="515" bestFit="1" customWidth="1"/>
    <col min="20" max="20" width="10" style="515" bestFit="1" customWidth="1"/>
    <col min="21" max="21" width="9.5703125" style="515" bestFit="1" customWidth="1"/>
    <col min="22" max="22" width="6.85546875" style="515" bestFit="1" customWidth="1"/>
    <col min="23" max="23" width="11.28515625" style="515" bestFit="1" customWidth="1"/>
    <col min="24" max="24" width="9.140625" style="515"/>
    <col min="25" max="25" width="11.42578125" style="515" bestFit="1" customWidth="1"/>
    <col min="26" max="16384" width="9.140625" style="515"/>
  </cols>
  <sheetData>
    <row r="1" spans="1:18" ht="51" customHeight="1" x14ac:dyDescent="0.15">
      <c r="A1" s="176"/>
      <c r="B1" s="176"/>
      <c r="C1" s="176"/>
      <c r="D1" s="176"/>
      <c r="E1" s="176"/>
      <c r="F1" s="176"/>
      <c r="G1" s="176"/>
      <c r="K1" s="409"/>
      <c r="L1" s="415"/>
    </row>
    <row r="2" spans="1:18" x14ac:dyDescent="0.15">
      <c r="A2" s="553" t="s">
        <v>234</v>
      </c>
      <c r="B2" s="554"/>
      <c r="C2" s="554"/>
      <c r="D2" s="554"/>
      <c r="E2" s="554"/>
      <c r="F2" s="554"/>
      <c r="G2" s="554"/>
      <c r="H2" s="402"/>
      <c r="I2" s="402"/>
      <c r="J2" s="402"/>
      <c r="K2" s="402"/>
      <c r="L2" s="402"/>
      <c r="M2" s="402"/>
      <c r="N2" s="402"/>
      <c r="O2" s="402"/>
    </row>
    <row r="3" spans="1:18" x14ac:dyDescent="0.15">
      <c r="A3" s="563" t="s">
        <v>436</v>
      </c>
      <c r="B3" s="563"/>
      <c r="C3" s="563"/>
      <c r="D3" s="563"/>
      <c r="E3" s="563"/>
      <c r="F3" s="563"/>
      <c r="G3" s="563"/>
      <c r="H3" s="402"/>
      <c r="I3" s="402"/>
      <c r="J3" s="402"/>
      <c r="K3" s="402"/>
      <c r="L3" s="416"/>
      <c r="M3" s="402"/>
      <c r="N3" s="402"/>
      <c r="O3" s="402"/>
    </row>
    <row r="4" spans="1:18" x14ac:dyDescent="0.15">
      <c r="C4" s="177"/>
      <c r="D4" s="178"/>
      <c r="E4" s="177"/>
      <c r="H4" s="415"/>
      <c r="L4" s="415"/>
      <c r="N4" s="415"/>
    </row>
    <row r="5" spans="1:18" x14ac:dyDescent="0.15">
      <c r="C5" s="177"/>
      <c r="D5" s="178"/>
      <c r="E5" s="177"/>
      <c r="G5" s="179" t="s">
        <v>17</v>
      </c>
      <c r="H5" s="180">
        <f>'[1]Preços CCEE 2019'!$C$52</f>
        <v>48.572580645161288</v>
      </c>
      <c r="I5" s="179"/>
      <c r="J5" s="180">
        <f>'[1]Preços CCEE 2019'!$C$41</f>
        <v>48.572580645161288</v>
      </c>
      <c r="K5" s="179"/>
      <c r="L5" s="180">
        <f>'[1]Preços CCEE 2019'!$C$30</f>
        <v>86.684556451612906</v>
      </c>
      <c r="M5" s="179"/>
      <c r="N5" s="180">
        <f>'[1]Preços CCEE 2019'!$C$19</f>
        <v>86.684556451612906</v>
      </c>
      <c r="O5" s="549" t="s">
        <v>387</v>
      </c>
    </row>
    <row r="6" spans="1:18" x14ac:dyDescent="0.15">
      <c r="C6" s="553" t="s">
        <v>18</v>
      </c>
      <c r="D6" s="554"/>
      <c r="E6" s="554"/>
      <c r="F6" s="410"/>
      <c r="G6" s="555" t="s">
        <v>19</v>
      </c>
      <c r="H6" s="556"/>
      <c r="I6" s="557" t="s">
        <v>20</v>
      </c>
      <c r="J6" s="558"/>
      <c r="K6" s="559" t="s">
        <v>21</v>
      </c>
      <c r="L6" s="560"/>
      <c r="M6" s="561" t="s">
        <v>22</v>
      </c>
      <c r="N6" s="562"/>
      <c r="O6" s="549"/>
    </row>
    <row r="7" spans="1:18" x14ac:dyDescent="0.15">
      <c r="C7" s="514" t="s">
        <v>23</v>
      </c>
      <c r="D7" s="514" t="s">
        <v>332</v>
      </c>
      <c r="E7" s="514" t="s">
        <v>24</v>
      </c>
      <c r="G7" s="232" t="s">
        <v>137</v>
      </c>
      <c r="H7" s="516" t="s">
        <v>25</v>
      </c>
      <c r="I7" s="233" t="s">
        <v>137</v>
      </c>
      <c r="J7" s="517" t="s">
        <v>25</v>
      </c>
      <c r="K7" s="234" t="s">
        <v>137</v>
      </c>
      <c r="L7" s="518" t="s">
        <v>25</v>
      </c>
      <c r="M7" s="235" t="s">
        <v>137</v>
      </c>
      <c r="N7" s="519" t="s">
        <v>25</v>
      </c>
      <c r="O7" s="549"/>
    </row>
    <row r="8" spans="1:18" x14ac:dyDescent="0.15">
      <c r="B8" s="395"/>
      <c r="C8" s="31" t="s">
        <v>329</v>
      </c>
      <c r="D8" s="70">
        <f>B81</f>
        <v>0</v>
      </c>
      <c r="E8" s="70">
        <f>C81</f>
        <v>0</v>
      </c>
      <c r="F8" s="181"/>
      <c r="G8" s="236">
        <f t="shared" ref="G8:N8" si="0">E81</f>
        <v>0</v>
      </c>
      <c r="H8" s="237">
        <f t="shared" si="0"/>
        <v>0</v>
      </c>
      <c r="I8" s="238">
        <f t="shared" si="0"/>
        <v>0</v>
      </c>
      <c r="J8" s="239">
        <f t="shared" si="0"/>
        <v>0</v>
      </c>
      <c r="K8" s="240">
        <f t="shared" si="0"/>
        <v>0</v>
      </c>
      <c r="L8" s="241">
        <f t="shared" si="0"/>
        <v>0</v>
      </c>
      <c r="M8" s="242">
        <f t="shared" si="0"/>
        <v>0</v>
      </c>
      <c r="N8" s="243">
        <f t="shared" si="0"/>
        <v>0</v>
      </c>
      <c r="O8" s="244">
        <f>(IF(G8&lt;0,H8*H$5,0)+IF(I8&lt;0,J8*J$5,0)+IF(K8&lt;0,L8*L$5,0)+IF(M8&lt;0,N8*N$5,0))+IF(G8&gt;0,H8*H$5,0)+IF(I8&gt;0,J8*J$5,0)+IF(K8&gt;0,L8*L$5,0)+IF(M8&gt;0,N8*N$5,0)</f>
        <v>0</v>
      </c>
      <c r="P8" s="231"/>
      <c r="Q8" s="409"/>
    </row>
    <row r="9" spans="1:18" x14ac:dyDescent="0.15">
      <c r="B9" s="395"/>
      <c r="C9" s="31" t="s">
        <v>330</v>
      </c>
      <c r="D9" s="70">
        <f>B181</f>
        <v>-0.79985212588735521</v>
      </c>
      <c r="E9" s="70">
        <f>C181</f>
        <v>-595.08998811955098</v>
      </c>
      <c r="F9" s="181">
        <f>-(53+25)</f>
        <v>-78</v>
      </c>
      <c r="G9" s="236">
        <f t="shared" ref="G9:N9" si="1">E181</f>
        <v>6.1765519999999583</v>
      </c>
      <c r="H9" s="237">
        <f t="shared" si="1"/>
        <v>4595.3543224398745</v>
      </c>
      <c r="I9" s="238">
        <f t="shared" si="1"/>
        <v>0</v>
      </c>
      <c r="J9" s="239">
        <f t="shared" si="1"/>
        <v>0</v>
      </c>
      <c r="K9" s="240">
        <f t="shared" si="1"/>
        <v>-6.9764041258873704</v>
      </c>
      <c r="L9" s="241">
        <f t="shared" si="1"/>
        <v>-5190.4443105594255</v>
      </c>
      <c r="M9" s="242">
        <f t="shared" si="1"/>
        <v>0</v>
      </c>
      <c r="N9" s="243">
        <f t="shared" si="1"/>
        <v>0</v>
      </c>
      <c r="O9" s="244">
        <f t="shared" ref="O9:O28" si="2">(IF(G9&lt;0,H9*H$5,0)+IF(I9&lt;0,J9*J$5,0)+IF(K9&lt;0,L9*L$5,0)+IF(M9&lt;0,N9*N$5,0))+IF(G9&gt;0,H9*H$5,0)+IF(I9&gt;0,J9*J$5,0)+IF(K9&gt;0,L9*L$5,0)+IF(M9&gt;0,N9*N$5,0)</f>
        <v>-226723.14442784025</v>
      </c>
      <c r="P9" s="409"/>
      <c r="Q9" s="409"/>
    </row>
    <row r="10" spans="1:18" x14ac:dyDescent="0.15">
      <c r="B10" s="395"/>
      <c r="C10" s="254" t="s">
        <v>331</v>
      </c>
      <c r="D10" s="255">
        <f>B227</f>
        <v>0</v>
      </c>
      <c r="E10" s="255">
        <f>C227</f>
        <v>0</v>
      </c>
      <c r="F10" s="181">
        <f>F9+D9</f>
        <v>-78.799852125887355</v>
      </c>
      <c r="G10" s="236">
        <f t="shared" ref="G10:N10" si="3">E227</f>
        <v>0</v>
      </c>
      <c r="H10" s="237">
        <f t="shared" si="3"/>
        <v>0</v>
      </c>
      <c r="I10" s="238">
        <f t="shared" si="3"/>
        <v>0</v>
      </c>
      <c r="J10" s="239">
        <f t="shared" si="3"/>
        <v>0</v>
      </c>
      <c r="K10" s="240">
        <f t="shared" si="3"/>
        <v>0</v>
      </c>
      <c r="L10" s="241">
        <f t="shared" si="3"/>
        <v>0</v>
      </c>
      <c r="M10" s="242">
        <f t="shared" si="3"/>
        <v>0</v>
      </c>
      <c r="N10" s="243">
        <f t="shared" si="3"/>
        <v>0</v>
      </c>
      <c r="O10" s="244">
        <f t="shared" si="2"/>
        <v>0</v>
      </c>
      <c r="P10" s="409"/>
      <c r="Q10" s="409"/>
    </row>
    <row r="11" spans="1:18" x14ac:dyDescent="0.15">
      <c r="B11" s="395"/>
      <c r="C11" s="31" t="s">
        <v>228</v>
      </c>
      <c r="D11" s="70">
        <f>B260</f>
        <v>6.8362000000000034E-2</v>
      </c>
      <c r="E11" s="70">
        <f>C260</f>
        <v>50.860999999999876</v>
      </c>
      <c r="F11" s="181">
        <f>F10*744</f>
        <v>-58627.089981660189</v>
      </c>
      <c r="G11" s="327">
        <f t="shared" ref="G11:N11" si="4">E260</f>
        <v>0</v>
      </c>
      <c r="H11" s="328">
        <f t="shared" si="4"/>
        <v>0</v>
      </c>
      <c r="I11" s="329">
        <f t="shared" si="4"/>
        <v>0</v>
      </c>
      <c r="J11" s="330">
        <f t="shared" si="4"/>
        <v>0</v>
      </c>
      <c r="K11" s="331">
        <f t="shared" si="4"/>
        <v>6.8362000000000034E-2</v>
      </c>
      <c r="L11" s="332">
        <f t="shared" si="4"/>
        <v>50.860999999999876</v>
      </c>
      <c r="M11" s="333">
        <f t="shared" si="4"/>
        <v>0</v>
      </c>
      <c r="N11" s="334">
        <f t="shared" si="4"/>
        <v>0</v>
      </c>
      <c r="O11" s="335">
        <f t="shared" si="2"/>
        <v>4408.8632256854735</v>
      </c>
      <c r="P11" s="409"/>
      <c r="Q11" s="409"/>
    </row>
    <row r="12" spans="1:18" x14ac:dyDescent="0.15">
      <c r="B12" s="395"/>
      <c r="C12" s="256" t="s">
        <v>35</v>
      </c>
      <c r="D12" s="257">
        <f>B336</f>
        <v>-1.0000002248489182E-6</v>
      </c>
      <c r="E12" s="257">
        <f>C336</f>
        <v>0</v>
      </c>
      <c r="F12" s="181"/>
      <c r="G12" s="236">
        <f t="shared" ref="G12:N12" si="5">E336</f>
        <v>-9.9999999747524271E-7</v>
      </c>
      <c r="H12" s="237">
        <f t="shared" si="5"/>
        <v>0</v>
      </c>
      <c r="I12" s="238">
        <f t="shared" si="5"/>
        <v>0</v>
      </c>
      <c r="J12" s="239">
        <f t="shared" si="5"/>
        <v>0</v>
      </c>
      <c r="K12" s="240">
        <f t="shared" si="5"/>
        <v>5.0632080000000315</v>
      </c>
      <c r="L12" s="241">
        <f t="shared" si="5"/>
        <v>3767.0268200901919</v>
      </c>
      <c r="M12" s="242">
        <f t="shared" si="5"/>
        <v>0</v>
      </c>
      <c r="N12" s="243">
        <f t="shared" si="5"/>
        <v>0</v>
      </c>
      <c r="O12" s="244">
        <f t="shared" si="2"/>
        <v>326543.0490408481</v>
      </c>
      <c r="P12" s="409"/>
      <c r="Q12" s="409"/>
    </row>
    <row r="13" spans="1:18" x14ac:dyDescent="0.15">
      <c r="B13" s="395"/>
      <c r="C13" s="31" t="s">
        <v>364</v>
      </c>
      <c r="D13" s="70">
        <f>B372</f>
        <v>0</v>
      </c>
      <c r="E13" s="70">
        <f>C372</f>
        <v>0</v>
      </c>
      <c r="F13" s="181"/>
      <c r="G13" s="236">
        <f t="shared" ref="G13:N13" si="6">E372</f>
        <v>0</v>
      </c>
      <c r="H13" s="237">
        <f t="shared" si="6"/>
        <v>0</v>
      </c>
      <c r="I13" s="238">
        <f t="shared" si="6"/>
        <v>0</v>
      </c>
      <c r="J13" s="239">
        <f t="shared" si="6"/>
        <v>0</v>
      </c>
      <c r="K13" s="240">
        <f t="shared" si="6"/>
        <v>0</v>
      </c>
      <c r="L13" s="241">
        <f t="shared" si="6"/>
        <v>0</v>
      </c>
      <c r="M13" s="242">
        <f t="shared" si="6"/>
        <v>0</v>
      </c>
      <c r="N13" s="243">
        <f t="shared" si="6"/>
        <v>0</v>
      </c>
      <c r="O13" s="244">
        <f t="shared" si="2"/>
        <v>0</v>
      </c>
      <c r="P13" s="409"/>
      <c r="Q13" s="409"/>
    </row>
    <row r="14" spans="1:18" x14ac:dyDescent="0.15">
      <c r="B14" s="395"/>
      <c r="C14" s="31" t="s">
        <v>26</v>
      </c>
      <c r="D14" s="70">
        <f>B420</f>
        <v>0</v>
      </c>
      <c r="E14" s="70">
        <f>C420</f>
        <v>0</v>
      </c>
      <c r="F14" s="181"/>
      <c r="G14" s="236">
        <f t="shared" ref="G14:N14" si="7">E420</f>
        <v>32.051420999999998</v>
      </c>
      <c r="H14" s="237">
        <f t="shared" si="7"/>
        <v>23846.257218247436</v>
      </c>
      <c r="I14" s="238">
        <f t="shared" si="7"/>
        <v>0</v>
      </c>
      <c r="J14" s="239">
        <f t="shared" si="7"/>
        <v>0</v>
      </c>
      <c r="K14" s="240">
        <f t="shared" si="7"/>
        <v>2.8257460000000005</v>
      </c>
      <c r="L14" s="241">
        <f t="shared" si="7"/>
        <v>2102.3554993933085</v>
      </c>
      <c r="M14" s="242">
        <f t="shared" si="7"/>
        <v>0</v>
      </c>
      <c r="N14" s="243">
        <f t="shared" si="7"/>
        <v>0</v>
      </c>
      <c r="O14" s="244">
        <f t="shared" si="2"/>
        <v>1340516.0057871011</v>
      </c>
      <c r="P14" s="409"/>
      <c r="Q14" s="409"/>
    </row>
    <row r="15" spans="1:18" x14ac:dyDescent="0.15">
      <c r="B15" s="181"/>
      <c r="C15" s="31" t="s">
        <v>27</v>
      </c>
      <c r="D15" s="70">
        <f>B474</f>
        <v>0</v>
      </c>
      <c r="E15" s="70">
        <f>C474</f>
        <v>0</v>
      </c>
      <c r="F15" s="181"/>
      <c r="G15" s="236">
        <f t="shared" ref="G15:N15" si="8">E474</f>
        <v>0</v>
      </c>
      <c r="H15" s="237">
        <f t="shared" si="8"/>
        <v>0</v>
      </c>
      <c r="I15" s="238">
        <f t="shared" si="8"/>
        <v>0</v>
      </c>
      <c r="J15" s="239">
        <f t="shared" si="8"/>
        <v>0</v>
      </c>
      <c r="K15" s="240">
        <f t="shared" si="8"/>
        <v>0</v>
      </c>
      <c r="L15" s="241">
        <f t="shared" si="8"/>
        <v>0</v>
      </c>
      <c r="M15" s="242">
        <f t="shared" si="8"/>
        <v>0</v>
      </c>
      <c r="N15" s="243">
        <f t="shared" si="8"/>
        <v>0</v>
      </c>
      <c r="O15" s="244">
        <f t="shared" si="2"/>
        <v>0</v>
      </c>
      <c r="P15" s="409"/>
      <c r="Q15" s="409"/>
      <c r="R15" s="231"/>
    </row>
    <row r="16" spans="1:18" x14ac:dyDescent="0.15">
      <c r="B16" s="181"/>
      <c r="C16" s="254" t="s">
        <v>424</v>
      </c>
      <c r="D16" s="255">
        <f>B509</f>
        <v>0</v>
      </c>
      <c r="E16" s="255">
        <f>C509</f>
        <v>0</v>
      </c>
      <c r="F16" s="181"/>
      <c r="G16" s="236"/>
      <c r="H16" s="237"/>
      <c r="I16" s="238"/>
      <c r="J16" s="239"/>
      <c r="K16" s="240"/>
      <c r="L16" s="241"/>
      <c r="M16" s="242"/>
      <c r="N16" s="243"/>
      <c r="O16" s="244"/>
      <c r="P16" s="409"/>
      <c r="Q16" s="409"/>
      <c r="R16" s="231"/>
    </row>
    <row r="17" spans="2:18" x14ac:dyDescent="0.15">
      <c r="B17" s="181"/>
      <c r="C17" s="31" t="s">
        <v>366</v>
      </c>
      <c r="D17" s="70">
        <f>B545</f>
        <v>4.6593000000000107E-2</v>
      </c>
      <c r="E17" s="70">
        <f t="shared" ref="E17" si="9">C545</f>
        <v>34.665000000000191</v>
      </c>
      <c r="F17" s="181"/>
      <c r="G17" s="327">
        <f t="shared" ref="G17" si="10">E545</f>
        <v>0</v>
      </c>
      <c r="H17" s="328">
        <f t="shared" ref="H17" si="11">F545</f>
        <v>0</v>
      </c>
      <c r="I17" s="329">
        <f t="shared" ref="I17" si="12">G545</f>
        <v>0</v>
      </c>
      <c r="J17" s="330">
        <f t="shared" ref="J17" si="13">H545</f>
        <v>0</v>
      </c>
      <c r="K17" s="331">
        <f t="shared" ref="K17" si="14">I545</f>
        <v>4.6593000000000107E-2</v>
      </c>
      <c r="L17" s="332">
        <f t="shared" ref="L17" si="15">J545</f>
        <v>34.665000000000191</v>
      </c>
      <c r="M17" s="333">
        <f t="shared" ref="M17" si="16">K545</f>
        <v>0</v>
      </c>
      <c r="N17" s="334">
        <f t="shared" ref="N17" si="17">L545</f>
        <v>0</v>
      </c>
      <c r="O17" s="335">
        <f t="shared" si="2"/>
        <v>3004.9201493951778</v>
      </c>
      <c r="P17" s="409"/>
      <c r="Q17" s="409"/>
      <c r="R17" s="231"/>
    </row>
    <row r="18" spans="2:18" x14ac:dyDescent="0.15">
      <c r="B18" s="181"/>
      <c r="C18" s="256" t="s">
        <v>153</v>
      </c>
      <c r="D18" s="257">
        <f>B579</f>
        <v>0.21078300000000016</v>
      </c>
      <c r="E18" s="257">
        <f>C579</f>
        <v>156.82281384880207</v>
      </c>
      <c r="F18" s="181"/>
      <c r="G18" s="236">
        <f t="shared" ref="G18:N18" si="18">E579</f>
        <v>0</v>
      </c>
      <c r="H18" s="237">
        <f t="shared" si="18"/>
        <v>0</v>
      </c>
      <c r="I18" s="238">
        <f t="shared" si="18"/>
        <v>0</v>
      </c>
      <c r="J18" s="239">
        <f t="shared" si="18"/>
        <v>0</v>
      </c>
      <c r="K18" s="240">
        <f t="shared" si="18"/>
        <v>0.21078300000000016</v>
      </c>
      <c r="L18" s="241">
        <f t="shared" si="18"/>
        <v>156.82281384880207</v>
      </c>
      <c r="M18" s="242">
        <f t="shared" si="18"/>
        <v>0</v>
      </c>
      <c r="N18" s="243">
        <f t="shared" si="18"/>
        <v>0</v>
      </c>
      <c r="O18" s="244">
        <f t="shared" si="2"/>
        <v>13594.116059977265</v>
      </c>
      <c r="P18" s="409"/>
      <c r="Q18" s="409"/>
    </row>
    <row r="19" spans="2:18" x14ac:dyDescent="0.15">
      <c r="B19" s="395"/>
      <c r="C19" s="31" t="s">
        <v>28</v>
      </c>
      <c r="D19" s="70">
        <f>B624</f>
        <v>1.7813949999999963</v>
      </c>
      <c r="E19" s="70">
        <f>C624</f>
        <v>1325.3584584497294</v>
      </c>
      <c r="F19" s="181"/>
      <c r="G19" s="236">
        <f t="shared" ref="G19:N19" si="19">E624</f>
        <v>0</v>
      </c>
      <c r="H19" s="237">
        <f t="shared" si="19"/>
        <v>0</v>
      </c>
      <c r="I19" s="238">
        <f t="shared" si="19"/>
        <v>1.7813949999999963</v>
      </c>
      <c r="J19" s="239">
        <f t="shared" si="19"/>
        <v>1325.3584584497294</v>
      </c>
      <c r="K19" s="240">
        <f t="shared" si="19"/>
        <v>0</v>
      </c>
      <c r="L19" s="241">
        <f t="shared" si="19"/>
        <v>0</v>
      </c>
      <c r="M19" s="242">
        <f t="shared" si="19"/>
        <v>0</v>
      </c>
      <c r="N19" s="243">
        <f t="shared" si="19"/>
        <v>0</v>
      </c>
      <c r="O19" s="244">
        <f t="shared" si="2"/>
        <v>64376.080606796124</v>
      </c>
      <c r="P19" s="409"/>
      <c r="Q19" s="409"/>
    </row>
    <row r="20" spans="2:18" x14ac:dyDescent="0.15">
      <c r="B20" s="395"/>
      <c r="C20" s="254" t="s">
        <v>29</v>
      </c>
      <c r="D20" s="255">
        <f>B664</f>
        <v>-0.40505999999999887</v>
      </c>
      <c r="E20" s="255">
        <f>C664</f>
        <v>-301.36499422680572</v>
      </c>
      <c r="F20" s="181"/>
      <c r="G20" s="236">
        <f t="shared" ref="G20:N20" si="20">E664</f>
        <v>0</v>
      </c>
      <c r="H20" s="237">
        <f t="shared" si="20"/>
        <v>0</v>
      </c>
      <c r="I20" s="238">
        <f t="shared" si="20"/>
        <v>0</v>
      </c>
      <c r="J20" s="239">
        <f t="shared" si="20"/>
        <v>0</v>
      </c>
      <c r="K20" s="240">
        <f t="shared" si="20"/>
        <v>-0.40505999999999887</v>
      </c>
      <c r="L20" s="241">
        <f t="shared" si="20"/>
        <v>-301.36499422680572</v>
      </c>
      <c r="M20" s="242">
        <f t="shared" si="20"/>
        <v>0</v>
      </c>
      <c r="N20" s="243">
        <f t="shared" si="20"/>
        <v>0</v>
      </c>
      <c r="O20" s="244">
        <f t="shared" si="2"/>
        <v>-26123.690854593537</v>
      </c>
      <c r="P20" s="409"/>
      <c r="Q20" s="409"/>
    </row>
    <row r="21" spans="2:18" x14ac:dyDescent="0.15">
      <c r="B21" s="395"/>
      <c r="C21" s="258" t="s">
        <v>30</v>
      </c>
      <c r="D21" s="259">
        <f>B701</f>
        <v>0</v>
      </c>
      <c r="E21" s="259">
        <f>C701</f>
        <v>0</v>
      </c>
      <c r="F21" s="181"/>
      <c r="G21" s="327">
        <f t="shared" ref="G21:N21" si="21">E701</f>
        <v>0</v>
      </c>
      <c r="H21" s="328">
        <f t="shared" si="21"/>
        <v>0</v>
      </c>
      <c r="I21" s="329">
        <f t="shared" si="21"/>
        <v>0</v>
      </c>
      <c r="J21" s="330">
        <f t="shared" si="21"/>
        <v>0</v>
      </c>
      <c r="K21" s="331">
        <f t="shared" si="21"/>
        <v>0</v>
      </c>
      <c r="L21" s="332">
        <f t="shared" si="21"/>
        <v>0</v>
      </c>
      <c r="M21" s="333">
        <f t="shared" si="21"/>
        <v>0</v>
      </c>
      <c r="N21" s="334">
        <f t="shared" si="21"/>
        <v>0</v>
      </c>
      <c r="O21" s="335">
        <f t="shared" si="2"/>
        <v>0</v>
      </c>
      <c r="P21" s="409"/>
      <c r="Q21" s="409"/>
    </row>
    <row r="22" spans="2:18" x14ac:dyDescent="0.15">
      <c r="B22" s="395"/>
      <c r="C22" s="256" t="s">
        <v>31</v>
      </c>
      <c r="D22" s="257">
        <f>B784</f>
        <v>15.505225999999993</v>
      </c>
      <c r="E22" s="257">
        <f>C784</f>
        <v>11535.887588453596</v>
      </c>
      <c r="F22" s="181">
        <f>D31+F9</f>
        <v>-45.358997125887605</v>
      </c>
      <c r="G22" s="336">
        <f t="shared" ref="G22:N22" si="22">E784</f>
        <v>-10.7</v>
      </c>
      <c r="H22" s="337">
        <f t="shared" si="22"/>
        <v>-7960.7999999999993</v>
      </c>
      <c r="I22" s="338">
        <f t="shared" si="22"/>
        <v>38.5</v>
      </c>
      <c r="J22" s="339">
        <f t="shared" si="22"/>
        <v>28644</v>
      </c>
      <c r="K22" s="340">
        <f t="shared" si="22"/>
        <v>-12.29477399999999</v>
      </c>
      <c r="L22" s="341">
        <f t="shared" si="22"/>
        <v>-9147.3124115464161</v>
      </c>
      <c r="M22" s="342">
        <f t="shared" si="22"/>
        <v>0</v>
      </c>
      <c r="N22" s="343">
        <f t="shared" si="22"/>
        <v>0</v>
      </c>
      <c r="O22" s="344">
        <f t="shared" si="2"/>
        <v>211705.68088076543</v>
      </c>
      <c r="P22" s="409"/>
      <c r="Q22" s="409"/>
    </row>
    <row r="23" spans="2:18" x14ac:dyDescent="0.15">
      <c r="B23" s="395"/>
      <c r="C23" s="254" t="s">
        <v>239</v>
      </c>
      <c r="D23" s="255">
        <f>B885</f>
        <v>15.930431999999968</v>
      </c>
      <c r="E23" s="255">
        <f>C885</f>
        <v>11852.241544974968</v>
      </c>
      <c r="F23" s="181">
        <f>F22*744</f>
        <v>-33747.093861660374</v>
      </c>
      <c r="G23" s="345">
        <f t="shared" ref="G23:N23" si="23">E885</f>
        <v>0</v>
      </c>
      <c r="H23" s="346">
        <f t="shared" si="23"/>
        <v>0</v>
      </c>
      <c r="I23" s="347">
        <f t="shared" si="23"/>
        <v>12.699999000000005</v>
      </c>
      <c r="J23" s="348">
        <f t="shared" si="23"/>
        <v>9448.7992560000057</v>
      </c>
      <c r="K23" s="349">
        <f t="shared" si="23"/>
        <v>3.2304329999999908</v>
      </c>
      <c r="L23" s="350">
        <f t="shared" si="23"/>
        <v>2403.4422889749985</v>
      </c>
      <c r="M23" s="351">
        <f t="shared" si="23"/>
        <v>0</v>
      </c>
      <c r="N23" s="352">
        <f t="shared" si="23"/>
        <v>0</v>
      </c>
      <c r="O23" s="353">
        <f t="shared" si="2"/>
        <v>667293.89263884723</v>
      </c>
      <c r="Q23" s="409"/>
    </row>
    <row r="24" spans="2:18" s="524" customFormat="1" x14ac:dyDescent="0.15">
      <c r="B24" s="395"/>
      <c r="C24" s="256" t="s">
        <v>390</v>
      </c>
      <c r="D24" s="257">
        <f>B922</f>
        <v>0</v>
      </c>
      <c r="E24" s="257">
        <f>C922</f>
        <v>0</v>
      </c>
      <c r="F24" s="181"/>
      <c r="G24" s="336">
        <f>E922</f>
        <v>0</v>
      </c>
      <c r="H24" s="337">
        <f>F922</f>
        <v>0</v>
      </c>
      <c r="I24" s="338">
        <f>G922</f>
        <v>0</v>
      </c>
      <c r="J24" s="339">
        <f>H922</f>
        <v>0</v>
      </c>
      <c r="K24" s="340">
        <f t="shared" ref="K24:N24" si="24">I922</f>
        <v>0</v>
      </c>
      <c r="L24" s="341">
        <f t="shared" si="24"/>
        <v>0</v>
      </c>
      <c r="M24" s="342">
        <f t="shared" si="24"/>
        <v>0</v>
      </c>
      <c r="N24" s="343">
        <f t="shared" si="24"/>
        <v>0</v>
      </c>
      <c r="O24" s="344">
        <f t="shared" si="2"/>
        <v>0</v>
      </c>
      <c r="P24" s="409"/>
      <c r="Q24" s="409"/>
    </row>
    <row r="25" spans="2:18" s="524" customFormat="1" x14ac:dyDescent="0.15">
      <c r="B25" s="395"/>
      <c r="C25" s="254" t="s">
        <v>391</v>
      </c>
      <c r="D25" s="255">
        <f>B956</f>
        <v>1.6369999999999996E-3</v>
      </c>
      <c r="E25" s="255">
        <f>C956</f>
        <v>1.2180000000000035</v>
      </c>
      <c r="F25" s="181"/>
      <c r="G25" s="345">
        <f>E956</f>
        <v>0</v>
      </c>
      <c r="H25" s="346">
        <f>F956</f>
        <v>0</v>
      </c>
      <c r="I25" s="347">
        <f>G956</f>
        <v>0</v>
      </c>
      <c r="J25" s="348">
        <f>H956</f>
        <v>0</v>
      </c>
      <c r="K25" s="349">
        <f t="shared" ref="K25:N25" si="25">I956</f>
        <v>1.6369999999999996E-3</v>
      </c>
      <c r="L25" s="350">
        <f t="shared" si="25"/>
        <v>1.2180000000000035</v>
      </c>
      <c r="M25" s="351">
        <f t="shared" si="25"/>
        <v>0</v>
      </c>
      <c r="N25" s="352">
        <f t="shared" si="25"/>
        <v>0</v>
      </c>
      <c r="O25" s="353">
        <f t="shared" si="2"/>
        <v>105.58178975806483</v>
      </c>
      <c r="Q25" s="409"/>
    </row>
    <row r="26" spans="2:18" s="524" customFormat="1" x14ac:dyDescent="0.15">
      <c r="B26" s="395"/>
      <c r="C26" s="256" t="s">
        <v>431</v>
      </c>
      <c r="D26" s="257">
        <f>B1011</f>
        <v>0.38097900000001061</v>
      </c>
      <c r="E26" s="257">
        <f>C1011</f>
        <v>283.44962868826406</v>
      </c>
      <c r="F26" s="181"/>
      <c r="G26" s="336">
        <f>E1011</f>
        <v>0</v>
      </c>
      <c r="H26" s="337">
        <f>F1011</f>
        <v>0</v>
      </c>
      <c r="I26" s="338">
        <f>G1011</f>
        <v>0.38098000000000098</v>
      </c>
      <c r="J26" s="339">
        <f>H1011</f>
        <v>283.44962868824041</v>
      </c>
      <c r="K26" s="340">
        <f t="shared" ref="K26:N26" si="26">I1011</f>
        <v>-9.9999998326438799E-7</v>
      </c>
      <c r="L26" s="341">
        <f t="shared" si="26"/>
        <v>0</v>
      </c>
      <c r="M26" s="342">
        <f t="shared" si="26"/>
        <v>0</v>
      </c>
      <c r="N26" s="343">
        <f t="shared" si="26"/>
        <v>0</v>
      </c>
      <c r="O26" s="344">
        <f t="shared" si="2"/>
        <v>13767.879948300581</v>
      </c>
      <c r="P26" s="409"/>
      <c r="Q26" s="409"/>
    </row>
    <row r="27" spans="2:18" s="524" customFormat="1" x14ac:dyDescent="0.15">
      <c r="B27" s="395"/>
      <c r="C27" s="254" t="s">
        <v>432</v>
      </c>
      <c r="D27" s="255">
        <f>B1049</f>
        <v>-7.9491000000000006E-2</v>
      </c>
      <c r="E27" s="255">
        <f>C1049</f>
        <v>-59.141372413793093</v>
      </c>
      <c r="F27" s="181"/>
      <c r="G27" s="345"/>
      <c r="H27" s="346"/>
      <c r="I27" s="347"/>
      <c r="J27" s="348"/>
      <c r="K27" s="349"/>
      <c r="L27" s="350"/>
      <c r="M27" s="351"/>
      <c r="N27" s="352"/>
      <c r="O27" s="353"/>
      <c r="Q27" s="409"/>
    </row>
    <row r="28" spans="2:18" x14ac:dyDescent="0.15">
      <c r="B28" s="395"/>
      <c r="C28" s="31"/>
      <c r="D28" s="70"/>
      <c r="E28" s="70"/>
      <c r="F28" s="181"/>
      <c r="G28" s="236" t="e">
        <f>#REF!</f>
        <v>#REF!</v>
      </c>
      <c r="H28" s="237" t="e">
        <f>#REF!</f>
        <v>#REF!</v>
      </c>
      <c r="I28" s="238" t="e">
        <f>#REF!</f>
        <v>#REF!</v>
      </c>
      <c r="J28" s="239" t="e">
        <f>#REF!</f>
        <v>#REF!</v>
      </c>
      <c r="K28" s="240" t="e">
        <f>#REF!</f>
        <v>#REF!</v>
      </c>
      <c r="L28" s="241" t="e">
        <f>#REF!</f>
        <v>#REF!</v>
      </c>
      <c r="M28" s="242" t="e">
        <f>#REF!</f>
        <v>#REF!</v>
      </c>
      <c r="N28" s="243" t="e">
        <f>#REF!</f>
        <v>#REF!</v>
      </c>
      <c r="O28" s="244" t="e">
        <f t="shared" si="2"/>
        <v>#REF!</v>
      </c>
      <c r="P28" s="409"/>
      <c r="Q28" s="409"/>
    </row>
    <row r="29" spans="2:18" x14ac:dyDescent="0.15">
      <c r="C29" s="31"/>
      <c r="D29" s="71"/>
      <c r="E29" s="30"/>
      <c r="Q29" s="409"/>
    </row>
    <row r="30" spans="2:18" x14ac:dyDescent="0.15">
      <c r="C30" s="72" t="s">
        <v>32</v>
      </c>
      <c r="D30" s="275">
        <f>SUM(D8:D10,D12:D16,D22:D23)</f>
        <v>30.635804874112381</v>
      </c>
      <c r="E30" s="73">
        <f>SUM(E8:E10,E12:E16,E22:E23)</f>
        <v>22793.039145309012</v>
      </c>
      <c r="F30" s="245" t="s">
        <v>149</v>
      </c>
      <c r="G30" s="236">
        <f>SUM(G8:G10,G12:G15,G22:G23)</f>
        <v>27.527971999999959</v>
      </c>
      <c r="H30" s="237">
        <f t="shared" ref="H30:N30" si="27">SUM(H8:H10,H12:H15,H22:H23)</f>
        <v>20480.811540687311</v>
      </c>
      <c r="I30" s="238">
        <f>SUM(I8:I10,I12:I15,I22:I23)</f>
        <v>51.199999000000005</v>
      </c>
      <c r="J30" s="239">
        <f>SUM(J8:J10,J12:J15,J22:J23)</f>
        <v>38092.799256000006</v>
      </c>
      <c r="K30" s="240">
        <f>SUM(K8:K10,K12:K15,K22:K23)</f>
        <v>-8.1517911258873372</v>
      </c>
      <c r="L30" s="241">
        <f>SUM(L8:L10,L12:L15,L22:L23)</f>
        <v>-6064.9321136473427</v>
      </c>
      <c r="M30" s="242">
        <f t="shared" si="27"/>
        <v>0</v>
      </c>
      <c r="N30" s="243">
        <f t="shared" si="27"/>
        <v>0</v>
      </c>
      <c r="O30" s="244">
        <f t="shared" ref="O30:O31" si="28">(IF(G30&lt;0,H30*H$5,0)+IF(I30&lt;0,J30*J$5,0)+IF(K30&lt;0,L30*L$5,0)+IF(M30&lt;0,N30*N$5,0))+IF(G30&gt;0,H30*H$5,0)+IF(I30&gt;0,J30*J$5,0)+IF(K30&gt;0,L30*L$5,0)+IF(M30&gt;0,N30*N$5,0)</f>
        <v>2319335.4839197216</v>
      </c>
      <c r="Q30" s="409"/>
    </row>
    <row r="31" spans="2:18" x14ac:dyDescent="0.15">
      <c r="C31" s="74" t="s">
        <v>164</v>
      </c>
      <c r="D31" s="75">
        <f>SUM(D8:D28)</f>
        <v>32.641002874112395</v>
      </c>
      <c r="E31" s="75">
        <f>SUM(E8:E28)</f>
        <v>24284.907679655211</v>
      </c>
      <c r="F31" s="246" t="s">
        <v>227</v>
      </c>
      <c r="G31" s="236" t="e">
        <f t="shared" ref="G31:L31" si="29">SUM(G8:G28)</f>
        <v>#REF!</v>
      </c>
      <c r="H31" s="237" t="e">
        <f t="shared" si="29"/>
        <v>#REF!</v>
      </c>
      <c r="I31" s="238" t="e">
        <f t="shared" si="29"/>
        <v>#REF!</v>
      </c>
      <c r="J31" s="239" t="e">
        <f t="shared" si="29"/>
        <v>#REF!</v>
      </c>
      <c r="K31" s="240" t="e">
        <f t="shared" si="29"/>
        <v>#REF!</v>
      </c>
      <c r="L31" s="241" t="e">
        <f t="shared" si="29"/>
        <v>#REF!</v>
      </c>
      <c r="M31" s="242" t="e">
        <f t="shared" ref="M31:N31" si="30">SUM(M8:M28)</f>
        <v>#REF!</v>
      </c>
      <c r="N31" s="243" t="e">
        <f t="shared" si="30"/>
        <v>#REF!</v>
      </c>
      <c r="O31" s="244" t="e">
        <f t="shared" si="28"/>
        <v>#REF!</v>
      </c>
      <c r="P31" s="409"/>
    </row>
    <row r="32" spans="2:18" x14ac:dyDescent="0.15">
      <c r="B32" s="190"/>
      <c r="C32" s="177"/>
      <c r="D32" s="182"/>
      <c r="E32" s="183"/>
      <c r="F32" s="184"/>
      <c r="H32" s="185"/>
      <c r="J32" s="185"/>
      <c r="L32" s="230"/>
      <c r="N32" s="515" t="s">
        <v>33</v>
      </c>
      <c r="O32" s="231">
        <f>O30/E30</f>
        <v>101.75630678882325</v>
      </c>
      <c r="P32" s="231"/>
    </row>
    <row r="33" spans="1:16" ht="11.25" x14ac:dyDescent="0.2">
      <c r="A33" s="187" t="s">
        <v>34</v>
      </c>
      <c r="B33" s="188">
        <f>VLOOKUP(A3,Lista!A1:B12,2,FALSE)</f>
        <v>744</v>
      </c>
      <c r="D33" s="76" t="s">
        <v>15</v>
      </c>
      <c r="E33" s="266">
        <f>[2]GSF!$D$8</f>
        <v>-0.60968373186904801</v>
      </c>
      <c r="F33" s="186"/>
      <c r="I33" s="417"/>
      <c r="L33" s="230"/>
      <c r="N33" s="418"/>
      <c r="O33" s="231"/>
    </row>
    <row r="34" spans="1:16" ht="11.25" x14ac:dyDescent="0.2">
      <c r="A34" s="177"/>
      <c r="B34" s="177"/>
      <c r="C34" s="177"/>
      <c r="D34" s="315" t="s">
        <v>377</v>
      </c>
      <c r="E34" s="315" t="s">
        <v>378</v>
      </c>
      <c r="F34" s="177"/>
      <c r="G34" s="177"/>
      <c r="H34" s="186"/>
      <c r="L34" s="415"/>
      <c r="N34" s="418"/>
    </row>
    <row r="35" spans="1:16" ht="11.25" x14ac:dyDescent="0.2">
      <c r="A35" s="177"/>
      <c r="B35" s="177"/>
      <c r="C35" s="177"/>
      <c r="D35" s="189"/>
      <c r="E35" s="177"/>
      <c r="F35" s="177"/>
      <c r="G35" s="177"/>
      <c r="H35" s="177"/>
      <c r="N35" s="418"/>
    </row>
    <row r="36" spans="1:16" ht="11.25" x14ac:dyDescent="0.2">
      <c r="A36" s="548" t="s">
        <v>292</v>
      </c>
      <c r="B36" s="548"/>
      <c r="C36" s="548"/>
      <c r="D36" s="548"/>
      <c r="E36" s="548"/>
      <c r="F36" s="548"/>
      <c r="G36" s="548"/>
      <c r="H36" s="548"/>
      <c r="N36" s="418"/>
    </row>
    <row r="37" spans="1:16" ht="11.25" x14ac:dyDescent="0.2">
      <c r="A37" s="548"/>
      <c r="B37" s="548"/>
      <c r="C37" s="548"/>
      <c r="D37" s="548"/>
      <c r="E37" s="548"/>
      <c r="F37" s="548"/>
      <c r="G37" s="548"/>
      <c r="H37" s="548"/>
      <c r="N37" s="418"/>
    </row>
    <row r="38" spans="1:16" s="420" customFormat="1" ht="3.75" customHeight="1" x14ac:dyDescent="0.2">
      <c r="A38" s="419"/>
      <c r="B38" s="419"/>
      <c r="C38" s="419"/>
      <c r="D38" s="419"/>
      <c r="E38" s="419"/>
      <c r="F38" s="419"/>
      <c r="G38" s="419"/>
      <c r="H38" s="419"/>
      <c r="I38" s="515"/>
      <c r="J38" s="515"/>
      <c r="K38" s="515"/>
      <c r="L38" s="515"/>
      <c r="M38" s="515"/>
      <c r="N38" s="418"/>
      <c r="O38" s="515"/>
      <c r="P38" s="515"/>
    </row>
    <row r="39" spans="1:16" ht="11.25" x14ac:dyDescent="0.2">
      <c r="A39" s="548" t="s">
        <v>84</v>
      </c>
      <c r="B39" s="548"/>
      <c r="C39" s="548"/>
      <c r="D39" s="548"/>
      <c r="E39" s="548"/>
      <c r="F39" s="548"/>
      <c r="G39" s="548"/>
      <c r="H39" s="548"/>
      <c r="N39" s="418"/>
    </row>
    <row r="40" spans="1:16" ht="11.25" x14ac:dyDescent="0.2">
      <c r="A40" s="10" t="s">
        <v>14</v>
      </c>
      <c r="B40" s="10"/>
      <c r="C40" s="10" t="s">
        <v>2</v>
      </c>
      <c r="D40" s="10" t="s">
        <v>3</v>
      </c>
      <c r="E40" s="10" t="s">
        <v>137</v>
      </c>
      <c r="F40" s="10" t="s">
        <v>25</v>
      </c>
      <c r="G40" s="10" t="s">
        <v>15</v>
      </c>
      <c r="H40" s="10" t="s">
        <v>240</v>
      </c>
      <c r="N40" s="418"/>
    </row>
    <row r="41" spans="1:16" ht="11.25" x14ac:dyDescent="0.2">
      <c r="A41" s="191" t="s">
        <v>66</v>
      </c>
      <c r="B41" s="167"/>
      <c r="C41" s="167" t="s">
        <v>69</v>
      </c>
      <c r="D41" s="192" t="s">
        <v>78</v>
      </c>
      <c r="E41" s="79">
        <f>F41/$B$33</f>
        <v>0</v>
      </c>
      <c r="F41" s="262">
        <f>'[3]Relatório Sazonalização (QM_GF)'!$K$19</f>
        <v>0</v>
      </c>
      <c r="G41" s="193">
        <f>1-IF($E$33&lt;0,0,$E$33)</f>
        <v>1</v>
      </c>
      <c r="H41" s="385"/>
      <c r="N41" s="418"/>
    </row>
    <row r="42" spans="1:16" ht="11.25" x14ac:dyDescent="0.2">
      <c r="A42" s="191" t="s">
        <v>251</v>
      </c>
      <c r="B42" s="167"/>
      <c r="C42" s="167" t="s">
        <v>69</v>
      </c>
      <c r="D42" s="192" t="s">
        <v>78</v>
      </c>
      <c r="E42" s="79">
        <f>F42/$B$33</f>
        <v>0</v>
      </c>
      <c r="F42" s="262">
        <f>'[3]Relatório Sazonalização (QM_GF)'!$K$17</f>
        <v>0</v>
      </c>
      <c r="G42" s="193">
        <f t="shared" ref="G42:G43" si="31">1-IF($E$33&lt;0,0,$E$33)</f>
        <v>1</v>
      </c>
      <c r="H42" s="385"/>
      <c r="N42" s="418"/>
    </row>
    <row r="43" spans="1:16" ht="11.25" x14ac:dyDescent="0.2">
      <c r="A43" s="194" t="s">
        <v>68</v>
      </c>
      <c r="B43" s="195"/>
      <c r="C43" s="195" t="s">
        <v>69</v>
      </c>
      <c r="D43" s="196" t="s">
        <v>78</v>
      </c>
      <c r="E43" s="97">
        <f>F43/$B$33</f>
        <v>0</v>
      </c>
      <c r="F43" s="264">
        <f>'[3]Relatório Sazonalização (QM_GF)'!$K$20</f>
        <v>0</v>
      </c>
      <c r="G43" s="197">
        <f t="shared" si="31"/>
        <v>1</v>
      </c>
      <c r="H43" s="386"/>
      <c r="N43" s="418"/>
    </row>
    <row r="44" spans="1:16" ht="11.25" x14ac:dyDescent="0.2">
      <c r="A44" s="198"/>
      <c r="B44" s="199"/>
      <c r="C44" s="198"/>
      <c r="D44" s="200"/>
      <c r="E44" s="85"/>
      <c r="F44" s="86"/>
      <c r="G44" s="201"/>
      <c r="H44" s="387"/>
      <c r="N44" s="418"/>
    </row>
    <row r="45" spans="1:16" ht="11.25" x14ac:dyDescent="0.2">
      <c r="A45" s="80" t="s">
        <v>32</v>
      </c>
      <c r="B45" s="421"/>
      <c r="C45" s="421"/>
      <c r="D45" s="422"/>
      <c r="E45" s="81">
        <f>SUM(E41:E44)</f>
        <v>0</v>
      </c>
      <c r="F45" s="84">
        <f>SUM(F41:F44)</f>
        <v>0</v>
      </c>
      <c r="G45" s="82"/>
      <c r="H45" s="8"/>
      <c r="N45" s="418"/>
    </row>
    <row r="46" spans="1:16" ht="11.25" x14ac:dyDescent="0.2">
      <c r="A46" s="177"/>
      <c r="B46" s="177"/>
      <c r="C46" s="177"/>
      <c r="D46" s="178"/>
      <c r="E46" s="177"/>
      <c r="F46" s="177"/>
      <c r="G46" s="177"/>
      <c r="H46" s="177"/>
      <c r="N46" s="418"/>
    </row>
    <row r="47" spans="1:16" ht="11.25" x14ac:dyDescent="0.2">
      <c r="A47" s="548" t="s">
        <v>70</v>
      </c>
      <c r="B47" s="548"/>
      <c r="C47" s="548"/>
      <c r="D47" s="548"/>
      <c r="E47" s="548"/>
      <c r="F47" s="548"/>
      <c r="G47" s="548"/>
      <c r="H47" s="548"/>
      <c r="N47" s="418"/>
    </row>
    <row r="48" spans="1:16" x14ac:dyDescent="0.15">
      <c r="A48" s="10" t="s">
        <v>252</v>
      </c>
      <c r="B48" s="10" t="s">
        <v>1</v>
      </c>
      <c r="C48" s="10" t="s">
        <v>2</v>
      </c>
      <c r="D48" s="10" t="s">
        <v>3</v>
      </c>
      <c r="E48" s="10" t="s">
        <v>137</v>
      </c>
      <c r="F48" s="10" t="s">
        <v>25</v>
      </c>
      <c r="G48" s="10" t="s">
        <v>253</v>
      </c>
      <c r="H48" s="10" t="s">
        <v>254</v>
      </c>
      <c r="J48" s="10" t="s">
        <v>72</v>
      </c>
      <c r="K48" s="10" t="s">
        <v>73</v>
      </c>
      <c r="L48" s="10" t="s">
        <v>74</v>
      </c>
      <c r="M48" s="10" t="s">
        <v>75</v>
      </c>
      <c r="N48" s="10" t="s">
        <v>425</v>
      </c>
    </row>
    <row r="49" spans="1:14" ht="11.25" x14ac:dyDescent="0.2">
      <c r="A49" s="167">
        <v>558365</v>
      </c>
      <c r="B49" s="167" t="s">
        <v>333</v>
      </c>
      <c r="C49" s="167" t="s">
        <v>71</v>
      </c>
      <c r="D49" s="192" t="s">
        <v>78</v>
      </c>
      <c r="E49" s="79">
        <f>F49/$B$33</f>
        <v>0</v>
      </c>
      <c r="F49" s="83">
        <f>VLOOKUP(A49,$A$202:$H$215,6,FALSE)</f>
        <v>0</v>
      </c>
      <c r="G49" s="193">
        <f>VLOOKUP(A49,$A$202:$H$215,7,FALSE)</f>
        <v>0</v>
      </c>
      <c r="H49" s="193">
        <f>F49*G49</f>
        <v>0</v>
      </c>
      <c r="I49" s="177"/>
      <c r="J49" s="9" t="str">
        <f>VLOOKUP($A49,[4]cliqccee!$A:$AK,26,FALSE)</f>
        <v>0,000000</v>
      </c>
      <c r="K49" s="9" t="str">
        <f>VLOOKUP($A49,[4]cliqccee!$A:$AK,10,FALSE)</f>
        <v>Validado</v>
      </c>
      <c r="L49" s="9" t="str">
        <f>VLOOKUP($A49,[4]cliqccee!$A:$AK,32,FALSE)</f>
        <v>FLAT</v>
      </c>
      <c r="M49" s="9" t="str">
        <f>VLOOKUP($A49,[4]cliqccee!$A:$AK,33,FALSE)</f>
        <v>Validado</v>
      </c>
      <c r="N49" s="499">
        <f>J49-E49</f>
        <v>0</v>
      </c>
    </row>
    <row r="50" spans="1:14" ht="11.25" x14ac:dyDescent="0.2">
      <c r="A50" s="195">
        <v>566833</v>
      </c>
      <c r="B50" s="195" t="s">
        <v>241</v>
      </c>
      <c r="C50" s="195" t="s">
        <v>71</v>
      </c>
      <c r="D50" s="196" t="s">
        <v>78</v>
      </c>
      <c r="E50" s="97">
        <f>F50/$B$33</f>
        <v>0</v>
      </c>
      <c r="F50" s="98">
        <f>VLOOKUP(A50,$A$823:$H$873,6,FALSE)</f>
        <v>0</v>
      </c>
      <c r="G50" s="197">
        <f>VLOOKUP(A50,$A$823:$H$873,7,FALSE)</f>
        <v>0</v>
      </c>
      <c r="H50" s="197">
        <f>F50*G50</f>
        <v>0</v>
      </c>
      <c r="I50" s="177"/>
      <c r="J50" s="9" t="str">
        <f>VLOOKUP($A50,[4]cliqccee!$A:$AK,26,FALSE)</f>
        <v>0,000000</v>
      </c>
      <c r="K50" s="9" t="str">
        <f>VLOOKUP($A50,[4]cliqccee!$A:$AK,10,FALSE)</f>
        <v>Validado</v>
      </c>
      <c r="L50" s="9" t="str">
        <f>VLOOKUP($A50,[4]cliqccee!$A:$AK,32,FALSE)</f>
        <v>FLAT</v>
      </c>
      <c r="M50" s="9" t="str">
        <f>VLOOKUP($A50,[4]cliqccee!$A:$AK,33,FALSE)</f>
        <v>Validado</v>
      </c>
      <c r="N50" s="499">
        <f>J50-E50</f>
        <v>0</v>
      </c>
    </row>
    <row r="51" spans="1:14" x14ac:dyDescent="0.15">
      <c r="A51" s="202"/>
      <c r="B51" s="202"/>
      <c r="C51" s="202"/>
      <c r="D51" s="202"/>
      <c r="E51" s="203"/>
      <c r="F51" s="204"/>
      <c r="G51" s="205"/>
      <c r="H51" s="206"/>
      <c r="I51" s="177"/>
      <c r="J51" s="393"/>
      <c r="K51" s="393"/>
      <c r="L51" s="393"/>
      <c r="M51" s="393"/>
      <c r="N51" s="393"/>
    </row>
    <row r="52" spans="1:14" ht="11.25" x14ac:dyDescent="0.2">
      <c r="A52" s="80" t="s">
        <v>32</v>
      </c>
      <c r="B52" s="421"/>
      <c r="C52" s="421"/>
      <c r="D52" s="422"/>
      <c r="E52" s="81">
        <f>SUM(E49:E51)</f>
        <v>0</v>
      </c>
      <c r="F52" s="84">
        <f>SUM(F49:F51)</f>
        <v>0</v>
      </c>
      <c r="G52" s="82">
        <f>IFERROR(H52/F52,0)</f>
        <v>0</v>
      </c>
      <c r="H52" s="82">
        <f>SUM(H49:H51)</f>
        <v>0</v>
      </c>
      <c r="I52" s="228"/>
      <c r="N52" s="418"/>
    </row>
    <row r="53" spans="1:14" ht="11.25" x14ac:dyDescent="0.2">
      <c r="A53" s="177"/>
      <c r="B53" s="177"/>
      <c r="C53" s="177"/>
      <c r="D53" s="178"/>
      <c r="E53" s="177"/>
      <c r="F53" s="177"/>
      <c r="G53" s="177"/>
      <c r="H53" s="177"/>
      <c r="I53" s="177"/>
      <c r="N53" s="418"/>
    </row>
    <row r="54" spans="1:14" ht="11.25" x14ac:dyDescent="0.2">
      <c r="A54" s="548" t="s">
        <v>76</v>
      </c>
      <c r="B54" s="548"/>
      <c r="C54" s="548"/>
      <c r="D54" s="548"/>
      <c r="E54" s="548"/>
      <c r="F54" s="548"/>
      <c r="G54" s="548"/>
      <c r="H54" s="548"/>
      <c r="N54" s="418"/>
    </row>
    <row r="55" spans="1:14" x14ac:dyDescent="0.15">
      <c r="A55" s="10" t="s">
        <v>252</v>
      </c>
      <c r="B55" s="10" t="s">
        <v>1</v>
      </c>
      <c r="C55" s="10" t="s">
        <v>2</v>
      </c>
      <c r="D55" s="10" t="s">
        <v>3</v>
      </c>
      <c r="E55" s="10" t="s">
        <v>137</v>
      </c>
      <c r="F55" s="10" t="s">
        <v>25</v>
      </c>
      <c r="G55" s="10" t="s">
        <v>253</v>
      </c>
      <c r="H55" s="10" t="s">
        <v>254</v>
      </c>
      <c r="J55" s="10" t="s">
        <v>72</v>
      </c>
      <c r="K55" s="10" t="s">
        <v>73</v>
      </c>
      <c r="L55" s="10" t="s">
        <v>74</v>
      </c>
      <c r="M55" s="10" t="s">
        <v>75</v>
      </c>
      <c r="N55" s="10" t="s">
        <v>425</v>
      </c>
    </row>
    <row r="56" spans="1:14" ht="11.25" x14ac:dyDescent="0.2">
      <c r="A56" s="167">
        <v>566654</v>
      </c>
      <c r="B56" s="167" t="s">
        <v>248</v>
      </c>
      <c r="C56" s="167" t="s">
        <v>77</v>
      </c>
      <c r="D56" s="192" t="s">
        <v>78</v>
      </c>
      <c r="E56" s="79">
        <f t="shared" ref="E56:E68" si="32">ROUND(F56/$B$33,6)</f>
        <v>0</v>
      </c>
      <c r="F56" s="83"/>
      <c r="G56" s="170"/>
      <c r="H56" s="193">
        <f t="shared" ref="H56:H67" si="33">F56*G56</f>
        <v>0</v>
      </c>
      <c r="I56" s="177"/>
      <c r="J56" s="9" t="str">
        <f>VLOOKUP($A56,[4]cliqccee!$A:$AK,26,FALSE)</f>
        <v>0,000000</v>
      </c>
      <c r="K56" s="9" t="str">
        <f>VLOOKUP($A56,[4]cliqccee!$A:$AK,10,FALSE)</f>
        <v>Validado</v>
      </c>
      <c r="L56" s="9" t="str">
        <f>VLOOKUP($A56,[4]cliqccee!$A:$AK,32,FALSE)</f>
        <v>FLAT</v>
      </c>
      <c r="M56" s="9" t="str">
        <f>VLOOKUP($A56,[4]cliqccee!$A:$AK,33,FALSE)</f>
        <v>Validado</v>
      </c>
      <c r="N56" s="499">
        <f t="shared" ref="N56:N68" si="34">J56-E56</f>
        <v>0</v>
      </c>
    </row>
    <row r="57" spans="1:14" ht="11.25" x14ac:dyDescent="0.2">
      <c r="A57" s="167">
        <v>134245</v>
      </c>
      <c r="B57" s="168" t="s">
        <v>243</v>
      </c>
      <c r="C57" s="167" t="s">
        <v>77</v>
      </c>
      <c r="D57" s="169" t="s">
        <v>78</v>
      </c>
      <c r="E57" s="79">
        <f t="shared" si="32"/>
        <v>0</v>
      </c>
      <c r="F57" s="83"/>
      <c r="G57" s="170"/>
      <c r="H57" s="170">
        <f t="shared" si="33"/>
        <v>0</v>
      </c>
      <c r="I57" s="177"/>
      <c r="J57" s="9" t="str">
        <f>VLOOKUP($A57,[4]cliqccee!$A:$AK,26,FALSE)</f>
        <v>0,000000</v>
      </c>
      <c r="K57" s="9" t="str">
        <f>VLOOKUP($A57,[4]cliqccee!$A:$AK,10,FALSE)</f>
        <v>Validado</v>
      </c>
      <c r="L57" s="9" t="str">
        <f>VLOOKUP($A57,[4]cliqccee!$A:$AK,32,FALSE)</f>
        <v>FLAT</v>
      </c>
      <c r="M57" s="9" t="str">
        <f>VLOOKUP($A57,[4]cliqccee!$A:$AK,33,FALSE)</f>
        <v>Validado</v>
      </c>
      <c r="N57" s="499">
        <f t="shared" si="34"/>
        <v>0</v>
      </c>
    </row>
    <row r="58" spans="1:14" ht="11.25" x14ac:dyDescent="0.2">
      <c r="A58" s="167">
        <v>567305</v>
      </c>
      <c r="B58" s="168" t="s">
        <v>250</v>
      </c>
      <c r="C58" s="167" t="s">
        <v>77</v>
      </c>
      <c r="D58" s="169" t="s">
        <v>78</v>
      </c>
      <c r="E58" s="79">
        <f t="shared" si="32"/>
        <v>0</v>
      </c>
      <c r="F58" s="83">
        <f>F45 - F59 - F61 -F68</f>
        <v>0</v>
      </c>
      <c r="G58" s="170"/>
      <c r="H58" s="170">
        <f t="shared" si="33"/>
        <v>0</v>
      </c>
      <c r="I58" s="498"/>
      <c r="J58" s="9" t="str">
        <f>VLOOKUP($A58,[4]cliqccee!$A:$AK,26,FALSE)</f>
        <v>20,685528</v>
      </c>
      <c r="K58" s="9" t="str">
        <f>VLOOKUP($A58,[4]cliqccee!$A:$AK,10,FALSE)</f>
        <v>Validado</v>
      </c>
      <c r="L58" s="9" t="str">
        <f>VLOOKUP($A58,[4]cliqccee!$A:$AK,32,FALSE)</f>
        <v>FLAT</v>
      </c>
      <c r="M58" s="9" t="str">
        <f>VLOOKUP($A58,[4]cliqccee!$A:$AK,33,FALSE)</f>
        <v>Ajustado Validado</v>
      </c>
      <c r="N58" s="499">
        <f t="shared" si="34"/>
        <v>20.685528000000001</v>
      </c>
    </row>
    <row r="59" spans="1:14" ht="11.25" x14ac:dyDescent="0.2">
      <c r="A59" s="167">
        <v>956730</v>
      </c>
      <c r="B59" s="168" t="s">
        <v>237</v>
      </c>
      <c r="C59" s="167" t="s">
        <v>77</v>
      </c>
      <c r="D59" s="169" t="s">
        <v>78</v>
      </c>
      <c r="E59" s="79">
        <f t="shared" si="32"/>
        <v>0</v>
      </c>
      <c r="F59" s="83"/>
      <c r="G59" s="170"/>
      <c r="H59" s="170">
        <f t="shared" si="33"/>
        <v>0</v>
      </c>
      <c r="I59" s="177"/>
      <c r="J59" s="9" t="e">
        <f>VLOOKUP($A59,[4]cliqccee!$A:$AK,26,FALSE)</f>
        <v>#N/A</v>
      </c>
      <c r="K59" s="9" t="e">
        <f>VLOOKUP($A59,[4]cliqccee!$A:$AK,10,FALSE)</f>
        <v>#N/A</v>
      </c>
      <c r="L59" s="9" t="e">
        <f>VLOOKUP($A59,[4]cliqccee!$A:$AK,32,FALSE)</f>
        <v>#N/A</v>
      </c>
      <c r="M59" s="9" t="e">
        <f>VLOOKUP($A59,[4]cliqccee!$A:$AK,33,FALSE)</f>
        <v>#N/A</v>
      </c>
      <c r="N59" s="499" t="e">
        <f t="shared" si="34"/>
        <v>#N/A</v>
      </c>
    </row>
    <row r="60" spans="1:14" ht="11.25" x14ac:dyDescent="0.2">
      <c r="A60" s="167">
        <v>566601</v>
      </c>
      <c r="B60" s="168" t="s">
        <v>247</v>
      </c>
      <c r="C60" s="167" t="s">
        <v>77</v>
      </c>
      <c r="D60" s="169" t="s">
        <v>78</v>
      </c>
      <c r="E60" s="79">
        <f t="shared" si="32"/>
        <v>0</v>
      </c>
      <c r="F60" s="83"/>
      <c r="G60" s="170"/>
      <c r="H60" s="170">
        <f t="shared" si="33"/>
        <v>0</v>
      </c>
      <c r="I60" s="177"/>
      <c r="J60" s="9" t="str">
        <f>VLOOKUP($A60,[4]cliqccee!$A:$AK,26,FALSE)</f>
        <v>0,000000</v>
      </c>
      <c r="K60" s="9" t="str">
        <f>VLOOKUP($A60,[4]cliqccee!$A:$AK,10,FALSE)</f>
        <v>Validado</v>
      </c>
      <c r="L60" s="9" t="str">
        <f>VLOOKUP($A60,[4]cliqccee!$A:$AK,32,FALSE)</f>
        <v>FLAT</v>
      </c>
      <c r="M60" s="9" t="str">
        <f>VLOOKUP($A60,[4]cliqccee!$A:$AK,33,FALSE)</f>
        <v>Validado</v>
      </c>
      <c r="N60" s="499">
        <f t="shared" si="34"/>
        <v>0</v>
      </c>
    </row>
    <row r="61" spans="1:14" ht="11.25" x14ac:dyDescent="0.2">
      <c r="A61" s="167">
        <v>567046</v>
      </c>
      <c r="B61" s="168" t="s">
        <v>249</v>
      </c>
      <c r="C61" s="167" t="s">
        <v>77</v>
      </c>
      <c r="D61" s="169" t="s">
        <v>78</v>
      </c>
      <c r="E61" s="79">
        <f t="shared" si="32"/>
        <v>0</v>
      </c>
      <c r="F61" s="500"/>
      <c r="G61" s="170"/>
      <c r="H61" s="170">
        <f t="shared" si="33"/>
        <v>0</v>
      </c>
      <c r="I61" s="177"/>
      <c r="J61" s="9" t="str">
        <f>VLOOKUP($A61,[4]cliqccee!$A:$AK,26,FALSE)</f>
        <v>0,000000</v>
      </c>
      <c r="K61" s="9" t="str">
        <f>VLOOKUP($A61,[4]cliqccee!$A:$AK,10,FALSE)</f>
        <v>Validado</v>
      </c>
      <c r="L61" s="9" t="str">
        <f>VLOOKUP($A61,[4]cliqccee!$A:$AK,32,FALSE)</f>
        <v>FLAT</v>
      </c>
      <c r="M61" s="9" t="str">
        <f>VLOOKUP($A61,[4]cliqccee!$A:$AK,33,FALSE)</f>
        <v>Validado</v>
      </c>
      <c r="N61" s="499">
        <f t="shared" si="34"/>
        <v>0</v>
      </c>
    </row>
    <row r="62" spans="1:14" ht="11.25" x14ac:dyDescent="0.2">
      <c r="A62" s="167">
        <v>567025</v>
      </c>
      <c r="B62" s="168" t="s">
        <v>173</v>
      </c>
      <c r="C62" s="167" t="s">
        <v>77</v>
      </c>
      <c r="D62" s="169" t="s">
        <v>78</v>
      </c>
      <c r="E62" s="79">
        <f t="shared" si="32"/>
        <v>0</v>
      </c>
      <c r="F62" s="83"/>
      <c r="G62" s="170"/>
      <c r="H62" s="170">
        <f t="shared" si="33"/>
        <v>0</v>
      </c>
      <c r="I62" s="177"/>
      <c r="J62" s="9" t="str">
        <f>VLOOKUP($A62,[4]cliqccee!$A:$AK,26,FALSE)</f>
        <v>0,000000</v>
      </c>
      <c r="K62" s="9" t="str">
        <f>VLOOKUP($A62,[4]cliqccee!$A:$AK,10,FALSE)</f>
        <v>Validado</v>
      </c>
      <c r="L62" s="9" t="str">
        <f>VLOOKUP($A62,[4]cliqccee!$A:$AK,32,FALSE)</f>
        <v>FLAT</v>
      </c>
      <c r="M62" s="9" t="str">
        <f>VLOOKUP($A62,[4]cliqccee!$A:$AK,33,FALSE)</f>
        <v>Validado</v>
      </c>
      <c r="N62" s="499">
        <f t="shared" si="34"/>
        <v>0</v>
      </c>
    </row>
    <row r="63" spans="1:14" ht="11.25" x14ac:dyDescent="0.2">
      <c r="A63" s="167">
        <v>558364</v>
      </c>
      <c r="B63" s="168" t="s">
        <v>246</v>
      </c>
      <c r="C63" s="167" t="s">
        <v>77</v>
      </c>
      <c r="D63" s="169" t="s">
        <v>78</v>
      </c>
      <c r="E63" s="79">
        <f t="shared" si="32"/>
        <v>0</v>
      </c>
      <c r="F63" s="83"/>
      <c r="G63" s="170"/>
      <c r="H63" s="170">
        <f t="shared" si="33"/>
        <v>0</v>
      </c>
      <c r="I63" s="177"/>
      <c r="J63" s="9" t="str">
        <f>VLOOKUP($A63,[4]cliqccee!$A:$AK,26,FALSE)</f>
        <v>0,000000</v>
      </c>
      <c r="K63" s="9" t="str">
        <f>VLOOKUP($A63,[4]cliqccee!$A:$AK,10,FALSE)</f>
        <v>Validado</v>
      </c>
      <c r="L63" s="9" t="str">
        <f>VLOOKUP($A63,[4]cliqccee!$A:$AK,32,FALSE)</f>
        <v>FLAT</v>
      </c>
      <c r="M63" s="9" t="str">
        <f>VLOOKUP($A63,[4]cliqccee!$A:$AK,33,FALSE)</f>
        <v>Validado</v>
      </c>
      <c r="N63" s="499">
        <f t="shared" si="34"/>
        <v>0</v>
      </c>
    </row>
    <row r="64" spans="1:14" ht="11.25" x14ac:dyDescent="0.2">
      <c r="A64" s="167">
        <v>566648</v>
      </c>
      <c r="B64" s="168" t="s">
        <v>152</v>
      </c>
      <c r="C64" s="167" t="s">
        <v>77</v>
      </c>
      <c r="D64" s="169" t="s">
        <v>78</v>
      </c>
      <c r="E64" s="79">
        <f t="shared" si="32"/>
        <v>0</v>
      </c>
      <c r="F64" s="83"/>
      <c r="G64" s="170"/>
      <c r="H64" s="170">
        <f t="shared" si="33"/>
        <v>0</v>
      </c>
      <c r="I64" s="177"/>
      <c r="J64" s="9" t="str">
        <f>VLOOKUP($A64,[4]cliqccee!$A:$AK,26,FALSE)</f>
        <v>0,000000</v>
      </c>
      <c r="K64" s="9" t="str">
        <f>VLOOKUP($A64,[4]cliqccee!$A:$AK,10,FALSE)</f>
        <v>Validado</v>
      </c>
      <c r="L64" s="9" t="str">
        <f>VLOOKUP($A64,[4]cliqccee!$A:$AK,32,FALSE)</f>
        <v>FLAT</v>
      </c>
      <c r="M64" s="9" t="str">
        <f>VLOOKUP($A64,[4]cliqccee!$A:$AK,33,FALSE)</f>
        <v>Validado</v>
      </c>
      <c r="N64" s="499">
        <f t="shared" si="34"/>
        <v>0</v>
      </c>
    </row>
    <row r="65" spans="1:14" ht="11.25" x14ac:dyDescent="0.2">
      <c r="A65" s="167">
        <v>956744</v>
      </c>
      <c r="B65" s="168" t="s">
        <v>376</v>
      </c>
      <c r="C65" s="167" t="s">
        <v>77</v>
      </c>
      <c r="D65" s="169" t="s">
        <v>78</v>
      </c>
      <c r="E65" s="79">
        <f t="shared" si="32"/>
        <v>0</v>
      </c>
      <c r="F65" s="83"/>
      <c r="G65" s="170"/>
      <c r="H65" s="170">
        <f t="shared" ref="H65" si="35">F65*G65</f>
        <v>0</v>
      </c>
      <c r="I65" s="177"/>
      <c r="J65" s="9" t="e">
        <f>VLOOKUP($A65,[4]cliqccee!$A:$AK,26,FALSE)</f>
        <v>#N/A</v>
      </c>
      <c r="K65" s="9" t="e">
        <f>VLOOKUP($A65,[4]cliqccee!$A:$AK,10,FALSE)</f>
        <v>#N/A</v>
      </c>
      <c r="L65" s="9" t="e">
        <f>VLOOKUP($A65,[4]cliqccee!$A:$AK,32,FALSE)</f>
        <v>#N/A</v>
      </c>
      <c r="M65" s="9" t="e">
        <f>VLOOKUP($A65,[4]cliqccee!$A:$AK,33,FALSE)</f>
        <v>#N/A</v>
      </c>
      <c r="N65" s="499" t="e">
        <f t="shared" si="34"/>
        <v>#N/A</v>
      </c>
    </row>
    <row r="66" spans="1:14" ht="11.25" x14ac:dyDescent="0.2">
      <c r="A66" s="167">
        <v>747543</v>
      </c>
      <c r="B66" s="168" t="s">
        <v>303</v>
      </c>
      <c r="C66" s="167" t="s">
        <v>77</v>
      </c>
      <c r="D66" s="169" t="s">
        <v>78</v>
      </c>
      <c r="E66" s="79">
        <f t="shared" si="32"/>
        <v>0</v>
      </c>
      <c r="F66" s="83"/>
      <c r="G66" s="170"/>
      <c r="H66" s="170">
        <f t="shared" si="33"/>
        <v>0</v>
      </c>
      <c r="I66" s="177"/>
      <c r="J66" s="9" t="str">
        <f>VLOOKUP($A66,[4]cliqccee!$A:$AK,26,FALSE)</f>
        <v>0,000000</v>
      </c>
      <c r="K66" s="9" t="str">
        <f>VLOOKUP($A66,[4]cliqccee!$A:$AK,10,FALSE)</f>
        <v>Validado</v>
      </c>
      <c r="L66" s="9" t="str">
        <f>VLOOKUP($A66,[4]cliqccee!$A:$AK,32,FALSE)</f>
        <v>FLAT</v>
      </c>
      <c r="M66" s="9" t="str">
        <f>VLOOKUP($A66,[4]cliqccee!$A:$AK,33,FALSE)</f>
        <v>Validado</v>
      </c>
      <c r="N66" s="499">
        <f t="shared" si="34"/>
        <v>0</v>
      </c>
    </row>
    <row r="67" spans="1:14" ht="11.25" x14ac:dyDescent="0.2">
      <c r="A67" s="167">
        <v>557976</v>
      </c>
      <c r="B67" s="168" t="s">
        <v>244</v>
      </c>
      <c r="C67" s="167" t="s">
        <v>77</v>
      </c>
      <c r="D67" s="169" t="s">
        <v>78</v>
      </c>
      <c r="E67" s="79">
        <f t="shared" si="32"/>
        <v>0</v>
      </c>
      <c r="F67" s="83"/>
      <c r="G67" s="170"/>
      <c r="H67" s="170">
        <f t="shared" si="33"/>
        <v>0</v>
      </c>
      <c r="I67" s="177"/>
      <c r="J67" s="9" t="str">
        <f>VLOOKUP($A67,[4]cliqccee!$A:$AK,26,FALSE)</f>
        <v>0,000000</v>
      </c>
      <c r="K67" s="9" t="str">
        <f>VLOOKUP($A67,[4]cliqccee!$A:$AK,10,FALSE)</f>
        <v>Validado</v>
      </c>
      <c r="L67" s="9" t="str">
        <f>VLOOKUP($A67,[4]cliqccee!$A:$AK,32,FALSE)</f>
        <v>FLAT</v>
      </c>
      <c r="M67" s="9" t="str">
        <f>VLOOKUP($A67,[4]cliqccee!$A:$AK,33,FALSE)</f>
        <v>Validado</v>
      </c>
      <c r="N67" s="499">
        <f t="shared" si="34"/>
        <v>0</v>
      </c>
    </row>
    <row r="68" spans="1:14" s="177" customFormat="1" ht="11.25" x14ac:dyDescent="0.2">
      <c r="A68" s="167">
        <v>1167485</v>
      </c>
      <c r="B68" s="167" t="s">
        <v>424</v>
      </c>
      <c r="C68" s="195" t="s">
        <v>77</v>
      </c>
      <c r="D68" s="196" t="s">
        <v>78</v>
      </c>
      <c r="E68" s="79">
        <f t="shared" si="32"/>
        <v>0</v>
      </c>
      <c r="F68" s="531"/>
      <c r="G68" s="193"/>
      <c r="H68" s="193"/>
      <c r="I68" s="531">
        <f>I484-J484</f>
        <v>0</v>
      </c>
      <c r="J68" s="9" t="str">
        <f>VLOOKUP($A68,[4]cliqccee!$A:$AK,26,FALSE)</f>
        <v>4,979315</v>
      </c>
      <c r="K68" s="9" t="str">
        <f>VLOOKUP($A68,[4]cliqccee!$A:$AK,10,FALSE)</f>
        <v>Validado</v>
      </c>
      <c r="L68" s="9" t="str">
        <f>VLOOKUP($A68,[4]cliqccee!$A:$AK,32,FALSE)</f>
        <v>FLAT</v>
      </c>
      <c r="M68" s="9" t="str">
        <f>VLOOKUP($A68,[4]cliqccee!$A:$AK,33,FALSE)</f>
        <v>Ajustado Validado</v>
      </c>
      <c r="N68" s="499">
        <f t="shared" si="34"/>
        <v>4.9793149999999997</v>
      </c>
    </row>
    <row r="69" spans="1:14" x14ac:dyDescent="0.15">
      <c r="A69" s="23"/>
      <c r="B69" s="23"/>
      <c r="C69" s="23"/>
      <c r="D69" s="23"/>
      <c r="E69" s="25"/>
      <c r="F69" s="24"/>
      <c r="G69" s="26"/>
      <c r="H69" s="28"/>
      <c r="I69" s="177"/>
      <c r="J69" s="393"/>
      <c r="K69" s="393"/>
      <c r="L69" s="393"/>
      <c r="M69" s="393"/>
      <c r="N69" s="393"/>
    </row>
    <row r="70" spans="1:14" ht="11.25" x14ac:dyDescent="0.2">
      <c r="A70" s="80" t="s">
        <v>32</v>
      </c>
      <c r="B70" s="421"/>
      <c r="C70" s="421"/>
      <c r="D70" s="422"/>
      <c r="E70" s="81">
        <f>SUM(E56:E69)</f>
        <v>0</v>
      </c>
      <c r="F70" s="84">
        <f>SUM(F56:F69)</f>
        <v>0</v>
      </c>
      <c r="G70" s="82">
        <f>IFERROR(H70/F70,0)</f>
        <v>0</v>
      </c>
      <c r="H70" s="82">
        <f>SUM(H56:H69)</f>
        <v>0</v>
      </c>
      <c r="I70" s="228"/>
      <c r="N70" s="418"/>
    </row>
    <row r="71" spans="1:14" ht="11.25" x14ac:dyDescent="0.2">
      <c r="A71" s="177"/>
      <c r="B71" s="177"/>
      <c r="C71" s="177"/>
      <c r="D71" s="178"/>
      <c r="E71" s="177"/>
      <c r="F71" s="177"/>
      <c r="G71" s="177"/>
      <c r="H71" s="177"/>
      <c r="I71" s="177"/>
      <c r="N71" s="418"/>
    </row>
    <row r="72" spans="1:14" ht="11.25" x14ac:dyDescent="0.2">
      <c r="A72" s="548" t="s">
        <v>233</v>
      </c>
      <c r="B72" s="548"/>
      <c r="C72" s="548"/>
      <c r="D72" s="178"/>
      <c r="E72" s="423" t="s">
        <v>19</v>
      </c>
      <c r="F72" s="423"/>
      <c r="G72" s="424" t="s">
        <v>20</v>
      </c>
      <c r="H72" s="424"/>
      <c r="I72" s="425" t="s">
        <v>21</v>
      </c>
      <c r="J72" s="425"/>
      <c r="K72" s="426" t="s">
        <v>22</v>
      </c>
      <c r="L72" s="426"/>
      <c r="N72" s="418"/>
    </row>
    <row r="73" spans="1:14" ht="11.25" x14ac:dyDescent="0.2">
      <c r="A73" s="10" t="s">
        <v>2</v>
      </c>
      <c r="B73" s="10" t="s">
        <v>137</v>
      </c>
      <c r="C73" s="10" t="s">
        <v>25</v>
      </c>
      <c r="D73" s="178"/>
      <c r="E73" s="427" t="s">
        <v>137</v>
      </c>
      <c r="F73" s="428" t="s">
        <v>25</v>
      </c>
      <c r="G73" s="429" t="s">
        <v>137</v>
      </c>
      <c r="H73" s="430" t="s">
        <v>25</v>
      </c>
      <c r="I73" s="431" t="s">
        <v>137</v>
      </c>
      <c r="J73" s="432" t="s">
        <v>25</v>
      </c>
      <c r="K73" s="433" t="s">
        <v>137</v>
      </c>
      <c r="L73" s="434" t="s">
        <v>25</v>
      </c>
      <c r="N73" s="418"/>
    </row>
    <row r="74" spans="1:14" ht="11.25" x14ac:dyDescent="0.2">
      <c r="A74" s="29" t="s">
        <v>69</v>
      </c>
      <c r="B74" s="70">
        <f>E45</f>
        <v>0</v>
      </c>
      <c r="C74" s="83">
        <f>F45</f>
        <v>0</v>
      </c>
      <c r="D74" s="178"/>
      <c r="E74" s="435">
        <f t="shared" ref="E74:E80" si="36">SUMIFS($E$41:$E$69,$C$41:$C$69,$A74,$D$41:$D$69,$E$72)</f>
        <v>0</v>
      </c>
      <c r="F74" s="436">
        <f t="shared" ref="F74:F80" si="37">SUMIFS($F$41:$F$69,$C$41:$C$69,$A74,$D$41:$D$69,$E$72)</f>
        <v>0</v>
      </c>
      <c r="G74" s="437">
        <f t="shared" ref="G74:G80" si="38">SUMIFS($E$41:$E$69,$C$41:$C$69,$A74,$D$41:$D$69,$G$72)</f>
        <v>0</v>
      </c>
      <c r="H74" s="438">
        <f t="shared" ref="H74:H80" si="39">SUMIFS($F$41:$F$69,$C$41:$C$69,$A74,$D$41:$D$69,$G$72)</f>
        <v>0</v>
      </c>
      <c r="I74" s="439">
        <f t="shared" ref="I74:I80" si="40">SUMIFS($E$41:$E$69,$C$41:$C$69,$A74,$D$41:$D$69,$I$72)</f>
        <v>0</v>
      </c>
      <c r="J74" s="440">
        <f t="shared" ref="J74:J80" si="41">SUMIFS($F$41:$F$69,$C$41:$C$69,$A74,$D$41:$D$69,$I$72)</f>
        <v>0</v>
      </c>
      <c r="K74" s="441">
        <f t="shared" ref="K74:K80" si="42">SUMIFS($E$41:$E$69,$C$41:$C$69,$A74,$D$41:$D$69,$K$72)</f>
        <v>0</v>
      </c>
      <c r="L74" s="442">
        <f t="shared" ref="L74:L80" si="43">SUMIFS($F$41:$F$69,$C$41:$C$69,$A74,$D$41:$D$69,$K$72)</f>
        <v>0</v>
      </c>
      <c r="N74" s="418"/>
    </row>
    <row r="75" spans="1:14" ht="11.25" x14ac:dyDescent="0.2">
      <c r="A75" s="29" t="s">
        <v>47</v>
      </c>
      <c r="B75" s="70">
        <v>0</v>
      </c>
      <c r="C75" s="83">
        <v>0</v>
      </c>
      <c r="D75" s="178"/>
      <c r="E75" s="435">
        <f t="shared" si="36"/>
        <v>0</v>
      </c>
      <c r="F75" s="436">
        <f t="shared" si="37"/>
        <v>0</v>
      </c>
      <c r="G75" s="437">
        <f t="shared" si="38"/>
        <v>0</v>
      </c>
      <c r="H75" s="438">
        <f t="shared" si="39"/>
        <v>0</v>
      </c>
      <c r="I75" s="439">
        <f t="shared" si="40"/>
        <v>0</v>
      </c>
      <c r="J75" s="440">
        <f t="shared" si="41"/>
        <v>0</v>
      </c>
      <c r="K75" s="441">
        <f t="shared" si="42"/>
        <v>0</v>
      </c>
      <c r="L75" s="442">
        <f t="shared" si="43"/>
        <v>0</v>
      </c>
      <c r="N75" s="418"/>
    </row>
    <row r="76" spans="1:14" ht="11.25" x14ac:dyDescent="0.2">
      <c r="A76" s="29" t="s">
        <v>79</v>
      </c>
      <c r="B76" s="70">
        <v>0</v>
      </c>
      <c r="C76" s="83">
        <v>0</v>
      </c>
      <c r="D76" s="178"/>
      <c r="E76" s="435">
        <f t="shared" si="36"/>
        <v>0</v>
      </c>
      <c r="F76" s="436">
        <f t="shared" si="37"/>
        <v>0</v>
      </c>
      <c r="G76" s="437">
        <f t="shared" si="38"/>
        <v>0</v>
      </c>
      <c r="H76" s="438">
        <f t="shared" si="39"/>
        <v>0</v>
      </c>
      <c r="I76" s="439">
        <f t="shared" si="40"/>
        <v>0</v>
      </c>
      <c r="J76" s="440">
        <f t="shared" si="41"/>
        <v>0</v>
      </c>
      <c r="K76" s="441">
        <f t="shared" si="42"/>
        <v>0</v>
      </c>
      <c r="L76" s="442">
        <f t="shared" si="43"/>
        <v>0</v>
      </c>
      <c r="N76" s="418"/>
    </row>
    <row r="77" spans="1:14" ht="11.25" x14ac:dyDescent="0.2">
      <c r="A77" s="29" t="s">
        <v>71</v>
      </c>
      <c r="B77" s="70">
        <f>E52</f>
        <v>0</v>
      </c>
      <c r="C77" s="83">
        <f>F52</f>
        <v>0</v>
      </c>
      <c r="D77" s="178"/>
      <c r="E77" s="435">
        <f t="shared" si="36"/>
        <v>0</v>
      </c>
      <c r="F77" s="436">
        <f t="shared" si="37"/>
        <v>0</v>
      </c>
      <c r="G77" s="437">
        <f t="shared" si="38"/>
        <v>0</v>
      </c>
      <c r="H77" s="438">
        <f t="shared" si="39"/>
        <v>0</v>
      </c>
      <c r="I77" s="439">
        <f t="shared" si="40"/>
        <v>0</v>
      </c>
      <c r="J77" s="440">
        <f t="shared" si="41"/>
        <v>0</v>
      </c>
      <c r="K77" s="441">
        <f t="shared" si="42"/>
        <v>0</v>
      </c>
      <c r="L77" s="442">
        <f t="shared" si="43"/>
        <v>0</v>
      </c>
      <c r="N77" s="418"/>
    </row>
    <row r="78" spans="1:14" ht="11.25" x14ac:dyDescent="0.2">
      <c r="A78" s="29" t="s">
        <v>9</v>
      </c>
      <c r="B78" s="70">
        <v>0</v>
      </c>
      <c r="C78" s="83">
        <v>0</v>
      </c>
      <c r="D78" s="178"/>
      <c r="E78" s="435">
        <f t="shared" si="36"/>
        <v>0</v>
      </c>
      <c r="F78" s="436">
        <f t="shared" si="37"/>
        <v>0</v>
      </c>
      <c r="G78" s="437">
        <f t="shared" si="38"/>
        <v>0</v>
      </c>
      <c r="H78" s="438">
        <f t="shared" si="39"/>
        <v>0</v>
      </c>
      <c r="I78" s="439">
        <f t="shared" si="40"/>
        <v>0</v>
      </c>
      <c r="J78" s="440">
        <f t="shared" si="41"/>
        <v>0</v>
      </c>
      <c r="K78" s="441">
        <f t="shared" si="42"/>
        <v>0</v>
      </c>
      <c r="L78" s="442">
        <f t="shared" si="43"/>
        <v>0</v>
      </c>
      <c r="N78" s="418"/>
    </row>
    <row r="79" spans="1:14" ht="11.25" x14ac:dyDescent="0.2">
      <c r="A79" s="29" t="s">
        <v>80</v>
      </c>
      <c r="B79" s="70">
        <v>0</v>
      </c>
      <c r="C79" s="83">
        <v>0</v>
      </c>
      <c r="D79" s="178"/>
      <c r="E79" s="435">
        <f t="shared" si="36"/>
        <v>0</v>
      </c>
      <c r="F79" s="436">
        <f t="shared" si="37"/>
        <v>0</v>
      </c>
      <c r="G79" s="437">
        <f t="shared" si="38"/>
        <v>0</v>
      </c>
      <c r="H79" s="438">
        <f t="shared" si="39"/>
        <v>0</v>
      </c>
      <c r="I79" s="439">
        <f t="shared" si="40"/>
        <v>0</v>
      </c>
      <c r="J79" s="440">
        <f t="shared" si="41"/>
        <v>0</v>
      </c>
      <c r="K79" s="441">
        <f t="shared" si="42"/>
        <v>0</v>
      </c>
      <c r="L79" s="442">
        <f t="shared" si="43"/>
        <v>0</v>
      </c>
      <c r="N79" s="418"/>
    </row>
    <row r="80" spans="1:14" ht="11.25" x14ac:dyDescent="0.2">
      <c r="A80" s="29" t="s">
        <v>77</v>
      </c>
      <c r="B80" s="70">
        <f>E70</f>
        <v>0</v>
      </c>
      <c r="C80" s="83">
        <f>F70</f>
        <v>0</v>
      </c>
      <c r="D80" s="178"/>
      <c r="E80" s="435">
        <f t="shared" si="36"/>
        <v>0</v>
      </c>
      <c r="F80" s="436">
        <f t="shared" si="37"/>
        <v>0</v>
      </c>
      <c r="G80" s="437">
        <f t="shared" si="38"/>
        <v>0</v>
      </c>
      <c r="H80" s="438">
        <f t="shared" si="39"/>
        <v>0</v>
      </c>
      <c r="I80" s="439">
        <f t="shared" si="40"/>
        <v>0</v>
      </c>
      <c r="J80" s="440">
        <f t="shared" si="41"/>
        <v>0</v>
      </c>
      <c r="K80" s="441">
        <f t="shared" si="42"/>
        <v>0</v>
      </c>
      <c r="L80" s="442">
        <f t="shared" si="43"/>
        <v>0</v>
      </c>
      <c r="N80" s="418"/>
    </row>
    <row r="81" spans="1:14" ht="11.25" x14ac:dyDescent="0.2">
      <c r="A81" s="11" t="s">
        <v>81</v>
      </c>
      <c r="B81" s="12">
        <f>SUM(B74:B77)-SUM(B78:B80)</f>
        <v>0</v>
      </c>
      <c r="C81" s="12">
        <f>SUM(C74:C77)-SUM(C78:C80)</f>
        <v>0</v>
      </c>
      <c r="D81" s="178"/>
      <c r="E81" s="443">
        <f>SUM(E74:E77)-SUM(E78:E80)</f>
        <v>0</v>
      </c>
      <c r="F81" s="444">
        <f>SUM(F74:F77)-SUM(F78:F80)</f>
        <v>0</v>
      </c>
      <c r="G81" s="445">
        <f t="shared" ref="G81:L81" si="44">SUM(G74:G77)-SUM(G78:G80)</f>
        <v>0</v>
      </c>
      <c r="H81" s="446">
        <f t="shared" si="44"/>
        <v>0</v>
      </c>
      <c r="I81" s="447">
        <f t="shared" si="44"/>
        <v>0</v>
      </c>
      <c r="J81" s="448">
        <f t="shared" si="44"/>
        <v>0</v>
      </c>
      <c r="K81" s="449">
        <f t="shared" si="44"/>
        <v>0</v>
      </c>
      <c r="L81" s="450">
        <f t="shared" si="44"/>
        <v>0</v>
      </c>
      <c r="N81" s="418"/>
    </row>
    <row r="82" spans="1:14" ht="11.25" x14ac:dyDescent="0.2">
      <c r="A82" s="11" t="s">
        <v>82</v>
      </c>
      <c r="B82" s="12">
        <f>SUM(B74:B77)-SUM(B78:B81)</f>
        <v>0</v>
      </c>
      <c r="C82" s="12">
        <f>SUM(C74:C77)-SUM(C78:C81)</f>
        <v>0</v>
      </c>
      <c r="D82" s="178"/>
      <c r="E82" s="443">
        <f t="shared" ref="E82:L82" si="45">SUM(E74:E77)-SUM(E78:E81)</f>
        <v>0</v>
      </c>
      <c r="F82" s="444">
        <f>SUM(F74:F77)-SUM(F78:F81)</f>
        <v>0</v>
      </c>
      <c r="G82" s="445">
        <f t="shared" si="45"/>
        <v>0</v>
      </c>
      <c r="H82" s="446">
        <f t="shared" si="45"/>
        <v>0</v>
      </c>
      <c r="I82" s="447">
        <f t="shared" si="45"/>
        <v>0</v>
      </c>
      <c r="J82" s="448">
        <f t="shared" si="45"/>
        <v>0</v>
      </c>
      <c r="K82" s="449">
        <f t="shared" si="45"/>
        <v>0</v>
      </c>
      <c r="L82" s="450">
        <f t="shared" si="45"/>
        <v>0</v>
      </c>
      <c r="N82" s="418"/>
    </row>
    <row r="83" spans="1:14" ht="11.25" x14ac:dyDescent="0.2">
      <c r="A83" s="177"/>
      <c r="B83" s="177"/>
      <c r="C83" s="177"/>
      <c r="D83" s="178"/>
      <c r="E83" s="177"/>
      <c r="F83" s="177"/>
      <c r="G83" s="177"/>
      <c r="H83" s="177"/>
      <c r="I83" s="177"/>
      <c r="N83" s="418"/>
    </row>
    <row r="84" spans="1:14" ht="11.25" x14ac:dyDescent="0.2">
      <c r="A84" s="177"/>
      <c r="B84" s="177"/>
      <c r="C84" s="177"/>
      <c r="D84" s="178"/>
      <c r="E84" s="451">
        <f>(F81*$H$5)+(H81*$J$5)+(J81*$L$5)+(L81*$N$5)</f>
        <v>0</v>
      </c>
      <c r="N84" s="418"/>
    </row>
    <row r="85" spans="1:14" ht="11.25" x14ac:dyDescent="0.2">
      <c r="A85" s="177"/>
      <c r="B85" s="177"/>
      <c r="C85" s="177"/>
      <c r="D85" s="178"/>
      <c r="E85" s="177"/>
      <c r="F85" s="177"/>
      <c r="G85" s="177"/>
      <c r="H85" s="177"/>
      <c r="I85" s="177"/>
      <c r="N85" s="418"/>
    </row>
    <row r="86" spans="1:14" ht="11.25" x14ac:dyDescent="0.2">
      <c r="A86" s="177"/>
      <c r="B86" s="177"/>
      <c r="C86" s="177"/>
      <c r="D86" s="178"/>
      <c r="E86" s="177"/>
      <c r="F86" s="177"/>
      <c r="G86" s="177"/>
      <c r="H86" s="177"/>
      <c r="I86" s="177"/>
      <c r="N86" s="418"/>
    </row>
    <row r="87" spans="1:14" ht="11.25" x14ac:dyDescent="0.2">
      <c r="A87" s="548" t="s">
        <v>281</v>
      </c>
      <c r="B87" s="548"/>
      <c r="C87" s="548"/>
      <c r="D87" s="548"/>
      <c r="E87" s="548"/>
      <c r="F87" s="548"/>
      <c r="G87" s="548"/>
      <c r="H87" s="548"/>
      <c r="N87" s="418"/>
    </row>
    <row r="88" spans="1:14" ht="11.25" x14ac:dyDescent="0.2">
      <c r="A88" s="548"/>
      <c r="B88" s="548"/>
      <c r="C88" s="548"/>
      <c r="D88" s="548"/>
      <c r="E88" s="548"/>
      <c r="F88" s="548"/>
      <c r="G88" s="548"/>
      <c r="H88" s="548"/>
      <c r="N88" s="418"/>
    </row>
    <row r="89" spans="1:14" ht="3.75" customHeight="1" x14ac:dyDescent="0.2">
      <c r="A89" s="419"/>
      <c r="B89" s="419"/>
      <c r="C89" s="419"/>
      <c r="D89" s="419"/>
      <c r="E89" s="419"/>
      <c r="F89" s="419"/>
      <c r="G89" s="419"/>
      <c r="H89" s="419"/>
      <c r="N89" s="418"/>
    </row>
    <row r="90" spans="1:14" ht="11.25" x14ac:dyDescent="0.2">
      <c r="A90" s="548" t="s">
        <v>84</v>
      </c>
      <c r="B90" s="548"/>
      <c r="C90" s="548"/>
      <c r="D90" s="548"/>
      <c r="E90" s="548"/>
      <c r="F90" s="548"/>
      <c r="G90" s="548"/>
      <c r="H90" s="548"/>
      <c r="N90" s="418"/>
    </row>
    <row r="91" spans="1:14" ht="11.25" x14ac:dyDescent="0.2">
      <c r="A91" s="10" t="s">
        <v>14</v>
      </c>
      <c r="B91" s="10"/>
      <c r="C91" s="10" t="s">
        <v>2</v>
      </c>
      <c r="D91" s="10" t="s">
        <v>3</v>
      </c>
      <c r="E91" s="10" t="s">
        <v>137</v>
      </c>
      <c r="F91" s="10" t="s">
        <v>25</v>
      </c>
      <c r="G91" s="10" t="s">
        <v>15</v>
      </c>
      <c r="H91" s="10" t="s">
        <v>240</v>
      </c>
      <c r="N91" s="418"/>
    </row>
    <row r="92" spans="1:14" ht="11.25" x14ac:dyDescent="0.2">
      <c r="A92" s="191" t="s">
        <v>135</v>
      </c>
      <c r="B92" s="168"/>
      <c r="C92" s="167" t="s">
        <v>69</v>
      </c>
      <c r="D92" s="169" t="s">
        <v>92</v>
      </c>
      <c r="E92" s="79">
        <f>ROUND(F92/$B$33,6)</f>
        <v>0</v>
      </c>
      <c r="F92" s="262">
        <f>'[3]Relatório Sazonalização (QM_GF)'!$K$18</f>
        <v>0</v>
      </c>
      <c r="G92" s="170">
        <f t="shared" ref="G92:G93" si="46">1-IF($E$33&lt;0,0,$E$33)</f>
        <v>1</v>
      </c>
      <c r="H92" s="383"/>
      <c r="N92" s="418"/>
    </row>
    <row r="93" spans="1:14" ht="11.25" x14ac:dyDescent="0.2">
      <c r="A93" s="191" t="s">
        <v>176</v>
      </c>
      <c r="B93" s="168"/>
      <c r="C93" s="167" t="s">
        <v>69</v>
      </c>
      <c r="D93" s="169" t="s">
        <v>78</v>
      </c>
      <c r="E93" s="79">
        <f>ROUND(F93/$B$33,6)</f>
        <v>0</v>
      </c>
      <c r="F93" s="354"/>
      <c r="G93" s="170">
        <f t="shared" si="46"/>
        <v>1</v>
      </c>
      <c r="H93" s="383"/>
      <c r="N93" s="418"/>
    </row>
    <row r="94" spans="1:14" ht="11.25" x14ac:dyDescent="0.2">
      <c r="A94" s="215"/>
      <c r="B94" s="215"/>
      <c r="C94" s="215"/>
      <c r="D94" s="216"/>
      <c r="E94" s="174"/>
      <c r="F94" s="175"/>
      <c r="G94" s="222"/>
      <c r="H94" s="384"/>
      <c r="N94" s="418"/>
    </row>
    <row r="95" spans="1:14" ht="11.25" x14ac:dyDescent="0.2">
      <c r="A95" s="80" t="s">
        <v>32</v>
      </c>
      <c r="B95" s="421"/>
      <c r="C95" s="421"/>
      <c r="D95" s="422"/>
      <c r="E95" s="81">
        <f>SUM(E92:E94)</f>
        <v>0</v>
      </c>
      <c r="F95" s="84">
        <f>SUM(F92:F94)</f>
        <v>0</v>
      </c>
      <c r="G95" s="82"/>
      <c r="H95" s="8"/>
      <c r="I95" s="228"/>
      <c r="N95" s="418"/>
    </row>
    <row r="96" spans="1:14" ht="11.25" x14ac:dyDescent="0.2">
      <c r="L96" s="410"/>
      <c r="N96" s="418"/>
    </row>
    <row r="97" spans="1:15" ht="11.25" x14ac:dyDescent="0.2">
      <c r="A97" s="548" t="s">
        <v>70</v>
      </c>
      <c r="B97" s="548"/>
      <c r="C97" s="548"/>
      <c r="D97" s="548"/>
      <c r="E97" s="548"/>
      <c r="F97" s="548"/>
      <c r="G97" s="548"/>
      <c r="H97" s="548"/>
      <c r="N97" s="418"/>
    </row>
    <row r="98" spans="1:15" x14ac:dyDescent="0.15">
      <c r="A98" s="10" t="s">
        <v>252</v>
      </c>
      <c r="B98" s="10" t="s">
        <v>1</v>
      </c>
      <c r="C98" s="10" t="s">
        <v>2</v>
      </c>
      <c r="D98" s="10" t="s">
        <v>3</v>
      </c>
      <c r="E98" s="10" t="s">
        <v>137</v>
      </c>
      <c r="F98" s="10" t="s">
        <v>25</v>
      </c>
      <c r="G98" s="10" t="s">
        <v>253</v>
      </c>
      <c r="H98" s="10" t="s">
        <v>254</v>
      </c>
      <c r="J98" s="10" t="s">
        <v>72</v>
      </c>
      <c r="K98" s="10" t="s">
        <v>73</v>
      </c>
      <c r="L98" s="10" t="s">
        <v>74</v>
      </c>
      <c r="M98" s="10" t="s">
        <v>75</v>
      </c>
      <c r="N98" s="10" t="s">
        <v>425</v>
      </c>
    </row>
    <row r="99" spans="1:15" ht="11.25" x14ac:dyDescent="0.2">
      <c r="A99" s="167">
        <v>877512</v>
      </c>
      <c r="B99" s="167" t="s">
        <v>282</v>
      </c>
      <c r="C99" s="167" t="s">
        <v>71</v>
      </c>
      <c r="D99" s="192" t="s">
        <v>92</v>
      </c>
      <c r="E99" s="79">
        <f>F99/$B$33</f>
        <v>349.68149999999997</v>
      </c>
      <c r="F99" s="83">
        <f>[5]LP_TIMELINE_MWh!$AY$28</f>
        <v>260163.03599999996</v>
      </c>
      <c r="G99" s="170">
        <f>[5]LONGO_PRAZO!$AP$28</f>
        <v>160.75</v>
      </c>
      <c r="H99" s="193">
        <f t="shared" ref="H99:H108" si="47">F99*G99</f>
        <v>41821208.036999993</v>
      </c>
      <c r="I99" s="102"/>
      <c r="J99" s="9" t="str">
        <f>VLOOKUP($A99,[4]cliqccee!$A:$AK,26,FALSE)</f>
        <v>0,000000</v>
      </c>
      <c r="K99" s="9" t="str">
        <f>VLOOKUP($A99,[4]cliqccee!$A:$AK,10,FALSE)</f>
        <v>Validado</v>
      </c>
      <c r="L99" s="9" t="str">
        <f>VLOOKUP($A99,[4]cliqccee!$A:$AK,32,FALSE)</f>
        <v>FLAT</v>
      </c>
      <c r="M99" s="9" t="str">
        <f>VLOOKUP($A99,[4]cliqccee!$A:$AK,33,FALSE)</f>
        <v>Validado</v>
      </c>
      <c r="N99" s="499">
        <f t="shared" ref="N99:N142" si="48">J99-E99</f>
        <v>-349.68149999999997</v>
      </c>
      <c r="O99" s="536"/>
    </row>
    <row r="100" spans="1:15" ht="11.25" x14ac:dyDescent="0.2">
      <c r="A100" s="167">
        <v>566787</v>
      </c>
      <c r="B100" s="168" t="s">
        <v>170</v>
      </c>
      <c r="C100" s="167" t="s">
        <v>71</v>
      </c>
      <c r="D100" s="169" t="s">
        <v>92</v>
      </c>
      <c r="E100" s="79">
        <f t="shared" ref="E100:E108" si="49">F100/$B$33</f>
        <v>0</v>
      </c>
      <c r="F100" s="83">
        <f>VLOOKUP(A100,$A$742:$H$772,6,FALSE)</f>
        <v>0</v>
      </c>
      <c r="G100" s="170">
        <f>VLOOKUP(A100,$A$742:$H$772,7,FALSE)</f>
        <v>0</v>
      </c>
      <c r="H100" s="170">
        <f t="shared" si="47"/>
        <v>0</v>
      </c>
      <c r="I100" s="102"/>
      <c r="J100" s="9" t="str">
        <f>VLOOKUP($A100,[4]cliqccee!$A:$AK,26,FALSE)</f>
        <v>0,000000</v>
      </c>
      <c r="K100" s="9" t="str">
        <f>VLOOKUP($A100,[4]cliqccee!$A:$AK,10,FALSE)</f>
        <v>Validado</v>
      </c>
      <c r="L100" s="9" t="str">
        <f>VLOOKUP($A100,[4]cliqccee!$A:$AK,32,FALSE)</f>
        <v>FLAT</v>
      </c>
      <c r="M100" s="9" t="str">
        <f>VLOOKUP($A100,[4]cliqccee!$A:$AK,33,FALSE)</f>
        <v>Validado</v>
      </c>
      <c r="N100" s="499">
        <f t="shared" si="48"/>
        <v>0</v>
      </c>
    </row>
    <row r="101" spans="1:15" ht="11.25" x14ac:dyDescent="0.2">
      <c r="A101" s="167">
        <v>821614</v>
      </c>
      <c r="B101" s="168" t="s">
        <v>283</v>
      </c>
      <c r="C101" s="167" t="s">
        <v>71</v>
      </c>
      <c r="D101" s="169" t="s">
        <v>78</v>
      </c>
      <c r="E101" s="79">
        <f t="shared" si="49"/>
        <v>71.745253943516019</v>
      </c>
      <c r="F101" s="83">
        <f>[5]LP_TIMELINE_MWh!$AY$35</f>
        <v>53378.468933975921</v>
      </c>
      <c r="G101" s="170">
        <f>[5]LONGO_PRAZO!$AQ$35</f>
        <v>160.14889744785506</v>
      </c>
      <c r="H101" s="170">
        <f t="shared" si="47"/>
        <v>8548502.9472308271</v>
      </c>
      <c r="I101" s="102"/>
      <c r="J101" s="9" t="str">
        <f>VLOOKUP($A101,[4]cliqccee!$A:$AK,26,FALSE)</f>
        <v>77,618534</v>
      </c>
      <c r="K101" s="9" t="str">
        <f>VLOOKUP($A101,[4]cliqccee!$A:$AK,10,FALSE)</f>
        <v>Validado</v>
      </c>
      <c r="L101" s="9" t="str">
        <f>VLOOKUP($A101,[4]cliqccee!$A:$AK,32,FALSE)</f>
        <v>DECLARADA</v>
      </c>
      <c r="M101" s="9" t="str">
        <f>VLOOKUP($A101,[4]cliqccee!$A:$AK,33,FALSE)</f>
        <v>Ajustado Validado</v>
      </c>
      <c r="N101" s="499">
        <f t="shared" si="48"/>
        <v>5.8732800564839778</v>
      </c>
    </row>
    <row r="102" spans="1:15" ht="11.25" x14ac:dyDescent="0.2">
      <c r="A102" s="167">
        <v>821609</v>
      </c>
      <c r="B102" s="168" t="s">
        <v>284</v>
      </c>
      <c r="C102" s="167" t="s">
        <v>71</v>
      </c>
      <c r="D102" s="169" t="s">
        <v>78</v>
      </c>
      <c r="E102" s="79">
        <f t="shared" si="49"/>
        <v>26.909425516691812</v>
      </c>
      <c r="F102" s="531">
        <f>[5]LP_TIMELINE_MWh!$AY$30</f>
        <v>20020.612584418708</v>
      </c>
      <c r="G102" s="170">
        <f>[5]LONGO_PRAZO!$AQ$30</f>
        <v>160.14889744785506</v>
      </c>
      <c r="H102" s="170">
        <f t="shared" si="47"/>
        <v>3206279.0316253081</v>
      </c>
      <c r="I102" s="102"/>
      <c r="J102" s="9" t="str">
        <f>VLOOKUP($A102,[4]cliqccee!$A:$AK,26,FALSE)</f>
        <v>28,975527</v>
      </c>
      <c r="K102" s="9" t="str">
        <f>VLOOKUP($A102,[4]cliqccee!$A:$AK,10,FALSE)</f>
        <v>Validado</v>
      </c>
      <c r="L102" s="9" t="str">
        <f>VLOOKUP($A102,[4]cliqccee!$A:$AK,32,FALSE)</f>
        <v>DECLARADA</v>
      </c>
      <c r="M102" s="9" t="str">
        <f>VLOOKUP($A102,[4]cliqccee!$A:$AK,33,FALSE)</f>
        <v>Ajustado Validado</v>
      </c>
      <c r="N102" s="499">
        <f t="shared" si="48"/>
        <v>2.0661014833081879</v>
      </c>
    </row>
    <row r="103" spans="1:15" ht="11.25" x14ac:dyDescent="0.2">
      <c r="A103" s="167">
        <v>821616</v>
      </c>
      <c r="B103" s="168" t="s">
        <v>285</v>
      </c>
      <c r="C103" s="167" t="s">
        <v>71</v>
      </c>
      <c r="D103" s="169" t="s">
        <v>78</v>
      </c>
      <c r="E103" s="79">
        <f t="shared" si="49"/>
        <v>78.217891216417968</v>
      </c>
      <c r="F103" s="83">
        <f>[5]LP_TIMELINE_MWh!$AY$33</f>
        <v>58194.111065014971</v>
      </c>
      <c r="G103" s="170">
        <f>[5]LONGO_PRAZO!$AQ$33</f>
        <v>160.14889744785506</v>
      </c>
      <c r="H103" s="170">
        <f t="shared" si="47"/>
        <v>9319722.7250201702</v>
      </c>
      <c r="I103" s="102"/>
      <c r="J103" s="9" t="str">
        <f>VLOOKUP($A103,[4]cliqccee!$A:$AK,26,FALSE)</f>
        <v>84,620977</v>
      </c>
      <c r="K103" s="9" t="str">
        <f>VLOOKUP($A103,[4]cliqccee!$A:$AK,10,FALSE)</f>
        <v>Validado</v>
      </c>
      <c r="L103" s="9" t="str">
        <f>VLOOKUP($A103,[4]cliqccee!$A:$AK,32,FALSE)</f>
        <v>DECLARADA</v>
      </c>
      <c r="M103" s="9" t="str">
        <f>VLOOKUP($A103,[4]cliqccee!$A:$AK,33,FALSE)</f>
        <v>Ajustado Validado</v>
      </c>
      <c r="N103" s="499">
        <f t="shared" si="48"/>
        <v>6.4030857835820285</v>
      </c>
    </row>
    <row r="104" spans="1:15" ht="11.25" x14ac:dyDescent="0.2">
      <c r="A104" s="167">
        <v>821618</v>
      </c>
      <c r="B104" s="168" t="s">
        <v>286</v>
      </c>
      <c r="C104" s="167" t="s">
        <v>71</v>
      </c>
      <c r="D104" s="192" t="s">
        <v>78</v>
      </c>
      <c r="E104" s="79">
        <f t="shared" si="49"/>
        <v>67.303196675239874</v>
      </c>
      <c r="F104" s="83">
        <f>[5]LP_TIMELINE_MWh!$AY$34</f>
        <v>50073.578326378461</v>
      </c>
      <c r="G104" s="170">
        <f>[5]LONGO_PRAZO!$AQ$34</f>
        <v>160.14889744785506</v>
      </c>
      <c r="H104" s="193">
        <f t="shared" si="47"/>
        <v>8019228.3602383221</v>
      </c>
      <c r="I104" s="102"/>
      <c r="J104" s="9" t="str">
        <f>VLOOKUP($A104,[4]cliqccee!$A:$AK,26,FALSE)</f>
        <v>72,812792</v>
      </c>
      <c r="K104" s="9" t="str">
        <f>VLOOKUP($A104,[4]cliqccee!$A:$AK,10,FALSE)</f>
        <v>Validado</v>
      </c>
      <c r="L104" s="9" t="str">
        <f>VLOOKUP($A104,[4]cliqccee!$A:$AK,32,FALSE)</f>
        <v>DECLARADA</v>
      </c>
      <c r="M104" s="9" t="str">
        <f>VLOOKUP($A104,[4]cliqccee!$A:$AK,33,FALSE)</f>
        <v>Ajustado Validado</v>
      </c>
      <c r="N104" s="499">
        <f t="shared" si="48"/>
        <v>5.5095953247601273</v>
      </c>
    </row>
    <row r="105" spans="1:15" ht="11.25" x14ac:dyDescent="0.2">
      <c r="A105" s="167">
        <v>821574</v>
      </c>
      <c r="B105" s="168" t="s">
        <v>287</v>
      </c>
      <c r="C105" s="167" t="s">
        <v>71</v>
      </c>
      <c r="D105" s="169" t="s">
        <v>78</v>
      </c>
      <c r="E105" s="79">
        <f t="shared" si="49"/>
        <v>38.2810409231191</v>
      </c>
      <c r="F105" s="83">
        <f>[5]LP_TIMELINE_MWh!$AY$31</f>
        <v>28481.094446800613</v>
      </c>
      <c r="G105" s="170">
        <f>[5]LONGO_PRAZO!$AQ$31</f>
        <v>160.14889744785506</v>
      </c>
      <c r="H105" s="170">
        <f t="shared" si="47"/>
        <v>4561215.8737633461</v>
      </c>
      <c r="I105" s="102"/>
      <c r="J105" s="9" t="str">
        <f>VLOOKUP($A105,[4]cliqccee!$A:$AK,26,FALSE)</f>
        <v>41,414815</v>
      </c>
      <c r="K105" s="9" t="str">
        <f>VLOOKUP($A105,[4]cliqccee!$A:$AK,10,FALSE)</f>
        <v>Validado</v>
      </c>
      <c r="L105" s="9" t="str">
        <f>VLOOKUP($A105,[4]cliqccee!$A:$AK,32,FALSE)</f>
        <v>DECLARADA</v>
      </c>
      <c r="M105" s="9" t="str">
        <f>VLOOKUP($A105,[4]cliqccee!$A:$AK,33,FALSE)</f>
        <v>Ajustado Validado</v>
      </c>
      <c r="N105" s="499">
        <f t="shared" si="48"/>
        <v>3.133774076880897</v>
      </c>
    </row>
    <row r="106" spans="1:15" ht="11.25" x14ac:dyDescent="0.2">
      <c r="A106" s="167">
        <v>821559</v>
      </c>
      <c r="B106" s="168" t="s">
        <v>288</v>
      </c>
      <c r="C106" s="167" t="s">
        <v>71</v>
      </c>
      <c r="D106" s="169" t="s">
        <v>78</v>
      </c>
      <c r="E106" s="79">
        <f t="shared" si="49"/>
        <v>43.397959385800362</v>
      </c>
      <c r="F106" s="83">
        <f>[5]LP_TIMELINE_MWh!$AY$32</f>
        <v>32288.081783035468</v>
      </c>
      <c r="G106" s="170">
        <f>[5]LONGO_PRAZO!$AQ$32</f>
        <v>160.14889744785506</v>
      </c>
      <c r="H106" s="170">
        <f t="shared" si="47"/>
        <v>5170900.6982593043</v>
      </c>
      <c r="I106" s="102"/>
      <c r="J106" s="9" t="str">
        <f>VLOOKUP($A106,[4]cliqccee!$A:$AK,26,FALSE)</f>
        <v>46,950613</v>
      </c>
      <c r="K106" s="9" t="str">
        <f>VLOOKUP($A106,[4]cliqccee!$A:$AK,10,FALSE)</f>
        <v>Validado</v>
      </c>
      <c r="L106" s="9" t="str">
        <f>VLOOKUP($A106,[4]cliqccee!$A:$AK,32,FALSE)</f>
        <v>DECLARADA</v>
      </c>
      <c r="M106" s="9" t="str">
        <f>VLOOKUP($A106,[4]cliqccee!$A:$AK,33,FALSE)</f>
        <v>Ajustado Validado</v>
      </c>
      <c r="N106" s="499">
        <f t="shared" si="48"/>
        <v>3.5526536141996345</v>
      </c>
    </row>
    <row r="107" spans="1:15" ht="11.25" x14ac:dyDescent="0.2">
      <c r="A107" s="167">
        <v>821572</v>
      </c>
      <c r="B107" s="168" t="s">
        <v>289</v>
      </c>
      <c r="C107" s="167" t="s">
        <v>71</v>
      </c>
      <c r="D107" s="169" t="s">
        <v>78</v>
      </c>
      <c r="E107" s="79">
        <f t="shared" si="49"/>
        <v>15.304016213327511</v>
      </c>
      <c r="F107" s="83">
        <f>[5]LP_TIMELINE_MWh!$AY$29</f>
        <v>11386.188062715668</v>
      </c>
      <c r="G107" s="170">
        <f>[5]LONGO_PRAZO!$AQ$29</f>
        <v>160.14889744785506</v>
      </c>
      <c r="H107" s="170">
        <f t="shared" si="47"/>
        <v>1823485.4643778431</v>
      </c>
      <c r="I107" s="102"/>
      <c r="J107" s="9" t="str">
        <f>VLOOKUP($A107,[4]cliqccee!$A:$AK,26,FALSE)</f>
        <v>16,556821</v>
      </c>
      <c r="K107" s="9" t="str">
        <f>VLOOKUP($A107,[4]cliqccee!$A:$AK,10,FALSE)</f>
        <v>Validado</v>
      </c>
      <c r="L107" s="9" t="str">
        <f>VLOOKUP($A107,[4]cliqccee!$A:$AK,32,FALSE)</f>
        <v>DECLARADA</v>
      </c>
      <c r="M107" s="9" t="str">
        <f>VLOOKUP($A107,[4]cliqccee!$A:$AK,33,FALSE)</f>
        <v>Ajustado Validado</v>
      </c>
      <c r="N107" s="499">
        <f t="shared" si="48"/>
        <v>1.2528047866724883</v>
      </c>
    </row>
    <row r="108" spans="1:15" ht="11.25" x14ac:dyDescent="0.2">
      <c r="A108" s="167">
        <v>558737</v>
      </c>
      <c r="B108" s="167" t="s">
        <v>170</v>
      </c>
      <c r="C108" s="167" t="s">
        <v>71</v>
      </c>
      <c r="D108" s="192" t="s">
        <v>78</v>
      </c>
      <c r="E108" s="79">
        <f t="shared" si="49"/>
        <v>0</v>
      </c>
      <c r="F108" s="83">
        <f>VLOOKUP(A108,$A$742:$H$772,6,FALSE)</f>
        <v>0</v>
      </c>
      <c r="G108" s="193">
        <f>VLOOKUP(A108,$A$742:$H$772,7,FALSE)</f>
        <v>0</v>
      </c>
      <c r="H108" s="193">
        <f t="shared" si="47"/>
        <v>0</v>
      </c>
      <c r="I108" s="102"/>
      <c r="J108" s="9" t="str">
        <f>VLOOKUP($A108,[4]cliqccee!$A:$AK,26,FALSE)</f>
        <v>0,000000</v>
      </c>
      <c r="K108" s="9" t="str">
        <f>VLOOKUP($A108,[4]cliqccee!$A:$AK,10,FALSE)</f>
        <v>Validado</v>
      </c>
      <c r="L108" s="9" t="str">
        <f>VLOOKUP($A108,[4]cliqccee!$A:$AK,32,FALSE)</f>
        <v>FLAT</v>
      </c>
      <c r="M108" s="9" t="str">
        <f>VLOOKUP($A108,[4]cliqccee!$A:$AK,33,FALSE)</f>
        <v>Validado</v>
      </c>
      <c r="N108" s="499">
        <f t="shared" si="48"/>
        <v>0</v>
      </c>
    </row>
    <row r="109" spans="1:15" ht="11.25" x14ac:dyDescent="0.2">
      <c r="A109" s="167">
        <v>1097141</v>
      </c>
      <c r="B109" s="167" t="s">
        <v>408</v>
      </c>
      <c r="C109" s="167" t="s">
        <v>71</v>
      </c>
      <c r="D109" s="192" t="s">
        <v>78</v>
      </c>
      <c r="E109" s="79">
        <f>ROUND(F109/$B$33,6)</f>
        <v>106.7</v>
      </c>
      <c r="F109" s="531">
        <f>VLOOKUP(A109,$A$742:$H$772,6,FALSE)</f>
        <v>79384.800000000003</v>
      </c>
      <c r="G109" s="193">
        <f>VLOOKUP(A109,$A$742:$H$772,7,FALSE)</f>
        <v>196.99</v>
      </c>
      <c r="H109" s="193">
        <f>G109*F109</f>
        <v>15638011.752000002</v>
      </c>
      <c r="I109" s="102"/>
      <c r="J109" s="9" t="str">
        <f>VLOOKUP($A109,[4]cliqccee!$A:$AK,26,FALSE)</f>
        <v>15,028321</v>
      </c>
      <c r="K109" s="9" t="str">
        <f>VLOOKUP($A109,[4]cliqccee!$A:$AK,10,FALSE)</f>
        <v>Validado</v>
      </c>
      <c r="L109" s="9" t="str">
        <f>VLOOKUP($A109,[4]cliqccee!$A:$AK,32,FALSE)</f>
        <v>FLAT</v>
      </c>
      <c r="M109" s="9" t="str">
        <f>VLOOKUP($A109,[4]cliqccee!$A:$AK,33,FALSE)</f>
        <v>Ajustado Validado</v>
      </c>
      <c r="N109" s="499">
        <f t="shared" si="48"/>
        <v>-91.671678999999997</v>
      </c>
    </row>
    <row r="110" spans="1:15" ht="11.25" outlineLevel="1" x14ac:dyDescent="0.2">
      <c r="A110" s="167"/>
      <c r="B110" s="406" t="s">
        <v>454</v>
      </c>
      <c r="C110" s="406" t="s">
        <v>71</v>
      </c>
      <c r="D110" s="407" t="s">
        <v>78</v>
      </c>
      <c r="E110" s="501">
        <v>10</v>
      </c>
      <c r="F110" s="500">
        <f t="shared" ref="F110:F129" si="50">E110*$B$33</f>
        <v>7440</v>
      </c>
      <c r="G110" s="506">
        <f>'[6]Contratos_Curto Prazo (Compra)'!L39/(0.9075)</f>
        <v>145</v>
      </c>
      <c r="H110" s="525">
        <f t="shared" ref="H110" si="51">G110*F110</f>
        <v>1078800</v>
      </c>
      <c r="I110" s="102"/>
      <c r="J110" s="9" t="e">
        <f>VLOOKUP($A110,[4]cliqccee!$A:$AK,26,FALSE)</f>
        <v>#N/A</v>
      </c>
      <c r="K110" s="9" t="e">
        <f>VLOOKUP($A110,[4]cliqccee!$A:$AK,10,FALSE)</f>
        <v>#N/A</v>
      </c>
      <c r="L110" s="9" t="e">
        <f>VLOOKUP($A110,[4]cliqccee!$A:$AK,32,FALSE)</f>
        <v>#N/A</v>
      </c>
      <c r="M110" s="9" t="e">
        <f>VLOOKUP($A110,[4]cliqccee!$A:$AK,33,FALSE)</f>
        <v>#N/A</v>
      </c>
      <c r="N110" s="499" t="e">
        <f t="shared" si="48"/>
        <v>#N/A</v>
      </c>
    </row>
    <row r="111" spans="1:15" ht="11.25" outlineLevel="1" x14ac:dyDescent="0.2">
      <c r="A111" s="167"/>
      <c r="B111" s="406" t="s">
        <v>453</v>
      </c>
      <c r="C111" s="406" t="s">
        <v>71</v>
      </c>
      <c r="D111" s="407" t="s">
        <v>78</v>
      </c>
      <c r="E111" s="501">
        <v>2</v>
      </c>
      <c r="F111" s="500">
        <f t="shared" si="50"/>
        <v>1488</v>
      </c>
      <c r="G111" s="506">
        <f>'[6]Contratos_Curto Prazo (Compra)'!L40/(0.9075)</f>
        <v>131</v>
      </c>
      <c r="H111" s="525">
        <f t="shared" ref="H111" si="52">G111*F111</f>
        <v>194928</v>
      </c>
      <c r="I111" s="102"/>
      <c r="J111" s="9" t="e">
        <f>VLOOKUP($A111,[4]cliqccee!$A:$AK,26,FALSE)</f>
        <v>#N/A</v>
      </c>
      <c r="K111" s="9" t="e">
        <f>VLOOKUP($A111,[4]cliqccee!$A:$AK,10,FALSE)</f>
        <v>#N/A</v>
      </c>
      <c r="L111" s="9" t="e">
        <f>VLOOKUP($A111,[4]cliqccee!$A:$AK,32,FALSE)</f>
        <v>#N/A</v>
      </c>
      <c r="M111" s="9" t="e">
        <f>VLOOKUP($A111,[4]cliqccee!$A:$AK,33,FALSE)</f>
        <v>#N/A</v>
      </c>
      <c r="N111" s="499" t="e">
        <f t="shared" si="48"/>
        <v>#N/A</v>
      </c>
    </row>
    <row r="112" spans="1:15" s="539" customFormat="1" ht="11.25" outlineLevel="1" x14ac:dyDescent="0.2">
      <c r="A112" s="167"/>
      <c r="B112" s="406" t="s">
        <v>452</v>
      </c>
      <c r="C112" s="406" t="s">
        <v>71</v>
      </c>
      <c r="D112" s="407" t="s">
        <v>78</v>
      </c>
      <c r="E112" s="501">
        <v>3</v>
      </c>
      <c r="F112" s="500">
        <f t="shared" si="50"/>
        <v>2232</v>
      </c>
      <c r="G112" s="506">
        <f>'[6]Contratos_Curto Prazo (Compra)'!L41/(0.9075)</f>
        <v>132.5</v>
      </c>
      <c r="H112" s="525">
        <f t="shared" ref="H112:H114" si="53">G112*F112</f>
        <v>295740</v>
      </c>
      <c r="I112" s="102"/>
      <c r="J112" s="9" t="e">
        <f>VLOOKUP($A112,[4]cliqccee!$A:$AK,26,FALSE)</f>
        <v>#N/A</v>
      </c>
      <c r="K112" s="9" t="e">
        <f>VLOOKUP($A112,[4]cliqccee!$A:$AK,10,FALSE)</f>
        <v>#N/A</v>
      </c>
      <c r="L112" s="9" t="e">
        <f>VLOOKUP($A112,[4]cliqccee!$A:$AK,32,FALSE)</f>
        <v>#N/A</v>
      </c>
      <c r="M112" s="9" t="e">
        <f>VLOOKUP($A112,[4]cliqccee!$A:$AK,33,FALSE)</f>
        <v>#N/A</v>
      </c>
      <c r="N112" s="499" t="e">
        <f t="shared" si="48"/>
        <v>#N/A</v>
      </c>
    </row>
    <row r="113" spans="1:14" s="539" customFormat="1" ht="11.25" outlineLevel="1" x14ac:dyDescent="0.2">
      <c r="A113" s="167"/>
      <c r="B113" s="406" t="s">
        <v>451</v>
      </c>
      <c r="C113" s="406" t="s">
        <v>71</v>
      </c>
      <c r="D113" s="407" t="s">
        <v>78</v>
      </c>
      <c r="E113" s="501">
        <v>5</v>
      </c>
      <c r="F113" s="500">
        <f t="shared" si="50"/>
        <v>3720</v>
      </c>
      <c r="G113" s="506">
        <f>'[6]Contratos_Curto Prazo (Compra)'!L42/(0.9075)</f>
        <v>133</v>
      </c>
      <c r="H113" s="525">
        <f t="shared" ref="H113" si="54">G113*F113</f>
        <v>494760</v>
      </c>
      <c r="I113" s="102"/>
      <c r="J113" s="9"/>
      <c r="K113" s="9"/>
      <c r="L113" s="9"/>
      <c r="M113" s="9"/>
      <c r="N113" s="499"/>
    </row>
    <row r="114" spans="1:14" s="539" customFormat="1" ht="11.25" outlineLevel="1" x14ac:dyDescent="0.2">
      <c r="A114" s="167"/>
      <c r="B114" s="406" t="s">
        <v>450</v>
      </c>
      <c r="C114" s="406" t="s">
        <v>71</v>
      </c>
      <c r="D114" s="407" t="s">
        <v>78</v>
      </c>
      <c r="E114" s="501">
        <v>5</v>
      </c>
      <c r="F114" s="500">
        <f t="shared" si="50"/>
        <v>3720</v>
      </c>
      <c r="G114" s="506">
        <f>'[6]Contratos_Curto Prazo (Compra)'!L43/(0.9075)</f>
        <v>133.16999999999999</v>
      </c>
      <c r="H114" s="525">
        <f t="shared" si="53"/>
        <v>495392.39999999997</v>
      </c>
      <c r="I114" s="102"/>
      <c r="J114" s="9" t="e">
        <f>VLOOKUP($A114,[4]cliqccee!$A:$AK,26,FALSE)</f>
        <v>#N/A</v>
      </c>
      <c r="K114" s="9" t="e">
        <f>VLOOKUP($A114,[4]cliqccee!$A:$AK,10,FALSE)</f>
        <v>#N/A</v>
      </c>
      <c r="L114" s="9" t="e">
        <f>VLOOKUP($A114,[4]cliqccee!$A:$AK,32,FALSE)</f>
        <v>#N/A</v>
      </c>
      <c r="M114" s="9" t="e">
        <f>VLOOKUP($A114,[4]cliqccee!$A:$AK,33,FALSE)</f>
        <v>#N/A</v>
      </c>
      <c r="N114" s="499" t="e">
        <f t="shared" si="48"/>
        <v>#N/A</v>
      </c>
    </row>
    <row r="115" spans="1:14" s="539" customFormat="1" ht="11.25" outlineLevel="1" x14ac:dyDescent="0.2">
      <c r="A115" s="167"/>
      <c r="B115" s="406" t="s">
        <v>449</v>
      </c>
      <c r="C115" s="406" t="s">
        <v>71</v>
      </c>
      <c r="D115" s="407" t="s">
        <v>78</v>
      </c>
      <c r="E115" s="501">
        <v>5</v>
      </c>
      <c r="F115" s="500">
        <f t="shared" si="50"/>
        <v>3720</v>
      </c>
      <c r="G115" s="506">
        <f>'[6]Contratos_Curto Prazo (Compra)'!L44/(0.9075)</f>
        <v>151.5</v>
      </c>
      <c r="H115" s="525">
        <f t="shared" ref="H115" si="55">G115*F115</f>
        <v>563580</v>
      </c>
      <c r="I115" s="102"/>
      <c r="J115" s="9"/>
      <c r="K115" s="9"/>
      <c r="L115" s="9"/>
      <c r="M115" s="9"/>
      <c r="N115" s="499"/>
    </row>
    <row r="116" spans="1:14" s="539" customFormat="1" ht="11.25" outlineLevel="1" x14ac:dyDescent="0.2">
      <c r="A116" s="167"/>
      <c r="B116" s="406" t="s">
        <v>448</v>
      </c>
      <c r="C116" s="406" t="s">
        <v>71</v>
      </c>
      <c r="D116" s="407" t="s">
        <v>78</v>
      </c>
      <c r="E116" s="501">
        <v>3.4</v>
      </c>
      <c r="F116" s="500">
        <f t="shared" si="50"/>
        <v>2529.6</v>
      </c>
      <c r="G116" s="506">
        <f>'[6]Contratos_Curto Prazo (Compra)'!L45/(0.9075)</f>
        <v>151</v>
      </c>
      <c r="H116" s="525">
        <f t="shared" ref="H116" si="56">G116*F116</f>
        <v>381969.6</v>
      </c>
      <c r="I116" s="102"/>
      <c r="J116" s="9"/>
      <c r="K116" s="9"/>
      <c r="L116" s="9"/>
      <c r="M116" s="9"/>
      <c r="N116" s="499"/>
    </row>
    <row r="117" spans="1:14" s="539" customFormat="1" ht="11.25" outlineLevel="1" x14ac:dyDescent="0.2">
      <c r="A117" s="167"/>
      <c r="B117" s="406" t="s">
        <v>455</v>
      </c>
      <c r="C117" s="406" t="s">
        <v>71</v>
      </c>
      <c r="D117" s="407" t="s">
        <v>78</v>
      </c>
      <c r="E117" s="501">
        <v>3</v>
      </c>
      <c r="F117" s="500">
        <f t="shared" si="50"/>
        <v>2232</v>
      </c>
      <c r="G117" s="506">
        <f>'[6]Contratos_Curto Prazo (Compra)'!L46/(0.9075)</f>
        <v>150.9</v>
      </c>
      <c r="H117" s="525">
        <f t="shared" ref="H117" si="57">G117*F117</f>
        <v>336808.8</v>
      </c>
      <c r="I117" s="102"/>
      <c r="J117" s="9"/>
      <c r="K117" s="9"/>
      <c r="L117" s="9"/>
      <c r="M117" s="9"/>
      <c r="N117" s="499"/>
    </row>
    <row r="118" spans="1:14" s="539" customFormat="1" ht="11.25" outlineLevel="1" x14ac:dyDescent="0.2">
      <c r="A118" s="167"/>
      <c r="B118" s="406" t="s">
        <v>456</v>
      </c>
      <c r="C118" s="406" t="s">
        <v>71</v>
      </c>
      <c r="D118" s="407" t="s">
        <v>78</v>
      </c>
      <c r="E118" s="501">
        <v>15</v>
      </c>
      <c r="F118" s="500">
        <f t="shared" si="50"/>
        <v>11160</v>
      </c>
      <c r="G118" s="506">
        <f>'[6]Contratos_Curto Prazo (Compra)'!L47/(0.9075)</f>
        <v>138.5</v>
      </c>
      <c r="H118" s="525">
        <f t="shared" ref="H118" si="58">G118*F118</f>
        <v>1545660</v>
      </c>
      <c r="I118" s="102"/>
      <c r="J118" s="9"/>
      <c r="K118" s="9"/>
      <c r="L118" s="9"/>
      <c r="M118" s="9"/>
      <c r="N118" s="499"/>
    </row>
    <row r="119" spans="1:14" s="539" customFormat="1" ht="11.25" outlineLevel="1" x14ac:dyDescent="0.2">
      <c r="A119" s="167"/>
      <c r="B119" s="406" t="s">
        <v>513</v>
      </c>
      <c r="C119" s="406" t="s">
        <v>71</v>
      </c>
      <c r="D119" s="407" t="s">
        <v>78</v>
      </c>
      <c r="E119" s="501">
        <v>8</v>
      </c>
      <c r="F119" s="500">
        <f t="shared" si="50"/>
        <v>5952</v>
      </c>
      <c r="G119" s="506">
        <f>'[6]Contratos_Curto Prazo (Compra)'!L48/(0.9075)</f>
        <v>120.31</v>
      </c>
      <c r="H119" s="525">
        <f t="shared" ref="H119:H141" si="59">G119*F119</f>
        <v>716085.12</v>
      </c>
      <c r="I119" s="102"/>
      <c r="J119" s="9"/>
      <c r="K119" s="9"/>
      <c r="L119" s="9"/>
      <c r="M119" s="9"/>
      <c r="N119" s="499"/>
    </row>
    <row r="120" spans="1:14" s="539" customFormat="1" ht="11.25" outlineLevel="1" x14ac:dyDescent="0.2">
      <c r="A120" s="167"/>
      <c r="B120" s="406" t="s">
        <v>469</v>
      </c>
      <c r="C120" s="406" t="s">
        <v>71</v>
      </c>
      <c r="D120" s="407" t="s">
        <v>78</v>
      </c>
      <c r="E120" s="501">
        <v>1</v>
      </c>
      <c r="F120" s="500">
        <f t="shared" si="50"/>
        <v>744</v>
      </c>
      <c r="G120" s="506">
        <f>'[6]Contratos_Curto Prazo (Compra)'!L49/(0.9075)</f>
        <v>120.8</v>
      </c>
      <c r="H120" s="525">
        <f t="shared" si="59"/>
        <v>89875.199999999997</v>
      </c>
      <c r="I120" s="102"/>
      <c r="J120" s="9"/>
      <c r="K120" s="9"/>
      <c r="L120" s="9"/>
      <c r="M120" s="9"/>
      <c r="N120" s="499"/>
    </row>
    <row r="121" spans="1:14" s="539" customFormat="1" ht="11.25" outlineLevel="1" x14ac:dyDescent="0.2">
      <c r="A121" s="167"/>
      <c r="B121" s="406" t="s">
        <v>457</v>
      </c>
      <c r="C121" s="406" t="s">
        <v>71</v>
      </c>
      <c r="D121" s="407" t="s">
        <v>78</v>
      </c>
      <c r="E121" s="501">
        <v>10</v>
      </c>
      <c r="F121" s="500">
        <f t="shared" si="50"/>
        <v>7440</v>
      </c>
      <c r="G121" s="506">
        <f>'[6]Contratos_Curto Prazo (Compra)'!L50/(0.9075)</f>
        <v>119.95</v>
      </c>
      <c r="H121" s="525">
        <f t="shared" si="59"/>
        <v>892428</v>
      </c>
      <c r="I121" s="102"/>
      <c r="J121" s="9"/>
      <c r="K121" s="9"/>
      <c r="L121" s="9"/>
      <c r="M121" s="9"/>
      <c r="N121" s="499"/>
    </row>
    <row r="122" spans="1:14" s="539" customFormat="1" ht="11.25" outlineLevel="1" x14ac:dyDescent="0.2">
      <c r="A122" s="167"/>
      <c r="B122" s="406" t="s">
        <v>458</v>
      </c>
      <c r="C122" s="406" t="s">
        <v>71</v>
      </c>
      <c r="D122" s="407" t="s">
        <v>78</v>
      </c>
      <c r="E122" s="501">
        <v>2</v>
      </c>
      <c r="F122" s="500">
        <f t="shared" si="50"/>
        <v>1488</v>
      </c>
      <c r="G122" s="506">
        <f>'[6]Contratos_Curto Prazo (Compra)'!L51/(0.9075)</f>
        <v>119.95</v>
      </c>
      <c r="H122" s="525">
        <f t="shared" si="59"/>
        <v>178485.6</v>
      </c>
      <c r="I122" s="102"/>
      <c r="J122" s="9" t="e">
        <f>VLOOKUP($A122,[4]cliqccee!$A:$AK,26,FALSE)</f>
        <v>#N/A</v>
      </c>
      <c r="K122" s="9" t="e">
        <f>VLOOKUP($A122,[4]cliqccee!$A:$AK,10,FALSE)</f>
        <v>#N/A</v>
      </c>
      <c r="L122" s="9" t="e">
        <f>VLOOKUP($A122,[4]cliqccee!$A:$AK,32,FALSE)</f>
        <v>#N/A</v>
      </c>
      <c r="M122" s="9" t="e">
        <f>VLOOKUP($A122,[4]cliqccee!$A:$AK,33,FALSE)</f>
        <v>#N/A</v>
      </c>
      <c r="N122" s="499" t="e">
        <f t="shared" si="48"/>
        <v>#N/A</v>
      </c>
    </row>
    <row r="123" spans="1:14" s="539" customFormat="1" ht="11.25" outlineLevel="1" x14ac:dyDescent="0.2">
      <c r="A123" s="167"/>
      <c r="B123" s="406" t="s">
        <v>460</v>
      </c>
      <c r="C123" s="406" t="s">
        <v>71</v>
      </c>
      <c r="D123" s="407" t="s">
        <v>78</v>
      </c>
      <c r="E123" s="501">
        <v>5</v>
      </c>
      <c r="F123" s="500">
        <f t="shared" si="50"/>
        <v>3720</v>
      </c>
      <c r="G123" s="506">
        <f>'[6]Contratos_Curto Prazo (Compra)'!L52/(0.9075)</f>
        <v>119.5</v>
      </c>
      <c r="H123" s="525">
        <f t="shared" si="59"/>
        <v>444540</v>
      </c>
      <c r="I123" s="102"/>
      <c r="J123" s="9" t="e">
        <f>VLOOKUP($A123,[4]cliqccee!$A:$AK,26,FALSE)</f>
        <v>#N/A</v>
      </c>
      <c r="K123" s="9" t="e">
        <f>VLOOKUP($A123,[4]cliqccee!$A:$AK,10,FALSE)</f>
        <v>#N/A</v>
      </c>
      <c r="L123" s="9" t="e">
        <f>VLOOKUP($A123,[4]cliqccee!$A:$AK,32,FALSE)</f>
        <v>#N/A</v>
      </c>
      <c r="M123" s="9" t="e">
        <f>VLOOKUP($A123,[4]cliqccee!$A:$AK,33,FALSE)</f>
        <v>#N/A</v>
      </c>
      <c r="N123" s="499" t="e">
        <f t="shared" si="48"/>
        <v>#N/A</v>
      </c>
    </row>
    <row r="124" spans="1:14" s="539" customFormat="1" ht="11.25" outlineLevel="1" x14ac:dyDescent="0.2">
      <c r="A124" s="167"/>
      <c r="B124" s="406" t="s">
        <v>461</v>
      </c>
      <c r="C124" s="406" t="s">
        <v>71</v>
      </c>
      <c r="D124" s="407" t="s">
        <v>78</v>
      </c>
      <c r="E124" s="501">
        <v>3</v>
      </c>
      <c r="F124" s="500">
        <f t="shared" si="50"/>
        <v>2232</v>
      </c>
      <c r="G124" s="506">
        <f>'[6]Contratos_Curto Prazo (Compra)'!L53/(0.9075)</f>
        <v>119.5</v>
      </c>
      <c r="H124" s="525">
        <f t="shared" si="59"/>
        <v>266724</v>
      </c>
      <c r="I124" s="102"/>
      <c r="J124" s="9" t="e">
        <f>VLOOKUP($A124,[4]cliqccee!$A:$AK,26,FALSE)</f>
        <v>#N/A</v>
      </c>
      <c r="K124" s="9" t="e">
        <f>VLOOKUP($A124,[4]cliqccee!$A:$AK,10,FALSE)</f>
        <v>#N/A</v>
      </c>
      <c r="L124" s="9" t="e">
        <f>VLOOKUP($A124,[4]cliqccee!$A:$AK,32,FALSE)</f>
        <v>#N/A</v>
      </c>
      <c r="M124" s="9" t="e">
        <f>VLOOKUP($A124,[4]cliqccee!$A:$AK,33,FALSE)</f>
        <v>#N/A</v>
      </c>
      <c r="N124" s="499" t="e">
        <f t="shared" si="48"/>
        <v>#N/A</v>
      </c>
    </row>
    <row r="125" spans="1:14" s="539" customFormat="1" ht="11.25" outlineLevel="1" x14ac:dyDescent="0.2">
      <c r="A125" s="167"/>
      <c r="B125" s="406" t="s">
        <v>462</v>
      </c>
      <c r="C125" s="406" t="s">
        <v>71</v>
      </c>
      <c r="D125" s="407" t="s">
        <v>78</v>
      </c>
      <c r="E125" s="501">
        <v>2</v>
      </c>
      <c r="F125" s="500">
        <f t="shared" si="50"/>
        <v>1488</v>
      </c>
      <c r="G125" s="506">
        <f>'[6]Contratos_Curto Prazo (Compra)'!L54/(0.9075)</f>
        <v>119.5</v>
      </c>
      <c r="H125" s="525">
        <f t="shared" ref="H125" si="60">G125*F125</f>
        <v>177816</v>
      </c>
      <c r="I125" s="102"/>
      <c r="J125" s="9"/>
      <c r="K125" s="9"/>
      <c r="L125" s="9"/>
      <c r="M125" s="9"/>
      <c r="N125" s="499"/>
    </row>
    <row r="126" spans="1:14" s="539" customFormat="1" ht="11.25" outlineLevel="1" x14ac:dyDescent="0.2">
      <c r="A126" s="167"/>
      <c r="B126" s="406" t="s">
        <v>463</v>
      </c>
      <c r="C126" s="406" t="s">
        <v>71</v>
      </c>
      <c r="D126" s="407" t="s">
        <v>78</v>
      </c>
      <c r="E126" s="501">
        <v>0.1</v>
      </c>
      <c r="F126" s="500">
        <f t="shared" si="50"/>
        <v>74.400000000000006</v>
      </c>
      <c r="G126" s="506">
        <f>'[6]Contratos_Curto Prazo (Compra)'!L55/(0.9075)</f>
        <v>118.1</v>
      </c>
      <c r="H126" s="525">
        <f t="shared" ref="H126:H128" si="61">G126*F126</f>
        <v>8786.64</v>
      </c>
      <c r="I126" s="102"/>
      <c r="J126" s="9"/>
      <c r="K126" s="9"/>
      <c r="L126" s="9"/>
      <c r="M126" s="9"/>
      <c r="N126" s="499"/>
    </row>
    <row r="127" spans="1:14" s="539" customFormat="1" ht="11.25" outlineLevel="1" x14ac:dyDescent="0.2">
      <c r="A127" s="167"/>
      <c r="B127" s="406" t="s">
        <v>464</v>
      </c>
      <c r="C127" s="406" t="s">
        <v>71</v>
      </c>
      <c r="D127" s="407" t="s">
        <v>78</v>
      </c>
      <c r="E127" s="501">
        <v>9.9</v>
      </c>
      <c r="F127" s="500">
        <f t="shared" si="50"/>
        <v>7365.6</v>
      </c>
      <c r="G127" s="506">
        <f>'[6]Contratos_Curto Prazo (Compra)'!L56/(0.9075)</f>
        <v>118.1</v>
      </c>
      <c r="H127" s="525">
        <f t="shared" si="61"/>
        <v>869877.36</v>
      </c>
      <c r="I127" s="102"/>
      <c r="J127" s="9"/>
      <c r="K127" s="9"/>
      <c r="L127" s="9"/>
      <c r="M127" s="9"/>
      <c r="N127" s="499"/>
    </row>
    <row r="128" spans="1:14" s="539" customFormat="1" ht="11.25" outlineLevel="1" x14ac:dyDescent="0.2">
      <c r="A128" s="167"/>
      <c r="B128" s="406" t="s">
        <v>459</v>
      </c>
      <c r="C128" s="406" t="s">
        <v>71</v>
      </c>
      <c r="D128" s="407" t="s">
        <v>78</v>
      </c>
      <c r="E128" s="501">
        <v>5</v>
      </c>
      <c r="F128" s="500">
        <f t="shared" si="50"/>
        <v>3720</v>
      </c>
      <c r="G128" s="506">
        <f>'[6]Contratos_Curto Prazo (Compra)'!L57/(0.9075)</f>
        <v>118.1</v>
      </c>
      <c r="H128" s="525">
        <f t="shared" si="61"/>
        <v>439332</v>
      </c>
      <c r="I128" s="102"/>
      <c r="J128" s="9"/>
      <c r="K128" s="9"/>
      <c r="L128" s="9"/>
      <c r="M128" s="9"/>
      <c r="N128" s="499"/>
    </row>
    <row r="129" spans="1:14" s="539" customFormat="1" ht="11.25" outlineLevel="1" x14ac:dyDescent="0.2">
      <c r="A129" s="167"/>
      <c r="B129" s="406" t="s">
        <v>465</v>
      </c>
      <c r="C129" s="406" t="s">
        <v>71</v>
      </c>
      <c r="D129" s="407" t="s">
        <v>78</v>
      </c>
      <c r="E129" s="501">
        <v>2</v>
      </c>
      <c r="F129" s="500">
        <f t="shared" si="50"/>
        <v>1488</v>
      </c>
      <c r="G129" s="506">
        <f>'[6]Contratos_Curto Prazo (Compra)'!L58/(0.9075)</f>
        <v>114.98</v>
      </c>
      <c r="H129" s="525">
        <f t="shared" si="59"/>
        <v>171090.24000000002</v>
      </c>
      <c r="I129" s="102"/>
      <c r="J129" s="9" t="e">
        <f>VLOOKUP($A129,[4]cliqccee!$A:$AK,26,FALSE)</f>
        <v>#N/A</v>
      </c>
      <c r="K129" s="9" t="e">
        <f>VLOOKUP($A129,[4]cliqccee!$A:$AK,10,FALSE)</f>
        <v>#N/A</v>
      </c>
      <c r="L129" s="9" t="e">
        <f>VLOOKUP($A129,[4]cliqccee!$A:$AK,32,FALSE)</f>
        <v>#N/A</v>
      </c>
      <c r="M129" s="9" t="e">
        <f>VLOOKUP($A129,[4]cliqccee!$A:$AK,33,FALSE)</f>
        <v>#N/A</v>
      </c>
      <c r="N129" s="499" t="e">
        <f t="shared" si="48"/>
        <v>#N/A</v>
      </c>
    </row>
    <row r="130" spans="1:14" s="539" customFormat="1" ht="11.25" outlineLevel="1" x14ac:dyDescent="0.2">
      <c r="A130" s="167"/>
      <c r="B130" s="406" t="s">
        <v>465</v>
      </c>
      <c r="C130" s="406" t="s">
        <v>71</v>
      </c>
      <c r="D130" s="407" t="s">
        <v>78</v>
      </c>
      <c r="E130" s="501">
        <v>2</v>
      </c>
      <c r="F130" s="500">
        <f t="shared" ref="F130:F141" si="62">E130*$B$33</f>
        <v>1488</v>
      </c>
      <c r="G130" s="506">
        <f>'[6]Contratos_Curto Prazo (Compra)'!L59/(0.9075)</f>
        <v>114.98</v>
      </c>
      <c r="H130" s="525">
        <f t="shared" ref="H130:H131" si="63">G130*F130</f>
        <v>171090.24000000002</v>
      </c>
      <c r="I130" s="102"/>
      <c r="J130" s="9"/>
      <c r="K130" s="9"/>
      <c r="L130" s="9"/>
      <c r="M130" s="9"/>
      <c r="N130" s="499"/>
    </row>
    <row r="131" spans="1:14" s="539" customFormat="1" ht="11.25" outlineLevel="1" x14ac:dyDescent="0.2">
      <c r="A131" s="167"/>
      <c r="B131" s="406" t="s">
        <v>466</v>
      </c>
      <c r="C131" s="406" t="s">
        <v>71</v>
      </c>
      <c r="D131" s="407" t="s">
        <v>78</v>
      </c>
      <c r="E131" s="501">
        <v>1</v>
      </c>
      <c r="F131" s="500">
        <f t="shared" si="62"/>
        <v>744</v>
      </c>
      <c r="G131" s="506">
        <f>'[6]Contratos_Curto Prazo (Compra)'!L60/(0.9075)</f>
        <v>114.98</v>
      </c>
      <c r="H131" s="525">
        <f t="shared" si="63"/>
        <v>85545.12000000001</v>
      </c>
      <c r="I131" s="102"/>
      <c r="J131" s="9"/>
      <c r="K131" s="9"/>
      <c r="L131" s="9"/>
      <c r="M131" s="9"/>
      <c r="N131" s="499"/>
    </row>
    <row r="132" spans="1:14" s="539" customFormat="1" ht="11.25" outlineLevel="1" x14ac:dyDescent="0.2">
      <c r="A132" s="167"/>
      <c r="B132" s="406" t="s">
        <v>467</v>
      </c>
      <c r="C132" s="406" t="s">
        <v>71</v>
      </c>
      <c r="D132" s="407" t="s">
        <v>78</v>
      </c>
      <c r="E132" s="501">
        <v>5</v>
      </c>
      <c r="F132" s="500">
        <f t="shared" si="62"/>
        <v>3720</v>
      </c>
      <c r="G132" s="506">
        <f>'[6]Contratos_Curto Prazo (Compra)'!L61/(0.9075)</f>
        <v>114.98</v>
      </c>
      <c r="H132" s="525">
        <f t="shared" ref="H132" si="64">G132*F132</f>
        <v>427725.60000000003</v>
      </c>
      <c r="I132" s="102"/>
      <c r="J132" s="9"/>
      <c r="K132" s="9"/>
      <c r="L132" s="9"/>
      <c r="M132" s="9"/>
      <c r="N132" s="499"/>
    </row>
    <row r="133" spans="1:14" s="539" customFormat="1" ht="11.25" outlineLevel="1" x14ac:dyDescent="0.2">
      <c r="A133" s="167"/>
      <c r="B133" s="406" t="s">
        <v>468</v>
      </c>
      <c r="C133" s="406" t="s">
        <v>71</v>
      </c>
      <c r="D133" s="407" t="s">
        <v>78</v>
      </c>
      <c r="E133" s="501">
        <v>0.4</v>
      </c>
      <c r="F133" s="500">
        <f t="shared" si="62"/>
        <v>297.60000000000002</v>
      </c>
      <c r="G133" s="506">
        <f>'[6]Contratos_Curto Prazo (Compra)'!L62/(0.9075)</f>
        <v>115.01</v>
      </c>
      <c r="H133" s="525">
        <f t="shared" ref="H133" si="65">G133*F133</f>
        <v>34226.976000000002</v>
      </c>
      <c r="I133" s="102"/>
      <c r="J133" s="9"/>
      <c r="K133" s="9"/>
      <c r="L133" s="9"/>
      <c r="M133" s="9"/>
      <c r="N133" s="499"/>
    </row>
    <row r="134" spans="1:14" s="539" customFormat="1" ht="11.25" outlineLevel="1" x14ac:dyDescent="0.2">
      <c r="A134" s="167"/>
      <c r="B134" s="406" t="s">
        <v>469</v>
      </c>
      <c r="C134" s="406" t="s">
        <v>71</v>
      </c>
      <c r="D134" s="407" t="s">
        <v>78</v>
      </c>
      <c r="E134" s="501">
        <v>1</v>
      </c>
      <c r="F134" s="500">
        <f t="shared" si="62"/>
        <v>744</v>
      </c>
      <c r="G134" s="506">
        <f>'[6]Contratos_Curto Prazo (Compra)'!L63/(0.9075)</f>
        <v>115.01</v>
      </c>
      <c r="H134" s="525">
        <f t="shared" ref="H134" si="66">G134*F134</f>
        <v>85567.44</v>
      </c>
      <c r="I134" s="102"/>
      <c r="J134" s="9"/>
      <c r="K134" s="9"/>
      <c r="L134" s="9"/>
      <c r="M134" s="9"/>
      <c r="N134" s="499"/>
    </row>
    <row r="135" spans="1:14" s="539" customFormat="1" ht="11.25" outlineLevel="1" x14ac:dyDescent="0.2">
      <c r="A135" s="167"/>
      <c r="B135" s="406" t="s">
        <v>470</v>
      </c>
      <c r="C135" s="406" t="s">
        <v>71</v>
      </c>
      <c r="D135" s="407" t="s">
        <v>78</v>
      </c>
      <c r="E135" s="501">
        <v>2</v>
      </c>
      <c r="F135" s="500">
        <f t="shared" si="62"/>
        <v>1488</v>
      </c>
      <c r="G135" s="506">
        <f>'[6]Contratos_Curto Prazo (Compra)'!L64/(0.9075)</f>
        <v>115.01</v>
      </c>
      <c r="H135" s="525">
        <f t="shared" ref="H135" si="67">G135*F135</f>
        <v>171134.88</v>
      </c>
      <c r="I135" s="102"/>
      <c r="J135" s="9"/>
      <c r="K135" s="9"/>
      <c r="L135" s="9"/>
      <c r="M135" s="9"/>
      <c r="N135" s="499"/>
    </row>
    <row r="136" spans="1:14" s="539" customFormat="1" ht="11.25" outlineLevel="1" x14ac:dyDescent="0.2">
      <c r="A136" s="167"/>
      <c r="B136" s="406" t="s">
        <v>471</v>
      </c>
      <c r="C136" s="406" t="s">
        <v>71</v>
      </c>
      <c r="D136" s="407" t="s">
        <v>78</v>
      </c>
      <c r="E136" s="501">
        <v>10</v>
      </c>
      <c r="F136" s="500">
        <f t="shared" si="62"/>
        <v>7440</v>
      </c>
      <c r="G136" s="506">
        <f>'[6]Contratos_Curto Prazo (Compra)'!L65/(0.9075)</f>
        <v>115.01</v>
      </c>
      <c r="H136" s="525">
        <f t="shared" ref="H136" si="68">G136*F136</f>
        <v>855674.4</v>
      </c>
      <c r="I136" s="102"/>
      <c r="J136" s="9"/>
      <c r="K136" s="9"/>
      <c r="L136" s="9"/>
      <c r="M136" s="9"/>
      <c r="N136" s="499"/>
    </row>
    <row r="137" spans="1:14" s="539" customFormat="1" ht="11.25" outlineLevel="1" x14ac:dyDescent="0.2">
      <c r="A137" s="167"/>
      <c r="B137" s="406" t="s">
        <v>469</v>
      </c>
      <c r="C137" s="406" t="s">
        <v>71</v>
      </c>
      <c r="D137" s="407" t="s">
        <v>78</v>
      </c>
      <c r="E137" s="501">
        <v>1</v>
      </c>
      <c r="F137" s="500">
        <f t="shared" si="62"/>
        <v>744</v>
      </c>
      <c r="G137" s="506">
        <f>'[6]Contratos_Curto Prazo (Compra)'!L66/(0.9075)</f>
        <v>115.01</v>
      </c>
      <c r="H137" s="525">
        <f t="shared" ref="H137" si="69">G137*F137</f>
        <v>85567.44</v>
      </c>
      <c r="I137" s="102"/>
      <c r="J137" s="9"/>
      <c r="K137" s="9"/>
      <c r="L137" s="9"/>
      <c r="M137" s="9"/>
      <c r="N137" s="499"/>
    </row>
    <row r="138" spans="1:14" s="539" customFormat="1" ht="11.25" outlineLevel="1" x14ac:dyDescent="0.2">
      <c r="A138" s="167"/>
      <c r="B138" s="406" t="s">
        <v>472</v>
      </c>
      <c r="C138" s="406" t="s">
        <v>71</v>
      </c>
      <c r="D138" s="407" t="s">
        <v>78</v>
      </c>
      <c r="E138" s="501">
        <v>20</v>
      </c>
      <c r="F138" s="500">
        <f t="shared" si="62"/>
        <v>14880</v>
      </c>
      <c r="G138" s="506">
        <f>'[6]Contratos_Curto Prazo (Compra)'!L67/(0.9075)</f>
        <v>80</v>
      </c>
      <c r="H138" s="525">
        <f t="shared" ref="H138" si="70">G138*F138</f>
        <v>1190400</v>
      </c>
      <c r="I138" s="102"/>
      <c r="J138" s="9"/>
      <c r="K138" s="9"/>
      <c r="L138" s="9"/>
      <c r="M138" s="9"/>
      <c r="N138" s="499"/>
    </row>
    <row r="139" spans="1:14" s="539" customFormat="1" ht="11.25" outlineLevel="1" x14ac:dyDescent="0.2">
      <c r="A139" s="167"/>
      <c r="B139" s="406" t="s">
        <v>467</v>
      </c>
      <c r="C139" s="406" t="s">
        <v>71</v>
      </c>
      <c r="D139" s="407" t="s">
        <v>78</v>
      </c>
      <c r="E139" s="501">
        <v>5</v>
      </c>
      <c r="F139" s="500">
        <f t="shared" si="62"/>
        <v>3720</v>
      </c>
      <c r="G139" s="506">
        <f>'[6]Contratos_Curto Prazo (Compra)'!L68/(0.9075)</f>
        <v>82.5</v>
      </c>
      <c r="H139" s="525">
        <f t="shared" ref="H139" si="71">G139*F139</f>
        <v>306900</v>
      </c>
      <c r="I139" s="102"/>
      <c r="J139" s="9"/>
      <c r="K139" s="9"/>
      <c r="L139" s="9"/>
      <c r="M139" s="9"/>
      <c r="N139" s="499"/>
    </row>
    <row r="140" spans="1:14" s="539" customFormat="1" ht="11.25" outlineLevel="1" x14ac:dyDescent="0.2">
      <c r="A140" s="167"/>
      <c r="B140" s="406" t="s">
        <v>510</v>
      </c>
      <c r="C140" s="406" t="s">
        <v>71</v>
      </c>
      <c r="D140" s="407" t="s">
        <v>92</v>
      </c>
      <c r="E140" s="501">
        <v>53</v>
      </c>
      <c r="F140" s="500">
        <f t="shared" si="62"/>
        <v>39432</v>
      </c>
      <c r="G140" s="506">
        <f>H5+4.9</f>
        <v>53.472580645161287</v>
      </c>
      <c r="H140" s="525">
        <f t="shared" si="59"/>
        <v>2108530.7999999998</v>
      </c>
      <c r="I140" s="102"/>
      <c r="J140" s="9" t="e">
        <f>VLOOKUP($A140,[4]cliqccee!$A:$AK,26,FALSE)</f>
        <v>#N/A</v>
      </c>
      <c r="K140" s="9" t="e">
        <f>VLOOKUP($A140,[4]cliqccee!$A:$AK,10,FALSE)</f>
        <v>#N/A</v>
      </c>
      <c r="L140" s="9" t="e">
        <f>VLOOKUP($A140,[4]cliqccee!$A:$AK,32,FALSE)</f>
        <v>#N/A</v>
      </c>
      <c r="M140" s="9" t="e">
        <f>VLOOKUP($A140,[4]cliqccee!$A:$AK,33,FALSE)</f>
        <v>#N/A</v>
      </c>
      <c r="N140" s="499" t="e">
        <f t="shared" si="48"/>
        <v>#N/A</v>
      </c>
    </row>
    <row r="141" spans="1:14" s="539" customFormat="1" ht="11.25" outlineLevel="1" x14ac:dyDescent="0.2">
      <c r="A141" s="167"/>
      <c r="B141" s="406" t="s">
        <v>511</v>
      </c>
      <c r="C141" s="406" t="s">
        <v>71</v>
      </c>
      <c r="D141" s="407" t="s">
        <v>512</v>
      </c>
      <c r="E141" s="501">
        <v>25</v>
      </c>
      <c r="F141" s="500">
        <f t="shared" si="62"/>
        <v>18600</v>
      </c>
      <c r="G141" s="506">
        <f>192.1+4</f>
        <v>196.1</v>
      </c>
      <c r="H141" s="525">
        <f t="shared" si="59"/>
        <v>3647460</v>
      </c>
      <c r="I141" s="102"/>
      <c r="J141" s="9" t="e">
        <f>VLOOKUP($A141,[4]cliqccee!$A:$AK,26,FALSE)</f>
        <v>#N/A</v>
      </c>
      <c r="K141" s="9" t="e">
        <f>VLOOKUP($A141,[4]cliqccee!$A:$AK,10,FALSE)</f>
        <v>#N/A</v>
      </c>
      <c r="L141" s="9" t="e">
        <f>VLOOKUP($A141,[4]cliqccee!$A:$AK,32,FALSE)</f>
        <v>#N/A</v>
      </c>
      <c r="M141" s="9" t="e">
        <f>VLOOKUP($A141,[4]cliqccee!$A:$AK,33,FALSE)</f>
        <v>#N/A</v>
      </c>
      <c r="N141" s="499" t="e">
        <f t="shared" si="48"/>
        <v>#N/A</v>
      </c>
    </row>
    <row r="142" spans="1:14" ht="11.25" x14ac:dyDescent="0.2">
      <c r="A142" s="306"/>
      <c r="B142" s="306"/>
      <c r="C142" s="306"/>
      <c r="D142" s="306"/>
      <c r="E142" s="25"/>
      <c r="F142" s="24"/>
      <c r="G142" s="26"/>
      <c r="H142" s="28"/>
      <c r="I142" s="228"/>
      <c r="J142" s="9" t="e">
        <f>VLOOKUP($A142,[4]cliqccee!$A:$AK,26,FALSE)</f>
        <v>#N/A</v>
      </c>
      <c r="K142" s="9" t="e">
        <f>VLOOKUP($A142,[4]cliqccee!$A:$AK,10,FALSE)</f>
        <v>#N/A</v>
      </c>
      <c r="L142" s="9" t="e">
        <f>VLOOKUP($A142,[4]cliqccee!$A:$AK,32,FALSE)</f>
        <v>#N/A</v>
      </c>
      <c r="M142" s="9" t="e">
        <f>VLOOKUP($A142,[4]cliqccee!$A:$AK,33,FALSE)</f>
        <v>#N/A</v>
      </c>
      <c r="N142" s="499" t="e">
        <f t="shared" si="48"/>
        <v>#N/A</v>
      </c>
    </row>
    <row r="143" spans="1:14" ht="11.25" x14ac:dyDescent="0.2">
      <c r="A143" s="80" t="s">
        <v>32</v>
      </c>
      <c r="B143" s="421"/>
      <c r="C143" s="421"/>
      <c r="D143" s="422"/>
      <c r="E143" s="81">
        <f>SUM(E99:E142)</f>
        <v>1022.3402838741126</v>
      </c>
      <c r="F143" s="84">
        <f>SUM(F99:F142)</f>
        <v>760621.17120233981</v>
      </c>
      <c r="G143" s="82">
        <f>IFERROR(H143/F143,0)</f>
        <v>153.71785742000057</v>
      </c>
      <c r="H143" s="82">
        <f>SUM(H99:H142)</f>
        <v>116921056.74551511</v>
      </c>
      <c r="I143" s="228"/>
      <c r="N143" s="418"/>
    </row>
    <row r="144" spans="1:14" ht="11.25" x14ac:dyDescent="0.2">
      <c r="D144" s="515"/>
      <c r="N144" s="418"/>
    </row>
    <row r="145" spans="1:14" ht="11.25" x14ac:dyDescent="0.2">
      <c r="A145" s="548" t="s">
        <v>76</v>
      </c>
      <c r="B145" s="548"/>
      <c r="C145" s="548"/>
      <c r="D145" s="548"/>
      <c r="E145" s="548"/>
      <c r="F145" s="548"/>
      <c r="G145" s="548"/>
      <c r="H145" s="548"/>
      <c r="I145" s="410"/>
      <c r="N145" s="418"/>
    </row>
    <row r="146" spans="1:14" x14ac:dyDescent="0.15">
      <c r="A146" s="10" t="s">
        <v>252</v>
      </c>
      <c r="B146" s="10" t="s">
        <v>1</v>
      </c>
      <c r="C146" s="10" t="s">
        <v>2</v>
      </c>
      <c r="D146" s="10" t="s">
        <v>3</v>
      </c>
      <c r="E146" s="10" t="s">
        <v>137</v>
      </c>
      <c r="F146" s="10" t="s">
        <v>25</v>
      </c>
      <c r="G146" s="10" t="s">
        <v>253</v>
      </c>
      <c r="H146" s="10" t="s">
        <v>254</v>
      </c>
      <c r="J146" s="10" t="s">
        <v>72</v>
      </c>
      <c r="K146" s="10" t="s">
        <v>73</v>
      </c>
      <c r="L146" s="10" t="s">
        <v>74</v>
      </c>
      <c r="M146" s="10" t="s">
        <v>75</v>
      </c>
      <c r="N146" s="10" t="s">
        <v>425</v>
      </c>
    </row>
    <row r="147" spans="1:14" ht="11.25" x14ac:dyDescent="0.2">
      <c r="A147" s="167">
        <v>558367</v>
      </c>
      <c r="B147" s="168" t="s">
        <v>279</v>
      </c>
      <c r="C147" s="167" t="s">
        <v>77</v>
      </c>
      <c r="D147" s="169" t="s">
        <v>92</v>
      </c>
      <c r="E147" s="79"/>
      <c r="F147" s="83"/>
      <c r="G147" s="170"/>
      <c r="H147" s="170"/>
      <c r="J147" s="9" t="str">
        <f>VLOOKUP($A147,[4]cliqccee!$A:$AK,26,FALSE)</f>
        <v>0,000000</v>
      </c>
      <c r="K147" s="9" t="str">
        <f>VLOOKUP($A147,[4]cliqccee!$A:$AK,10,FALSE)</f>
        <v>Validado</v>
      </c>
      <c r="L147" s="9" t="str">
        <f>VLOOKUP($A147,[4]cliqccee!$A:$AK,32,FALSE)</f>
        <v>FLAT</v>
      </c>
      <c r="M147" s="9" t="str">
        <f>VLOOKUP($A147,[4]cliqccee!$A:$AK,33,FALSE)</f>
        <v>Validado</v>
      </c>
      <c r="N147" s="499">
        <f>J147-E147</f>
        <v>0</v>
      </c>
    </row>
    <row r="148" spans="1:14" ht="11.25" x14ac:dyDescent="0.2">
      <c r="A148" s="167">
        <v>567196</v>
      </c>
      <c r="B148" s="168" t="s">
        <v>250</v>
      </c>
      <c r="C148" s="167" t="s">
        <v>77</v>
      </c>
      <c r="D148" s="169" t="s">
        <v>92</v>
      </c>
      <c r="E148" s="79">
        <f t="shared" ref="E148:E163" si="72">ROUND(F148/$B$33,6)</f>
        <v>263.06450000000001</v>
      </c>
      <c r="F148" s="273">
        <f>SUMIFS(F271:F290,D271:D290,D148)
-SUMIFS(G271:G290,D271:D290,D148)
-SUMIFS(F300:F301,D300:D301,D148) - SUMIFS(F303:F317,D303:D317,D148)</f>
        <v>195719.98814725081</v>
      </c>
      <c r="G148" s="274"/>
      <c r="H148" s="170">
        <f t="shared" ref="H148:H161" si="73">F148*G148</f>
        <v>0</v>
      </c>
      <c r="I148" s="83"/>
      <c r="J148" s="9" t="str">
        <f>VLOOKUP($A148,[4]cliqccee!$A:$AK,26,FALSE)</f>
        <v>262,998289</v>
      </c>
      <c r="K148" s="9" t="str">
        <f>VLOOKUP($A148,[4]cliqccee!$A:$AK,10,FALSE)</f>
        <v>Validado</v>
      </c>
      <c r="L148" s="9" t="str">
        <f>VLOOKUP($A148,[4]cliqccee!$A:$AK,32,FALSE)</f>
        <v>FLAT</v>
      </c>
      <c r="M148" s="9" t="str">
        <f>VLOOKUP($A148,[4]cliqccee!$A:$AK,33,FALSE)</f>
        <v>Ajustado Validado</v>
      </c>
      <c r="N148" s="499">
        <f t="shared" ref="N148:N161" si="74">J148-E148</f>
        <v>-6.621100000000979E-2</v>
      </c>
    </row>
    <row r="149" spans="1:14" ht="12.75" customHeight="1" x14ac:dyDescent="0.2">
      <c r="A149" s="167">
        <v>566711</v>
      </c>
      <c r="B149" s="168" t="s">
        <v>172</v>
      </c>
      <c r="C149" s="167" t="s">
        <v>77</v>
      </c>
      <c r="D149" s="169" t="s">
        <v>92</v>
      </c>
      <c r="E149" s="79"/>
      <c r="F149" s="83"/>
      <c r="G149" s="170"/>
      <c r="H149" s="170"/>
      <c r="I149" s="453"/>
      <c r="J149" s="9" t="str">
        <f>VLOOKUP($A149,[4]cliqccee!$A:$AK,26,FALSE)</f>
        <v>0,000000</v>
      </c>
      <c r="K149" s="9" t="str">
        <f>VLOOKUP($A149,[4]cliqccee!$A:$AK,10,FALSE)</f>
        <v>Validado</v>
      </c>
      <c r="L149" s="9" t="str">
        <f>VLOOKUP($A149,[4]cliqccee!$A:$AK,32,FALSE)</f>
        <v>FLAT</v>
      </c>
      <c r="M149" s="9" t="str">
        <f>VLOOKUP($A149,[4]cliqccee!$A:$AK,33,FALSE)</f>
        <v>Validado</v>
      </c>
      <c r="N149" s="499">
        <f t="shared" si="74"/>
        <v>0</v>
      </c>
    </row>
    <row r="150" spans="1:14" ht="11.25" x14ac:dyDescent="0.2">
      <c r="A150" s="167">
        <v>598099</v>
      </c>
      <c r="B150" s="168" t="s">
        <v>170</v>
      </c>
      <c r="C150" s="167" t="s">
        <v>77</v>
      </c>
      <c r="D150" s="169" t="s">
        <v>92</v>
      </c>
      <c r="E150" s="79"/>
      <c r="F150" s="83"/>
      <c r="G150" s="170"/>
      <c r="H150" s="170"/>
      <c r="I150" s="454"/>
      <c r="J150" s="9" t="str">
        <f>VLOOKUP($A150,[4]cliqccee!$A:$AK,26,FALSE)</f>
        <v>0,000000</v>
      </c>
      <c r="K150" s="9" t="str">
        <f>VLOOKUP($A150,[4]cliqccee!$A:$AK,10,FALSE)</f>
        <v>Validado</v>
      </c>
      <c r="L150" s="9" t="str">
        <f>VLOOKUP($A150,[4]cliqccee!$A:$AK,32,FALSE)</f>
        <v>FLAT</v>
      </c>
      <c r="M150" s="9" t="str">
        <f>VLOOKUP($A150,[4]cliqccee!$A:$AK,33,FALSE)</f>
        <v>Validado</v>
      </c>
      <c r="N150" s="499">
        <f t="shared" si="74"/>
        <v>0</v>
      </c>
    </row>
    <row r="151" spans="1:14" ht="11.25" x14ac:dyDescent="0.2">
      <c r="A151" s="167">
        <v>566680</v>
      </c>
      <c r="B151" s="168" t="s">
        <v>248</v>
      </c>
      <c r="C151" s="167" t="s">
        <v>77</v>
      </c>
      <c r="D151" s="169" t="s">
        <v>78</v>
      </c>
      <c r="E151" s="79"/>
      <c r="F151" s="83"/>
      <c r="G151" s="170"/>
      <c r="H151" s="170"/>
      <c r="I151" s="453"/>
      <c r="J151" s="9" t="str">
        <f>VLOOKUP($A151,[4]cliqccee!$A:$AK,26,FALSE)</f>
        <v>0,000000</v>
      </c>
      <c r="K151" s="9" t="str">
        <f>VLOOKUP($A151,[4]cliqccee!$A:$AK,10,FALSE)</f>
        <v>Validado</v>
      </c>
      <c r="L151" s="9" t="str">
        <f>VLOOKUP($A151,[4]cliqccee!$A:$AK,32,FALSE)</f>
        <v>FLAT</v>
      </c>
      <c r="M151" s="9" t="str">
        <f>VLOOKUP($A151,[4]cliqccee!$A:$AK,33,FALSE)</f>
        <v>Validado</v>
      </c>
      <c r="N151" s="499">
        <f t="shared" si="74"/>
        <v>0</v>
      </c>
    </row>
    <row r="152" spans="1:14" ht="11.25" x14ac:dyDescent="0.2">
      <c r="A152" s="167">
        <v>98196</v>
      </c>
      <c r="B152" s="168" t="s">
        <v>274</v>
      </c>
      <c r="C152" s="167" t="s">
        <v>77</v>
      </c>
      <c r="D152" s="169" t="s">
        <v>78</v>
      </c>
      <c r="E152" s="79"/>
      <c r="F152" s="83"/>
      <c r="G152" s="170"/>
      <c r="H152" s="170"/>
      <c r="I152" s="453"/>
      <c r="J152" s="9" t="str">
        <f>VLOOKUP($A152,[4]cliqccee!$A:$AK,26,FALSE)</f>
        <v>0,000000</v>
      </c>
      <c r="K152" s="9" t="str">
        <f>VLOOKUP($A152,[4]cliqccee!$A:$AK,10,FALSE)</f>
        <v>Validado</v>
      </c>
      <c r="L152" s="9" t="str">
        <f>VLOOKUP($A152,[4]cliqccee!$A:$AK,32,FALSE)</f>
        <v>FLAT</v>
      </c>
      <c r="M152" s="9" t="str">
        <f>VLOOKUP($A152,[4]cliqccee!$A:$AK,33,FALSE)</f>
        <v>Validado</v>
      </c>
      <c r="N152" s="499">
        <f t="shared" si="74"/>
        <v>0</v>
      </c>
    </row>
    <row r="153" spans="1:14" ht="11.25" x14ac:dyDescent="0.2">
      <c r="A153" s="167">
        <v>567194</v>
      </c>
      <c r="B153" s="168" t="s">
        <v>250</v>
      </c>
      <c r="C153" s="167" t="s">
        <v>77</v>
      </c>
      <c r="D153" s="169" t="s">
        <v>78</v>
      </c>
      <c r="E153" s="79">
        <f t="shared" si="72"/>
        <v>409.45101099999999</v>
      </c>
      <c r="F153" s="273">
        <f>SUMIFS(F271:F290,D271:D290,D153)
-SUMIFS(G271:G290,D271:D290,D153)
-SUMIFS(F300:F305,D300:D305,D153) - SUMIFS(F308:F317,D308:D317,D153)+SUMIFS(F322:F323,D322:D323,D153)</f>
        <v>304631.551992097</v>
      </c>
      <c r="G153" s="274"/>
      <c r="H153" s="170">
        <f t="shared" si="73"/>
        <v>0</v>
      </c>
      <c r="I153" s="83"/>
      <c r="J153" s="9" t="str">
        <f>VLOOKUP($A153,[4]cliqccee!$A:$AK,26,FALSE)</f>
        <v>369,575796</v>
      </c>
      <c r="K153" s="9" t="str">
        <f>VLOOKUP($A153,[4]cliqccee!$A:$AK,10,FALSE)</f>
        <v>Validado</v>
      </c>
      <c r="L153" s="9" t="str">
        <f>VLOOKUP($A153,[4]cliqccee!$A:$AK,32,FALSE)</f>
        <v>FLAT</v>
      </c>
      <c r="M153" s="9" t="str">
        <f>VLOOKUP($A153,[4]cliqccee!$A:$AK,33,FALSE)</f>
        <v>Ajustado Validado</v>
      </c>
      <c r="N153" s="499">
        <f t="shared" si="74"/>
        <v>-39.875214999999969</v>
      </c>
    </row>
    <row r="154" spans="1:14" ht="11.25" x14ac:dyDescent="0.2">
      <c r="A154" s="167">
        <v>566657</v>
      </c>
      <c r="B154" s="168" t="s">
        <v>258</v>
      </c>
      <c r="C154" s="167" t="s">
        <v>77</v>
      </c>
      <c r="D154" s="169" t="s">
        <v>78</v>
      </c>
      <c r="E154" s="79"/>
      <c r="F154" s="83"/>
      <c r="G154" s="170"/>
      <c r="H154" s="170"/>
      <c r="I154" s="228"/>
      <c r="J154" s="9" t="str">
        <f>VLOOKUP($A154,[4]cliqccee!$A:$AK,26,FALSE)</f>
        <v>0,000000</v>
      </c>
      <c r="K154" s="9" t="str">
        <f>VLOOKUP($A154,[4]cliqccee!$A:$AK,10,FALSE)</f>
        <v>Validado</v>
      </c>
      <c r="L154" s="9" t="str">
        <f>VLOOKUP($A154,[4]cliqccee!$A:$AK,32,FALSE)</f>
        <v>FLAT</v>
      </c>
      <c r="M154" s="9" t="str">
        <f>VLOOKUP($A154,[4]cliqccee!$A:$AK,33,FALSE)</f>
        <v>Validado</v>
      </c>
      <c r="N154" s="499">
        <f t="shared" si="74"/>
        <v>0</v>
      </c>
    </row>
    <row r="155" spans="1:14" ht="11.25" x14ac:dyDescent="0.2">
      <c r="A155" s="167">
        <v>567235</v>
      </c>
      <c r="B155" s="168" t="s">
        <v>249</v>
      </c>
      <c r="C155" s="167" t="s">
        <v>77</v>
      </c>
      <c r="D155" s="169" t="s">
        <v>78</v>
      </c>
      <c r="E155" s="79">
        <f t="shared" si="72"/>
        <v>17.411377000000002</v>
      </c>
      <c r="F155" s="273">
        <f>IF(SUM(F384:F388) -SUM(G384:G388) -SUM(F395:F399,F401:F403,F405:F408) &gt;0,
SUM(F384:F388) -SUM(G384:G388) -SUM(F395:F399,F401:F403,F405:F408),
0)</f>
        <v>12954.064768224933</v>
      </c>
      <c r="G155" s="274"/>
      <c r="H155" s="170">
        <f t="shared" si="73"/>
        <v>0</v>
      </c>
      <c r="I155" s="418"/>
      <c r="J155" s="9" t="str">
        <f>VLOOKUP($A155,[4]cliqccee!$A:$AK,26,FALSE)</f>
        <v>16,614151</v>
      </c>
      <c r="K155" s="9" t="str">
        <f>VLOOKUP($A155,[4]cliqccee!$A:$AK,10,FALSE)</f>
        <v>Validado</v>
      </c>
      <c r="L155" s="9" t="str">
        <f>VLOOKUP($A155,[4]cliqccee!$A:$AK,32,FALSE)</f>
        <v>FLAT</v>
      </c>
      <c r="M155" s="9" t="str">
        <f>VLOOKUP($A155,[4]cliqccee!$A:$AK,33,FALSE)</f>
        <v>Ajustado Validado</v>
      </c>
      <c r="N155" s="499">
        <f t="shared" si="74"/>
        <v>-0.79722600000000199</v>
      </c>
    </row>
    <row r="156" spans="1:14" ht="11.25" x14ac:dyDescent="0.2">
      <c r="A156" s="167">
        <v>1131782</v>
      </c>
      <c r="B156" s="168" t="s">
        <v>386</v>
      </c>
      <c r="C156" s="167" t="s">
        <v>77</v>
      </c>
      <c r="D156" s="169" t="s">
        <v>92</v>
      </c>
      <c r="E156" s="79">
        <f t="shared" si="72"/>
        <v>31.576284999999999</v>
      </c>
      <c r="F156" s="273">
        <f>F383-G383</f>
        <v>23492.756218247436</v>
      </c>
      <c r="G156" s="274"/>
      <c r="H156" s="193">
        <f t="shared" si="73"/>
        <v>0</v>
      </c>
      <c r="I156" s="418"/>
      <c r="J156" s="9" t="str">
        <f>VLOOKUP($A156,[4]cliqccee!$A:$AK,26,FALSE)</f>
        <v>28,597345</v>
      </c>
      <c r="K156" s="9" t="str">
        <f>VLOOKUP($A156,[4]cliqccee!$A:$AK,10,FALSE)</f>
        <v>Validado</v>
      </c>
      <c r="L156" s="9" t="str">
        <f>VLOOKUP($A156,[4]cliqccee!$A:$AK,32,FALSE)</f>
        <v>FLAT</v>
      </c>
      <c r="M156" s="9" t="str">
        <f>VLOOKUP($A156,[4]cliqccee!$A:$AK,33,FALSE)</f>
        <v>Ajustado Validado</v>
      </c>
      <c r="N156" s="499">
        <f t="shared" si="74"/>
        <v>-2.9789399999999979</v>
      </c>
    </row>
    <row r="157" spans="1:14" ht="11.25" x14ac:dyDescent="0.2">
      <c r="A157" s="167">
        <v>567197</v>
      </c>
      <c r="B157" s="168" t="s">
        <v>173</v>
      </c>
      <c r="C157" s="167" t="s">
        <v>77</v>
      </c>
      <c r="D157" s="169" t="s">
        <v>78</v>
      </c>
      <c r="E157" s="79">
        <f t="shared" si="72"/>
        <v>196.48257100000001</v>
      </c>
      <c r="F157" s="273">
        <f>IF(SUM(F431:F441) -SUM(G431:G441) -SUM(F447:F448,F450:F462) &gt;0,
SUM(F431:F441) -SUM(G431:G441) -SUM(F447:F448,F450:F462),
0)</f>
        <v>146183.03273195872</v>
      </c>
      <c r="G157" s="274"/>
      <c r="H157" s="170">
        <f t="shared" si="73"/>
        <v>0</v>
      </c>
      <c r="I157" s="83"/>
      <c r="J157" s="9" t="str">
        <f>VLOOKUP($A157,[4]cliqccee!$A:$AK,26,FALSE)</f>
        <v>213,026385</v>
      </c>
      <c r="K157" s="9" t="str">
        <f>VLOOKUP($A157,[4]cliqccee!$A:$AK,10,FALSE)</f>
        <v>Validado</v>
      </c>
      <c r="L157" s="9" t="str">
        <f>VLOOKUP($A157,[4]cliqccee!$A:$AK,32,FALSE)</f>
        <v>FLAT</v>
      </c>
      <c r="M157" s="9" t="str">
        <f>VLOOKUP($A157,[4]cliqccee!$A:$AK,33,FALSE)</f>
        <v>Ajustado Validado</v>
      </c>
      <c r="N157" s="499">
        <f t="shared" si="74"/>
        <v>16.543813999999998</v>
      </c>
    </row>
    <row r="158" spans="1:14" ht="11.25" x14ac:dyDescent="0.2">
      <c r="A158" s="167">
        <v>558732</v>
      </c>
      <c r="B158" s="168" t="s">
        <v>400</v>
      </c>
      <c r="C158" s="167" t="s">
        <v>77</v>
      </c>
      <c r="D158" s="169" t="s">
        <v>78</v>
      </c>
      <c r="E158" s="79"/>
      <c r="F158" s="83"/>
      <c r="G158" s="170"/>
      <c r="H158" s="193"/>
      <c r="I158" s="228"/>
      <c r="J158" s="9" t="str">
        <f>VLOOKUP($A158,[4]cliqccee!$A:$AK,26,FALSE)</f>
        <v>0,000000</v>
      </c>
      <c r="K158" s="9" t="str">
        <f>VLOOKUP($A158,[4]cliqccee!$A:$AK,10,FALSE)</f>
        <v>Validado</v>
      </c>
      <c r="L158" s="9" t="str">
        <f>VLOOKUP($A158,[4]cliqccee!$A:$AK,32,FALSE)</f>
        <v>FLAT</v>
      </c>
      <c r="M158" s="9" t="str">
        <f>VLOOKUP($A158,[4]cliqccee!$A:$AK,33,FALSE)</f>
        <v>Validado</v>
      </c>
      <c r="N158" s="499">
        <f t="shared" si="74"/>
        <v>0</v>
      </c>
    </row>
    <row r="159" spans="1:14" ht="11.25" x14ac:dyDescent="0.2">
      <c r="A159" s="167">
        <v>395247</v>
      </c>
      <c r="B159" s="167" t="s">
        <v>336</v>
      </c>
      <c r="C159" s="167" t="s">
        <v>77</v>
      </c>
      <c r="D159" s="192" t="s">
        <v>78</v>
      </c>
      <c r="E159" s="79"/>
      <c r="F159" s="83"/>
      <c r="G159" s="170"/>
      <c r="H159" s="193">
        <f t="shared" si="73"/>
        <v>0</v>
      </c>
      <c r="I159" s="228"/>
      <c r="J159" s="9" t="str">
        <f>VLOOKUP($A159,[4]cliqccee!$A:$AK,26,FALSE)</f>
        <v>0,000000</v>
      </c>
      <c r="K159" s="9" t="str">
        <f>VLOOKUP($A159,[4]cliqccee!$A:$AK,10,FALSE)</f>
        <v>Validado</v>
      </c>
      <c r="L159" s="9" t="str">
        <f>VLOOKUP($A159,[4]cliqccee!$A:$AK,32,FALSE)</f>
        <v>FLAT</v>
      </c>
      <c r="M159" s="9" t="str">
        <f>VLOOKUP($A159,[4]cliqccee!$A:$AK,33,FALSE)</f>
        <v>Validado</v>
      </c>
      <c r="N159" s="499">
        <f t="shared" si="74"/>
        <v>0</v>
      </c>
    </row>
    <row r="160" spans="1:14" ht="11.25" x14ac:dyDescent="0.2">
      <c r="A160" s="195">
        <v>291617</v>
      </c>
      <c r="B160" s="195" t="s">
        <v>154</v>
      </c>
      <c r="C160" s="195" t="s">
        <v>77</v>
      </c>
      <c r="D160" s="196" t="s">
        <v>78</v>
      </c>
      <c r="E160" s="97"/>
      <c r="F160" s="98"/>
      <c r="G160" s="197"/>
      <c r="H160" s="197"/>
      <c r="I160" s="228"/>
      <c r="J160" s="9" t="str">
        <f>VLOOKUP($A160,[4]cliqccee!$A:$AK,26,FALSE)</f>
        <v>0,000000</v>
      </c>
      <c r="K160" s="9" t="str">
        <f>VLOOKUP($A160,[4]cliqccee!$A:$AK,10,FALSE)</f>
        <v>Validado</v>
      </c>
      <c r="L160" s="9" t="str">
        <f>VLOOKUP($A160,[4]cliqccee!$A:$AK,32,FALSE)</f>
        <v>FLAT</v>
      </c>
      <c r="M160" s="9" t="str">
        <f>VLOOKUP($A160,[4]cliqccee!$A:$AK,33,FALSE)</f>
        <v>Validado</v>
      </c>
      <c r="N160" s="499">
        <f t="shared" si="74"/>
        <v>0</v>
      </c>
    </row>
    <row r="161" spans="1:15" ht="11.25" x14ac:dyDescent="0.2">
      <c r="A161" s="167">
        <v>1097143</v>
      </c>
      <c r="B161" s="167" t="s">
        <v>401</v>
      </c>
      <c r="C161" s="167" t="s">
        <v>77</v>
      </c>
      <c r="D161" s="192" t="s">
        <v>92</v>
      </c>
      <c r="E161" s="79">
        <f t="shared" si="72"/>
        <v>101.864163</v>
      </c>
      <c r="F161" s="541">
        <f>IF(F677-G675-F757 &lt; (104.36*$B$33)*0%, (104.36*$B$33)*0%,
IF(F677-G675-F757 &gt; (104.36*$B$33)*110%, (104.36*$B$33)*110%,
F677-G675-F757))</f>
        <v>75786.937312061811</v>
      </c>
      <c r="G161" s="193">
        <v>152.44999999999999</v>
      </c>
      <c r="H161" s="193">
        <f t="shared" si="73"/>
        <v>11553718.593223821</v>
      </c>
      <c r="I161" s="304">
        <f>IF(I677-J675-I757 &lt; (116.234735*$B$33)*0%, (116.234735*$B$33)*0%,
IF(I677-J675-I757 &gt; (116.234735*$B$33)*110%, (116.234735*$B$33)*110%,
I677-J675-I757))</f>
        <v>0</v>
      </c>
      <c r="J161" s="9" t="str">
        <f>VLOOKUP($A161,[4]cliqccee!$A:$AK,26,FALSE)</f>
        <v>108,689554</v>
      </c>
      <c r="K161" s="9" t="str">
        <f>VLOOKUP($A161,[4]cliqccee!$A:$AK,10,FALSE)</f>
        <v>Validado</v>
      </c>
      <c r="L161" s="9" t="str">
        <f>VLOOKUP($A161,[4]cliqccee!$A:$AK,32,FALSE)</f>
        <v>FLAT</v>
      </c>
      <c r="M161" s="9" t="str">
        <f>VLOOKUP($A161,[4]cliqccee!$A:$AK,33,FALSE)</f>
        <v>Ajustado Validado</v>
      </c>
      <c r="N161" s="499">
        <f t="shared" si="74"/>
        <v>6.8253909999999962</v>
      </c>
    </row>
    <row r="162" spans="1:15" ht="11.25" x14ac:dyDescent="0.2">
      <c r="A162" s="167">
        <v>1097145</v>
      </c>
      <c r="B162" s="167" t="s">
        <v>507</v>
      </c>
      <c r="C162" s="167" t="s">
        <v>77</v>
      </c>
      <c r="D162" s="192" t="s">
        <v>78</v>
      </c>
      <c r="E162" s="79">
        <f>ROUND(F162/$B$33,6)</f>
        <v>3.2902290000000001</v>
      </c>
      <c r="F162" s="304">
        <f xml:space="preserve"> IF(F240 &lt; (3.02*$B$33)*0%, (3.028*$B$33)*0%,
IF(F240 &gt; (3.02*$B$33)*110%, (3.02*$B$33)*110%,
F240))</f>
        <v>2447.9300206185535</v>
      </c>
      <c r="G162" s="193">
        <v>159.91</v>
      </c>
      <c r="H162" s="193">
        <f t="shared" ref="H162:H163" si="75">F162*G162</f>
        <v>391448.48959711287</v>
      </c>
      <c r="I162" s="547">
        <f xml:space="preserve"> IF(I240-J240 &lt; (3.02*$B$33)*0%, (3.028*$B$33)*0%,
IF(I240-J240 &gt; (3.02*$B$33)*110%, (3.02*$B$33)*110%,
I240-J240))</f>
        <v>0</v>
      </c>
      <c r="J162" s="9" t="str">
        <f>VLOOKUP($A162,[4]cliqccee!$A:$AK,26,FALSE)</f>
        <v>3,391573</v>
      </c>
      <c r="K162" s="9" t="str">
        <f>VLOOKUP($A162,[4]cliqccee!$A:$AK,10,FALSE)</f>
        <v>Validado</v>
      </c>
      <c r="L162" s="9" t="str">
        <f>VLOOKUP($A162,[4]cliqccee!$A:$AK,32,FALSE)</f>
        <v>FLAT</v>
      </c>
      <c r="M162" s="9" t="str">
        <f>VLOOKUP($A162,[4]cliqccee!$A:$AK,33,FALSE)</f>
        <v>Ajustado Validado</v>
      </c>
      <c r="N162" s="499">
        <f t="shared" ref="N162:N166" si="76">J162-E162</f>
        <v>0.1013440000000001</v>
      </c>
    </row>
    <row r="163" spans="1:15" ht="11.25" x14ac:dyDescent="0.2">
      <c r="A163" s="167">
        <f>A494</f>
        <v>1167486</v>
      </c>
      <c r="B163" s="167" t="s">
        <v>424</v>
      </c>
      <c r="C163" s="167" t="s">
        <v>77</v>
      </c>
      <c r="D163" s="192" t="s">
        <v>78</v>
      </c>
      <c r="E163" s="79">
        <f t="shared" si="72"/>
        <v>0</v>
      </c>
      <c r="F163" s="83"/>
      <c r="G163" s="170"/>
      <c r="H163" s="193">
        <f t="shared" si="75"/>
        <v>0</v>
      </c>
      <c r="I163" s="304"/>
      <c r="J163" s="9" t="str">
        <f>VLOOKUP($A163,[4]cliqccee!$A:$AK,26,FALSE)</f>
        <v>0,000000</v>
      </c>
      <c r="K163" s="9" t="str">
        <f>VLOOKUP($A163,[4]cliqccee!$A:$AK,10,FALSE)</f>
        <v>Validado</v>
      </c>
      <c r="L163" s="9" t="str">
        <f>VLOOKUP($A163,[4]cliqccee!$A:$AK,32,FALSE)</f>
        <v>FLAT</v>
      </c>
      <c r="M163" s="9" t="str">
        <f>VLOOKUP($A163,[4]cliqccee!$A:$AK,33,FALSE)</f>
        <v>Validado</v>
      </c>
      <c r="N163" s="499">
        <f t="shared" si="76"/>
        <v>0</v>
      </c>
    </row>
    <row r="164" spans="1:15" ht="11.25" x14ac:dyDescent="0.2">
      <c r="A164" s="406"/>
      <c r="B164" s="406"/>
      <c r="C164" s="406"/>
      <c r="D164" s="407"/>
      <c r="E164" s="501"/>
      <c r="F164" s="500"/>
      <c r="G164" s="506"/>
      <c r="H164" s="525"/>
      <c r="I164" s="304"/>
      <c r="J164" s="9" t="e">
        <f>VLOOKUP($A164,[4]cliqccee!$A:$AK,26,FALSE)</f>
        <v>#N/A</v>
      </c>
      <c r="K164" s="9" t="e">
        <f>VLOOKUP($A164,[4]cliqccee!$A:$AK,10,FALSE)</f>
        <v>#N/A</v>
      </c>
      <c r="L164" s="9" t="e">
        <f>VLOOKUP($A164,[4]cliqccee!$A:$AK,32,FALSE)</f>
        <v>#N/A</v>
      </c>
      <c r="M164" s="9" t="e">
        <f>VLOOKUP($A164,[4]cliqccee!$A:$AK,33,FALSE)</f>
        <v>#N/A</v>
      </c>
      <c r="N164" s="499" t="e">
        <f t="shared" si="76"/>
        <v>#N/A</v>
      </c>
      <c r="O164" s="536"/>
    </row>
    <row r="165" spans="1:15" ht="11.25" x14ac:dyDescent="0.2">
      <c r="A165" s="167"/>
      <c r="B165" s="406"/>
      <c r="C165" s="406"/>
      <c r="D165" s="407"/>
      <c r="E165" s="501"/>
      <c r="F165" s="500"/>
      <c r="G165" s="506"/>
      <c r="H165" s="525"/>
      <c r="I165" s="304"/>
      <c r="J165" s="9" t="e">
        <f>VLOOKUP($A165,[4]cliqccee!$A:$AK,26,FALSE)</f>
        <v>#N/A</v>
      </c>
      <c r="K165" s="9" t="e">
        <f>VLOOKUP($A165,[4]cliqccee!$A:$AK,10,FALSE)</f>
        <v>#N/A</v>
      </c>
      <c r="L165" s="9" t="e">
        <f>VLOOKUP($A165,[4]cliqccee!$A:$AK,32,FALSE)</f>
        <v>#N/A</v>
      </c>
      <c r="M165" s="9" t="e">
        <f>VLOOKUP($A165,[4]cliqccee!$A:$AK,33,FALSE)</f>
        <v>#N/A</v>
      </c>
      <c r="N165" s="499" t="e">
        <f t="shared" si="76"/>
        <v>#N/A</v>
      </c>
    </row>
    <row r="166" spans="1:15" ht="11.25" x14ac:dyDescent="0.2">
      <c r="A166" s="167"/>
      <c r="B166" s="406"/>
      <c r="C166" s="406"/>
      <c r="D166" s="407"/>
      <c r="E166" s="501"/>
      <c r="F166" s="500"/>
      <c r="G166" s="506"/>
      <c r="H166" s="525"/>
      <c r="I166" s="304"/>
      <c r="J166" s="9" t="e">
        <f>VLOOKUP($A166,[4]cliqccee!$A:$AK,26,FALSE)</f>
        <v>#N/A</v>
      </c>
      <c r="K166" s="9" t="e">
        <f>VLOOKUP($A166,[4]cliqccee!$A:$AK,10,FALSE)</f>
        <v>#N/A</v>
      </c>
      <c r="L166" s="9" t="e">
        <f>VLOOKUP($A166,[4]cliqccee!$A:$AK,32,FALSE)</f>
        <v>#N/A</v>
      </c>
      <c r="M166" s="9" t="e">
        <f>VLOOKUP($A166,[4]cliqccee!$A:$AK,33,FALSE)</f>
        <v>#N/A</v>
      </c>
      <c r="N166" s="499" t="e">
        <f t="shared" si="76"/>
        <v>#N/A</v>
      </c>
    </row>
    <row r="167" spans="1:15" s="530" customFormat="1" ht="11.25" x14ac:dyDescent="0.2">
      <c r="A167" s="167"/>
      <c r="B167" s="406"/>
      <c r="C167" s="406"/>
      <c r="D167" s="407"/>
      <c r="E167" s="501"/>
      <c r="F167" s="500"/>
      <c r="G167" s="506"/>
      <c r="H167" s="525"/>
      <c r="I167" s="304"/>
      <c r="J167" s="9" t="e">
        <f>VLOOKUP($A167,[4]cliqccee!$A:$AK,26,FALSE)</f>
        <v>#N/A</v>
      </c>
      <c r="K167" s="9" t="e">
        <f>VLOOKUP($A167,[4]cliqccee!$A:$AK,10,FALSE)</f>
        <v>#N/A</v>
      </c>
      <c r="L167" s="9" t="e">
        <f>VLOOKUP($A167,[4]cliqccee!$A:$AK,32,FALSE)</f>
        <v>#N/A</v>
      </c>
      <c r="M167" s="9" t="e">
        <f>VLOOKUP($A167,[4]cliqccee!$A:$AK,33,FALSE)</f>
        <v>#N/A</v>
      </c>
      <c r="N167" s="499" t="e">
        <f t="shared" ref="N167" si="77">J167-E167</f>
        <v>#N/A</v>
      </c>
    </row>
    <row r="168" spans="1:15" s="532" customFormat="1" ht="11.25" x14ac:dyDescent="0.2">
      <c r="A168" s="167"/>
      <c r="B168" s="406"/>
      <c r="C168" s="406"/>
      <c r="D168" s="407"/>
      <c r="E168" s="501"/>
      <c r="F168" s="500"/>
      <c r="G168" s="506"/>
      <c r="H168" s="525"/>
      <c r="I168" s="304"/>
      <c r="J168" s="9" t="e">
        <f>VLOOKUP($A168,[4]cliqccee!$A:$AK,26,FALSE)</f>
        <v>#N/A</v>
      </c>
      <c r="K168" s="9" t="e">
        <f>VLOOKUP($A168,[4]cliqccee!$A:$AK,10,FALSE)</f>
        <v>#N/A</v>
      </c>
      <c r="L168" s="9" t="e">
        <f>VLOOKUP($A168,[4]cliqccee!$A:$AK,32,FALSE)</f>
        <v>#N/A</v>
      </c>
      <c r="M168" s="9" t="e">
        <f>VLOOKUP($A168,[4]cliqccee!$A:$AK,33,FALSE)</f>
        <v>#N/A</v>
      </c>
      <c r="N168" s="499" t="e">
        <f t="shared" ref="N168" si="78">J168-E168</f>
        <v>#N/A</v>
      </c>
    </row>
    <row r="169" spans="1:15" ht="11.25" x14ac:dyDescent="0.2">
      <c r="A169" s="253"/>
      <c r="B169" s="253"/>
      <c r="C169" s="253"/>
      <c r="D169" s="253"/>
      <c r="E169" s="203"/>
      <c r="F169" s="204"/>
      <c r="G169" s="205"/>
      <c r="H169" s="206"/>
      <c r="I169" s="228"/>
      <c r="J169" s="393"/>
      <c r="K169" s="393"/>
      <c r="L169" s="393"/>
      <c r="M169" s="393"/>
      <c r="N169" s="499"/>
    </row>
    <row r="170" spans="1:15" ht="11.25" x14ac:dyDescent="0.2">
      <c r="A170" s="80" t="s">
        <v>32</v>
      </c>
      <c r="B170" s="421"/>
      <c r="C170" s="421"/>
      <c r="D170" s="422"/>
      <c r="E170" s="81">
        <f>SUM(E147:E169)</f>
        <v>1023.140136</v>
      </c>
      <c r="F170" s="84">
        <f>SUM(F147:F169)</f>
        <v>761216.26119045937</v>
      </c>
      <c r="G170" s="82">
        <f>IFERROR(H170/F170,0)</f>
        <v>15.692212176523912</v>
      </c>
      <c r="H170" s="82">
        <f>SUM(H147:H169)</f>
        <v>11945167.082820933</v>
      </c>
      <c r="I170" s="228"/>
      <c r="N170" s="418"/>
    </row>
    <row r="171" spans="1:15" ht="11.25" x14ac:dyDescent="0.2">
      <c r="E171" s="455"/>
      <c r="F171" s="410"/>
      <c r="N171" s="418"/>
    </row>
    <row r="172" spans="1:15" ht="11.25" x14ac:dyDescent="0.2">
      <c r="A172" s="548" t="s">
        <v>233</v>
      </c>
      <c r="B172" s="548"/>
      <c r="C172" s="548"/>
      <c r="E172" s="423" t="s">
        <v>19</v>
      </c>
      <c r="F172" s="423"/>
      <c r="G172" s="424" t="s">
        <v>20</v>
      </c>
      <c r="H172" s="424"/>
      <c r="I172" s="425" t="s">
        <v>21</v>
      </c>
      <c r="J172" s="425"/>
      <c r="K172" s="426" t="s">
        <v>22</v>
      </c>
      <c r="L172" s="426"/>
      <c r="N172" s="418"/>
    </row>
    <row r="173" spans="1:15" ht="11.25" x14ac:dyDescent="0.2">
      <c r="A173" s="10" t="s">
        <v>2</v>
      </c>
      <c r="B173" s="10" t="s">
        <v>137</v>
      </c>
      <c r="C173" s="10" t="s">
        <v>25</v>
      </c>
      <c r="E173" s="427" t="s">
        <v>137</v>
      </c>
      <c r="F173" s="428" t="s">
        <v>25</v>
      </c>
      <c r="G173" s="429" t="s">
        <v>137</v>
      </c>
      <c r="H173" s="430" t="s">
        <v>25</v>
      </c>
      <c r="I173" s="431" t="s">
        <v>137</v>
      </c>
      <c r="J173" s="432" t="s">
        <v>25</v>
      </c>
      <c r="K173" s="433" t="s">
        <v>137</v>
      </c>
      <c r="L173" s="434" t="s">
        <v>25</v>
      </c>
      <c r="N173" s="418"/>
    </row>
    <row r="174" spans="1:15" ht="11.25" x14ac:dyDescent="0.2">
      <c r="A174" s="29" t="s">
        <v>69</v>
      </c>
      <c r="B174" s="70">
        <f>E95</f>
        <v>0</v>
      </c>
      <c r="C174" s="83">
        <f>F95</f>
        <v>0</v>
      </c>
      <c r="E174" s="435">
        <f t="shared" ref="E174:E180" si="79">SUMIFS($E$92:$E$169,$C$92:$C$169,$A174,$D$92:$D$169,$E$172)</f>
        <v>0</v>
      </c>
      <c r="F174" s="436">
        <f t="shared" ref="F174:F180" si="80">SUMIFS($F$92:$F$169,$C$92:$C$169,$A174,$D$92:$D$169,$E$172)</f>
        <v>0</v>
      </c>
      <c r="G174" s="437">
        <f t="shared" ref="G174:G180" si="81">SUMIFS($E$92:$E$169,$C$92:$C$169,$A174,$D$92:$D$169,$G$172)</f>
        <v>0</v>
      </c>
      <c r="H174" s="438">
        <f t="shared" ref="H174:H180" si="82">SUMIFS($F$92:$F$169,$C$92:$C$169,$A174,$D$92:$D$169,$G$172)</f>
        <v>0</v>
      </c>
      <c r="I174" s="439">
        <f t="shared" ref="I174:I180" si="83">SUMIFS($E$92:$E$169,$C$92:$C$169,$A174,$D$92:$D$169,$I$172)</f>
        <v>0</v>
      </c>
      <c r="J174" s="440">
        <f t="shared" ref="J174:J180" si="84">SUMIFS($F$92:$F$169,$C$92:$C$169,$A174,$D$92:$D$169,$I$172)</f>
        <v>0</v>
      </c>
      <c r="K174" s="441">
        <f t="shared" ref="K174:K180" si="85">SUMIFS($E$92:$E$169,$C$92:$C$169,$A174,$D$92:$D$169,$K$172)</f>
        <v>0</v>
      </c>
      <c r="L174" s="442">
        <f t="shared" ref="L174:L180" si="86">SUMIFS($F$92:$F$169,$C$92:$C$169,$A174,$D$92:$D$169,$K$172)</f>
        <v>0</v>
      </c>
      <c r="N174" s="418"/>
    </row>
    <row r="175" spans="1:15" ht="11.25" x14ac:dyDescent="0.2">
      <c r="A175" s="29" t="s">
        <v>47</v>
      </c>
      <c r="B175" s="70">
        <v>0</v>
      </c>
      <c r="C175" s="83">
        <v>0</v>
      </c>
      <c r="E175" s="435">
        <f t="shared" si="79"/>
        <v>0</v>
      </c>
      <c r="F175" s="436">
        <f t="shared" si="80"/>
        <v>0</v>
      </c>
      <c r="G175" s="437">
        <f t="shared" si="81"/>
        <v>0</v>
      </c>
      <c r="H175" s="438">
        <f t="shared" si="82"/>
        <v>0</v>
      </c>
      <c r="I175" s="439">
        <f t="shared" si="83"/>
        <v>0</v>
      </c>
      <c r="J175" s="440">
        <f t="shared" si="84"/>
        <v>0</v>
      </c>
      <c r="K175" s="441">
        <f t="shared" si="85"/>
        <v>0</v>
      </c>
      <c r="L175" s="442">
        <f t="shared" si="86"/>
        <v>0</v>
      </c>
      <c r="N175" s="418"/>
    </row>
    <row r="176" spans="1:15" ht="11.25" x14ac:dyDescent="0.2">
      <c r="A176" s="29" t="s">
        <v>79</v>
      </c>
      <c r="B176" s="70">
        <v>0</v>
      </c>
      <c r="C176" s="83">
        <v>0</v>
      </c>
      <c r="E176" s="435">
        <f t="shared" si="79"/>
        <v>0</v>
      </c>
      <c r="F176" s="436">
        <f t="shared" si="80"/>
        <v>0</v>
      </c>
      <c r="G176" s="437">
        <f t="shared" si="81"/>
        <v>0</v>
      </c>
      <c r="H176" s="438">
        <f t="shared" si="82"/>
        <v>0</v>
      </c>
      <c r="I176" s="439">
        <f t="shared" si="83"/>
        <v>0</v>
      </c>
      <c r="J176" s="440">
        <f t="shared" si="84"/>
        <v>0</v>
      </c>
      <c r="K176" s="441">
        <f t="shared" si="85"/>
        <v>0</v>
      </c>
      <c r="L176" s="442">
        <f t="shared" si="86"/>
        <v>0</v>
      </c>
      <c r="N176" s="418"/>
    </row>
    <row r="177" spans="1:16" ht="11.25" x14ac:dyDescent="0.2">
      <c r="A177" s="29" t="s">
        <v>71</v>
      </c>
      <c r="B177" s="70">
        <f>E143</f>
        <v>1022.3402838741126</v>
      </c>
      <c r="C177" s="83">
        <f>F143</f>
        <v>760621.17120233981</v>
      </c>
      <c r="E177" s="435">
        <f t="shared" si="79"/>
        <v>402.68149999999997</v>
      </c>
      <c r="F177" s="436">
        <f t="shared" si="80"/>
        <v>299595.03599999996</v>
      </c>
      <c r="G177" s="437">
        <f t="shared" si="81"/>
        <v>0</v>
      </c>
      <c r="H177" s="438">
        <f t="shared" si="82"/>
        <v>0</v>
      </c>
      <c r="I177" s="439">
        <f t="shared" si="83"/>
        <v>619.6587838741126</v>
      </c>
      <c r="J177" s="440">
        <f t="shared" si="84"/>
        <v>461026.13520233979</v>
      </c>
      <c r="K177" s="441">
        <f t="shared" si="85"/>
        <v>0</v>
      </c>
      <c r="L177" s="442">
        <f t="shared" si="86"/>
        <v>0</v>
      </c>
      <c r="N177" s="418"/>
    </row>
    <row r="178" spans="1:16" ht="11.25" x14ac:dyDescent="0.2">
      <c r="A178" s="29" t="s">
        <v>9</v>
      </c>
      <c r="B178" s="70">
        <v>0</v>
      </c>
      <c r="C178" s="83">
        <v>0</v>
      </c>
      <c r="E178" s="435">
        <f t="shared" si="79"/>
        <v>0</v>
      </c>
      <c r="F178" s="436">
        <f t="shared" si="80"/>
        <v>0</v>
      </c>
      <c r="G178" s="437">
        <f t="shared" si="81"/>
        <v>0</v>
      </c>
      <c r="H178" s="438">
        <f t="shared" si="82"/>
        <v>0</v>
      </c>
      <c r="I178" s="439">
        <f t="shared" si="83"/>
        <v>0</v>
      </c>
      <c r="J178" s="440">
        <f t="shared" si="84"/>
        <v>0</v>
      </c>
      <c r="K178" s="441">
        <f t="shared" si="85"/>
        <v>0</v>
      </c>
      <c r="L178" s="442">
        <f t="shared" si="86"/>
        <v>0</v>
      </c>
      <c r="N178" s="418"/>
    </row>
    <row r="179" spans="1:16" ht="11.25" x14ac:dyDescent="0.2">
      <c r="A179" s="29" t="s">
        <v>80</v>
      </c>
      <c r="B179" s="70">
        <v>0</v>
      </c>
      <c r="C179" s="83">
        <v>0</v>
      </c>
      <c r="E179" s="435">
        <f t="shared" si="79"/>
        <v>0</v>
      </c>
      <c r="F179" s="436">
        <f t="shared" si="80"/>
        <v>0</v>
      </c>
      <c r="G179" s="437">
        <f t="shared" si="81"/>
        <v>0</v>
      </c>
      <c r="H179" s="438">
        <f t="shared" si="82"/>
        <v>0</v>
      </c>
      <c r="I179" s="439">
        <f t="shared" si="83"/>
        <v>0</v>
      </c>
      <c r="J179" s="440">
        <f t="shared" si="84"/>
        <v>0</v>
      </c>
      <c r="K179" s="441">
        <f t="shared" si="85"/>
        <v>0</v>
      </c>
      <c r="L179" s="442">
        <f t="shared" si="86"/>
        <v>0</v>
      </c>
      <c r="N179" s="418"/>
    </row>
    <row r="180" spans="1:16" ht="11.25" x14ac:dyDescent="0.2">
      <c r="A180" s="29" t="s">
        <v>77</v>
      </c>
      <c r="B180" s="70">
        <f>E170</f>
        <v>1023.140136</v>
      </c>
      <c r="C180" s="83">
        <f>F170</f>
        <v>761216.26119045937</v>
      </c>
      <c r="E180" s="435">
        <f t="shared" si="79"/>
        <v>396.50494800000001</v>
      </c>
      <c r="F180" s="436">
        <f t="shared" si="80"/>
        <v>294999.68167756009</v>
      </c>
      <c r="G180" s="437">
        <f t="shared" si="81"/>
        <v>0</v>
      </c>
      <c r="H180" s="438">
        <f t="shared" si="82"/>
        <v>0</v>
      </c>
      <c r="I180" s="439">
        <f t="shared" si="83"/>
        <v>626.63518799999997</v>
      </c>
      <c r="J180" s="440">
        <f t="shared" si="84"/>
        <v>466216.57951289922</v>
      </c>
      <c r="K180" s="441">
        <f t="shared" si="85"/>
        <v>0</v>
      </c>
      <c r="L180" s="442">
        <f t="shared" si="86"/>
        <v>0</v>
      </c>
      <c r="N180" s="418"/>
    </row>
    <row r="181" spans="1:16" ht="11.25" x14ac:dyDescent="0.2">
      <c r="A181" s="11" t="s">
        <v>81</v>
      </c>
      <c r="B181" s="12">
        <f>SUM(B174:B177)-SUM(B178:B180)</f>
        <v>-0.79985212588735521</v>
      </c>
      <c r="C181" s="12">
        <f>SUM(C174:C177)-SUM(C178:C180)</f>
        <v>-595.08998811955098</v>
      </c>
      <c r="E181" s="443">
        <f>SUM(E174:E177)-SUM(E178:E180)</f>
        <v>6.1765519999999583</v>
      </c>
      <c r="F181" s="444">
        <f>SUM(F174:F177)-SUM(F178:F180)</f>
        <v>4595.3543224398745</v>
      </c>
      <c r="G181" s="445">
        <f t="shared" ref="G181:L181" si="87">SUM(G174:G177)-SUM(G178:G180)</f>
        <v>0</v>
      </c>
      <c r="H181" s="446">
        <f t="shared" si="87"/>
        <v>0</v>
      </c>
      <c r="I181" s="447">
        <f t="shared" si="87"/>
        <v>-6.9764041258873704</v>
      </c>
      <c r="J181" s="448">
        <f t="shared" si="87"/>
        <v>-5190.4443105594255</v>
      </c>
      <c r="K181" s="449">
        <f t="shared" si="87"/>
        <v>0</v>
      </c>
      <c r="L181" s="450">
        <f t="shared" si="87"/>
        <v>0</v>
      </c>
      <c r="N181" s="418"/>
    </row>
    <row r="182" spans="1:16" ht="11.25" x14ac:dyDescent="0.2">
      <c r="A182" s="11" t="s">
        <v>82</v>
      </c>
      <c r="B182" s="12">
        <f>SUM(B174:B177)-SUM(B178:B181)</f>
        <v>0</v>
      </c>
      <c r="C182" s="12">
        <f>SUM(C174:C177)-SUM(C178:C181)</f>
        <v>0</v>
      </c>
      <c r="E182" s="443">
        <f>SUM(E174:E177)-SUM(E178:E181)</f>
        <v>0</v>
      </c>
      <c r="F182" s="444">
        <f t="shared" ref="F182:L182" si="88">SUM(F174:F177)-SUM(F178:F181)</f>
        <v>0</v>
      </c>
      <c r="G182" s="445">
        <f t="shared" si="88"/>
        <v>0</v>
      </c>
      <c r="H182" s="446">
        <f t="shared" si="88"/>
        <v>0</v>
      </c>
      <c r="I182" s="447">
        <f t="shared" si="88"/>
        <v>0</v>
      </c>
      <c r="J182" s="448">
        <f t="shared" si="88"/>
        <v>0</v>
      </c>
      <c r="K182" s="449">
        <f t="shared" si="88"/>
        <v>0</v>
      </c>
      <c r="L182" s="450">
        <f t="shared" si="88"/>
        <v>0</v>
      </c>
      <c r="N182" s="418"/>
    </row>
    <row r="183" spans="1:16" ht="11.25" x14ac:dyDescent="0.2">
      <c r="N183" s="418"/>
    </row>
    <row r="184" spans="1:16" ht="11.25" x14ac:dyDescent="0.2">
      <c r="E184" s="451">
        <f>(F181*$H$5)+(H181*$J$5)+(J181*$L$5)+(L181*$N$5)</f>
        <v>-226723.14442784025</v>
      </c>
      <c r="N184" s="418"/>
    </row>
    <row r="185" spans="1:16" ht="11.25" x14ac:dyDescent="0.2">
      <c r="N185" s="418"/>
    </row>
    <row r="186" spans="1:16" ht="11.25" x14ac:dyDescent="0.2">
      <c r="N186" s="418"/>
    </row>
    <row r="187" spans="1:16" ht="11.25" x14ac:dyDescent="0.2">
      <c r="A187" s="548" t="s">
        <v>291</v>
      </c>
      <c r="B187" s="548"/>
      <c r="C187" s="548"/>
      <c r="D187" s="548"/>
      <c r="E187" s="548"/>
      <c r="F187" s="548"/>
      <c r="G187" s="548"/>
      <c r="H187" s="548"/>
      <c r="N187" s="418"/>
    </row>
    <row r="188" spans="1:16" ht="11.25" x14ac:dyDescent="0.2">
      <c r="A188" s="548"/>
      <c r="B188" s="548"/>
      <c r="C188" s="548"/>
      <c r="D188" s="548"/>
      <c r="E188" s="548"/>
      <c r="F188" s="548"/>
      <c r="G188" s="548"/>
      <c r="H188" s="548"/>
      <c r="N188" s="418"/>
    </row>
    <row r="189" spans="1:16" s="420" customFormat="1" ht="3.75" customHeight="1" x14ac:dyDescent="0.2">
      <c r="A189" s="419"/>
      <c r="B189" s="419"/>
      <c r="C189" s="419"/>
      <c r="D189" s="419"/>
      <c r="E189" s="419"/>
      <c r="F189" s="419"/>
      <c r="G189" s="419"/>
      <c r="H189" s="419"/>
      <c r="I189" s="515"/>
      <c r="J189" s="515"/>
      <c r="K189" s="515"/>
      <c r="L189" s="515"/>
      <c r="M189" s="515"/>
      <c r="N189" s="418"/>
      <c r="O189" s="515"/>
      <c r="P189" s="515"/>
    </row>
    <row r="190" spans="1:16" ht="11.25" x14ac:dyDescent="0.2">
      <c r="A190" s="548" t="s">
        <v>70</v>
      </c>
      <c r="B190" s="548"/>
      <c r="C190" s="548"/>
      <c r="D190" s="548"/>
      <c r="E190" s="548"/>
      <c r="F190" s="548"/>
      <c r="G190" s="548"/>
      <c r="H190" s="548"/>
      <c r="N190" s="418"/>
    </row>
    <row r="191" spans="1:16" x14ac:dyDescent="0.15">
      <c r="A191" s="10" t="s">
        <v>252</v>
      </c>
      <c r="B191" s="10" t="s">
        <v>1</v>
      </c>
      <c r="C191" s="10" t="s">
        <v>2</v>
      </c>
      <c r="D191" s="10" t="s">
        <v>3</v>
      </c>
      <c r="E191" s="10" t="s">
        <v>137</v>
      </c>
      <c r="F191" s="10" t="s">
        <v>25</v>
      </c>
      <c r="G191" s="10" t="s">
        <v>253</v>
      </c>
      <c r="H191" s="10" t="s">
        <v>254</v>
      </c>
      <c r="J191" s="10" t="s">
        <v>72</v>
      </c>
      <c r="K191" s="10" t="s">
        <v>73</v>
      </c>
      <c r="L191" s="10" t="s">
        <v>74</v>
      </c>
      <c r="M191" s="10" t="s">
        <v>75</v>
      </c>
      <c r="N191" s="10" t="s">
        <v>425</v>
      </c>
    </row>
    <row r="192" spans="1:16" ht="11.25" x14ac:dyDescent="0.2">
      <c r="A192" s="167">
        <v>558735</v>
      </c>
      <c r="B192" s="167" t="s">
        <v>244</v>
      </c>
      <c r="C192" s="167" t="s">
        <v>71</v>
      </c>
      <c r="D192" s="192" t="s">
        <v>232</v>
      </c>
      <c r="E192" s="79">
        <f>ROUND(F192/$B$33,6)</f>
        <v>0</v>
      </c>
      <c r="F192" s="83">
        <f>VLOOKUP(A192,$A$823:$H$873,6,FALSE)</f>
        <v>0</v>
      </c>
      <c r="G192" s="193">
        <f>VLOOKUP(A192,$A$823:$H$873,7,FALSE)</f>
        <v>0</v>
      </c>
      <c r="H192" s="193">
        <f>F192*G192</f>
        <v>0</v>
      </c>
      <c r="J192" s="9" t="str">
        <f>VLOOKUP($A192,[4]cliqccee!$A:$AK,26,FALSE)</f>
        <v>0,000000</v>
      </c>
      <c r="K192" s="9" t="str">
        <f>VLOOKUP($A192,[4]cliqccee!$A:$AK,10,FALSE)</f>
        <v>Validado</v>
      </c>
      <c r="L192" s="9" t="str">
        <f>VLOOKUP($A192,[4]cliqccee!$A:$AK,32,FALSE)</f>
        <v>FLAT</v>
      </c>
      <c r="M192" s="9" t="str">
        <f>VLOOKUP($A192,[4]cliqccee!$A:$AK,33,FALSE)</f>
        <v>Validado</v>
      </c>
      <c r="N192" s="499">
        <f t="shared" ref="N192:N196" si="89">J192-E192</f>
        <v>0</v>
      </c>
    </row>
    <row r="193" spans="1:14" ht="11.25" x14ac:dyDescent="0.2">
      <c r="A193" s="167">
        <v>584517</v>
      </c>
      <c r="B193" s="167" t="s">
        <v>244</v>
      </c>
      <c r="C193" s="167" t="s">
        <v>71</v>
      </c>
      <c r="D193" s="192" t="s">
        <v>92</v>
      </c>
      <c r="E193" s="79">
        <f>ROUND(F193/$B$33,6)</f>
        <v>0</v>
      </c>
      <c r="F193" s="83">
        <f>VLOOKUP(A193,$A$823:$H$873,6,FALSE)</f>
        <v>0</v>
      </c>
      <c r="G193" s="193">
        <f>VLOOKUP(A193,$A$823:$H$873,7,FALSE)</f>
        <v>0</v>
      </c>
      <c r="H193" s="193">
        <f>F193*G193</f>
        <v>0</v>
      </c>
      <c r="J193" s="9" t="str">
        <f>VLOOKUP($A193,[4]cliqccee!$A:$AK,26,FALSE)</f>
        <v>0,000000</v>
      </c>
      <c r="K193" s="9" t="str">
        <f>VLOOKUP($A193,[4]cliqccee!$A:$AK,10,FALSE)</f>
        <v>Validado</v>
      </c>
      <c r="L193" s="9" t="str">
        <f>VLOOKUP($A193,[4]cliqccee!$A:$AK,32,FALSE)</f>
        <v>FLAT</v>
      </c>
      <c r="M193" s="9" t="str">
        <f>VLOOKUP($A193,[4]cliqccee!$A:$AK,33,FALSE)</f>
        <v>Validado</v>
      </c>
      <c r="N193" s="499">
        <f t="shared" si="89"/>
        <v>0</v>
      </c>
    </row>
    <row r="194" spans="1:14" ht="11.25" x14ac:dyDescent="0.2">
      <c r="A194" s="167">
        <v>558364</v>
      </c>
      <c r="B194" s="167" t="s">
        <v>293</v>
      </c>
      <c r="C194" s="167" t="s">
        <v>71</v>
      </c>
      <c r="D194" s="192" t="s">
        <v>78</v>
      </c>
      <c r="E194" s="79">
        <f>ROUND(F194/$B$33,6)</f>
        <v>0</v>
      </c>
      <c r="F194" s="83">
        <f>VLOOKUP(A194,$A$56:$H$69,6,FALSE)</f>
        <v>0</v>
      </c>
      <c r="G194" s="193">
        <f>VLOOKUP(A194,$A$56:$H$69,7,FALSE)</f>
        <v>0</v>
      </c>
      <c r="H194" s="193">
        <f>F194*G194</f>
        <v>0</v>
      </c>
      <c r="J194" s="9" t="str">
        <f>VLOOKUP($A194,[4]cliqccee!$A:$AK,26,FALSE)</f>
        <v>0,000000</v>
      </c>
      <c r="K194" s="9" t="str">
        <f>VLOOKUP($A194,[4]cliqccee!$A:$AK,10,FALSE)</f>
        <v>Validado</v>
      </c>
      <c r="L194" s="9" t="str">
        <f>VLOOKUP($A194,[4]cliqccee!$A:$AK,32,FALSE)</f>
        <v>FLAT</v>
      </c>
      <c r="M194" s="9" t="str">
        <f>VLOOKUP($A194,[4]cliqccee!$A:$AK,33,FALSE)</f>
        <v>Validado</v>
      </c>
      <c r="N194" s="499">
        <f t="shared" si="89"/>
        <v>0</v>
      </c>
    </row>
    <row r="195" spans="1:14" ht="11.25" x14ac:dyDescent="0.2">
      <c r="A195" s="195">
        <v>558733</v>
      </c>
      <c r="B195" s="195" t="s">
        <v>244</v>
      </c>
      <c r="C195" s="195" t="s">
        <v>71</v>
      </c>
      <c r="D195" s="196" t="s">
        <v>78</v>
      </c>
      <c r="E195" s="97">
        <f>ROUND(F195/$B$33,6)</f>
        <v>0</v>
      </c>
      <c r="F195" s="98">
        <f>VLOOKUP(A195,$A$823:$H$873,6,FALSE)</f>
        <v>0</v>
      </c>
      <c r="G195" s="197">
        <f>VLOOKUP(A195,$A$823:$H$873,7,FALSE)</f>
        <v>0</v>
      </c>
      <c r="H195" s="197">
        <f>F195*G195</f>
        <v>0</v>
      </c>
      <c r="J195" s="9" t="str">
        <f>VLOOKUP($A195,[4]cliqccee!$A:$AK,26,FALSE)</f>
        <v>0,000000</v>
      </c>
      <c r="K195" s="9" t="str">
        <f>VLOOKUP($A195,[4]cliqccee!$A:$AK,10,FALSE)</f>
        <v>Validado</v>
      </c>
      <c r="L195" s="9" t="str">
        <f>VLOOKUP($A195,[4]cliqccee!$A:$AK,32,FALSE)</f>
        <v>FLAT</v>
      </c>
      <c r="M195" s="9" t="str">
        <f>VLOOKUP($A195,[4]cliqccee!$A:$AK,33,FALSE)</f>
        <v>Validado</v>
      </c>
      <c r="N195" s="499">
        <f t="shared" si="89"/>
        <v>0</v>
      </c>
    </row>
    <row r="196" spans="1:14" ht="11.25" x14ac:dyDescent="0.2">
      <c r="A196" s="248">
        <v>966776</v>
      </c>
      <c r="B196" s="248" t="s">
        <v>380</v>
      </c>
      <c r="C196" s="248" t="s">
        <v>71</v>
      </c>
      <c r="D196" s="249" t="s">
        <v>232</v>
      </c>
      <c r="E196" s="250">
        <v>0</v>
      </c>
      <c r="F196" s="251"/>
      <c r="G196" s="252"/>
      <c r="H196" s="252"/>
      <c r="J196" s="9" t="e">
        <f>VLOOKUP($A196,[4]cliqccee!$A:$AK,26,FALSE)</f>
        <v>#N/A</v>
      </c>
      <c r="K196" s="9" t="e">
        <f>VLOOKUP($A196,[4]cliqccee!$A:$AK,10,FALSE)</f>
        <v>#N/A</v>
      </c>
      <c r="L196" s="9" t="e">
        <f>VLOOKUP($A196,[4]cliqccee!$A:$AK,32,FALSE)</f>
        <v>#N/A</v>
      </c>
      <c r="M196" s="9" t="e">
        <f>VLOOKUP($A196,[4]cliqccee!$A:$AK,33,FALSE)</f>
        <v>#N/A</v>
      </c>
      <c r="N196" s="499" t="e">
        <f t="shared" si="89"/>
        <v>#N/A</v>
      </c>
    </row>
    <row r="197" spans="1:14" x14ac:dyDescent="0.15">
      <c r="A197" s="253"/>
      <c r="B197" s="253"/>
      <c r="C197" s="253"/>
      <c r="D197" s="253"/>
      <c r="E197" s="203"/>
      <c r="F197" s="204"/>
      <c r="G197" s="205"/>
      <c r="H197" s="206"/>
      <c r="J197" s="393"/>
      <c r="K197" s="393"/>
      <c r="L197" s="393"/>
      <c r="M197" s="393"/>
      <c r="N197" s="393"/>
    </row>
    <row r="198" spans="1:14" ht="11.25" x14ac:dyDescent="0.2">
      <c r="A198" s="80" t="s">
        <v>32</v>
      </c>
      <c r="B198" s="421"/>
      <c r="C198" s="421"/>
      <c r="D198" s="422"/>
      <c r="E198" s="81">
        <f>SUM(E192:E197)</f>
        <v>0</v>
      </c>
      <c r="F198" s="84">
        <f>SUM(F192:F197)</f>
        <v>0</v>
      </c>
      <c r="G198" s="82">
        <f>IFERROR(H198/F198,0)</f>
        <v>0</v>
      </c>
      <c r="H198" s="82">
        <f>SUM(H192:H197)</f>
        <v>0</v>
      </c>
      <c r="I198" s="228"/>
      <c r="N198" s="499"/>
    </row>
    <row r="199" spans="1:14" ht="11.25" x14ac:dyDescent="0.2">
      <c r="N199" s="499"/>
    </row>
    <row r="200" spans="1:14" ht="11.25" x14ac:dyDescent="0.2">
      <c r="A200" s="548" t="s">
        <v>76</v>
      </c>
      <c r="B200" s="548"/>
      <c r="C200" s="548"/>
      <c r="D200" s="548"/>
      <c r="E200" s="548"/>
      <c r="F200" s="548"/>
      <c r="G200" s="548"/>
      <c r="H200" s="548"/>
      <c r="N200" s="499"/>
    </row>
    <row r="201" spans="1:14" x14ac:dyDescent="0.15">
      <c r="A201" s="10" t="s">
        <v>252</v>
      </c>
      <c r="B201" s="10" t="s">
        <v>1</v>
      </c>
      <c r="C201" s="10" t="s">
        <v>2</v>
      </c>
      <c r="D201" s="10" t="s">
        <v>3</v>
      </c>
      <c r="E201" s="10" t="s">
        <v>137</v>
      </c>
      <c r="F201" s="10" t="s">
        <v>25</v>
      </c>
      <c r="G201" s="10" t="s">
        <v>253</v>
      </c>
      <c r="H201" s="10" t="s">
        <v>254</v>
      </c>
      <c r="J201" s="10" t="s">
        <v>72</v>
      </c>
      <c r="K201" s="10" t="s">
        <v>73</v>
      </c>
      <c r="L201" s="10" t="s">
        <v>74</v>
      </c>
      <c r="M201" s="10" t="s">
        <v>75</v>
      </c>
      <c r="N201" s="10" t="s">
        <v>425</v>
      </c>
    </row>
    <row r="202" spans="1:14" ht="11.25" x14ac:dyDescent="0.2">
      <c r="A202" s="167">
        <v>569436</v>
      </c>
      <c r="B202" s="168" t="s">
        <v>169</v>
      </c>
      <c r="C202" s="167" t="s">
        <v>77</v>
      </c>
      <c r="D202" s="169" t="s">
        <v>232</v>
      </c>
      <c r="E202" s="79">
        <f t="shared" ref="E202:E214" si="90">ROUND(F202/$B$33,6)</f>
        <v>0</v>
      </c>
      <c r="F202" s="83"/>
      <c r="G202" s="170"/>
      <c r="H202" s="170">
        <f t="shared" ref="H202:H212" si="91">F202*G202</f>
        <v>0</v>
      </c>
      <c r="I202" s="453"/>
      <c r="J202" s="9" t="str">
        <f>VLOOKUP($A202,[4]cliqccee!$A:$AK,26,FALSE)</f>
        <v>0,000000</v>
      </c>
      <c r="K202" s="9" t="str">
        <f>VLOOKUP($A202,[4]cliqccee!$A:$AK,10,FALSE)</f>
        <v>Validado</v>
      </c>
      <c r="L202" s="9" t="str">
        <f>VLOOKUP($A202,[4]cliqccee!$A:$AK,32,FALSE)</f>
        <v>FLAT</v>
      </c>
      <c r="M202" s="9" t="str">
        <f>VLOOKUP($A202,[4]cliqccee!$A:$AK,33,FALSE)</f>
        <v>Validado</v>
      </c>
      <c r="N202" s="499">
        <f t="shared" ref="N202:N214" si="92">J202-E202</f>
        <v>0</v>
      </c>
    </row>
    <row r="203" spans="1:14" ht="11.25" x14ac:dyDescent="0.2">
      <c r="A203" s="167">
        <v>566784</v>
      </c>
      <c r="B203" s="168" t="s">
        <v>248</v>
      </c>
      <c r="C203" s="167" t="s">
        <v>77</v>
      </c>
      <c r="D203" s="169" t="s">
        <v>78</v>
      </c>
      <c r="E203" s="79">
        <f t="shared" si="90"/>
        <v>0</v>
      </c>
      <c r="F203" s="83"/>
      <c r="G203" s="170"/>
      <c r="H203" s="170">
        <f t="shared" si="91"/>
        <v>0</v>
      </c>
      <c r="I203" s="453"/>
      <c r="J203" s="9" t="str">
        <f>VLOOKUP($A203,[4]cliqccee!$A:$AK,26,FALSE)</f>
        <v>0,000000</v>
      </c>
      <c r="K203" s="9" t="str">
        <f>VLOOKUP($A203,[4]cliqccee!$A:$AK,10,FALSE)</f>
        <v>Validado</v>
      </c>
      <c r="L203" s="9" t="str">
        <f>VLOOKUP($A203,[4]cliqccee!$A:$AK,32,FALSE)</f>
        <v>FLAT</v>
      </c>
      <c r="M203" s="9" t="str">
        <f>VLOOKUP($A203,[4]cliqccee!$A:$AK,33,FALSE)</f>
        <v>Validado</v>
      </c>
      <c r="N203" s="499">
        <f t="shared" si="92"/>
        <v>0</v>
      </c>
    </row>
    <row r="204" spans="1:14" ht="11.25" x14ac:dyDescent="0.2">
      <c r="A204" s="167">
        <v>566840</v>
      </c>
      <c r="B204" s="168" t="s">
        <v>279</v>
      </c>
      <c r="C204" s="167" t="s">
        <v>77</v>
      </c>
      <c r="D204" s="169" t="s">
        <v>78</v>
      </c>
      <c r="E204" s="79">
        <f t="shared" si="90"/>
        <v>0</v>
      </c>
      <c r="F204" s="83"/>
      <c r="G204" s="170"/>
      <c r="H204" s="170">
        <f t="shared" si="91"/>
        <v>0</v>
      </c>
      <c r="I204" s="453"/>
      <c r="J204" s="9" t="str">
        <f>VLOOKUP($A204,[4]cliqccee!$A:$AK,26,FALSE)</f>
        <v>0,000000</v>
      </c>
      <c r="K204" s="9" t="str">
        <f>VLOOKUP($A204,[4]cliqccee!$A:$AK,10,FALSE)</f>
        <v>Validado</v>
      </c>
      <c r="L204" s="9" t="str">
        <f>VLOOKUP($A204,[4]cliqccee!$A:$AK,32,FALSE)</f>
        <v>FLAT</v>
      </c>
      <c r="M204" s="9" t="str">
        <f>VLOOKUP($A204,[4]cliqccee!$A:$AK,33,FALSE)</f>
        <v>Validado</v>
      </c>
      <c r="N204" s="499">
        <f t="shared" si="92"/>
        <v>0</v>
      </c>
    </row>
    <row r="205" spans="1:14" ht="11.25" x14ac:dyDescent="0.2">
      <c r="A205" s="167">
        <v>558365</v>
      </c>
      <c r="B205" s="168" t="s">
        <v>242</v>
      </c>
      <c r="C205" s="167" t="s">
        <v>77</v>
      </c>
      <c r="D205" s="169" t="s">
        <v>78</v>
      </c>
      <c r="E205" s="79">
        <f t="shared" si="90"/>
        <v>0</v>
      </c>
      <c r="F205" s="83"/>
      <c r="G205" s="170"/>
      <c r="H205" s="170">
        <f t="shared" si="91"/>
        <v>0</v>
      </c>
      <c r="I205" s="453"/>
      <c r="J205" s="9" t="str">
        <f>VLOOKUP($A205,[4]cliqccee!$A:$AK,26,FALSE)</f>
        <v>0,000000</v>
      </c>
      <c r="K205" s="9" t="str">
        <f>VLOOKUP($A205,[4]cliqccee!$A:$AK,10,FALSE)</f>
        <v>Validado</v>
      </c>
      <c r="L205" s="9" t="str">
        <f>VLOOKUP($A205,[4]cliqccee!$A:$AK,32,FALSE)</f>
        <v>FLAT</v>
      </c>
      <c r="M205" s="9" t="str">
        <f>VLOOKUP($A205,[4]cliqccee!$A:$AK,33,FALSE)</f>
        <v>Validado</v>
      </c>
      <c r="N205" s="499">
        <f t="shared" si="92"/>
        <v>0</v>
      </c>
    </row>
    <row r="206" spans="1:14" ht="11.25" x14ac:dyDescent="0.2">
      <c r="A206" s="167">
        <v>947188</v>
      </c>
      <c r="B206" s="168" t="s">
        <v>237</v>
      </c>
      <c r="C206" s="167" t="s">
        <v>77</v>
      </c>
      <c r="D206" s="169" t="s">
        <v>78</v>
      </c>
      <c r="E206" s="79">
        <f t="shared" si="90"/>
        <v>0</v>
      </c>
      <c r="F206" s="83"/>
      <c r="G206" s="170"/>
      <c r="H206" s="170">
        <f t="shared" si="91"/>
        <v>0</v>
      </c>
      <c r="I206" s="453"/>
      <c r="J206" s="9" t="e">
        <f>VLOOKUP($A206,[4]cliqccee!$A:$AK,26,FALSE)</f>
        <v>#N/A</v>
      </c>
      <c r="K206" s="9" t="e">
        <f>VLOOKUP($A206,[4]cliqccee!$A:$AK,10,FALSE)</f>
        <v>#N/A</v>
      </c>
      <c r="L206" s="9" t="e">
        <f>VLOOKUP($A206,[4]cliqccee!$A:$AK,32,FALSE)</f>
        <v>#N/A</v>
      </c>
      <c r="M206" s="9" t="e">
        <f>VLOOKUP($A206,[4]cliqccee!$A:$AK,33,FALSE)</f>
        <v>#N/A</v>
      </c>
      <c r="N206" s="499" t="e">
        <f t="shared" si="92"/>
        <v>#N/A</v>
      </c>
    </row>
    <row r="207" spans="1:14" ht="11.25" x14ac:dyDescent="0.2">
      <c r="A207" s="167">
        <v>558366</v>
      </c>
      <c r="B207" s="168" t="s">
        <v>258</v>
      </c>
      <c r="C207" s="167" t="s">
        <v>77</v>
      </c>
      <c r="D207" s="169" t="s">
        <v>78</v>
      </c>
      <c r="E207" s="79">
        <f t="shared" si="90"/>
        <v>0</v>
      </c>
      <c r="F207" s="83"/>
      <c r="G207" s="170"/>
      <c r="H207" s="170">
        <f t="shared" si="91"/>
        <v>0</v>
      </c>
      <c r="I207" s="453"/>
      <c r="J207" s="9" t="str">
        <f>VLOOKUP($A207,[4]cliqccee!$A:$AK,26,FALSE)</f>
        <v>0,000000</v>
      </c>
      <c r="K207" s="9" t="str">
        <f>VLOOKUP($A207,[4]cliqccee!$A:$AK,10,FALSE)</f>
        <v>Validado</v>
      </c>
      <c r="L207" s="9" t="str">
        <f>VLOOKUP($A207,[4]cliqccee!$A:$AK,32,FALSE)</f>
        <v>FLAT</v>
      </c>
      <c r="M207" s="9" t="str">
        <f>VLOOKUP($A207,[4]cliqccee!$A:$AK,33,FALSE)</f>
        <v>Validado</v>
      </c>
      <c r="N207" s="499">
        <f t="shared" si="92"/>
        <v>0</v>
      </c>
    </row>
    <row r="208" spans="1:14" ht="11.25" x14ac:dyDescent="0.2">
      <c r="A208" s="167">
        <v>395153</v>
      </c>
      <c r="B208" s="168" t="s">
        <v>167</v>
      </c>
      <c r="C208" s="167" t="s">
        <v>77</v>
      </c>
      <c r="D208" s="169" t="s">
        <v>78</v>
      </c>
      <c r="E208" s="79">
        <f t="shared" si="90"/>
        <v>0</v>
      </c>
      <c r="F208" s="83"/>
      <c r="G208" s="170"/>
      <c r="H208" s="170">
        <f t="shared" si="91"/>
        <v>0</v>
      </c>
      <c r="I208" s="453"/>
      <c r="J208" s="9" t="str">
        <f>VLOOKUP($A208,[4]cliqccee!$A:$AK,26,FALSE)</f>
        <v>0,000000</v>
      </c>
      <c r="K208" s="9" t="str">
        <f>VLOOKUP($A208,[4]cliqccee!$A:$AK,10,FALSE)</f>
        <v>Validado</v>
      </c>
      <c r="L208" s="9" t="str">
        <f>VLOOKUP($A208,[4]cliqccee!$A:$AK,32,FALSE)</f>
        <v>FLAT</v>
      </c>
      <c r="M208" s="9" t="str">
        <f>VLOOKUP($A208,[4]cliqccee!$A:$AK,33,FALSE)</f>
        <v>Validado</v>
      </c>
      <c r="N208" s="499">
        <f t="shared" si="92"/>
        <v>0</v>
      </c>
    </row>
    <row r="209" spans="1:14" ht="11.25" x14ac:dyDescent="0.2">
      <c r="A209" s="167">
        <v>558736</v>
      </c>
      <c r="B209" s="168" t="s">
        <v>168</v>
      </c>
      <c r="C209" s="167" t="s">
        <v>77</v>
      </c>
      <c r="D209" s="169" t="s">
        <v>78</v>
      </c>
      <c r="E209" s="79">
        <f t="shared" si="90"/>
        <v>0</v>
      </c>
      <c r="F209" s="83"/>
      <c r="G209" s="170"/>
      <c r="H209" s="170">
        <f t="shared" si="91"/>
        <v>0</v>
      </c>
      <c r="I209" s="453"/>
      <c r="J209" s="9" t="str">
        <f>VLOOKUP($A209,[4]cliqccee!$A:$AK,26,FALSE)</f>
        <v>0,000000</v>
      </c>
      <c r="K209" s="9" t="str">
        <f>VLOOKUP($A209,[4]cliqccee!$A:$AK,10,FALSE)</f>
        <v>Validado</v>
      </c>
      <c r="L209" s="9" t="str">
        <f>VLOOKUP($A209,[4]cliqccee!$A:$AK,32,FALSE)</f>
        <v>FLAT</v>
      </c>
      <c r="M209" s="9" t="str">
        <f>VLOOKUP($A209,[4]cliqccee!$A:$AK,33,FALSE)</f>
        <v>Validado</v>
      </c>
      <c r="N209" s="499">
        <f t="shared" si="92"/>
        <v>0</v>
      </c>
    </row>
    <row r="210" spans="1:14" ht="11.25" x14ac:dyDescent="0.2">
      <c r="A210" s="167">
        <v>746825</v>
      </c>
      <c r="B210" s="168" t="s">
        <v>155</v>
      </c>
      <c r="C210" s="167" t="s">
        <v>77</v>
      </c>
      <c r="D210" s="169" t="s">
        <v>78</v>
      </c>
      <c r="E210" s="79">
        <f t="shared" si="90"/>
        <v>0</v>
      </c>
      <c r="F210" s="83"/>
      <c r="G210" s="170"/>
      <c r="H210" s="170">
        <f t="shared" si="91"/>
        <v>0</v>
      </c>
      <c r="I210" s="453"/>
      <c r="J210" s="9" t="e">
        <f>VLOOKUP($A210,[4]cliqccee!$A:$AK,26,FALSE)</f>
        <v>#N/A</v>
      </c>
      <c r="K210" s="9" t="e">
        <f>VLOOKUP($A210,[4]cliqccee!$A:$AK,10,FALSE)</f>
        <v>#N/A</v>
      </c>
      <c r="L210" s="9" t="e">
        <f>VLOOKUP($A210,[4]cliqccee!$A:$AK,32,FALSE)</f>
        <v>#N/A</v>
      </c>
      <c r="M210" s="9" t="e">
        <f>VLOOKUP($A210,[4]cliqccee!$A:$AK,33,FALSE)</f>
        <v>#N/A</v>
      </c>
      <c r="N210" s="499" t="e">
        <f t="shared" si="92"/>
        <v>#N/A</v>
      </c>
    </row>
    <row r="211" spans="1:14" ht="11.25" x14ac:dyDescent="0.2">
      <c r="A211" s="167">
        <v>747625</v>
      </c>
      <c r="B211" s="167" t="s">
        <v>303</v>
      </c>
      <c r="C211" s="167" t="s">
        <v>77</v>
      </c>
      <c r="D211" s="192" t="s">
        <v>78</v>
      </c>
      <c r="E211" s="79">
        <f t="shared" si="90"/>
        <v>0</v>
      </c>
      <c r="F211" s="83"/>
      <c r="G211" s="193"/>
      <c r="H211" s="193">
        <f t="shared" si="91"/>
        <v>0</v>
      </c>
      <c r="J211" s="9" t="str">
        <f>VLOOKUP($A211,[4]cliqccee!$A:$AK,26,FALSE)</f>
        <v>0,000000</v>
      </c>
      <c r="K211" s="9" t="str">
        <f>VLOOKUP($A211,[4]cliqccee!$A:$AK,10,FALSE)</f>
        <v>Validado</v>
      </c>
      <c r="L211" s="9" t="str">
        <f>VLOOKUP($A211,[4]cliqccee!$A:$AK,32,FALSE)</f>
        <v>FLAT</v>
      </c>
      <c r="M211" s="9" t="str">
        <f>VLOOKUP($A211,[4]cliqccee!$A:$AK,33,FALSE)</f>
        <v>Validado</v>
      </c>
      <c r="N211" s="499">
        <f t="shared" si="92"/>
        <v>0</v>
      </c>
    </row>
    <row r="212" spans="1:14" ht="11.25" x14ac:dyDescent="0.2">
      <c r="A212" s="195">
        <v>566783</v>
      </c>
      <c r="B212" s="195" t="s">
        <v>244</v>
      </c>
      <c r="C212" s="195" t="s">
        <v>77</v>
      </c>
      <c r="D212" s="196" t="s">
        <v>78</v>
      </c>
      <c r="E212" s="97">
        <f t="shared" si="90"/>
        <v>0</v>
      </c>
      <c r="F212" s="98"/>
      <c r="G212" s="197"/>
      <c r="H212" s="197">
        <f t="shared" si="91"/>
        <v>0</v>
      </c>
      <c r="J212" s="9" t="str">
        <f>VLOOKUP($A212,[4]cliqccee!$A:$AK,26,FALSE)</f>
        <v>0,000000</v>
      </c>
      <c r="K212" s="9" t="str">
        <f>VLOOKUP($A212,[4]cliqccee!$A:$AK,10,FALSE)</f>
        <v>Validado</v>
      </c>
      <c r="L212" s="9" t="str">
        <f>VLOOKUP($A212,[4]cliqccee!$A:$AK,32,FALSE)</f>
        <v>FLAT</v>
      </c>
      <c r="M212" s="9" t="str">
        <f>VLOOKUP($A212,[4]cliqccee!$A:$AK,33,FALSE)</f>
        <v>Validado</v>
      </c>
      <c r="N212" s="499">
        <f t="shared" si="92"/>
        <v>0</v>
      </c>
    </row>
    <row r="213" spans="1:14" ht="11.25" x14ac:dyDescent="0.2">
      <c r="A213" s="248">
        <v>966736</v>
      </c>
      <c r="B213" s="248" t="s">
        <v>380</v>
      </c>
      <c r="C213" s="248" t="s">
        <v>77</v>
      </c>
      <c r="D213" s="249" t="s">
        <v>232</v>
      </c>
      <c r="E213" s="250">
        <v>0</v>
      </c>
      <c r="F213" s="251"/>
      <c r="G213" s="252"/>
      <c r="H213" s="252"/>
      <c r="J213" s="9" t="e">
        <f>VLOOKUP($A213,[4]cliqccee!$A:$AK,26,FALSE)</f>
        <v>#N/A</v>
      </c>
      <c r="K213" s="9" t="e">
        <f>VLOOKUP($A213,[4]cliqccee!$A:$AK,10,FALSE)</f>
        <v>#N/A</v>
      </c>
      <c r="L213" s="9" t="e">
        <f>VLOOKUP($A213,[4]cliqccee!$A:$AK,32,FALSE)</f>
        <v>#N/A</v>
      </c>
      <c r="M213" s="9" t="e">
        <f>VLOOKUP($A213,[4]cliqccee!$A:$AK,33,FALSE)</f>
        <v>#N/A</v>
      </c>
      <c r="N213" s="499" t="e">
        <f t="shared" si="92"/>
        <v>#N/A</v>
      </c>
    </row>
    <row r="214" spans="1:14" ht="11.25" x14ac:dyDescent="0.2">
      <c r="A214" s="167">
        <f>A495</f>
        <v>1167491</v>
      </c>
      <c r="B214" s="167" t="s">
        <v>424</v>
      </c>
      <c r="C214" s="248" t="s">
        <v>77</v>
      </c>
      <c r="D214" s="249" t="s">
        <v>78</v>
      </c>
      <c r="E214" s="79">
        <f t="shared" si="90"/>
        <v>0</v>
      </c>
      <c r="F214" s="83"/>
      <c r="G214" s="193"/>
      <c r="H214" s="193"/>
      <c r="J214" s="9" t="str">
        <f>VLOOKUP($A214,[4]cliqccee!$A:$AK,26,FALSE)</f>
        <v>0,000000</v>
      </c>
      <c r="K214" s="9" t="str">
        <f>VLOOKUP($A214,[4]cliqccee!$A:$AK,10,FALSE)</f>
        <v>Validado</v>
      </c>
      <c r="L214" s="9" t="str">
        <f>VLOOKUP($A214,[4]cliqccee!$A:$AK,32,FALSE)</f>
        <v>FLAT</v>
      </c>
      <c r="M214" s="9" t="str">
        <f>VLOOKUP($A214,[4]cliqccee!$A:$AK,33,FALSE)</f>
        <v>Validado</v>
      </c>
      <c r="N214" s="499">
        <f t="shared" si="92"/>
        <v>0</v>
      </c>
    </row>
    <row r="215" spans="1:14" x14ac:dyDescent="0.15">
      <c r="A215" s="253"/>
      <c r="B215" s="253"/>
      <c r="C215" s="253"/>
      <c r="D215" s="253"/>
      <c r="E215" s="203"/>
      <c r="F215" s="204"/>
      <c r="G215" s="205"/>
      <c r="H215" s="206"/>
      <c r="J215" s="393"/>
      <c r="K215" s="393"/>
      <c r="L215" s="393"/>
      <c r="M215" s="393"/>
      <c r="N215" s="393"/>
    </row>
    <row r="216" spans="1:14" ht="11.25" x14ac:dyDescent="0.2">
      <c r="A216" s="80" t="s">
        <v>32</v>
      </c>
      <c r="B216" s="421"/>
      <c r="C216" s="421"/>
      <c r="D216" s="422"/>
      <c r="E216" s="81">
        <f>SUM(E202:E215)</f>
        <v>0</v>
      </c>
      <c r="F216" s="84">
        <f>SUM(F202:F215)</f>
        <v>0</v>
      </c>
      <c r="G216" s="82">
        <f>IFERROR(H216/F216,0)</f>
        <v>0</v>
      </c>
      <c r="H216" s="82">
        <f>SUM(H202:H215)</f>
        <v>0</v>
      </c>
      <c r="I216" s="228"/>
      <c r="N216" s="418"/>
    </row>
    <row r="217" spans="1:14" ht="11.25" x14ac:dyDescent="0.2">
      <c r="N217" s="418"/>
    </row>
    <row r="218" spans="1:14" ht="11.25" x14ac:dyDescent="0.2">
      <c r="A218" s="548" t="s">
        <v>233</v>
      </c>
      <c r="B218" s="548"/>
      <c r="C218" s="548"/>
      <c r="E218" s="423" t="s">
        <v>19</v>
      </c>
      <c r="F218" s="423"/>
      <c r="G218" s="424" t="s">
        <v>20</v>
      </c>
      <c r="H218" s="424"/>
      <c r="I218" s="425" t="s">
        <v>21</v>
      </c>
      <c r="J218" s="425"/>
      <c r="K218" s="426" t="s">
        <v>22</v>
      </c>
      <c r="L218" s="426"/>
      <c r="N218" s="418"/>
    </row>
    <row r="219" spans="1:14" ht="11.25" x14ac:dyDescent="0.2">
      <c r="A219" s="10" t="s">
        <v>2</v>
      </c>
      <c r="B219" s="10" t="s">
        <v>137</v>
      </c>
      <c r="C219" s="10" t="s">
        <v>25</v>
      </c>
      <c r="E219" s="427" t="s">
        <v>137</v>
      </c>
      <c r="F219" s="428" t="s">
        <v>25</v>
      </c>
      <c r="G219" s="429" t="s">
        <v>137</v>
      </c>
      <c r="H219" s="430" t="s">
        <v>25</v>
      </c>
      <c r="I219" s="431" t="s">
        <v>137</v>
      </c>
      <c r="J219" s="432" t="s">
        <v>25</v>
      </c>
      <c r="K219" s="433" t="s">
        <v>137</v>
      </c>
      <c r="L219" s="434" t="s">
        <v>25</v>
      </c>
      <c r="N219" s="418"/>
    </row>
    <row r="220" spans="1:14" ht="11.25" x14ac:dyDescent="0.2">
      <c r="A220" s="29" t="s">
        <v>69</v>
      </c>
      <c r="B220" s="70">
        <v>0</v>
      </c>
      <c r="C220" s="83">
        <v>0</v>
      </c>
      <c r="E220" s="435">
        <f t="shared" ref="E220:E226" si="93">SUMIFS($E$192:$E$215,$C$192:$C$215,$A220,$D$192:$D$215,$E$218)</f>
        <v>0</v>
      </c>
      <c r="F220" s="436">
        <f t="shared" ref="F220:F226" si="94">SUMIFS($F$192:$F$215,$C$192:$C$215,$A220,$D$192:$D$215,$E$218)</f>
        <v>0</v>
      </c>
      <c r="G220" s="437">
        <f t="shared" ref="G220:G226" si="95">SUMIFS($E$192:$E$215,$C$192:$C$215,$A220,$D$192:$D$215,$E$218)</f>
        <v>0</v>
      </c>
      <c r="H220" s="438">
        <f t="shared" ref="H220:H226" si="96">SUMIFS($F$192:$F$215,$C$192:$C$215,$A220,$D$192:$D$215,$E$218)</f>
        <v>0</v>
      </c>
      <c r="I220" s="439">
        <f t="shared" ref="I220:I226" si="97">SUMIFS($E$192:$E$215,$C$192:$C$215,$A220,$D$192:$D$215,$E$218)</f>
        <v>0</v>
      </c>
      <c r="J220" s="440">
        <f t="shared" ref="J220:J226" si="98">SUMIFS($F$192:$F$215,$C$192:$C$215,$A220,$D$192:$D$215,$E$218)</f>
        <v>0</v>
      </c>
      <c r="K220" s="441">
        <f t="shared" ref="K220:K226" si="99">SUMIFS($E$192:$E$215,$C$192:$C$215,$A220,$D$192:$D$215,$E$218)</f>
        <v>0</v>
      </c>
      <c r="L220" s="442">
        <f t="shared" ref="L220:L226" si="100">SUMIFS($F$192:$F$215,$C$192:$C$215,$A220,$D$192:$D$215,$E$218)</f>
        <v>0</v>
      </c>
      <c r="N220" s="418"/>
    </row>
    <row r="221" spans="1:14" ht="11.25" x14ac:dyDescent="0.2">
      <c r="A221" s="29" t="s">
        <v>47</v>
      </c>
      <c r="B221" s="70">
        <v>0</v>
      </c>
      <c r="C221" s="83">
        <v>0</v>
      </c>
      <c r="E221" s="435">
        <f t="shared" si="93"/>
        <v>0</v>
      </c>
      <c r="F221" s="436">
        <f t="shared" si="94"/>
        <v>0</v>
      </c>
      <c r="G221" s="437">
        <f t="shared" si="95"/>
        <v>0</v>
      </c>
      <c r="H221" s="438">
        <f t="shared" si="96"/>
        <v>0</v>
      </c>
      <c r="I221" s="439">
        <f t="shared" si="97"/>
        <v>0</v>
      </c>
      <c r="J221" s="440">
        <f t="shared" si="98"/>
        <v>0</v>
      </c>
      <c r="K221" s="441">
        <f t="shared" si="99"/>
        <v>0</v>
      </c>
      <c r="L221" s="442">
        <f t="shared" si="100"/>
        <v>0</v>
      </c>
      <c r="N221" s="418"/>
    </row>
    <row r="222" spans="1:14" ht="11.25" x14ac:dyDescent="0.2">
      <c r="A222" s="29" t="s">
        <v>79</v>
      </c>
      <c r="B222" s="70">
        <v>0</v>
      </c>
      <c r="C222" s="83">
        <v>0</v>
      </c>
      <c r="E222" s="435">
        <f t="shared" si="93"/>
        <v>0</v>
      </c>
      <c r="F222" s="436">
        <f t="shared" si="94"/>
        <v>0</v>
      </c>
      <c r="G222" s="437">
        <f t="shared" si="95"/>
        <v>0</v>
      </c>
      <c r="H222" s="438">
        <f t="shared" si="96"/>
        <v>0</v>
      </c>
      <c r="I222" s="439">
        <f t="shared" si="97"/>
        <v>0</v>
      </c>
      <c r="J222" s="440">
        <f t="shared" si="98"/>
        <v>0</v>
      </c>
      <c r="K222" s="441">
        <f t="shared" si="99"/>
        <v>0</v>
      </c>
      <c r="L222" s="442">
        <f t="shared" si="100"/>
        <v>0</v>
      </c>
      <c r="N222" s="418"/>
    </row>
    <row r="223" spans="1:14" ht="11.25" x14ac:dyDescent="0.2">
      <c r="A223" s="29" t="s">
        <v>71</v>
      </c>
      <c r="B223" s="70">
        <f>E198</f>
        <v>0</v>
      </c>
      <c r="C223" s="83">
        <f>F198</f>
        <v>0</v>
      </c>
      <c r="E223" s="435">
        <f t="shared" si="93"/>
        <v>0</v>
      </c>
      <c r="F223" s="436">
        <f t="shared" si="94"/>
        <v>0</v>
      </c>
      <c r="G223" s="437">
        <f t="shared" si="95"/>
        <v>0</v>
      </c>
      <c r="H223" s="438">
        <f t="shared" si="96"/>
        <v>0</v>
      </c>
      <c r="I223" s="439">
        <f t="shared" si="97"/>
        <v>0</v>
      </c>
      <c r="J223" s="440">
        <f t="shared" si="98"/>
        <v>0</v>
      </c>
      <c r="K223" s="441">
        <f t="shared" si="99"/>
        <v>0</v>
      </c>
      <c r="L223" s="442">
        <f t="shared" si="100"/>
        <v>0</v>
      </c>
      <c r="N223" s="418"/>
    </row>
    <row r="224" spans="1:14" ht="11.25" x14ac:dyDescent="0.2">
      <c r="A224" s="29" t="s">
        <v>9</v>
      </c>
      <c r="B224" s="70">
        <v>0</v>
      </c>
      <c r="C224" s="83">
        <v>0</v>
      </c>
      <c r="E224" s="435">
        <f t="shared" si="93"/>
        <v>0</v>
      </c>
      <c r="F224" s="436">
        <f t="shared" si="94"/>
        <v>0</v>
      </c>
      <c r="G224" s="437">
        <f t="shared" si="95"/>
        <v>0</v>
      </c>
      <c r="H224" s="438">
        <f t="shared" si="96"/>
        <v>0</v>
      </c>
      <c r="I224" s="439">
        <f t="shared" si="97"/>
        <v>0</v>
      </c>
      <c r="J224" s="440">
        <f t="shared" si="98"/>
        <v>0</v>
      </c>
      <c r="K224" s="441">
        <f t="shared" si="99"/>
        <v>0</v>
      </c>
      <c r="L224" s="442">
        <f t="shared" si="100"/>
        <v>0</v>
      </c>
      <c r="N224" s="418"/>
    </row>
    <row r="225" spans="1:14" ht="11.25" x14ac:dyDescent="0.2">
      <c r="A225" s="29" t="s">
        <v>80</v>
      </c>
      <c r="B225" s="70">
        <v>0</v>
      </c>
      <c r="C225" s="83">
        <v>0</v>
      </c>
      <c r="E225" s="435">
        <f t="shared" si="93"/>
        <v>0</v>
      </c>
      <c r="F225" s="436">
        <f t="shared" si="94"/>
        <v>0</v>
      </c>
      <c r="G225" s="437">
        <f t="shared" si="95"/>
        <v>0</v>
      </c>
      <c r="H225" s="438">
        <f t="shared" si="96"/>
        <v>0</v>
      </c>
      <c r="I225" s="439">
        <f t="shared" si="97"/>
        <v>0</v>
      </c>
      <c r="J225" s="440">
        <f t="shared" si="98"/>
        <v>0</v>
      </c>
      <c r="K225" s="441">
        <f t="shared" si="99"/>
        <v>0</v>
      </c>
      <c r="L225" s="442">
        <f t="shared" si="100"/>
        <v>0</v>
      </c>
      <c r="N225" s="418"/>
    </row>
    <row r="226" spans="1:14" ht="11.25" x14ac:dyDescent="0.2">
      <c r="A226" s="29" t="s">
        <v>77</v>
      </c>
      <c r="B226" s="70">
        <f>E216</f>
        <v>0</v>
      </c>
      <c r="C226" s="83">
        <f>F216</f>
        <v>0</v>
      </c>
      <c r="E226" s="435">
        <f t="shared" si="93"/>
        <v>0</v>
      </c>
      <c r="F226" s="436">
        <f t="shared" si="94"/>
        <v>0</v>
      </c>
      <c r="G226" s="437">
        <f t="shared" si="95"/>
        <v>0</v>
      </c>
      <c r="H226" s="438">
        <f t="shared" si="96"/>
        <v>0</v>
      </c>
      <c r="I226" s="439">
        <f t="shared" si="97"/>
        <v>0</v>
      </c>
      <c r="J226" s="440">
        <f t="shared" si="98"/>
        <v>0</v>
      </c>
      <c r="K226" s="441">
        <f t="shared" si="99"/>
        <v>0</v>
      </c>
      <c r="L226" s="442">
        <f t="shared" si="100"/>
        <v>0</v>
      </c>
      <c r="N226" s="418"/>
    </row>
    <row r="227" spans="1:14" ht="11.25" x14ac:dyDescent="0.2">
      <c r="A227" s="11" t="s">
        <v>81</v>
      </c>
      <c r="B227" s="12">
        <f>SUM(B220:B223)-SUM(B224:B226)</f>
        <v>0</v>
      </c>
      <c r="C227" s="12">
        <f>SUM(C220:C223)-SUM(C224:C226)</f>
        <v>0</v>
      </c>
      <c r="E227" s="443">
        <f>SUM(E220:E223)-SUM(E224:E226)</f>
        <v>0</v>
      </c>
      <c r="F227" s="444">
        <f>SUM(F220:F223)-SUM(F224:F226)</f>
        <v>0</v>
      </c>
      <c r="G227" s="445">
        <f t="shared" ref="G227:L227" si="101">SUM(G220:G223)-SUM(G224:G226)</f>
        <v>0</v>
      </c>
      <c r="H227" s="446">
        <f t="shared" si="101"/>
        <v>0</v>
      </c>
      <c r="I227" s="447">
        <f t="shared" si="101"/>
        <v>0</v>
      </c>
      <c r="J227" s="448">
        <f t="shared" si="101"/>
        <v>0</v>
      </c>
      <c r="K227" s="449">
        <f t="shared" si="101"/>
        <v>0</v>
      </c>
      <c r="L227" s="450">
        <f t="shared" si="101"/>
        <v>0</v>
      </c>
      <c r="N227" s="418"/>
    </row>
    <row r="228" spans="1:14" ht="11.25" x14ac:dyDescent="0.2">
      <c r="A228" s="11" t="s">
        <v>82</v>
      </c>
      <c r="B228" s="12">
        <f>SUM(B220:B223)-SUM(B224:B227)</f>
        <v>0</v>
      </c>
      <c r="C228" s="12">
        <f>SUM(C220:C223)-SUM(C224:C227)</f>
        <v>0</v>
      </c>
      <c r="E228" s="443">
        <f>SUM(E220:E223)-SUM(E224:E227)</f>
        <v>0</v>
      </c>
      <c r="F228" s="444">
        <f t="shared" ref="F228:L228" si="102">SUM(F220:F223)-SUM(F224:F227)</f>
        <v>0</v>
      </c>
      <c r="G228" s="445">
        <f t="shared" si="102"/>
        <v>0</v>
      </c>
      <c r="H228" s="446">
        <f t="shared" si="102"/>
        <v>0</v>
      </c>
      <c r="I228" s="447">
        <f t="shared" si="102"/>
        <v>0</v>
      </c>
      <c r="J228" s="448">
        <f t="shared" si="102"/>
        <v>0</v>
      </c>
      <c r="K228" s="449">
        <f t="shared" si="102"/>
        <v>0</v>
      </c>
      <c r="L228" s="450">
        <f t="shared" si="102"/>
        <v>0</v>
      </c>
      <c r="N228" s="418"/>
    </row>
    <row r="229" spans="1:14" ht="11.25" x14ac:dyDescent="0.2">
      <c r="N229" s="418"/>
    </row>
    <row r="230" spans="1:14" ht="11.25" x14ac:dyDescent="0.2">
      <c r="E230" s="451">
        <f>(F227*$H$5)+(H227*$J$5)+(J227*$L$5)+(L227*$N$5)</f>
        <v>0</v>
      </c>
      <c r="N230" s="418"/>
    </row>
    <row r="231" spans="1:14" ht="11.25" x14ac:dyDescent="0.2">
      <c r="N231" s="418"/>
    </row>
    <row r="232" spans="1:14" ht="11.25" x14ac:dyDescent="0.2">
      <c r="N232" s="418"/>
    </row>
    <row r="233" spans="1:14" ht="11.25" x14ac:dyDescent="0.2">
      <c r="A233" s="548" t="s">
        <v>363</v>
      </c>
      <c r="B233" s="548"/>
      <c r="C233" s="548"/>
      <c r="D233" s="548"/>
      <c r="E233" s="548"/>
      <c r="F233" s="548"/>
      <c r="G233" s="548"/>
      <c r="H233" s="548"/>
      <c r="N233" s="418"/>
    </row>
    <row r="234" spans="1:14" ht="11.25" x14ac:dyDescent="0.2">
      <c r="A234" s="548"/>
      <c r="B234" s="548"/>
      <c r="C234" s="548"/>
      <c r="D234" s="548"/>
      <c r="E234" s="548"/>
      <c r="F234" s="548"/>
      <c r="G234" s="548"/>
      <c r="H234" s="548"/>
      <c r="N234" s="418"/>
    </row>
    <row r="235" spans="1:14" ht="4.5" customHeight="1" x14ac:dyDescent="0.2">
      <c r="N235" s="418"/>
    </row>
    <row r="236" spans="1:14" ht="11.25" x14ac:dyDescent="0.2">
      <c r="A236" s="13"/>
      <c r="B236" s="13"/>
      <c r="C236" s="13"/>
      <c r="D236" s="13" t="s">
        <v>85</v>
      </c>
      <c r="E236" s="13"/>
      <c r="F236" s="13"/>
      <c r="G236" s="13"/>
      <c r="H236" s="13"/>
      <c r="N236" s="418"/>
    </row>
    <row r="237" spans="1:14" ht="11.25" x14ac:dyDescent="0.2">
      <c r="A237" s="10" t="s">
        <v>8</v>
      </c>
      <c r="B237" s="10"/>
      <c r="C237" s="10" t="s">
        <v>2</v>
      </c>
      <c r="D237" s="10" t="s">
        <v>3</v>
      </c>
      <c r="E237" s="10" t="s">
        <v>137</v>
      </c>
      <c r="F237" s="10" t="s">
        <v>25</v>
      </c>
      <c r="G237" s="10" t="s">
        <v>95</v>
      </c>
      <c r="H237" s="10" t="s">
        <v>240</v>
      </c>
      <c r="N237" s="418"/>
    </row>
    <row r="238" spans="1:14" ht="11.25" x14ac:dyDescent="0.2">
      <c r="A238" s="194" t="s">
        <v>228</v>
      </c>
      <c r="B238" s="195"/>
      <c r="C238" s="195" t="s">
        <v>9</v>
      </c>
      <c r="D238" s="196" t="s">
        <v>78</v>
      </c>
      <c r="E238" s="97">
        <f>ROUND(F238/$B$33,6)</f>
        <v>3.2902290000000001</v>
      </c>
      <c r="F238" s="98">
        <f>[7]Consolidação!$G$41</f>
        <v>2447.9300206185535</v>
      </c>
      <c r="G238" s="98">
        <f>'[8]2019'!$F$33</f>
        <v>50.860999999999997</v>
      </c>
      <c r="H238" s="103">
        <v>0.03</v>
      </c>
      <c r="N238" s="418"/>
    </row>
    <row r="239" spans="1:14" ht="11.25" x14ac:dyDescent="0.2">
      <c r="A239" s="215"/>
      <c r="B239" s="215"/>
      <c r="C239" s="215"/>
      <c r="D239" s="216"/>
      <c r="E239" s="174"/>
      <c r="F239" s="175"/>
      <c r="G239" s="175"/>
      <c r="H239" s="267"/>
      <c r="N239" s="418"/>
    </row>
    <row r="240" spans="1:14" ht="11.25" x14ac:dyDescent="0.2">
      <c r="A240" s="80" t="s">
        <v>32</v>
      </c>
      <c r="B240" s="421"/>
      <c r="C240" s="421"/>
      <c r="D240" s="422"/>
      <c r="E240" s="81">
        <f>SUM(E238:E239)</f>
        <v>3.2902290000000001</v>
      </c>
      <c r="F240" s="84">
        <f>SUM(F238:F239)</f>
        <v>2447.9300206185535</v>
      </c>
      <c r="G240" s="84">
        <f>SUM(G238:G239)</f>
        <v>50.860999999999997</v>
      </c>
      <c r="H240" s="84"/>
      <c r="I240" s="228"/>
      <c r="N240" s="418"/>
    </row>
    <row r="241" spans="1:14" ht="11.25" x14ac:dyDescent="0.2">
      <c r="G241" s="410"/>
      <c r="N241" s="418"/>
    </row>
    <row r="242" spans="1:14" ht="11.25" x14ac:dyDescent="0.2">
      <c r="A242" s="514"/>
      <c r="B242" s="514"/>
      <c r="C242" s="514"/>
      <c r="D242" s="514" t="s">
        <v>70</v>
      </c>
      <c r="E242" s="514"/>
      <c r="F242" s="514"/>
      <c r="G242" s="514"/>
      <c r="H242" s="514"/>
      <c r="N242" s="418"/>
    </row>
    <row r="243" spans="1:14" x14ac:dyDescent="0.15">
      <c r="A243" s="10" t="s">
        <v>0</v>
      </c>
      <c r="B243" s="10" t="s">
        <v>1</v>
      </c>
      <c r="C243" s="10" t="s">
        <v>2</v>
      </c>
      <c r="D243" s="10" t="s">
        <v>3</v>
      </c>
      <c r="E243" s="10" t="s">
        <v>4</v>
      </c>
      <c r="F243" s="10" t="s">
        <v>5</v>
      </c>
      <c r="G243" s="10" t="s">
        <v>6</v>
      </c>
      <c r="H243" s="10" t="s">
        <v>7</v>
      </c>
      <c r="J243" s="10" t="s">
        <v>72</v>
      </c>
      <c r="K243" s="10" t="s">
        <v>73</v>
      </c>
      <c r="L243" s="10" t="s">
        <v>74</v>
      </c>
      <c r="M243" s="10" t="s">
        <v>75</v>
      </c>
      <c r="N243" s="10" t="s">
        <v>425</v>
      </c>
    </row>
    <row r="244" spans="1:14" ht="11.25" x14ac:dyDescent="0.2">
      <c r="A244" s="268">
        <v>932977</v>
      </c>
      <c r="B244" s="268" t="s">
        <v>342</v>
      </c>
      <c r="C244" s="268" t="s">
        <v>71</v>
      </c>
      <c r="D244" s="269" t="s">
        <v>78</v>
      </c>
      <c r="E244" s="270">
        <f>ROUND(F244/$B$33,6)</f>
        <v>6.8362000000000006E-2</v>
      </c>
      <c r="F244" s="271">
        <f>G238</f>
        <v>50.860999999999997</v>
      </c>
      <c r="G244" s="271">
        <v>0</v>
      </c>
      <c r="H244" s="271">
        <f>F244*G244</f>
        <v>0</v>
      </c>
      <c r="J244" s="9"/>
      <c r="K244" s="9"/>
      <c r="L244" s="9"/>
      <c r="M244" s="9"/>
      <c r="N244" s="499"/>
    </row>
    <row r="245" spans="1:14" ht="11.25" x14ac:dyDescent="0.2">
      <c r="A245" s="167">
        <v>947189</v>
      </c>
      <c r="B245" s="167" t="s">
        <v>374</v>
      </c>
      <c r="C245" s="167" t="s">
        <v>71</v>
      </c>
      <c r="D245" s="192" t="s">
        <v>78</v>
      </c>
      <c r="E245" s="79">
        <f>ROUND(F245/$B$33,6)</f>
        <v>0</v>
      </c>
      <c r="F245" s="83"/>
      <c r="G245" s="83"/>
      <c r="H245" s="83">
        <f>F245*G245</f>
        <v>0</v>
      </c>
      <c r="J245" s="9" t="e">
        <f>VLOOKUP($A245,[4]cliqccee!$A:$AK,26,FALSE)</f>
        <v>#N/A</v>
      </c>
      <c r="K245" s="9" t="e">
        <f>VLOOKUP($A245,[4]cliqccee!$A:$AK,10,FALSE)</f>
        <v>#N/A</v>
      </c>
      <c r="L245" s="9" t="e">
        <f>VLOOKUP($A245,[4]cliqccee!$A:$AK,32,FALSE)</f>
        <v>#N/A</v>
      </c>
      <c r="M245" s="9" t="e">
        <f>VLOOKUP($A245,[4]cliqccee!$A:$AK,33,FALSE)</f>
        <v>#N/A</v>
      </c>
      <c r="N245" s="499" t="e">
        <f t="shared" ref="N245:N246" si="103">J245-E245</f>
        <v>#N/A</v>
      </c>
    </row>
    <row r="246" spans="1:14" ht="11.25" x14ac:dyDescent="0.2">
      <c r="A246" s="167">
        <v>1229926</v>
      </c>
      <c r="B246" s="248" t="str">
        <f>B162</f>
        <v>CVE_3,02_VALE_01012019_31122019_CPBS</v>
      </c>
      <c r="C246" s="248" t="s">
        <v>71</v>
      </c>
      <c r="D246" s="249" t="str">
        <f>D162</f>
        <v>SUDESTE</v>
      </c>
      <c r="E246" s="250">
        <f>ROUND(F246/$B$33,6)</f>
        <v>3.2902290000000001</v>
      </c>
      <c r="F246" s="251">
        <f>F162</f>
        <v>2447.9300206185535</v>
      </c>
      <c r="G246" s="251">
        <f>G162</f>
        <v>159.91</v>
      </c>
      <c r="H246" s="251">
        <f>F246*G246</f>
        <v>391448.48959711287</v>
      </c>
      <c r="J246" s="9" t="e">
        <f>VLOOKUP($A246,[4]cliqccee!$A:$AK,26,FALSE)</f>
        <v>#N/A</v>
      </c>
      <c r="K246" s="9" t="e">
        <f>VLOOKUP($A246,[4]cliqccee!$A:$AK,10,FALSE)</f>
        <v>#N/A</v>
      </c>
      <c r="L246" s="9" t="e">
        <f>VLOOKUP($A246,[4]cliqccee!$A:$AK,32,FALSE)</f>
        <v>#N/A</v>
      </c>
      <c r="M246" s="9" t="e">
        <f>VLOOKUP($A246,[4]cliqccee!$A:$AK,33,FALSE)</f>
        <v>#N/A</v>
      </c>
      <c r="N246" s="499" t="e">
        <f t="shared" si="103"/>
        <v>#N/A</v>
      </c>
    </row>
    <row r="247" spans="1:14" x14ac:dyDescent="0.15">
      <c r="A247" s="198"/>
      <c r="B247" s="198"/>
      <c r="C247" s="198"/>
      <c r="D247" s="261"/>
      <c r="E247" s="85"/>
      <c r="F247" s="86"/>
      <c r="G247" s="86"/>
      <c r="H247" s="86"/>
      <c r="J247" s="393"/>
      <c r="K247" s="393"/>
      <c r="L247" s="393"/>
      <c r="M247" s="393"/>
      <c r="N247" s="393"/>
    </row>
    <row r="248" spans="1:14" ht="11.25" x14ac:dyDescent="0.2">
      <c r="A248" s="80" t="s">
        <v>32</v>
      </c>
      <c r="B248" s="421"/>
      <c r="C248" s="421"/>
      <c r="D248" s="422"/>
      <c r="E248" s="81">
        <f>SUM(E244:E247)</f>
        <v>3.3585910000000001</v>
      </c>
      <c r="F248" s="84">
        <f>SUM(F244:F247)</f>
        <v>2498.7910206185534</v>
      </c>
      <c r="G248" s="82">
        <f>IFERROR(H248/F248,0)</f>
        <v>156.65515297882465</v>
      </c>
      <c r="H248" s="82">
        <f>SUM(H244:H247)</f>
        <v>391448.48959711287</v>
      </c>
      <c r="I248" s="228"/>
      <c r="N248" s="499"/>
    </row>
    <row r="249" spans="1:14" ht="11.25" x14ac:dyDescent="0.2">
      <c r="C249" s="409"/>
      <c r="N249" s="499"/>
    </row>
    <row r="250" spans="1:14" ht="11.25" x14ac:dyDescent="0.2">
      <c r="C250" s="409"/>
      <c r="N250" s="418"/>
    </row>
    <row r="251" spans="1:14" ht="11.25" x14ac:dyDescent="0.2">
      <c r="A251" s="548" t="s">
        <v>233</v>
      </c>
      <c r="B251" s="548"/>
      <c r="C251" s="548"/>
      <c r="E251" s="423" t="s">
        <v>19</v>
      </c>
      <c r="F251" s="423"/>
      <c r="G251" s="424" t="s">
        <v>20</v>
      </c>
      <c r="H251" s="424"/>
      <c r="I251" s="425" t="s">
        <v>21</v>
      </c>
      <c r="J251" s="425"/>
      <c r="K251" s="426" t="s">
        <v>22</v>
      </c>
      <c r="L251" s="426"/>
      <c r="N251" s="418"/>
    </row>
    <row r="252" spans="1:14" ht="11.25" x14ac:dyDescent="0.2">
      <c r="A252" s="10" t="s">
        <v>2</v>
      </c>
      <c r="B252" s="10" t="s">
        <v>137</v>
      </c>
      <c r="C252" s="10" t="s">
        <v>25</v>
      </c>
      <c r="E252" s="427" t="s">
        <v>137</v>
      </c>
      <c r="F252" s="428" t="s">
        <v>25</v>
      </c>
      <c r="G252" s="429" t="s">
        <v>137</v>
      </c>
      <c r="H252" s="430" t="s">
        <v>25</v>
      </c>
      <c r="I252" s="431" t="s">
        <v>137</v>
      </c>
      <c r="J252" s="432" t="s">
        <v>25</v>
      </c>
      <c r="K252" s="433" t="s">
        <v>137</v>
      </c>
      <c r="L252" s="434" t="s">
        <v>25</v>
      </c>
      <c r="N252" s="418"/>
    </row>
    <row r="253" spans="1:14" ht="11.25" x14ac:dyDescent="0.2">
      <c r="A253" s="29" t="s">
        <v>69</v>
      </c>
      <c r="B253" s="70">
        <v>0</v>
      </c>
      <c r="C253" s="83">
        <v>0</v>
      </c>
      <c r="E253" s="435">
        <f>SUMIFS($E$238:$E$247,$C$238:$C$247,$A253,$D$238:$D$247,$E$251)</f>
        <v>0</v>
      </c>
      <c r="F253" s="436">
        <f>SUMIFS($F$238:$F$247,$C$238:$C$247,$A253,$D$238:$D$247,$E$251)</f>
        <v>0</v>
      </c>
      <c r="G253" s="437">
        <f>SUMIFS($E$238:$E$247,$C$238:$C$247,$A253,$D$238:$D$247,$G$251)</f>
        <v>0</v>
      </c>
      <c r="H253" s="438">
        <f>SUMIFS($F$238:$F$247,$C$238:$C$247,$A253,$D$238:$D$247,$G$251)</f>
        <v>0</v>
      </c>
      <c r="I253" s="439">
        <f>SUMIFS($E$238:$E$247,$C$238:$C$247,$A253,$D$238:$D$247,$I$251)</f>
        <v>0</v>
      </c>
      <c r="J253" s="440">
        <f>SUMIFS($F$238:$F$247,$C$238:$C$247,$A253,$D$238:$D$247,$I$251)</f>
        <v>0</v>
      </c>
      <c r="K253" s="441">
        <f>SUMIFS($E$238:$E$247,$C$238:$C$247,$A253,$D$238:$D$247,$K$251)</f>
        <v>0</v>
      </c>
      <c r="L253" s="442">
        <f>SUMIFS($F$238:$F$247,$C$238:$C$247,$A253,$D$238:$D$247,$K$251)</f>
        <v>0</v>
      </c>
      <c r="N253" s="418"/>
    </row>
    <row r="254" spans="1:14" ht="11.25" x14ac:dyDescent="0.2">
      <c r="A254" s="29" t="s">
        <v>47</v>
      </c>
      <c r="B254" s="70">
        <v>0</v>
      </c>
      <c r="C254" s="83">
        <v>0</v>
      </c>
      <c r="E254" s="435">
        <f t="shared" ref="E254:E259" si="104">SUMIFS($E$238:$E$247,$C$238:$C$247,$A254,$D$238:$D$247,$E$251)</f>
        <v>0</v>
      </c>
      <c r="F254" s="436">
        <f t="shared" ref="F254:F259" si="105">SUMIFS($F$238:$F$247,$C$238:$C$247,$A254,$D$238:$D$247,$E$251)</f>
        <v>0</v>
      </c>
      <c r="G254" s="437">
        <f t="shared" ref="G254:G259" si="106">SUMIFS($E$238:$E$247,$C$238:$C$247,$A254,$D$238:$D$247,$G$251)</f>
        <v>0</v>
      </c>
      <c r="H254" s="438">
        <f t="shared" ref="H254:H259" si="107">SUMIFS($F$238:$F$247,$C$238:$C$247,$A254,$D$238:$D$247,$G$251)</f>
        <v>0</v>
      </c>
      <c r="I254" s="439">
        <f t="shared" ref="I254:I259" si="108">SUMIFS($E$238:$E$247,$C$238:$C$247,$A254,$D$238:$D$247,$I$251)</f>
        <v>0</v>
      </c>
      <c r="J254" s="440">
        <f t="shared" ref="J254:J259" si="109">SUMIFS($F$238:$F$247,$C$238:$C$247,$A254,$D$238:$D$247,$I$251)</f>
        <v>0</v>
      </c>
      <c r="K254" s="441">
        <f t="shared" ref="K254:K259" si="110">SUMIFS($E$238:$E$247,$C$238:$C$247,$A254,$D$238:$D$247,$K$251)</f>
        <v>0</v>
      </c>
      <c r="L254" s="442">
        <f t="shared" ref="L254:L259" si="111">SUMIFS($F$238:$F$247,$C$238:$C$247,$A254,$D$238:$D$247,$K$251)</f>
        <v>0</v>
      </c>
      <c r="N254" s="418"/>
    </row>
    <row r="255" spans="1:14" ht="11.25" x14ac:dyDescent="0.2">
      <c r="A255" s="29" t="s">
        <v>79</v>
      </c>
      <c r="B255" s="70">
        <v>0</v>
      </c>
      <c r="C255" s="83">
        <v>0</v>
      </c>
      <c r="E255" s="435">
        <f t="shared" si="104"/>
        <v>0</v>
      </c>
      <c r="F255" s="436">
        <f t="shared" si="105"/>
        <v>0</v>
      </c>
      <c r="G255" s="437">
        <f t="shared" si="106"/>
        <v>0</v>
      </c>
      <c r="H255" s="438">
        <f t="shared" si="107"/>
        <v>0</v>
      </c>
      <c r="I255" s="439">
        <f t="shared" si="108"/>
        <v>0</v>
      </c>
      <c r="J255" s="440">
        <f t="shared" si="109"/>
        <v>0</v>
      </c>
      <c r="K255" s="441">
        <f t="shared" si="110"/>
        <v>0</v>
      </c>
      <c r="L255" s="442">
        <f t="shared" si="111"/>
        <v>0</v>
      </c>
      <c r="N255" s="418"/>
    </row>
    <row r="256" spans="1:14" ht="11.25" x14ac:dyDescent="0.2">
      <c r="A256" s="29" t="s">
        <v>71</v>
      </c>
      <c r="B256" s="70">
        <f>E248</f>
        <v>3.3585910000000001</v>
      </c>
      <c r="C256" s="83">
        <f>F248</f>
        <v>2498.7910206185534</v>
      </c>
      <c r="E256" s="435">
        <f t="shared" si="104"/>
        <v>0</v>
      </c>
      <c r="F256" s="436">
        <f t="shared" si="105"/>
        <v>0</v>
      </c>
      <c r="G256" s="437">
        <f t="shared" si="106"/>
        <v>0</v>
      </c>
      <c r="H256" s="438">
        <f t="shared" si="107"/>
        <v>0</v>
      </c>
      <c r="I256" s="439">
        <f t="shared" si="108"/>
        <v>3.3585910000000001</v>
      </c>
      <c r="J256" s="440">
        <f t="shared" si="109"/>
        <v>2498.7910206185534</v>
      </c>
      <c r="K256" s="441">
        <f t="shared" si="110"/>
        <v>0</v>
      </c>
      <c r="L256" s="442">
        <f t="shared" si="111"/>
        <v>0</v>
      </c>
      <c r="N256" s="418"/>
    </row>
    <row r="257" spans="1:14" ht="11.25" x14ac:dyDescent="0.2">
      <c r="A257" s="29" t="s">
        <v>9</v>
      </c>
      <c r="B257" s="70">
        <f>E240</f>
        <v>3.2902290000000001</v>
      </c>
      <c r="C257" s="83">
        <f>F240</f>
        <v>2447.9300206185535</v>
      </c>
      <c r="E257" s="435">
        <f t="shared" si="104"/>
        <v>0</v>
      </c>
      <c r="F257" s="436">
        <f t="shared" si="105"/>
        <v>0</v>
      </c>
      <c r="G257" s="437">
        <f t="shared" si="106"/>
        <v>0</v>
      </c>
      <c r="H257" s="438">
        <f t="shared" si="107"/>
        <v>0</v>
      </c>
      <c r="I257" s="439">
        <f t="shared" si="108"/>
        <v>3.2902290000000001</v>
      </c>
      <c r="J257" s="440">
        <f t="shared" si="109"/>
        <v>2447.9300206185535</v>
      </c>
      <c r="K257" s="441">
        <f t="shared" si="110"/>
        <v>0</v>
      </c>
      <c r="L257" s="442">
        <f t="shared" si="111"/>
        <v>0</v>
      </c>
      <c r="N257" s="418"/>
    </row>
    <row r="258" spans="1:14" ht="11.25" x14ac:dyDescent="0.2">
      <c r="A258" s="29" t="s">
        <v>80</v>
      </c>
      <c r="B258" s="70">
        <v>0</v>
      </c>
      <c r="C258" s="83">
        <v>0</v>
      </c>
      <c r="E258" s="435">
        <f t="shared" si="104"/>
        <v>0</v>
      </c>
      <c r="F258" s="436">
        <f t="shared" si="105"/>
        <v>0</v>
      </c>
      <c r="G258" s="437">
        <f t="shared" si="106"/>
        <v>0</v>
      </c>
      <c r="H258" s="438">
        <f t="shared" si="107"/>
        <v>0</v>
      </c>
      <c r="I258" s="439">
        <f t="shared" si="108"/>
        <v>0</v>
      </c>
      <c r="J258" s="440">
        <f t="shared" si="109"/>
        <v>0</v>
      </c>
      <c r="K258" s="441">
        <f t="shared" si="110"/>
        <v>0</v>
      </c>
      <c r="L258" s="442">
        <f t="shared" si="111"/>
        <v>0</v>
      </c>
      <c r="N258" s="418"/>
    </row>
    <row r="259" spans="1:14" ht="11.25" x14ac:dyDescent="0.2">
      <c r="A259" s="29" t="s">
        <v>77</v>
      </c>
      <c r="B259" s="70">
        <v>0</v>
      </c>
      <c r="C259" s="83">
        <v>0</v>
      </c>
      <c r="E259" s="435">
        <f t="shared" si="104"/>
        <v>0</v>
      </c>
      <c r="F259" s="436">
        <f t="shared" si="105"/>
        <v>0</v>
      </c>
      <c r="G259" s="437">
        <f t="shared" si="106"/>
        <v>0</v>
      </c>
      <c r="H259" s="438">
        <f t="shared" si="107"/>
        <v>0</v>
      </c>
      <c r="I259" s="439">
        <f t="shared" si="108"/>
        <v>0</v>
      </c>
      <c r="J259" s="440">
        <f t="shared" si="109"/>
        <v>0</v>
      </c>
      <c r="K259" s="441">
        <f t="shared" si="110"/>
        <v>0</v>
      </c>
      <c r="L259" s="442">
        <f t="shared" si="111"/>
        <v>0</v>
      </c>
      <c r="N259" s="418"/>
    </row>
    <row r="260" spans="1:14" ht="11.25" x14ac:dyDescent="0.2">
      <c r="A260" s="11" t="s">
        <v>81</v>
      </c>
      <c r="B260" s="12">
        <f>SUM(B253:B256)-SUM(B257:B259)</f>
        <v>6.8362000000000034E-2</v>
      </c>
      <c r="C260" s="12">
        <f>SUM(C253:C256)-SUM(C257:C259)</f>
        <v>50.860999999999876</v>
      </c>
      <c r="E260" s="443">
        <f>SUMIFS($E$238:$E$247,$C$238:$C$247,A260,$D$238:$D$247,$E$251)</f>
        <v>0</v>
      </c>
      <c r="F260" s="444">
        <f t="shared" ref="F260:L260" si="112">SUM(F253:F256)-SUM(F257:F259)</f>
        <v>0</v>
      </c>
      <c r="G260" s="445">
        <f t="shared" si="112"/>
        <v>0</v>
      </c>
      <c r="H260" s="446">
        <f t="shared" si="112"/>
        <v>0</v>
      </c>
      <c r="I260" s="447">
        <f t="shared" si="112"/>
        <v>6.8362000000000034E-2</v>
      </c>
      <c r="J260" s="448">
        <f t="shared" si="112"/>
        <v>50.860999999999876</v>
      </c>
      <c r="K260" s="449">
        <f t="shared" si="112"/>
        <v>0</v>
      </c>
      <c r="L260" s="450">
        <f t="shared" si="112"/>
        <v>0</v>
      </c>
      <c r="N260" s="418"/>
    </row>
    <row r="261" spans="1:14" ht="11.25" x14ac:dyDescent="0.2">
      <c r="A261" s="11" t="s">
        <v>82</v>
      </c>
      <c r="B261" s="12">
        <f>SUM(B253:B256)-SUM(B257:B260)</f>
        <v>0</v>
      </c>
      <c r="C261" s="12">
        <f>SUM(C253:C256)-SUM(C257:C260)</f>
        <v>0</v>
      </c>
      <c r="E261" s="443">
        <f>SUMIFS($E$238:$E$247,$C$238:$C$247,A261,$D$238:$D$247,$E$251)</f>
        <v>0</v>
      </c>
      <c r="F261" s="444">
        <f t="shared" ref="F261:L261" si="113">SUM(F253:F256)-SUM(F257:F260)</f>
        <v>0</v>
      </c>
      <c r="G261" s="445">
        <f t="shared" si="113"/>
        <v>0</v>
      </c>
      <c r="H261" s="446">
        <f t="shared" si="113"/>
        <v>0</v>
      </c>
      <c r="I261" s="447">
        <f t="shared" si="113"/>
        <v>0</v>
      </c>
      <c r="J261" s="448">
        <f t="shared" si="113"/>
        <v>0</v>
      </c>
      <c r="K261" s="449">
        <f t="shared" si="113"/>
        <v>0</v>
      </c>
      <c r="L261" s="450">
        <f t="shared" si="113"/>
        <v>0</v>
      </c>
      <c r="N261" s="418"/>
    </row>
    <row r="262" spans="1:14" ht="11.25" x14ac:dyDescent="0.2">
      <c r="N262" s="418"/>
    </row>
    <row r="263" spans="1:14" ht="11.25" x14ac:dyDescent="0.2">
      <c r="E263" s="451">
        <f>(F260*$H$5)+(H260*$J$5)+(J260*$L$5)+(L260*$N$5)</f>
        <v>4408.8632256854735</v>
      </c>
      <c r="N263" s="418"/>
    </row>
    <row r="264" spans="1:14" ht="11.25" x14ac:dyDescent="0.2">
      <c r="N264" s="418"/>
    </row>
    <row r="265" spans="1:14" ht="11.25" x14ac:dyDescent="0.2">
      <c r="N265" s="418"/>
    </row>
    <row r="266" spans="1:14" ht="11.25" x14ac:dyDescent="0.2">
      <c r="A266" s="548" t="s">
        <v>269</v>
      </c>
      <c r="B266" s="548"/>
      <c r="C266" s="548"/>
      <c r="D266" s="548"/>
      <c r="E266" s="548"/>
      <c r="F266" s="548"/>
      <c r="G266" s="548"/>
      <c r="H266" s="548"/>
      <c r="N266" s="418"/>
    </row>
    <row r="267" spans="1:14" ht="11.25" x14ac:dyDescent="0.2">
      <c r="A267" s="548"/>
      <c r="B267" s="548"/>
      <c r="C267" s="548"/>
      <c r="D267" s="548"/>
      <c r="E267" s="548"/>
      <c r="F267" s="548"/>
      <c r="G267" s="548"/>
      <c r="H267" s="548"/>
      <c r="N267" s="418"/>
    </row>
    <row r="268" spans="1:14" ht="3.75" customHeight="1" x14ac:dyDescent="0.2">
      <c r="A268" s="419"/>
      <c r="B268" s="419"/>
      <c r="C268" s="419"/>
      <c r="D268" s="419"/>
      <c r="E268" s="419"/>
      <c r="F268" s="419"/>
      <c r="G268" s="419"/>
      <c r="H268" s="419"/>
      <c r="N268" s="418"/>
    </row>
    <row r="269" spans="1:14" ht="11.25" x14ac:dyDescent="0.2">
      <c r="A269" s="548" t="s">
        <v>85</v>
      </c>
      <c r="B269" s="548"/>
      <c r="C269" s="548"/>
      <c r="D269" s="548"/>
      <c r="E269" s="548"/>
      <c r="F269" s="548"/>
      <c r="G269" s="548"/>
      <c r="H269" s="548"/>
      <c r="N269" s="418"/>
    </row>
    <row r="270" spans="1:14" ht="11.25" x14ac:dyDescent="0.2">
      <c r="A270" s="10" t="s">
        <v>8</v>
      </c>
      <c r="B270" s="10"/>
      <c r="C270" s="10" t="s">
        <v>2</v>
      </c>
      <c r="D270" s="10" t="s">
        <v>3</v>
      </c>
      <c r="E270" s="10" t="s">
        <v>137</v>
      </c>
      <c r="F270" s="10" t="s">
        <v>25</v>
      </c>
      <c r="G270" s="10" t="s">
        <v>95</v>
      </c>
      <c r="H270" s="10" t="s">
        <v>240</v>
      </c>
      <c r="N270" s="418"/>
    </row>
    <row r="271" spans="1:14" ht="11.25" x14ac:dyDescent="0.2">
      <c r="A271" s="191" t="s">
        <v>38</v>
      </c>
      <c r="B271" s="168"/>
      <c r="C271" s="167" t="s">
        <v>9</v>
      </c>
      <c r="D271" s="169" t="s">
        <v>92</v>
      </c>
      <c r="E271" s="79">
        <f t="shared" ref="E271:E289" si="114">ROUND(F271/$B$33,6)</f>
        <v>53.674325000000003</v>
      </c>
      <c r="F271" s="83">
        <f>[7]Consolidação!$G$45</f>
        <v>39933.697600790336</v>
      </c>
      <c r="G271" s="83">
        <f>'[8]2019'!$F$6</f>
        <v>794.83100000000002</v>
      </c>
      <c r="H271" s="103">
        <v>0.03</v>
      </c>
      <c r="N271" s="418"/>
    </row>
    <row r="272" spans="1:14" ht="11.25" x14ac:dyDescent="0.2">
      <c r="A272" s="191" t="s">
        <v>43</v>
      </c>
      <c r="B272" s="168"/>
      <c r="C272" s="167" t="s">
        <v>9</v>
      </c>
      <c r="D272" s="169" t="s">
        <v>92</v>
      </c>
      <c r="E272" s="79">
        <f t="shared" si="114"/>
        <v>105.190932</v>
      </c>
      <c r="F272" s="83">
        <f>[7]Consolidação!$G$49</f>
        <v>78262.053178109927</v>
      </c>
      <c r="G272" s="83">
        <f>'[8]2019'!$F$14</f>
        <v>1432.36</v>
      </c>
      <c r="H272" s="103">
        <v>0.03</v>
      </c>
      <c r="N272" s="418"/>
    </row>
    <row r="273" spans="1:14" ht="11.25" x14ac:dyDescent="0.2">
      <c r="A273" s="191" t="s">
        <v>52</v>
      </c>
      <c r="B273" s="168"/>
      <c r="C273" s="167" t="s">
        <v>9</v>
      </c>
      <c r="D273" s="169" t="s">
        <v>92</v>
      </c>
      <c r="E273" s="79">
        <f t="shared" si="114"/>
        <v>39.208869</v>
      </c>
      <c r="F273" s="83">
        <f>[7]Consolidação!$G$43</f>
        <v>29171.398192336783</v>
      </c>
      <c r="G273" s="83">
        <f>'[8]2019'!$F$12</f>
        <v>423.87299999999999</v>
      </c>
      <c r="H273" s="103">
        <v>0.03</v>
      </c>
      <c r="N273" s="418"/>
    </row>
    <row r="274" spans="1:14" ht="11.25" x14ac:dyDescent="0.2">
      <c r="A274" s="191" t="s">
        <v>53</v>
      </c>
      <c r="B274" s="168"/>
      <c r="C274" s="167" t="s">
        <v>9</v>
      </c>
      <c r="D274" s="169" t="s">
        <v>92</v>
      </c>
      <c r="E274" s="79">
        <f t="shared" si="114"/>
        <v>47.544255999999997</v>
      </c>
      <c r="F274" s="83">
        <f>[7]Consolidação!$G$48</f>
        <v>35372.926533883205</v>
      </c>
      <c r="G274" s="83">
        <f>'[8]2019'!$F$9</f>
        <v>681.64</v>
      </c>
      <c r="H274" s="103">
        <v>0.03</v>
      </c>
      <c r="N274" s="418"/>
    </row>
    <row r="275" spans="1:14" ht="11.25" x14ac:dyDescent="0.2">
      <c r="A275" s="191" t="s">
        <v>426</v>
      </c>
      <c r="B275" s="168"/>
      <c r="C275" s="167" t="s">
        <v>9</v>
      </c>
      <c r="D275" s="169" t="s">
        <v>92</v>
      </c>
      <c r="E275" s="79">
        <f t="shared" si="114"/>
        <v>21.925560000000001</v>
      </c>
      <c r="F275" s="83">
        <f>[7]Consolidação!$G$44</f>
        <v>16312.616642130582</v>
      </c>
      <c r="G275" s="83">
        <v>0</v>
      </c>
      <c r="H275" s="103">
        <v>0.03</v>
      </c>
      <c r="N275" s="418"/>
    </row>
    <row r="276" spans="1:14" ht="11.25" x14ac:dyDescent="0.2">
      <c r="A276" s="191" t="s">
        <v>348</v>
      </c>
      <c r="B276" s="168"/>
      <c r="C276" s="167" t="s">
        <v>9</v>
      </c>
      <c r="D276" s="169" t="s">
        <v>78</v>
      </c>
      <c r="E276" s="79">
        <f t="shared" si="114"/>
        <v>6.8174929999999998</v>
      </c>
      <c r="F276" s="83">
        <f>[7]Consolidação!$G$5</f>
        <v>5072.2151177663209</v>
      </c>
      <c r="G276" s="83">
        <f>'[8]2019'!$F$30</f>
        <v>1.655</v>
      </c>
      <c r="H276" s="103">
        <v>0.03</v>
      </c>
      <c r="N276" s="418"/>
    </row>
    <row r="277" spans="1:14" ht="11.25" x14ac:dyDescent="0.2">
      <c r="A277" s="191" t="s">
        <v>36</v>
      </c>
      <c r="B277" s="168"/>
      <c r="C277" s="167" t="s">
        <v>9</v>
      </c>
      <c r="D277" s="169" t="s">
        <v>78</v>
      </c>
      <c r="E277" s="79">
        <f t="shared" si="114"/>
        <v>3.0305589999999998</v>
      </c>
      <c r="F277" s="83">
        <f>[7]Consolidação!$G$2</f>
        <v>2254.7359166666647</v>
      </c>
      <c r="G277" s="83">
        <f>'[8]2019'!$F$23</f>
        <v>34.72</v>
      </c>
      <c r="H277" s="103">
        <v>0.03</v>
      </c>
      <c r="N277" s="418"/>
    </row>
    <row r="278" spans="1:14" ht="11.25" x14ac:dyDescent="0.2">
      <c r="A278" s="191" t="s">
        <v>37</v>
      </c>
      <c r="B278" s="168"/>
      <c r="C278" s="167" t="s">
        <v>9</v>
      </c>
      <c r="D278" s="169" t="s">
        <v>78</v>
      </c>
      <c r="E278" s="79">
        <f t="shared" si="114"/>
        <v>62.141632999999999</v>
      </c>
      <c r="F278" s="83">
        <f>[7]Consolidação!$G$6</f>
        <v>46233.374725944981</v>
      </c>
      <c r="G278" s="83">
        <f>'[8]2019'!$F$7</f>
        <v>39.67</v>
      </c>
      <c r="H278" s="103">
        <v>0.03</v>
      </c>
      <c r="K278" s="228"/>
      <c r="N278" s="418"/>
    </row>
    <row r="279" spans="1:14" ht="11.25" x14ac:dyDescent="0.2">
      <c r="A279" s="191" t="s">
        <v>349</v>
      </c>
      <c r="B279" s="168"/>
      <c r="C279" s="167" t="s">
        <v>9</v>
      </c>
      <c r="D279" s="169" t="s">
        <v>78</v>
      </c>
      <c r="E279" s="79">
        <f t="shared" si="114"/>
        <v>9.2619260000000008</v>
      </c>
      <c r="F279" s="83">
        <f>[7]Consolidação!$G$12</f>
        <v>6890.872674501682</v>
      </c>
      <c r="G279" s="83">
        <f>'[8]2019'!$F$22 * (F279 / SUM(F279:F280))</f>
        <v>117.5347262161534</v>
      </c>
      <c r="H279" s="103">
        <v>0.03</v>
      </c>
      <c r="N279" s="418"/>
    </row>
    <row r="280" spans="1:14" ht="11.25" x14ac:dyDescent="0.2">
      <c r="A280" s="191" t="s">
        <v>350</v>
      </c>
      <c r="B280" s="168"/>
      <c r="C280" s="167" t="s">
        <v>9</v>
      </c>
      <c r="D280" s="169" t="s">
        <v>78</v>
      </c>
      <c r="E280" s="79">
        <f t="shared" si="114"/>
        <v>23.296378000000001</v>
      </c>
      <c r="F280" s="83">
        <f>[7]Consolidação!$G$13</f>
        <v>17332.505154639173</v>
      </c>
      <c r="G280" s="83">
        <f>'[8]2019'!$F$22 * (F280 / SUM(F279:F280))</f>
        <v>295.63327378384662</v>
      </c>
      <c r="H280" s="103">
        <v>0.03</v>
      </c>
      <c r="N280" s="418"/>
    </row>
    <row r="281" spans="1:14" ht="11.25" x14ac:dyDescent="0.2">
      <c r="A281" s="191" t="s">
        <v>60</v>
      </c>
      <c r="B281" s="168"/>
      <c r="C281" s="167" t="s">
        <v>9</v>
      </c>
      <c r="D281" s="169" t="s">
        <v>78</v>
      </c>
      <c r="E281" s="79">
        <f t="shared" si="114"/>
        <v>6.5167510000000002</v>
      </c>
      <c r="F281" s="83">
        <f>[7]Consolidação!$G$3</f>
        <v>4848.46297687285</v>
      </c>
      <c r="G281" s="83">
        <f>'[8]2019'!$F$19</f>
        <v>45.36</v>
      </c>
      <c r="H281" s="103">
        <v>0.03</v>
      </c>
      <c r="N281" s="418"/>
    </row>
    <row r="282" spans="1:14" ht="11.25" x14ac:dyDescent="0.2">
      <c r="A282" s="191" t="s">
        <v>42</v>
      </c>
      <c r="B282" s="168"/>
      <c r="C282" s="167" t="s">
        <v>9</v>
      </c>
      <c r="D282" s="169" t="s">
        <v>78</v>
      </c>
      <c r="E282" s="79">
        <f t="shared" si="114"/>
        <v>89.607456999999997</v>
      </c>
      <c r="F282" s="83">
        <f>[7]Consolidação!$G$8</f>
        <v>66667.947817525768</v>
      </c>
      <c r="G282" s="83">
        <f>'[8]2019'!$F$5</f>
        <v>25.646999999999998</v>
      </c>
      <c r="H282" s="103">
        <v>0.03</v>
      </c>
      <c r="N282" s="418"/>
    </row>
    <row r="283" spans="1:14" ht="11.25" x14ac:dyDescent="0.2">
      <c r="A283" s="191" t="s">
        <v>65</v>
      </c>
      <c r="B283" s="168"/>
      <c r="C283" s="167" t="s">
        <v>9</v>
      </c>
      <c r="D283" s="169" t="s">
        <v>78</v>
      </c>
      <c r="E283" s="79">
        <f t="shared" si="114"/>
        <v>91.082241999999994</v>
      </c>
      <c r="F283" s="83">
        <f>[7]Consolidação!$G$9</f>
        <v>67765.18814515468</v>
      </c>
      <c r="G283" s="83">
        <f>'[8]2019'!$F$29</f>
        <v>30.512</v>
      </c>
      <c r="H283" s="103">
        <v>0.03</v>
      </c>
      <c r="N283" s="418"/>
    </row>
    <row r="284" spans="1:14" ht="11.25" x14ac:dyDescent="0.2">
      <c r="A284" s="191" t="s">
        <v>51</v>
      </c>
      <c r="B284" s="168"/>
      <c r="C284" s="167" t="s">
        <v>9</v>
      </c>
      <c r="D284" s="169" t="s">
        <v>78</v>
      </c>
      <c r="E284" s="79">
        <f t="shared" si="114"/>
        <v>14.792946000000001</v>
      </c>
      <c r="F284" s="83">
        <f>[7]Consolidação!$G$20</f>
        <v>11005.95195404183</v>
      </c>
      <c r="G284" s="83">
        <f>'[8]2019'!$F$26</f>
        <v>0</v>
      </c>
      <c r="H284" s="103">
        <v>0.03</v>
      </c>
      <c r="N284" s="418"/>
    </row>
    <row r="285" spans="1:14" ht="11.25" x14ac:dyDescent="0.2">
      <c r="A285" s="191" t="s">
        <v>54</v>
      </c>
      <c r="B285" s="168"/>
      <c r="C285" s="167" t="s">
        <v>9</v>
      </c>
      <c r="D285" s="169" t="s">
        <v>78</v>
      </c>
      <c r="E285" s="79">
        <f t="shared" si="114"/>
        <v>13.084414000000001</v>
      </c>
      <c r="F285" s="83">
        <f>[7]Consolidação!$G$16</f>
        <v>9734.8036478350568</v>
      </c>
      <c r="G285" s="83">
        <f>'[8]2019'!$F$27</f>
        <v>155.11699999999999</v>
      </c>
      <c r="H285" s="103">
        <v>0.03</v>
      </c>
      <c r="N285" s="418"/>
    </row>
    <row r="286" spans="1:14" ht="11.25" x14ac:dyDescent="0.2">
      <c r="A286" s="191" t="s">
        <v>148</v>
      </c>
      <c r="B286" s="168"/>
      <c r="C286" s="167" t="s">
        <v>9</v>
      </c>
      <c r="D286" s="169" t="s">
        <v>78</v>
      </c>
      <c r="E286" s="79">
        <f t="shared" si="114"/>
        <v>42.106852000000003</v>
      </c>
      <c r="F286" s="83">
        <f>[7]Consolidação!$G$37</f>
        <v>31327.498061855651</v>
      </c>
      <c r="G286" s="83">
        <f>'[8]2019'!$F$4</f>
        <v>116.32899999999999</v>
      </c>
      <c r="H286" s="103">
        <v>0.03</v>
      </c>
      <c r="N286" s="418"/>
    </row>
    <row r="287" spans="1:14" ht="11.25" x14ac:dyDescent="0.2">
      <c r="A287" s="191" t="s">
        <v>352</v>
      </c>
      <c r="B287" s="168"/>
      <c r="C287" s="167" t="s">
        <v>9</v>
      </c>
      <c r="D287" s="169" t="s">
        <v>78</v>
      </c>
      <c r="E287" s="79">
        <f t="shared" si="114"/>
        <v>9.9846869999999992</v>
      </c>
      <c r="F287" s="83">
        <f>[7]Consolidação!$G$21</f>
        <v>7428.6074481987253</v>
      </c>
      <c r="G287" s="83">
        <f>'[8]2019'!$F$25 * (F287 / SUM(F287:F289))</f>
        <v>0</v>
      </c>
      <c r="H287" s="103">
        <v>0.03</v>
      </c>
      <c r="N287" s="418"/>
    </row>
    <row r="288" spans="1:14" ht="11.25" x14ac:dyDescent="0.2">
      <c r="A288" s="191" t="s">
        <v>351</v>
      </c>
      <c r="B288" s="168"/>
      <c r="C288" s="167" t="s">
        <v>9</v>
      </c>
      <c r="D288" s="169" t="s">
        <v>78</v>
      </c>
      <c r="E288" s="79">
        <f t="shared" si="114"/>
        <v>27.2562</v>
      </c>
      <c r="F288" s="83">
        <f>[7]Consolidação!$G$22</f>
        <v>20278.612628521179</v>
      </c>
      <c r="G288" s="83">
        <f>'[8]2019'!$F$25 * (F288 / SUM(F287:F289))</f>
        <v>0</v>
      </c>
      <c r="H288" s="103">
        <v>0.03</v>
      </c>
      <c r="N288" s="418"/>
    </row>
    <row r="289" spans="1:14" ht="11.25" x14ac:dyDescent="0.2">
      <c r="A289" s="191" t="s">
        <v>353</v>
      </c>
      <c r="B289" s="168"/>
      <c r="C289" s="167" t="s">
        <v>9</v>
      </c>
      <c r="D289" s="169" t="s">
        <v>78</v>
      </c>
      <c r="E289" s="79">
        <f t="shared" si="114"/>
        <v>44.850189999999998</v>
      </c>
      <c r="F289" s="83">
        <f>[7]Consolidação!$G$23</f>
        <v>33368.541398482281</v>
      </c>
      <c r="G289" s="83">
        <f>'[8]2019'!$F$25 * (F289 / SUM(F287:F289))</f>
        <v>0</v>
      </c>
      <c r="H289" s="103">
        <v>0.03</v>
      </c>
      <c r="N289" s="418"/>
    </row>
    <row r="290" spans="1:14" ht="11.25" x14ac:dyDescent="0.2">
      <c r="A290" s="217"/>
      <c r="B290" s="217"/>
      <c r="C290" s="217"/>
      <c r="D290" s="217"/>
      <c r="E290" s="218"/>
      <c r="F290" s="219"/>
      <c r="G290" s="220"/>
      <c r="H290" s="221"/>
      <c r="N290" s="418"/>
    </row>
    <row r="291" spans="1:14" ht="11.25" x14ac:dyDescent="0.2">
      <c r="A291" s="80" t="s">
        <v>32</v>
      </c>
      <c r="B291" s="421"/>
      <c r="C291" s="421"/>
      <c r="D291" s="422"/>
      <c r="E291" s="81">
        <f>SUM(E271:E290)</f>
        <v>711.37367000000017</v>
      </c>
      <c r="F291" s="84">
        <f>SUM(F271:F290)</f>
        <v>529262.00981525762</v>
      </c>
      <c r="G291" s="82">
        <f>SUM(G271:G290)</f>
        <v>4194.8820000000005</v>
      </c>
      <c r="H291" s="82"/>
      <c r="N291" s="418"/>
    </row>
    <row r="292" spans="1:14" ht="11.25" x14ac:dyDescent="0.2">
      <c r="N292" s="418"/>
    </row>
    <row r="293" spans="1:14" ht="11.25" x14ac:dyDescent="0.2">
      <c r="F293" s="228"/>
      <c r="G293" s="456" t="s">
        <v>21</v>
      </c>
      <c r="H293" s="20">
        <f>SUMIF(D271:D290,"SUDESTE",F271:F290)</f>
        <v>330209.31766800681</v>
      </c>
      <c r="N293" s="418"/>
    </row>
    <row r="294" spans="1:14" ht="11.25" x14ac:dyDescent="0.2">
      <c r="G294" s="456" t="s">
        <v>19</v>
      </c>
      <c r="H294" s="20">
        <f>SUMIF(D271:D290,"NORTE",F271:F290)</f>
        <v>199052.69214725081</v>
      </c>
      <c r="I294" s="228"/>
      <c r="K294" s="228"/>
      <c r="N294" s="418"/>
    </row>
    <row r="295" spans="1:14" ht="11.25" x14ac:dyDescent="0.2">
      <c r="F295" s="457"/>
      <c r="H295" s="228"/>
      <c r="N295" s="418"/>
    </row>
    <row r="296" spans="1:14" ht="11.25" x14ac:dyDescent="0.2">
      <c r="A296" s="548" t="s">
        <v>70</v>
      </c>
      <c r="B296" s="548"/>
      <c r="C296" s="548"/>
      <c r="D296" s="548"/>
      <c r="E296" s="548"/>
      <c r="F296" s="548"/>
      <c r="G296" s="548"/>
      <c r="H296" s="548"/>
      <c r="J296" s="457"/>
      <c r="N296" s="418"/>
    </row>
    <row r="297" spans="1:14" x14ac:dyDescent="0.15">
      <c r="A297" s="10" t="s">
        <v>252</v>
      </c>
      <c r="B297" s="10" t="s">
        <v>1</v>
      </c>
      <c r="C297" s="10" t="s">
        <v>2</v>
      </c>
      <c r="D297" s="10" t="s">
        <v>3</v>
      </c>
      <c r="E297" s="10" t="s">
        <v>137</v>
      </c>
      <c r="F297" s="10" t="s">
        <v>25</v>
      </c>
      <c r="G297" s="10" t="s">
        <v>253</v>
      </c>
      <c r="H297" s="10" t="s">
        <v>254</v>
      </c>
      <c r="J297" s="10" t="s">
        <v>72</v>
      </c>
      <c r="K297" s="10" t="s">
        <v>73</v>
      </c>
      <c r="L297" s="10" t="s">
        <v>74</v>
      </c>
      <c r="M297" s="10" t="s">
        <v>75</v>
      </c>
      <c r="N297" s="10" t="s">
        <v>425</v>
      </c>
    </row>
    <row r="298" spans="1:14" ht="11.25" x14ac:dyDescent="0.2">
      <c r="A298" s="167" t="s">
        <v>91</v>
      </c>
      <c r="B298" s="167" t="s">
        <v>270</v>
      </c>
      <c r="C298" s="167" t="s">
        <v>71</v>
      </c>
      <c r="D298" s="192" t="s">
        <v>92</v>
      </c>
      <c r="E298" s="79">
        <f t="shared" ref="E298:E299" si="115">ROUND(F298/$B$33,6)</f>
        <v>4.4794409999999996</v>
      </c>
      <c r="F298" s="83">
        <f>SUMIFS(G271:G290,D271:D290,D298)</f>
        <v>3332.7039999999997</v>
      </c>
      <c r="G298" s="193">
        <v>0</v>
      </c>
      <c r="H298" s="193">
        <f t="shared" ref="H298:H299" si="116">F298*G298</f>
        <v>0</v>
      </c>
      <c r="I298" s="457"/>
      <c r="J298" s="9" t="e">
        <f>VLOOKUP($A298,[4]cliqccee!$A:$AK,26,FALSE)</f>
        <v>#N/A</v>
      </c>
      <c r="K298" s="9" t="e">
        <f>VLOOKUP($A298,[4]cliqccee!$A:$AK,10,FALSE)</f>
        <v>#N/A</v>
      </c>
      <c r="L298" s="9" t="e">
        <f>VLOOKUP($A298,[4]cliqccee!$A:$AK,32,FALSE)</f>
        <v>#N/A</v>
      </c>
      <c r="M298" s="9" t="e">
        <f>VLOOKUP($A298,[4]cliqccee!$A:$AK,33,FALSE)</f>
        <v>#N/A</v>
      </c>
      <c r="N298" s="499" t="e">
        <f t="shared" ref="N298:N316" si="117">J298-E298</f>
        <v>#N/A</v>
      </c>
    </row>
    <row r="299" spans="1:14" ht="11.25" x14ac:dyDescent="0.2">
      <c r="A299" s="268" t="s">
        <v>91</v>
      </c>
      <c r="B299" s="268" t="s">
        <v>270</v>
      </c>
      <c r="C299" s="268" t="s">
        <v>71</v>
      </c>
      <c r="D299" s="269" t="s">
        <v>78</v>
      </c>
      <c r="E299" s="270">
        <f t="shared" si="115"/>
        <v>1.158841</v>
      </c>
      <c r="F299" s="271">
        <f>SUMIFS(G271:G290,D271:D290,D299)</f>
        <v>862.17799999999988</v>
      </c>
      <c r="G299" s="272">
        <v>0</v>
      </c>
      <c r="H299" s="272">
        <f t="shared" si="116"/>
        <v>0</v>
      </c>
      <c r="J299" s="9" t="e">
        <f>VLOOKUP($A299,[4]cliqccee!$A:$AK,26,FALSE)</f>
        <v>#N/A</v>
      </c>
      <c r="K299" s="9" t="e">
        <f>VLOOKUP($A299,[4]cliqccee!$A:$AK,10,FALSE)</f>
        <v>#N/A</v>
      </c>
      <c r="L299" s="9" t="e">
        <f>VLOOKUP($A299,[4]cliqccee!$A:$AK,32,FALSE)</f>
        <v>#N/A</v>
      </c>
      <c r="M299" s="9" t="e">
        <f>VLOOKUP($A299,[4]cliqccee!$A:$AK,33,FALSE)</f>
        <v>#N/A</v>
      </c>
      <c r="N299" s="499" t="e">
        <f t="shared" si="117"/>
        <v>#N/A</v>
      </c>
    </row>
    <row r="300" spans="1:14" ht="11.25" x14ac:dyDescent="0.2">
      <c r="A300" s="167">
        <v>43705</v>
      </c>
      <c r="B300" s="168" t="s">
        <v>271</v>
      </c>
      <c r="C300" s="167" t="s">
        <v>71</v>
      </c>
      <c r="D300" s="169" t="s">
        <v>232</v>
      </c>
      <c r="E300" s="79"/>
      <c r="F300" s="83"/>
      <c r="G300" s="170"/>
      <c r="H300" s="170"/>
      <c r="I300" s="457"/>
      <c r="J300" s="9" t="e">
        <f>VLOOKUP($A300,[4]cliqccee!$A:$AK,26,FALSE)</f>
        <v>#N/A</v>
      </c>
      <c r="K300" s="9" t="e">
        <f>VLOOKUP($A300,[4]cliqccee!$A:$AK,10,FALSE)</f>
        <v>#N/A</v>
      </c>
      <c r="L300" s="9" t="e">
        <f>VLOOKUP($A300,[4]cliqccee!$A:$AK,32,FALSE)</f>
        <v>#N/A</v>
      </c>
      <c r="M300" s="9" t="e">
        <f>VLOOKUP($A300,[4]cliqccee!$A:$AK,33,FALSE)</f>
        <v>#N/A</v>
      </c>
      <c r="N300" s="499" t="e">
        <f t="shared" si="117"/>
        <v>#N/A</v>
      </c>
    </row>
    <row r="301" spans="1:14" ht="11.25" x14ac:dyDescent="0.2">
      <c r="A301" s="167">
        <v>558367</v>
      </c>
      <c r="B301" s="168" t="s">
        <v>278</v>
      </c>
      <c r="C301" s="167" t="s">
        <v>71</v>
      </c>
      <c r="D301" s="169" t="s">
        <v>92</v>
      </c>
      <c r="E301" s="79">
        <f t="shared" ref="E301:E310" si="118">ROUND(F301/$B$33,6)</f>
        <v>0</v>
      </c>
      <c r="F301" s="83">
        <f>VLOOKUP(A301,$A$147:$H$169,6,FALSE)</f>
        <v>0</v>
      </c>
      <c r="G301" s="170">
        <f>VLOOKUP(A301,$A$147:$H$169,7,FALSE)</f>
        <v>0</v>
      </c>
      <c r="H301" s="170">
        <f t="shared" ref="H301:H311" si="119">F301*G301</f>
        <v>0</v>
      </c>
      <c r="I301" s="457"/>
      <c r="J301" s="9" t="str">
        <f>VLOOKUP($A301,[4]cliqccee!$A:$AK,26,FALSE)</f>
        <v>0,000000</v>
      </c>
      <c r="K301" s="9" t="str">
        <f>VLOOKUP($A301,[4]cliqccee!$A:$AK,10,FALSE)</f>
        <v>Validado</v>
      </c>
      <c r="L301" s="9" t="str">
        <f>VLOOKUP($A301,[4]cliqccee!$A:$AK,32,FALSE)</f>
        <v>FLAT</v>
      </c>
      <c r="M301" s="9" t="str">
        <f>VLOOKUP($A301,[4]cliqccee!$A:$AK,33,FALSE)</f>
        <v>Validado</v>
      </c>
      <c r="N301" s="499">
        <f t="shared" si="117"/>
        <v>0</v>
      </c>
    </row>
    <row r="302" spans="1:14" ht="11.25" x14ac:dyDescent="0.2">
      <c r="A302" s="167">
        <v>567196</v>
      </c>
      <c r="B302" s="168" t="s">
        <v>265</v>
      </c>
      <c r="C302" s="167" t="s">
        <v>71</v>
      </c>
      <c r="D302" s="169" t="s">
        <v>92</v>
      </c>
      <c r="E302" s="79">
        <f t="shared" si="118"/>
        <v>263.06450000000001</v>
      </c>
      <c r="F302" s="83">
        <f>VLOOKUP(A302,$A$147:$H$169,6,FALSE)</f>
        <v>195719.98814725081</v>
      </c>
      <c r="G302" s="170">
        <f>VLOOKUP(A302,$A$147:$H$169,7,FALSE)</f>
        <v>0</v>
      </c>
      <c r="H302" s="170">
        <f t="shared" si="119"/>
        <v>0</v>
      </c>
      <c r="I302" s="457"/>
      <c r="J302" s="9" t="str">
        <f>VLOOKUP($A302,[4]cliqccee!$A:$AK,26,FALSE)</f>
        <v>262,998289</v>
      </c>
      <c r="K302" s="9" t="str">
        <f>VLOOKUP($A302,[4]cliqccee!$A:$AK,10,FALSE)</f>
        <v>Validado</v>
      </c>
      <c r="L302" s="9" t="str">
        <f>VLOOKUP($A302,[4]cliqccee!$A:$AK,32,FALSE)</f>
        <v>FLAT</v>
      </c>
      <c r="M302" s="9" t="str">
        <f>VLOOKUP($A302,[4]cliqccee!$A:$AK,33,FALSE)</f>
        <v>Ajustado Validado</v>
      </c>
      <c r="N302" s="499">
        <f t="shared" si="117"/>
        <v>-6.621100000000979E-2</v>
      </c>
    </row>
    <row r="303" spans="1:14" ht="11.25" x14ac:dyDescent="0.2">
      <c r="A303" s="167">
        <v>76527</v>
      </c>
      <c r="B303" s="168" t="s">
        <v>272</v>
      </c>
      <c r="C303" s="167" t="s">
        <v>71</v>
      </c>
      <c r="D303" s="169" t="s">
        <v>92</v>
      </c>
      <c r="E303" s="79">
        <f t="shared" si="118"/>
        <v>0</v>
      </c>
      <c r="F303" s="83">
        <f>VLOOKUP(A303,$A$742:$H$772,6,FALSE)</f>
        <v>0</v>
      </c>
      <c r="G303" s="170">
        <f>VLOOKUP(A303,$A$742:$H$772,7,FALSE)</f>
        <v>0</v>
      </c>
      <c r="H303" s="170">
        <f t="shared" si="119"/>
        <v>0</v>
      </c>
      <c r="I303" s="457"/>
      <c r="J303" s="9" t="str">
        <f>VLOOKUP($A303,[4]cliqccee!$A:$AK,26,FALSE)</f>
        <v>0,000000</v>
      </c>
      <c r="K303" s="9" t="str">
        <f>VLOOKUP($A303,[4]cliqccee!$A:$AK,10,FALSE)</f>
        <v>Validado</v>
      </c>
      <c r="L303" s="9" t="str">
        <f>VLOOKUP($A303,[4]cliqccee!$A:$AK,32,FALSE)</f>
        <v>FLAT</v>
      </c>
      <c r="M303" s="9" t="str">
        <f>VLOOKUP($A303,[4]cliqccee!$A:$AK,33,FALSE)</f>
        <v>Validado</v>
      </c>
      <c r="N303" s="499">
        <f t="shared" si="117"/>
        <v>0</v>
      </c>
    </row>
    <row r="304" spans="1:14" ht="11.25" x14ac:dyDescent="0.2">
      <c r="A304" s="167">
        <v>341850</v>
      </c>
      <c r="B304" s="168" t="s">
        <v>276</v>
      </c>
      <c r="C304" s="167" t="s">
        <v>71</v>
      </c>
      <c r="D304" s="169" t="s">
        <v>78</v>
      </c>
      <c r="E304" s="79"/>
      <c r="F304" s="83"/>
      <c r="G304" s="170"/>
      <c r="H304" s="170"/>
      <c r="I304" s="457"/>
      <c r="J304" s="9" t="str">
        <f>VLOOKUP($A304,[4]cliqccee!$A:$AK,26,FALSE)</f>
        <v>0,000000</v>
      </c>
      <c r="K304" s="9" t="str">
        <f>VLOOKUP($A304,[4]cliqccee!$A:$AK,10,FALSE)</f>
        <v>Validado</v>
      </c>
      <c r="L304" s="9" t="str">
        <f>VLOOKUP($A304,[4]cliqccee!$A:$AK,32,FALSE)</f>
        <v>FLAT</v>
      </c>
      <c r="M304" s="9" t="str">
        <f>VLOOKUP($A304,[4]cliqccee!$A:$AK,33,FALSE)</f>
        <v>Validado</v>
      </c>
      <c r="N304" s="499">
        <f t="shared" si="117"/>
        <v>0</v>
      </c>
    </row>
    <row r="305" spans="1:14" ht="11.25" x14ac:dyDescent="0.2">
      <c r="A305" s="167">
        <v>567305</v>
      </c>
      <c r="B305" s="167" t="s">
        <v>280</v>
      </c>
      <c r="C305" s="167" t="s">
        <v>71</v>
      </c>
      <c r="D305" s="192" t="s">
        <v>78</v>
      </c>
      <c r="E305" s="79">
        <f t="shared" si="118"/>
        <v>0</v>
      </c>
      <c r="F305" s="83">
        <f>VLOOKUP(A305,$A$56:$H$69,6,FALSE)</f>
        <v>0</v>
      </c>
      <c r="G305" s="193">
        <f>VLOOKUP(A305,$A$56:$H$69,7,FALSE)</f>
        <v>0</v>
      </c>
      <c r="H305" s="193">
        <f t="shared" si="119"/>
        <v>0</v>
      </c>
      <c r="I305" s="457"/>
      <c r="J305" s="9" t="str">
        <f>VLOOKUP($A305,[4]cliqccee!$A:$AK,26,FALSE)</f>
        <v>20,685528</v>
      </c>
      <c r="K305" s="9" t="str">
        <f>VLOOKUP($A305,[4]cliqccee!$A:$AK,10,FALSE)</f>
        <v>Validado</v>
      </c>
      <c r="L305" s="9" t="str">
        <f>VLOOKUP($A305,[4]cliqccee!$A:$AK,32,FALSE)</f>
        <v>FLAT</v>
      </c>
      <c r="M305" s="9" t="str">
        <f>VLOOKUP($A305,[4]cliqccee!$A:$AK,33,FALSE)</f>
        <v>Ajustado Validado</v>
      </c>
      <c r="N305" s="499">
        <f t="shared" si="117"/>
        <v>20.685528000000001</v>
      </c>
    </row>
    <row r="306" spans="1:14" ht="11.25" x14ac:dyDescent="0.2">
      <c r="A306" s="167">
        <v>98196</v>
      </c>
      <c r="B306" s="168" t="s">
        <v>335</v>
      </c>
      <c r="C306" s="167" t="s">
        <v>71</v>
      </c>
      <c r="D306" s="169" t="s">
        <v>78</v>
      </c>
      <c r="E306" s="79">
        <f t="shared" si="118"/>
        <v>0</v>
      </c>
      <c r="F306" s="83">
        <f>VLOOKUP(A306,$A$147:$H$169,6,FALSE)</f>
        <v>0</v>
      </c>
      <c r="G306" s="170">
        <f>VLOOKUP(A306,$A$147:$H$169,7,FALSE)</f>
        <v>0</v>
      </c>
      <c r="H306" s="170">
        <f t="shared" si="119"/>
        <v>0</v>
      </c>
      <c r="I306" s="457"/>
      <c r="J306" s="9" t="str">
        <f>VLOOKUP($A306,[4]cliqccee!$A:$AK,26,FALSE)</f>
        <v>0,000000</v>
      </c>
      <c r="K306" s="9" t="str">
        <f>VLOOKUP($A306,[4]cliqccee!$A:$AK,10,FALSE)</f>
        <v>Validado</v>
      </c>
      <c r="L306" s="9" t="str">
        <f>VLOOKUP($A306,[4]cliqccee!$A:$AK,32,FALSE)</f>
        <v>FLAT</v>
      </c>
      <c r="M306" s="9" t="str">
        <f>VLOOKUP($A306,[4]cliqccee!$A:$AK,33,FALSE)</f>
        <v>Validado</v>
      </c>
      <c r="N306" s="499">
        <f t="shared" si="117"/>
        <v>0</v>
      </c>
    </row>
    <row r="307" spans="1:14" ht="11.25" x14ac:dyDescent="0.2">
      <c r="A307" s="167">
        <v>567194</v>
      </c>
      <c r="B307" s="168" t="s">
        <v>265</v>
      </c>
      <c r="C307" s="167" t="s">
        <v>71</v>
      </c>
      <c r="D307" s="169" t="s">
        <v>78</v>
      </c>
      <c r="E307" s="79">
        <f t="shared" si="118"/>
        <v>409.45101099999999</v>
      </c>
      <c r="F307" s="83">
        <f>VLOOKUP(A307,$A$147:$H$169,6,FALSE)</f>
        <v>304631.551992097</v>
      </c>
      <c r="G307" s="170">
        <f>VLOOKUP(A307,$A$147:$H$169,7,FALSE)</f>
        <v>0</v>
      </c>
      <c r="H307" s="170">
        <f t="shared" si="119"/>
        <v>0</v>
      </c>
      <c r="I307" s="457"/>
      <c r="J307" s="9" t="str">
        <f>VLOOKUP($A307,[4]cliqccee!$A:$AK,26,FALSE)</f>
        <v>369,575796</v>
      </c>
      <c r="K307" s="9" t="str">
        <f>VLOOKUP($A307,[4]cliqccee!$A:$AK,10,FALSE)</f>
        <v>Validado</v>
      </c>
      <c r="L307" s="9" t="str">
        <f>VLOOKUP($A307,[4]cliqccee!$A:$AK,32,FALSE)</f>
        <v>FLAT</v>
      </c>
      <c r="M307" s="9" t="str">
        <f>VLOOKUP($A307,[4]cliqccee!$A:$AK,33,FALSE)</f>
        <v>Ajustado Validado</v>
      </c>
      <c r="N307" s="499">
        <f t="shared" si="117"/>
        <v>-39.875214999999969</v>
      </c>
    </row>
    <row r="308" spans="1:14" ht="11.25" x14ac:dyDescent="0.2">
      <c r="A308" s="167">
        <v>566840</v>
      </c>
      <c r="B308" s="168" t="s">
        <v>246</v>
      </c>
      <c r="C308" s="167" t="s">
        <v>71</v>
      </c>
      <c r="D308" s="169" t="s">
        <v>78</v>
      </c>
      <c r="E308" s="79">
        <f t="shared" si="118"/>
        <v>0</v>
      </c>
      <c r="F308" s="83">
        <f>VLOOKUP(A308,$A$202:$H$215,6,FALSE)</f>
        <v>0</v>
      </c>
      <c r="G308" s="170">
        <f>VLOOKUP(A308,$A$202:$H$215,7,FALSE)</f>
        <v>0</v>
      </c>
      <c r="H308" s="170">
        <f t="shared" si="119"/>
        <v>0</v>
      </c>
      <c r="I308" s="457"/>
      <c r="J308" s="9" t="str">
        <f>VLOOKUP($A308,[4]cliqccee!$A:$AK,26,FALSE)</f>
        <v>0,000000</v>
      </c>
      <c r="K308" s="9" t="str">
        <f>VLOOKUP($A308,[4]cliqccee!$A:$AK,10,FALSE)</f>
        <v>Validado</v>
      </c>
      <c r="L308" s="9" t="str">
        <f>VLOOKUP($A308,[4]cliqccee!$A:$AK,32,FALSE)</f>
        <v>FLAT</v>
      </c>
      <c r="M308" s="9" t="str">
        <f>VLOOKUP($A308,[4]cliqccee!$A:$AK,33,FALSE)</f>
        <v>Validado</v>
      </c>
      <c r="N308" s="499">
        <f t="shared" si="117"/>
        <v>0</v>
      </c>
    </row>
    <row r="309" spans="1:14" ht="11.25" x14ac:dyDescent="0.2">
      <c r="A309" s="167">
        <v>246531</v>
      </c>
      <c r="B309" s="168" t="s">
        <v>275</v>
      </c>
      <c r="C309" s="167" t="s">
        <v>71</v>
      </c>
      <c r="D309" s="169" t="s">
        <v>78</v>
      </c>
      <c r="E309" s="79">
        <f t="shared" si="118"/>
        <v>38.283084000000002</v>
      </c>
      <c r="F309" s="83">
        <f>(38.283084*$B$33)</f>
        <v>28482.614496000002</v>
      </c>
      <c r="G309" s="170"/>
      <c r="H309" s="170">
        <f t="shared" si="119"/>
        <v>0</v>
      </c>
      <c r="I309" s="457"/>
      <c r="J309" s="9" t="str">
        <f>VLOOKUP($A309,[4]cliqccee!$A:$AK,26,FALSE)</f>
        <v>38,283083</v>
      </c>
      <c r="K309" s="9" t="str">
        <f>VLOOKUP($A309,[4]cliqccee!$A:$AK,10,FALSE)</f>
        <v>Validado</v>
      </c>
      <c r="L309" s="9" t="str">
        <f>VLOOKUP($A309,[4]cliqccee!$A:$AK,32,FALSE)</f>
        <v>DECLARADA</v>
      </c>
      <c r="M309" s="9" t="str">
        <f>VLOOKUP($A309,[4]cliqccee!$A:$AK,33,FALSE)</f>
        <v>Ajustado Validado</v>
      </c>
      <c r="N309" s="499">
        <f t="shared" si="117"/>
        <v>-1.0000000045806701E-6</v>
      </c>
    </row>
    <row r="310" spans="1:14" ht="11.25" x14ac:dyDescent="0.2">
      <c r="A310" s="167">
        <v>558731</v>
      </c>
      <c r="B310" s="168" t="s">
        <v>244</v>
      </c>
      <c r="C310" s="167" t="s">
        <v>71</v>
      </c>
      <c r="D310" s="169" t="s">
        <v>78</v>
      </c>
      <c r="E310" s="79">
        <f t="shared" si="118"/>
        <v>0</v>
      </c>
      <c r="F310" s="83">
        <f>VLOOKUP(A310,$A$823:$H$873,6,FALSE)</f>
        <v>0</v>
      </c>
      <c r="G310" s="170">
        <f>VLOOKUP(A310,$A$823:$H$873,7,FALSE)</f>
        <v>0</v>
      </c>
      <c r="H310" s="170">
        <f t="shared" si="119"/>
        <v>0</v>
      </c>
      <c r="I310" s="457"/>
      <c r="J310" s="9" t="str">
        <f>VLOOKUP($A310,[4]cliqccee!$A:$AK,26,FALSE)</f>
        <v>0,000000</v>
      </c>
      <c r="K310" s="9" t="str">
        <f>VLOOKUP($A310,[4]cliqccee!$A:$AK,10,FALSE)</f>
        <v>Validado</v>
      </c>
      <c r="L310" s="9" t="str">
        <f>VLOOKUP($A310,[4]cliqccee!$A:$AK,32,FALSE)</f>
        <v>FLAT</v>
      </c>
      <c r="M310" s="9" t="str">
        <f>VLOOKUP($A310,[4]cliqccee!$A:$AK,33,FALSE)</f>
        <v>Validado</v>
      </c>
      <c r="N310" s="499">
        <f t="shared" si="117"/>
        <v>0</v>
      </c>
    </row>
    <row r="311" spans="1:14" ht="11.25" x14ac:dyDescent="0.2">
      <c r="A311" s="195">
        <v>558730</v>
      </c>
      <c r="B311" s="195" t="s">
        <v>170</v>
      </c>
      <c r="C311" s="195" t="s">
        <v>71</v>
      </c>
      <c r="D311" s="196" t="s">
        <v>78</v>
      </c>
      <c r="E311" s="97">
        <f>ROUND(F311/$B$33,6)</f>
        <v>0</v>
      </c>
      <c r="F311" s="98">
        <f>VLOOKUP(A311,$A$742:$H$772,6,FALSE)</f>
        <v>0</v>
      </c>
      <c r="G311" s="197">
        <f>VLOOKUP(A311,$A$742:$H$772,7,FALSE)</f>
        <v>0</v>
      </c>
      <c r="H311" s="197">
        <f t="shared" si="119"/>
        <v>0</v>
      </c>
      <c r="I311" s="457"/>
      <c r="J311" s="9" t="str">
        <f>VLOOKUP($A311,[4]cliqccee!$A:$AK,26,FALSE)</f>
        <v>17,971679</v>
      </c>
      <c r="K311" s="9" t="str">
        <f>VLOOKUP($A311,[4]cliqccee!$A:$AK,10,FALSE)</f>
        <v>Validado</v>
      </c>
      <c r="L311" s="9" t="str">
        <f>VLOOKUP($A311,[4]cliqccee!$A:$AK,32,FALSE)</f>
        <v>FLAT</v>
      </c>
      <c r="M311" s="9" t="str">
        <f>VLOOKUP($A311,[4]cliqccee!$A:$AK,33,FALSE)</f>
        <v>Ajustado Validado</v>
      </c>
      <c r="N311" s="499">
        <f t="shared" si="117"/>
        <v>17.971679000000002</v>
      </c>
    </row>
    <row r="312" spans="1:14" ht="11.25" x14ac:dyDescent="0.2">
      <c r="A312" s="167"/>
      <c r="B312" s="406"/>
      <c r="C312" s="406"/>
      <c r="D312" s="407"/>
      <c r="E312" s="501"/>
      <c r="F312" s="500"/>
      <c r="G312" s="506"/>
      <c r="H312" s="506"/>
      <c r="I312" s="457"/>
      <c r="J312" s="9" t="e">
        <f>VLOOKUP($A312,[4]cliqccee!$A:$AK,26,FALSE)</f>
        <v>#N/A</v>
      </c>
      <c r="K312" s="9" t="e">
        <f>VLOOKUP($A312,[4]cliqccee!$A:$AK,10,FALSE)</f>
        <v>#N/A</v>
      </c>
      <c r="L312" s="9" t="e">
        <f>VLOOKUP($A312,[4]cliqccee!$A:$AK,32,FALSE)</f>
        <v>#N/A</v>
      </c>
      <c r="M312" s="9" t="e">
        <f>VLOOKUP($A312,[4]cliqccee!$A:$AK,33,FALSE)</f>
        <v>#N/A</v>
      </c>
      <c r="N312" s="499" t="e">
        <f t="shared" si="117"/>
        <v>#N/A</v>
      </c>
    </row>
    <row r="313" spans="1:14" ht="11.25" x14ac:dyDescent="0.2">
      <c r="A313" s="167"/>
      <c r="B313" s="406"/>
      <c r="C313" s="167"/>
      <c r="D313" s="192"/>
      <c r="E313" s="79"/>
      <c r="F313" s="83"/>
      <c r="G313" s="170"/>
      <c r="H313" s="170"/>
      <c r="I313" s="457"/>
      <c r="J313" s="9" t="e">
        <f>VLOOKUP($A313,[4]cliqccee!$A:$AK,26,FALSE)</f>
        <v>#N/A</v>
      </c>
      <c r="K313" s="9" t="e">
        <f>VLOOKUP($A313,[4]cliqccee!$A:$AK,10,FALSE)</f>
        <v>#N/A</v>
      </c>
      <c r="L313" s="9" t="e">
        <f>VLOOKUP($A313,[4]cliqccee!$A:$AK,32,FALSE)</f>
        <v>#N/A</v>
      </c>
      <c r="M313" s="9" t="e">
        <f>VLOOKUP($A313,[4]cliqccee!$A:$AK,33,FALSE)</f>
        <v>#N/A</v>
      </c>
      <c r="N313" s="499" t="e">
        <f t="shared" si="117"/>
        <v>#N/A</v>
      </c>
    </row>
    <row r="314" spans="1:14" ht="11.25" x14ac:dyDescent="0.2">
      <c r="A314" s="167"/>
      <c r="B314" s="167"/>
      <c r="C314" s="167"/>
      <c r="D314" s="192"/>
      <c r="E314" s="79"/>
      <c r="F314" s="83"/>
      <c r="G314" s="170"/>
      <c r="H314" s="170"/>
      <c r="I314" s="457"/>
      <c r="J314" s="9" t="e">
        <f>VLOOKUP($A314,[4]cliqccee!$A:$AK,26,FALSE)</f>
        <v>#N/A</v>
      </c>
      <c r="K314" s="9" t="e">
        <f>VLOOKUP($A314,[4]cliqccee!$A:$AK,10,FALSE)</f>
        <v>#N/A</v>
      </c>
      <c r="L314" s="9" t="e">
        <f>VLOOKUP($A314,[4]cliqccee!$A:$AK,32,FALSE)</f>
        <v>#N/A</v>
      </c>
      <c r="M314" s="9" t="e">
        <f>VLOOKUP($A314,[4]cliqccee!$A:$AK,33,FALSE)</f>
        <v>#N/A</v>
      </c>
      <c r="N314" s="499" t="e">
        <f t="shared" si="117"/>
        <v>#N/A</v>
      </c>
    </row>
    <row r="315" spans="1:14" ht="11.25" x14ac:dyDescent="0.2">
      <c r="A315" s="167"/>
      <c r="B315" s="167"/>
      <c r="C315" s="167"/>
      <c r="D315" s="192"/>
      <c r="E315" s="79"/>
      <c r="F315" s="83"/>
      <c r="G315" s="193"/>
      <c r="H315" s="193"/>
      <c r="I315" s="457"/>
      <c r="J315" s="9" t="e">
        <f>VLOOKUP($A315,[4]cliqccee!$A:$AK,26,FALSE)</f>
        <v>#N/A</v>
      </c>
      <c r="K315" s="9" t="e">
        <f>VLOOKUP($A315,[4]cliqccee!$A:$AK,10,FALSE)</f>
        <v>#N/A</v>
      </c>
      <c r="L315" s="9" t="e">
        <f>VLOOKUP($A315,[4]cliqccee!$A:$AK,32,FALSE)</f>
        <v>#N/A</v>
      </c>
      <c r="M315" s="9" t="e">
        <f>VLOOKUP($A315,[4]cliqccee!$A:$AK,33,FALSE)</f>
        <v>#N/A</v>
      </c>
      <c r="N315" s="499" t="e">
        <f t="shared" si="117"/>
        <v>#N/A</v>
      </c>
    </row>
    <row r="316" spans="1:14" ht="11.25" x14ac:dyDescent="0.2">
      <c r="A316" s="167"/>
      <c r="B316" s="167"/>
      <c r="C316" s="167"/>
      <c r="D316" s="192"/>
      <c r="E316" s="79"/>
      <c r="F316" s="83"/>
      <c r="G316" s="193"/>
      <c r="H316" s="193"/>
      <c r="I316" s="457"/>
      <c r="J316" s="9" t="e">
        <f>VLOOKUP($A316,[4]cliqccee!$A:$AK,26,FALSE)</f>
        <v>#N/A</v>
      </c>
      <c r="K316" s="9" t="e">
        <f>VLOOKUP($A316,[4]cliqccee!$A:$AK,10,FALSE)</f>
        <v>#N/A</v>
      </c>
      <c r="L316" s="9" t="e">
        <f>VLOOKUP($A316,[4]cliqccee!$A:$AK,32,FALSE)</f>
        <v>#N/A</v>
      </c>
      <c r="M316" s="9" t="e">
        <f>VLOOKUP($A316,[4]cliqccee!$A:$AK,33,FALSE)</f>
        <v>#N/A</v>
      </c>
      <c r="N316" s="499" t="e">
        <f t="shared" si="117"/>
        <v>#N/A</v>
      </c>
    </row>
    <row r="317" spans="1:14" x14ac:dyDescent="0.15">
      <c r="A317" s="253"/>
      <c r="B317" s="253"/>
      <c r="C317" s="253"/>
      <c r="D317" s="253"/>
      <c r="E317" s="203"/>
      <c r="F317" s="204"/>
      <c r="G317" s="205"/>
      <c r="H317" s="206"/>
      <c r="J317" s="393"/>
      <c r="K317" s="393"/>
      <c r="L317" s="393"/>
      <c r="M317" s="393"/>
      <c r="N317" s="393"/>
    </row>
    <row r="318" spans="1:14" ht="11.25" x14ac:dyDescent="0.2">
      <c r="A318" s="80" t="s">
        <v>32</v>
      </c>
      <c r="B318" s="421"/>
      <c r="C318" s="421"/>
      <c r="D318" s="422"/>
      <c r="E318" s="81">
        <f>SUM(E298:E317)</f>
        <v>716.43687699999998</v>
      </c>
      <c r="F318" s="84">
        <f>SUM(F298:F317)</f>
        <v>533029.03663534787</v>
      </c>
      <c r="G318" s="82">
        <f>IFERROR(H318/F318,0)</f>
        <v>0</v>
      </c>
      <c r="H318" s="82">
        <f>SUM(H298:H317)</f>
        <v>0</v>
      </c>
      <c r="I318" s="228"/>
      <c r="N318" s="418"/>
    </row>
    <row r="319" spans="1:14" customFormat="1" ht="16.5" customHeight="1" x14ac:dyDescent="0.25"/>
    <row r="320" spans="1:14" s="540" customFormat="1" ht="11.25" x14ac:dyDescent="0.2">
      <c r="A320" s="548" t="s">
        <v>76</v>
      </c>
      <c r="B320" s="548"/>
      <c r="C320" s="548"/>
      <c r="D320" s="548"/>
      <c r="E320" s="548"/>
      <c r="F320" s="548"/>
      <c r="G320" s="548"/>
      <c r="H320" s="548"/>
      <c r="J320" s="457"/>
      <c r="N320" s="418"/>
    </row>
    <row r="321" spans="1:14" s="540" customFormat="1" x14ac:dyDescent="0.15">
      <c r="A321" s="10" t="s">
        <v>252</v>
      </c>
      <c r="B321" s="10" t="s">
        <v>1</v>
      </c>
      <c r="C321" s="10" t="s">
        <v>2</v>
      </c>
      <c r="D321" s="10" t="s">
        <v>3</v>
      </c>
      <c r="E321" s="10" t="s">
        <v>137</v>
      </c>
      <c r="F321" s="10" t="s">
        <v>25</v>
      </c>
      <c r="G321" s="10" t="s">
        <v>253</v>
      </c>
      <c r="H321" s="10" t="s">
        <v>254</v>
      </c>
      <c r="J321" s="10" t="s">
        <v>72</v>
      </c>
      <c r="K321" s="10" t="s">
        <v>73</v>
      </c>
      <c r="L321" s="10" t="s">
        <v>74</v>
      </c>
      <c r="M321" s="10" t="s">
        <v>75</v>
      </c>
      <c r="N321" s="10" t="s">
        <v>425</v>
      </c>
    </row>
    <row r="322" spans="1:14" s="540" customFormat="1" ht="11.25" x14ac:dyDescent="0.2">
      <c r="A322" s="542">
        <v>1229956</v>
      </c>
      <c r="B322" s="167" t="s">
        <v>473</v>
      </c>
      <c r="C322" s="167" t="s">
        <v>474</v>
      </c>
      <c r="D322" s="169" t="s">
        <v>78</v>
      </c>
      <c r="E322" s="79">
        <f t="shared" ref="E322" si="120">ROUND(F322/$B$33,6)</f>
        <v>5.0632080000000004</v>
      </c>
      <c r="F322" s="531">
        <f>F484-G484</f>
        <v>3767.026820090171</v>
      </c>
      <c r="G322" s="193">
        <v>0</v>
      </c>
      <c r="H322" s="193">
        <f t="shared" ref="H322" si="121">F322*G322</f>
        <v>0</v>
      </c>
      <c r="I322" s="457"/>
      <c r="J322" s="9" t="e">
        <f>VLOOKUP($A322,[4]cliqccee!$A:$AK,26,FALSE)</f>
        <v>#N/A</v>
      </c>
      <c r="K322" s="9" t="e">
        <f>VLOOKUP($A322,[4]cliqccee!$A:$AK,10,FALSE)</f>
        <v>#N/A</v>
      </c>
      <c r="L322" s="9" t="e">
        <f>VLOOKUP($A322,[4]cliqccee!$A:$AK,32,FALSE)</f>
        <v>#N/A</v>
      </c>
      <c r="M322" s="9" t="e">
        <f>VLOOKUP($A322,[4]cliqccee!$A:$AK,33,FALSE)</f>
        <v>#N/A</v>
      </c>
      <c r="N322" s="499" t="e">
        <f t="shared" ref="N322" si="122">J322-E322</f>
        <v>#N/A</v>
      </c>
    </row>
    <row r="323" spans="1:14" s="540" customFormat="1" x14ac:dyDescent="0.15">
      <c r="A323" s="253"/>
      <c r="B323" s="253"/>
      <c r="C323" s="253"/>
      <c r="D323" s="253"/>
      <c r="E323" s="203"/>
      <c r="F323" s="204"/>
      <c r="G323" s="205"/>
      <c r="H323" s="206"/>
      <c r="J323" s="393"/>
      <c r="K323" s="393"/>
      <c r="L323" s="393"/>
      <c r="M323" s="393"/>
      <c r="N323" s="393"/>
    </row>
    <row r="324" spans="1:14" s="540" customFormat="1" ht="11.25" x14ac:dyDescent="0.2">
      <c r="A324" s="80" t="s">
        <v>32</v>
      </c>
      <c r="B324" s="421"/>
      <c r="C324" s="421"/>
      <c r="D324" s="422"/>
      <c r="E324" s="81">
        <f>SUM(E322:E323)</f>
        <v>5.0632080000000004</v>
      </c>
      <c r="F324" s="81">
        <f>SUM(F322:F323)</f>
        <v>3767.026820090171</v>
      </c>
      <c r="G324" s="82">
        <f>IFERROR(H324/F324,0)</f>
        <v>0</v>
      </c>
      <c r="H324" s="82">
        <f>SUM(H304:H323)</f>
        <v>0</v>
      </c>
      <c r="I324" s="228"/>
      <c r="N324" s="418"/>
    </row>
    <row r="325" spans="1:14" customFormat="1" ht="15" x14ac:dyDescent="0.25"/>
    <row r="326" spans="1:14" ht="11.25" x14ac:dyDescent="0.2">
      <c r="N326" s="418"/>
    </row>
    <row r="327" spans="1:14" ht="11.25" x14ac:dyDescent="0.2">
      <c r="A327" s="548" t="s">
        <v>233</v>
      </c>
      <c r="B327" s="548"/>
      <c r="C327" s="548"/>
      <c r="E327" s="423" t="s">
        <v>19</v>
      </c>
      <c r="F327" s="423"/>
      <c r="G327" s="424" t="s">
        <v>20</v>
      </c>
      <c r="H327" s="424"/>
      <c r="I327" s="425" t="s">
        <v>21</v>
      </c>
      <c r="J327" s="425"/>
      <c r="K327" s="426" t="s">
        <v>22</v>
      </c>
      <c r="L327" s="426"/>
      <c r="N327" s="418"/>
    </row>
    <row r="328" spans="1:14" ht="11.25" x14ac:dyDescent="0.2">
      <c r="A328" s="10" t="s">
        <v>2</v>
      </c>
      <c r="B328" s="10" t="s">
        <v>137</v>
      </c>
      <c r="C328" s="10" t="s">
        <v>25</v>
      </c>
      <c r="E328" s="427" t="s">
        <v>137</v>
      </c>
      <c r="F328" s="428" t="s">
        <v>25</v>
      </c>
      <c r="G328" s="429" t="s">
        <v>137</v>
      </c>
      <c r="H328" s="430" t="s">
        <v>25</v>
      </c>
      <c r="I328" s="431" t="s">
        <v>137</v>
      </c>
      <c r="J328" s="432" t="s">
        <v>25</v>
      </c>
      <c r="K328" s="433" t="s">
        <v>137</v>
      </c>
      <c r="L328" s="434" t="s">
        <v>25</v>
      </c>
      <c r="N328" s="418"/>
    </row>
    <row r="329" spans="1:14" ht="11.25" x14ac:dyDescent="0.2">
      <c r="A329" s="29" t="s">
        <v>69</v>
      </c>
      <c r="B329" s="70">
        <v>0</v>
      </c>
      <c r="C329" s="83">
        <v>0</v>
      </c>
      <c r="E329" s="435">
        <f t="shared" ref="E329:E335" si="123">SUMIFS($E$269:$E$317,$C$269:$C$317,$A329,$D$269:$D$317,$E$327)</f>
        <v>0</v>
      </c>
      <c r="F329" s="436">
        <f t="shared" ref="F329:F335" si="124">SUMIFS($F$269:$F$317,$C$269:$C$317,$A329,$D$269:$D$317,$E$327)</f>
        <v>0</v>
      </c>
      <c r="G329" s="437">
        <f t="shared" ref="G329:G335" si="125">SUMIFS($E$269:$E$317,$C$269:$C$317,$A329,$D$269:$D$317,$G$327)</f>
        <v>0</v>
      </c>
      <c r="H329" s="438">
        <f t="shared" ref="H329:H335" si="126">SUMIFS($F$269:$F$317,$C$269:$C$317,$A329,$D$269:$D$317,$G$327)</f>
        <v>0</v>
      </c>
      <c r="I329" s="439">
        <f t="shared" ref="I329:I335" si="127">SUMIFS($E$269:$E$317,$C$269:$C$317,$A329,$D$269:$D$317,$I$327)</f>
        <v>0</v>
      </c>
      <c r="J329" s="440">
        <f t="shared" ref="J329:J335" si="128">SUMIFS($F$269:$F$317,$C$269:$C$317,$A329,$D$269:$D$317,$I$327)</f>
        <v>0</v>
      </c>
      <c r="K329" s="441">
        <f t="shared" ref="K329:K335" si="129">SUMIFS($E$269:$E$317,$C$269:$C$317,$A329,$D$269:$D$317,$K$327)</f>
        <v>0</v>
      </c>
      <c r="L329" s="442">
        <f t="shared" ref="L329:L335" si="130">SUMIFS($F$269:$F$317,$C$269:$C$317,$A329,$D$269:$D$317,$K$327)</f>
        <v>0</v>
      </c>
      <c r="N329" s="418"/>
    </row>
    <row r="330" spans="1:14" ht="11.25" x14ac:dyDescent="0.2">
      <c r="A330" s="29" t="s">
        <v>47</v>
      </c>
      <c r="B330" s="70">
        <v>0</v>
      </c>
      <c r="C330" s="83">
        <v>0</v>
      </c>
      <c r="E330" s="435">
        <f t="shared" si="123"/>
        <v>0</v>
      </c>
      <c r="F330" s="436">
        <f t="shared" si="124"/>
        <v>0</v>
      </c>
      <c r="G330" s="437">
        <f t="shared" si="125"/>
        <v>0</v>
      </c>
      <c r="H330" s="438">
        <f t="shared" si="126"/>
        <v>0</v>
      </c>
      <c r="I330" s="439">
        <f t="shared" si="127"/>
        <v>0</v>
      </c>
      <c r="J330" s="440">
        <f t="shared" si="128"/>
        <v>0</v>
      </c>
      <c r="K330" s="441">
        <f t="shared" si="129"/>
        <v>0</v>
      </c>
      <c r="L330" s="442">
        <f t="shared" si="130"/>
        <v>0</v>
      </c>
      <c r="N330" s="418"/>
    </row>
    <row r="331" spans="1:14" ht="11.25" x14ac:dyDescent="0.2">
      <c r="A331" s="29" t="s">
        <v>79</v>
      </c>
      <c r="B331" s="70">
        <v>0</v>
      </c>
      <c r="C331" s="83">
        <v>0</v>
      </c>
      <c r="E331" s="435">
        <f t="shared" si="123"/>
        <v>0</v>
      </c>
      <c r="F331" s="436">
        <f t="shared" si="124"/>
        <v>0</v>
      </c>
      <c r="G331" s="437">
        <f t="shared" si="125"/>
        <v>0</v>
      </c>
      <c r="H331" s="438">
        <f t="shared" si="126"/>
        <v>0</v>
      </c>
      <c r="I331" s="439">
        <f t="shared" si="127"/>
        <v>0</v>
      </c>
      <c r="J331" s="440">
        <f t="shared" si="128"/>
        <v>0</v>
      </c>
      <c r="K331" s="441">
        <f t="shared" si="129"/>
        <v>0</v>
      </c>
      <c r="L331" s="442">
        <f t="shared" si="130"/>
        <v>0</v>
      </c>
      <c r="N331" s="418"/>
    </row>
    <row r="332" spans="1:14" ht="11.25" x14ac:dyDescent="0.2">
      <c r="A332" s="29" t="s">
        <v>71</v>
      </c>
      <c r="B332" s="70">
        <f>E318</f>
        <v>716.43687699999998</v>
      </c>
      <c r="C332" s="83">
        <f>F318</f>
        <v>533029.03663534787</v>
      </c>
      <c r="E332" s="435">
        <f t="shared" si="123"/>
        <v>267.54394100000002</v>
      </c>
      <c r="F332" s="436">
        <f t="shared" si="124"/>
        <v>199052.69214725081</v>
      </c>
      <c r="G332" s="437">
        <f t="shared" si="125"/>
        <v>0</v>
      </c>
      <c r="H332" s="438">
        <f t="shared" si="126"/>
        <v>0</v>
      </c>
      <c r="I332" s="439">
        <f t="shared" si="127"/>
        <v>448.89293599999996</v>
      </c>
      <c r="J332" s="440">
        <f t="shared" si="128"/>
        <v>333976.34448809701</v>
      </c>
      <c r="K332" s="441">
        <f t="shared" si="129"/>
        <v>0</v>
      </c>
      <c r="L332" s="442">
        <f t="shared" si="130"/>
        <v>0</v>
      </c>
      <c r="N332" s="418"/>
    </row>
    <row r="333" spans="1:14" ht="11.25" x14ac:dyDescent="0.2">
      <c r="A333" s="29" t="s">
        <v>9</v>
      </c>
      <c r="B333" s="70">
        <f>E291</f>
        <v>711.37367000000017</v>
      </c>
      <c r="C333" s="83">
        <f>F291</f>
        <v>529262.00981525762</v>
      </c>
      <c r="E333" s="435">
        <f t="shared" si="123"/>
        <v>267.54394200000002</v>
      </c>
      <c r="F333" s="436">
        <f t="shared" si="124"/>
        <v>199052.69214725081</v>
      </c>
      <c r="G333" s="437">
        <f t="shared" si="125"/>
        <v>0</v>
      </c>
      <c r="H333" s="438">
        <f t="shared" si="126"/>
        <v>0</v>
      </c>
      <c r="I333" s="439">
        <f t="shared" si="127"/>
        <v>443.82972799999993</v>
      </c>
      <c r="J333" s="440">
        <f t="shared" si="128"/>
        <v>330209.31766800681</v>
      </c>
      <c r="K333" s="441">
        <f t="shared" si="129"/>
        <v>0</v>
      </c>
      <c r="L333" s="442">
        <f t="shared" si="130"/>
        <v>0</v>
      </c>
      <c r="N333" s="418"/>
    </row>
    <row r="334" spans="1:14" ht="11.25" x14ac:dyDescent="0.2">
      <c r="A334" s="29" t="s">
        <v>80</v>
      </c>
      <c r="B334" s="70">
        <v>0</v>
      </c>
      <c r="C334" s="83">
        <v>0</v>
      </c>
      <c r="E334" s="435">
        <f t="shared" si="123"/>
        <v>0</v>
      </c>
      <c r="F334" s="436">
        <f t="shared" si="124"/>
        <v>0</v>
      </c>
      <c r="G334" s="437">
        <f t="shared" si="125"/>
        <v>0</v>
      </c>
      <c r="H334" s="438">
        <f t="shared" si="126"/>
        <v>0</v>
      </c>
      <c r="I334" s="439">
        <f t="shared" si="127"/>
        <v>0</v>
      </c>
      <c r="J334" s="440">
        <f t="shared" si="128"/>
        <v>0</v>
      </c>
      <c r="K334" s="441">
        <f t="shared" si="129"/>
        <v>0</v>
      </c>
      <c r="L334" s="442">
        <f t="shared" si="130"/>
        <v>0</v>
      </c>
      <c r="N334" s="418"/>
    </row>
    <row r="335" spans="1:14" ht="11.25" x14ac:dyDescent="0.2">
      <c r="A335" s="29" t="s">
        <v>77</v>
      </c>
      <c r="B335" s="70">
        <f>E322</f>
        <v>5.0632080000000004</v>
      </c>
      <c r="C335" s="83">
        <f>F324</f>
        <v>3767.026820090171</v>
      </c>
      <c r="E335" s="435">
        <f t="shared" si="123"/>
        <v>0</v>
      </c>
      <c r="F335" s="436">
        <f t="shared" si="124"/>
        <v>0</v>
      </c>
      <c r="G335" s="437">
        <f t="shared" si="125"/>
        <v>0</v>
      </c>
      <c r="H335" s="438">
        <f t="shared" si="126"/>
        <v>0</v>
      </c>
      <c r="I335" s="439">
        <f t="shared" si="127"/>
        <v>0</v>
      </c>
      <c r="J335" s="440">
        <f t="shared" si="128"/>
        <v>0</v>
      </c>
      <c r="K335" s="441">
        <f t="shared" si="129"/>
        <v>0</v>
      </c>
      <c r="L335" s="442">
        <f t="shared" si="130"/>
        <v>0</v>
      </c>
      <c r="N335" s="418"/>
    </row>
    <row r="336" spans="1:14" ht="11.25" x14ac:dyDescent="0.2">
      <c r="A336" s="11" t="s">
        <v>81</v>
      </c>
      <c r="B336" s="12">
        <f>SUM(B329:B332)-SUM(B333:B335)</f>
        <v>-1.0000002248489182E-6</v>
      </c>
      <c r="C336" s="12">
        <f>SUM(C329:C332)-SUM(C333:C335)</f>
        <v>0</v>
      </c>
      <c r="E336" s="443">
        <f>SUM(E329:E332)-SUM(E333:E335)</f>
        <v>-9.9999999747524271E-7</v>
      </c>
      <c r="F336" s="444">
        <f>SUM(F329:F332)-SUM(F333:F335)</f>
        <v>0</v>
      </c>
      <c r="G336" s="445">
        <f t="shared" ref="G336:L336" si="131">SUM(G329:G332)-SUM(G333:G335)</f>
        <v>0</v>
      </c>
      <c r="H336" s="446">
        <f t="shared" si="131"/>
        <v>0</v>
      </c>
      <c r="I336" s="447">
        <f>SUM(I329:I332)-SUM(I333:I335)</f>
        <v>5.0632080000000315</v>
      </c>
      <c r="J336" s="448">
        <f t="shared" si="131"/>
        <v>3767.0268200901919</v>
      </c>
      <c r="K336" s="449">
        <f t="shared" si="131"/>
        <v>0</v>
      </c>
      <c r="L336" s="450">
        <f t="shared" si="131"/>
        <v>0</v>
      </c>
      <c r="N336" s="418"/>
    </row>
    <row r="337" spans="1:23" ht="11.25" x14ac:dyDescent="0.2">
      <c r="A337" s="11" t="s">
        <v>82</v>
      </c>
      <c r="B337" s="12">
        <f>SUM(B329:B332)-SUM(B333:B336)</f>
        <v>0</v>
      </c>
      <c r="C337" s="12">
        <f>SUM(C329:C332)-SUM(C333:C336)</f>
        <v>0</v>
      </c>
      <c r="E337" s="443">
        <f>SUM(E329:E332)-SUM(E333:E336)</f>
        <v>0</v>
      </c>
      <c r="F337" s="444">
        <f t="shared" ref="F337:L337" si="132">SUM(F329:F332)-SUM(F333:F336)</f>
        <v>0</v>
      </c>
      <c r="G337" s="445">
        <f t="shared" si="132"/>
        <v>0</v>
      </c>
      <c r="H337" s="446">
        <f t="shared" si="132"/>
        <v>0</v>
      </c>
      <c r="I337" s="447">
        <f t="shared" si="132"/>
        <v>0</v>
      </c>
      <c r="J337" s="448">
        <f t="shared" si="132"/>
        <v>0</v>
      </c>
      <c r="K337" s="449">
        <f t="shared" si="132"/>
        <v>0</v>
      </c>
      <c r="L337" s="450">
        <f t="shared" si="132"/>
        <v>0</v>
      </c>
      <c r="N337" s="418"/>
    </row>
    <row r="338" spans="1:23" ht="11.25" x14ac:dyDescent="0.2">
      <c r="N338" s="418"/>
    </row>
    <row r="339" spans="1:23" ht="11.25" x14ac:dyDescent="0.2">
      <c r="E339" s="451">
        <f>(F336*$H$5)+(H336*$J$5)+(J336*$L$5)+(L336*$N$5)</f>
        <v>326543.0490408481</v>
      </c>
      <c r="N339" s="418"/>
    </row>
    <row r="340" spans="1:23" ht="11.25" x14ac:dyDescent="0.2">
      <c r="N340" s="418"/>
    </row>
    <row r="341" spans="1:23" ht="11.25" x14ac:dyDescent="0.2">
      <c r="N341" s="418"/>
    </row>
    <row r="342" spans="1:23" ht="11.25" x14ac:dyDescent="0.2">
      <c r="A342" s="548" t="s">
        <v>421</v>
      </c>
      <c r="B342" s="548"/>
      <c r="C342" s="548"/>
      <c r="D342" s="548"/>
      <c r="E342" s="548"/>
      <c r="F342" s="548"/>
      <c r="G342" s="548"/>
      <c r="H342" s="548"/>
      <c r="N342" s="418"/>
    </row>
    <row r="343" spans="1:23" ht="11.25" x14ac:dyDescent="0.2">
      <c r="A343" s="548"/>
      <c r="B343" s="548"/>
      <c r="C343" s="548"/>
      <c r="D343" s="548"/>
      <c r="E343" s="548"/>
      <c r="F343" s="548"/>
      <c r="G343" s="548"/>
      <c r="H343" s="548"/>
      <c r="N343" s="418"/>
    </row>
    <row r="344" spans="1:23" s="420" customFormat="1" ht="3.75" customHeight="1" x14ac:dyDescent="0.2">
      <c r="A344" s="419"/>
      <c r="B344" s="419"/>
      <c r="C344" s="419"/>
      <c r="D344" s="419"/>
      <c r="E344" s="419"/>
      <c r="F344" s="419"/>
      <c r="G344" s="419"/>
      <c r="H344" s="419"/>
      <c r="I344" s="515"/>
      <c r="J344" s="515"/>
      <c r="K344" s="515"/>
      <c r="L344" s="515"/>
      <c r="M344" s="515"/>
      <c r="N344" s="418"/>
      <c r="O344" s="515"/>
      <c r="P344" s="515"/>
    </row>
    <row r="345" spans="1:23" ht="11.25" x14ac:dyDescent="0.2">
      <c r="A345" s="548" t="s">
        <v>85</v>
      </c>
      <c r="B345" s="548"/>
      <c r="C345" s="548"/>
      <c r="D345" s="548"/>
      <c r="E345" s="548"/>
      <c r="F345" s="548"/>
      <c r="G345" s="548"/>
      <c r="H345" s="548"/>
      <c r="N345" s="418"/>
    </row>
    <row r="346" spans="1:23" ht="11.25" x14ac:dyDescent="0.2">
      <c r="A346" s="10" t="s">
        <v>8</v>
      </c>
      <c r="B346" s="10"/>
      <c r="C346" s="10" t="s">
        <v>2</v>
      </c>
      <c r="D346" s="10" t="s">
        <v>3</v>
      </c>
      <c r="E346" s="10" t="s">
        <v>137</v>
      </c>
      <c r="F346" s="10" t="s">
        <v>25</v>
      </c>
      <c r="G346" s="10" t="s">
        <v>95</v>
      </c>
      <c r="H346" s="10" t="s">
        <v>240</v>
      </c>
      <c r="N346" s="418"/>
    </row>
    <row r="347" spans="1:23" ht="11.25" x14ac:dyDescent="0.2">
      <c r="A347" s="191" t="s">
        <v>367</v>
      </c>
      <c r="B347" s="167"/>
      <c r="C347" s="167" t="s">
        <v>9</v>
      </c>
      <c r="D347" s="169" t="s">
        <v>78</v>
      </c>
      <c r="E347" s="79">
        <f>ROUND(F347/$B$33,6)</f>
        <v>0.38121899999999997</v>
      </c>
      <c r="F347" s="83">
        <f>[7]Consolidação!$G$14</f>
        <v>283.62727518900368</v>
      </c>
      <c r="G347" s="83">
        <f>'[8]2019'!$F$32</f>
        <v>7.5940000000000003</v>
      </c>
      <c r="H347" s="103">
        <v>0.03</v>
      </c>
      <c r="N347" s="418"/>
    </row>
    <row r="348" spans="1:23" ht="11.25" x14ac:dyDescent="0.2">
      <c r="A348" s="191" t="s">
        <v>368</v>
      </c>
      <c r="B348" s="167"/>
      <c r="C348" s="167" t="s">
        <v>9</v>
      </c>
      <c r="D348" s="169" t="s">
        <v>78</v>
      </c>
      <c r="E348" s="79">
        <f>ROUND(F348/$B$33,6)</f>
        <v>0.53253499999999998</v>
      </c>
      <c r="F348" s="83">
        <f>[7]Consolidação!$G$15</f>
        <v>396.20619340206184</v>
      </c>
      <c r="G348" s="83">
        <f>'[8]2019'!$F$31</f>
        <v>2.2530000000000001</v>
      </c>
      <c r="H348" s="103">
        <v>0.03</v>
      </c>
      <c r="N348" s="418"/>
    </row>
    <row r="349" spans="1:23" ht="11.25" x14ac:dyDescent="0.2">
      <c r="A349" s="217"/>
      <c r="B349" s="217"/>
      <c r="C349" s="217"/>
      <c r="D349" s="217"/>
      <c r="E349" s="218"/>
      <c r="F349" s="219"/>
      <c r="G349" s="220"/>
      <c r="H349" s="221"/>
      <c r="N349" s="418"/>
    </row>
    <row r="350" spans="1:23" ht="11.25" x14ac:dyDescent="0.2">
      <c r="A350" s="80" t="s">
        <v>32</v>
      </c>
      <c r="B350" s="421"/>
      <c r="C350" s="421"/>
      <c r="D350" s="422"/>
      <c r="E350" s="81">
        <f>SUM(E347:E349)</f>
        <v>0.91375399999999996</v>
      </c>
      <c r="F350" s="84">
        <f>SUM(F347:F349)</f>
        <v>679.83346859106553</v>
      </c>
      <c r="G350" s="84">
        <f>SUM(G347:G349)</f>
        <v>9.8470000000000013</v>
      </c>
      <c r="H350" s="84"/>
      <c r="I350" s="228"/>
      <c r="N350" s="418"/>
    </row>
    <row r="351" spans="1:23" ht="11.25" x14ac:dyDescent="0.2">
      <c r="N351" s="418"/>
    </row>
    <row r="352" spans="1:23" ht="11.25" x14ac:dyDescent="0.2">
      <c r="A352" s="548" t="s">
        <v>70</v>
      </c>
      <c r="B352" s="548"/>
      <c r="C352" s="548"/>
      <c r="D352" s="548"/>
      <c r="E352" s="548"/>
      <c r="F352" s="548"/>
      <c r="G352" s="548"/>
      <c r="H352" s="548"/>
      <c r="I352" s="418"/>
      <c r="J352" s="418"/>
      <c r="K352" s="418"/>
      <c r="L352" s="418"/>
      <c r="M352" s="418"/>
      <c r="N352" s="418"/>
      <c r="O352" s="418"/>
      <c r="P352" s="418"/>
      <c r="Q352" s="418"/>
      <c r="R352" s="418"/>
      <c r="S352" s="418"/>
      <c r="T352" s="418"/>
      <c r="U352" s="418"/>
      <c r="V352" s="418"/>
      <c r="W352" s="418"/>
    </row>
    <row r="353" spans="1:23" ht="11.25" x14ac:dyDescent="0.2">
      <c r="A353" s="10" t="s">
        <v>252</v>
      </c>
      <c r="B353" s="10" t="s">
        <v>1</v>
      </c>
      <c r="C353" s="10" t="s">
        <v>2</v>
      </c>
      <c r="D353" s="10" t="s">
        <v>3</v>
      </c>
      <c r="E353" s="10" t="s">
        <v>137</v>
      </c>
      <c r="F353" s="10" t="s">
        <v>25</v>
      </c>
      <c r="G353" s="10" t="s">
        <v>253</v>
      </c>
      <c r="H353" s="10" t="s">
        <v>254</v>
      </c>
      <c r="I353" s="418"/>
      <c r="J353" s="10" t="s">
        <v>72</v>
      </c>
      <c r="K353" s="10" t="s">
        <v>73</v>
      </c>
      <c r="L353" s="10" t="s">
        <v>74</v>
      </c>
      <c r="M353" s="10" t="s">
        <v>75</v>
      </c>
      <c r="N353" s="10" t="s">
        <v>425</v>
      </c>
      <c r="O353" s="418"/>
      <c r="P353" s="418"/>
      <c r="Q353" s="418"/>
      <c r="R353" s="418"/>
      <c r="S353" s="418"/>
      <c r="T353" s="418"/>
      <c r="U353" s="418"/>
      <c r="V353" s="418"/>
      <c r="W353" s="418"/>
    </row>
    <row r="354" spans="1:23" ht="11.25" x14ac:dyDescent="0.2">
      <c r="A354" s="268"/>
      <c r="B354" s="268" t="s">
        <v>369</v>
      </c>
      <c r="C354" s="268" t="s">
        <v>71</v>
      </c>
      <c r="D354" s="269" t="s">
        <v>78</v>
      </c>
      <c r="E354" s="270">
        <f t="shared" ref="E354:E356" si="133">ROUND(F354/$B$33,6)</f>
        <v>1.3235E-2</v>
      </c>
      <c r="F354" s="271">
        <f>SUMIFS(G347:G349,D347:D349,D354)</f>
        <v>9.8470000000000013</v>
      </c>
      <c r="G354" s="272">
        <v>0</v>
      </c>
      <c r="H354" s="272">
        <f t="shared" ref="H354:H356" si="134">F354*G354</f>
        <v>0</v>
      </c>
      <c r="I354" s="458"/>
      <c r="J354" s="9" t="e">
        <f>VLOOKUP($A354,[4]cliqccee!$A:$AK,26,FALSE)</f>
        <v>#N/A</v>
      </c>
      <c r="K354" s="9" t="e">
        <f>VLOOKUP($A354,[4]cliqccee!$A:$AK,10,FALSE)</f>
        <v>#N/A</v>
      </c>
      <c r="L354" s="9" t="e">
        <f>VLOOKUP($A354,[4]cliqccee!$A:$AK,32,FALSE)</f>
        <v>#N/A</v>
      </c>
      <c r="M354" s="9" t="e">
        <f>VLOOKUP($A354,[4]cliqccee!$A:$AK,33,FALSE)</f>
        <v>#N/A</v>
      </c>
      <c r="N354" s="499" t="e">
        <f t="shared" ref="N354:N359" si="135">J354-E354</f>
        <v>#N/A</v>
      </c>
    </row>
    <row r="355" spans="1:23" ht="11.25" x14ac:dyDescent="0.2">
      <c r="A355" s="167">
        <v>956730</v>
      </c>
      <c r="B355" s="168" t="s">
        <v>371</v>
      </c>
      <c r="C355" s="167" t="s">
        <v>71</v>
      </c>
      <c r="D355" s="169" t="s">
        <v>78</v>
      </c>
      <c r="E355" s="79">
        <f t="shared" si="133"/>
        <v>0</v>
      </c>
      <c r="F355" s="83">
        <f>VLOOKUP(A355,$A$56:$H$69,6,FALSE)</f>
        <v>0</v>
      </c>
      <c r="G355" s="170">
        <f>VLOOKUP(A355,$A$56:$H$69,7,FALSE)</f>
        <v>0</v>
      </c>
      <c r="H355" s="170">
        <f t="shared" si="134"/>
        <v>0</v>
      </c>
      <c r="I355" s="458"/>
      <c r="J355" s="9" t="e">
        <f>VLOOKUP($A355,[4]cliqccee!$A:$AK,26,FALSE)</f>
        <v>#N/A</v>
      </c>
      <c r="K355" s="9" t="e">
        <f>VLOOKUP($A355,[4]cliqccee!$A:$AK,10,FALSE)</f>
        <v>#N/A</v>
      </c>
      <c r="L355" s="9" t="e">
        <f>VLOOKUP($A355,[4]cliqccee!$A:$AK,32,FALSE)</f>
        <v>#N/A</v>
      </c>
      <c r="M355" s="9" t="e">
        <f>VLOOKUP($A355,[4]cliqccee!$A:$AK,33,FALSE)</f>
        <v>#N/A</v>
      </c>
      <c r="N355" s="499" t="e">
        <f t="shared" si="135"/>
        <v>#N/A</v>
      </c>
    </row>
    <row r="356" spans="1:23" ht="11.25" x14ac:dyDescent="0.2">
      <c r="A356" s="167">
        <v>1119574</v>
      </c>
      <c r="B356" s="167" t="s">
        <v>370</v>
      </c>
      <c r="C356" s="167" t="s">
        <v>71</v>
      </c>
      <c r="D356" s="192" t="s">
        <v>78</v>
      </c>
      <c r="E356" s="79">
        <f t="shared" si="133"/>
        <v>0.90051899999999996</v>
      </c>
      <c r="F356" s="83">
        <f>VLOOKUP(A356,$A$823:$H$873,6,FALSE)</f>
        <v>669.98646859106555</v>
      </c>
      <c r="G356" s="193">
        <f>VLOOKUP(A356,$A$823:$H$873,7,FALSE)</f>
        <v>246.72</v>
      </c>
      <c r="H356" s="193">
        <f t="shared" si="134"/>
        <v>165299.0615307877</v>
      </c>
      <c r="I356" s="228"/>
      <c r="J356" s="9" t="str">
        <f>VLOOKUP($A356,[4]cliqccee!$A:$AK,26,FALSE)</f>
        <v>0,636955</v>
      </c>
      <c r="K356" s="9" t="str">
        <f>VLOOKUP($A356,[4]cliqccee!$A:$AK,10,FALSE)</f>
        <v>Validado</v>
      </c>
      <c r="L356" s="9" t="str">
        <f>VLOOKUP($A356,[4]cliqccee!$A:$AK,32,FALSE)</f>
        <v>FLAT</v>
      </c>
      <c r="M356" s="9" t="str">
        <f>VLOOKUP($A356,[4]cliqccee!$A:$AK,33,FALSE)</f>
        <v>Ajustado Validado</v>
      </c>
      <c r="N356" s="499">
        <f t="shared" si="135"/>
        <v>-0.26356399999999991</v>
      </c>
    </row>
    <row r="357" spans="1:23" ht="11.25" x14ac:dyDescent="0.2">
      <c r="A357" s="248"/>
      <c r="B357" s="248"/>
      <c r="C357" s="248"/>
      <c r="D357" s="249"/>
      <c r="E357" s="250"/>
      <c r="F357" s="251"/>
      <c r="G357" s="252"/>
      <c r="H357" s="252"/>
      <c r="I357" s="228"/>
      <c r="J357" s="9" t="e">
        <f>VLOOKUP($A357,[4]cliqccee!$A:$AK,26,FALSE)</f>
        <v>#N/A</v>
      </c>
      <c r="K357" s="9" t="e">
        <f>VLOOKUP($A357,[4]cliqccee!$A:$AK,10,FALSE)</f>
        <v>#N/A</v>
      </c>
      <c r="L357" s="9" t="e">
        <f>VLOOKUP($A357,[4]cliqccee!$A:$AK,32,FALSE)</f>
        <v>#N/A</v>
      </c>
      <c r="M357" s="9" t="e">
        <f>VLOOKUP($A357,[4]cliqccee!$A:$AK,33,FALSE)</f>
        <v>#N/A</v>
      </c>
      <c r="N357" s="499" t="e">
        <f t="shared" si="135"/>
        <v>#N/A</v>
      </c>
    </row>
    <row r="358" spans="1:23" ht="11.25" x14ac:dyDescent="0.2">
      <c r="A358" s="167"/>
      <c r="B358" s="167"/>
      <c r="C358" s="167"/>
      <c r="D358" s="192"/>
      <c r="E358" s="79"/>
      <c r="F358" s="83"/>
      <c r="G358" s="193"/>
      <c r="H358" s="193"/>
      <c r="I358" s="228"/>
      <c r="J358" s="9" t="e">
        <f>VLOOKUP($A358,[4]cliqccee!$A:$AK,26,FALSE)</f>
        <v>#N/A</v>
      </c>
      <c r="K358" s="9" t="e">
        <f>VLOOKUP($A358,[4]cliqccee!$A:$AK,10,FALSE)</f>
        <v>#N/A</v>
      </c>
      <c r="L358" s="9" t="e">
        <f>VLOOKUP($A358,[4]cliqccee!$A:$AK,32,FALSE)</f>
        <v>#N/A</v>
      </c>
      <c r="M358" s="9" t="e">
        <f>VLOOKUP($A358,[4]cliqccee!$A:$AK,33,FALSE)</f>
        <v>#N/A</v>
      </c>
      <c r="N358" s="499" t="e">
        <f t="shared" si="135"/>
        <v>#N/A</v>
      </c>
    </row>
    <row r="359" spans="1:23" ht="11.25" x14ac:dyDescent="0.2">
      <c r="A359" s="167"/>
      <c r="B359" s="167"/>
      <c r="C359" s="167"/>
      <c r="D359" s="192"/>
      <c r="E359" s="79"/>
      <c r="F359" s="83"/>
      <c r="G359" s="193"/>
      <c r="H359" s="193"/>
      <c r="I359" s="228"/>
      <c r="J359" s="9" t="e">
        <f>VLOOKUP($A359,[4]cliqccee!$A:$AK,26,FALSE)</f>
        <v>#N/A</v>
      </c>
      <c r="K359" s="9" t="e">
        <f>VLOOKUP($A359,[4]cliqccee!$A:$AK,10,FALSE)</f>
        <v>#N/A</v>
      </c>
      <c r="L359" s="9" t="e">
        <f>VLOOKUP($A359,[4]cliqccee!$A:$AK,32,FALSE)</f>
        <v>#N/A</v>
      </c>
      <c r="M359" s="9" t="e">
        <f>VLOOKUP($A359,[4]cliqccee!$A:$AK,33,FALSE)</f>
        <v>#N/A</v>
      </c>
      <c r="N359" s="499" t="e">
        <f t="shared" si="135"/>
        <v>#N/A</v>
      </c>
    </row>
    <row r="360" spans="1:23" x14ac:dyDescent="0.15">
      <c r="A360" s="253"/>
      <c r="B360" s="253"/>
      <c r="C360" s="253"/>
      <c r="D360" s="253"/>
      <c r="E360" s="203"/>
      <c r="F360" s="204"/>
      <c r="G360" s="205"/>
      <c r="H360" s="206"/>
      <c r="I360" s="228"/>
      <c r="J360" s="393"/>
      <c r="K360" s="393"/>
      <c r="L360" s="393"/>
      <c r="M360" s="393"/>
      <c r="N360" s="393"/>
    </row>
    <row r="361" spans="1:23" ht="11.25" x14ac:dyDescent="0.2">
      <c r="A361" s="80" t="s">
        <v>32</v>
      </c>
      <c r="B361" s="421"/>
      <c r="C361" s="421"/>
      <c r="D361" s="422"/>
      <c r="E361" s="81">
        <f>SUM(E354:E360)</f>
        <v>0.91375399999999996</v>
      </c>
      <c r="F361" s="84">
        <f>SUM(F354:F360)</f>
        <v>679.83346859106553</v>
      </c>
      <c r="G361" s="82">
        <f>IFERROR(H361/F361,0)</f>
        <v>243.14640153472445</v>
      </c>
      <c r="H361" s="82">
        <f>SUM(H354:H360)</f>
        <v>165299.0615307877</v>
      </c>
      <c r="I361" s="228"/>
      <c r="N361" s="499"/>
    </row>
    <row r="362" spans="1:23" ht="11.25" x14ac:dyDescent="0.2">
      <c r="N362" s="499"/>
    </row>
    <row r="363" spans="1:23" ht="11.25" x14ac:dyDescent="0.2">
      <c r="A363" s="548" t="s">
        <v>233</v>
      </c>
      <c r="B363" s="548"/>
      <c r="C363" s="548"/>
      <c r="E363" s="423" t="s">
        <v>19</v>
      </c>
      <c r="F363" s="423"/>
      <c r="G363" s="424" t="s">
        <v>20</v>
      </c>
      <c r="H363" s="424"/>
      <c r="I363" s="425" t="s">
        <v>21</v>
      </c>
      <c r="J363" s="425"/>
      <c r="K363" s="426" t="s">
        <v>22</v>
      </c>
      <c r="L363" s="426"/>
      <c r="N363" s="499"/>
    </row>
    <row r="364" spans="1:23" ht="11.25" x14ac:dyDescent="0.2">
      <c r="A364" s="10" t="s">
        <v>2</v>
      </c>
      <c r="B364" s="10" t="s">
        <v>137</v>
      </c>
      <c r="C364" s="10" t="s">
        <v>25</v>
      </c>
      <c r="E364" s="427" t="s">
        <v>137</v>
      </c>
      <c r="F364" s="428" t="s">
        <v>25</v>
      </c>
      <c r="G364" s="429" t="s">
        <v>137</v>
      </c>
      <c r="H364" s="430" t="s">
        <v>25</v>
      </c>
      <c r="I364" s="431" t="s">
        <v>137</v>
      </c>
      <c r="J364" s="432" t="s">
        <v>25</v>
      </c>
      <c r="K364" s="433" t="s">
        <v>137</v>
      </c>
      <c r="L364" s="434" t="s">
        <v>25</v>
      </c>
      <c r="N364" s="499"/>
    </row>
    <row r="365" spans="1:23" ht="11.25" x14ac:dyDescent="0.2">
      <c r="A365" s="29" t="s">
        <v>69</v>
      </c>
      <c r="B365" s="70">
        <v>0</v>
      </c>
      <c r="C365" s="83">
        <v>0</v>
      </c>
      <c r="E365" s="435">
        <f>SUMIFS($E$347:$E$360,$C$347:$C$360,$A365,$D$347:$D$360,$E$363)</f>
        <v>0</v>
      </c>
      <c r="F365" s="436">
        <f>SUMIFS($F$347:$F$360,$C$347:$C$360,$A365,$D$347:$D$360,$E$363)</f>
        <v>0</v>
      </c>
      <c r="G365" s="437">
        <f>SUMIFS($E$347:$E$360,$C$347:$C$360,$A365,$D$347:$D$360,$G$363)</f>
        <v>0</v>
      </c>
      <c r="H365" s="438">
        <f>SUMIFS($F$347:$F$360,$C$347:$C$360,$A365,$D$347:$D$360,$G$363)</f>
        <v>0</v>
      </c>
      <c r="I365" s="439">
        <f>SUMIFS($E$347:$E$360,$C$347:$C$360,$A365,$D$347:$D$360,$I$363)</f>
        <v>0</v>
      </c>
      <c r="J365" s="440">
        <f>SUMIFS($F$347:$F$360,$C$347:$C$360,$A365,$D$347:$D$360,$I$363)</f>
        <v>0</v>
      </c>
      <c r="K365" s="441">
        <f>SUMIFS($E$347:$E$360,$C$347:$C$360,$A365,$D$347:$D$360,$K$363)</f>
        <v>0</v>
      </c>
      <c r="L365" s="442">
        <f>SUMIFS($F$347:$F$360,$C$347:$C$360,$A365,$D$347:$D$360,$K$363)</f>
        <v>0</v>
      </c>
      <c r="N365" s="499"/>
    </row>
    <row r="366" spans="1:23" ht="11.25" x14ac:dyDescent="0.2">
      <c r="A366" s="29" t="s">
        <v>47</v>
      </c>
      <c r="B366" s="70">
        <v>0</v>
      </c>
      <c r="C366" s="83">
        <v>0</v>
      </c>
      <c r="E366" s="435">
        <f t="shared" ref="E366:E371" si="136">SUMIFS($E$347:$E$360,$C$347:$C$360,$A366,$D$347:$D$360,$E$363)</f>
        <v>0</v>
      </c>
      <c r="F366" s="436">
        <f t="shared" ref="F366:F371" si="137">SUMIFS($F$347:$F$360,$C$347:$C$360,$A366,$D$347:$D$360,$E$363)</f>
        <v>0</v>
      </c>
      <c r="G366" s="437">
        <f t="shared" ref="G366:G371" si="138">SUMIFS($E$347:$E$360,$C$347:$C$360,$A366,$D$347:$D$360,$G$363)</f>
        <v>0</v>
      </c>
      <c r="H366" s="438">
        <f t="shared" ref="H366:H371" si="139">SUMIFS($F$347:$F$360,$C$347:$C$360,$A366,$D$347:$D$360,$G$363)</f>
        <v>0</v>
      </c>
      <c r="I366" s="439">
        <f t="shared" ref="I366:I371" si="140">SUMIFS($E$347:$E$360,$C$347:$C$360,$A366,$D$347:$D$360,$I$363)</f>
        <v>0</v>
      </c>
      <c r="J366" s="440">
        <f t="shared" ref="J366:J371" si="141">SUMIFS($F$347:$F$360,$C$347:$C$360,$A366,$D$347:$D$360,$I$363)</f>
        <v>0</v>
      </c>
      <c r="K366" s="441">
        <f t="shared" ref="K366:K371" si="142">SUMIFS($E$347:$E$360,$C$347:$C$360,$A366,$D$347:$D$360,$K$363)</f>
        <v>0</v>
      </c>
      <c r="L366" s="442">
        <f t="shared" ref="L366:L371" si="143">SUMIFS($F$347:$F$360,$C$347:$C$360,$A366,$D$347:$D$360,$K$363)</f>
        <v>0</v>
      </c>
      <c r="N366" s="418"/>
    </row>
    <row r="367" spans="1:23" ht="11.25" x14ac:dyDescent="0.2">
      <c r="A367" s="29" t="s">
        <v>79</v>
      </c>
      <c r="B367" s="70">
        <v>0</v>
      </c>
      <c r="C367" s="83">
        <v>0</v>
      </c>
      <c r="E367" s="435">
        <f t="shared" si="136"/>
        <v>0</v>
      </c>
      <c r="F367" s="436">
        <f t="shared" si="137"/>
        <v>0</v>
      </c>
      <c r="G367" s="437">
        <f t="shared" si="138"/>
        <v>0</v>
      </c>
      <c r="H367" s="438">
        <f t="shared" si="139"/>
        <v>0</v>
      </c>
      <c r="I367" s="439">
        <f t="shared" si="140"/>
        <v>0</v>
      </c>
      <c r="J367" s="440">
        <f t="shared" si="141"/>
        <v>0</v>
      </c>
      <c r="K367" s="441">
        <f t="shared" si="142"/>
        <v>0</v>
      </c>
      <c r="L367" s="442">
        <f t="shared" si="143"/>
        <v>0</v>
      </c>
      <c r="N367" s="418"/>
    </row>
    <row r="368" spans="1:23" ht="11.25" x14ac:dyDescent="0.2">
      <c r="A368" s="29" t="s">
        <v>71</v>
      </c>
      <c r="B368" s="70">
        <f>E361</f>
        <v>0.91375399999999996</v>
      </c>
      <c r="C368" s="83">
        <f>F361</f>
        <v>679.83346859106553</v>
      </c>
      <c r="E368" s="435">
        <f t="shared" si="136"/>
        <v>0</v>
      </c>
      <c r="F368" s="436">
        <f t="shared" si="137"/>
        <v>0</v>
      </c>
      <c r="G368" s="437">
        <f t="shared" si="138"/>
        <v>0</v>
      </c>
      <c r="H368" s="438">
        <f t="shared" si="139"/>
        <v>0</v>
      </c>
      <c r="I368" s="439">
        <f t="shared" si="140"/>
        <v>0.91375399999999996</v>
      </c>
      <c r="J368" s="440">
        <f t="shared" si="141"/>
        <v>679.83346859106553</v>
      </c>
      <c r="K368" s="441">
        <f t="shared" si="142"/>
        <v>0</v>
      </c>
      <c r="L368" s="442">
        <f t="shared" si="143"/>
        <v>0</v>
      </c>
      <c r="N368" s="418"/>
    </row>
    <row r="369" spans="1:16" ht="11.25" x14ac:dyDescent="0.2">
      <c r="A369" s="29" t="s">
        <v>9</v>
      </c>
      <c r="B369" s="70">
        <f>E350</f>
        <v>0.91375399999999996</v>
      </c>
      <c r="C369" s="83">
        <f>F350</f>
        <v>679.83346859106553</v>
      </c>
      <c r="E369" s="435">
        <f t="shared" si="136"/>
        <v>0</v>
      </c>
      <c r="F369" s="436">
        <f t="shared" si="137"/>
        <v>0</v>
      </c>
      <c r="G369" s="437">
        <f t="shared" si="138"/>
        <v>0</v>
      </c>
      <c r="H369" s="438">
        <f t="shared" si="139"/>
        <v>0</v>
      </c>
      <c r="I369" s="439">
        <f t="shared" si="140"/>
        <v>0.91375399999999996</v>
      </c>
      <c r="J369" s="440">
        <f t="shared" si="141"/>
        <v>679.83346859106553</v>
      </c>
      <c r="K369" s="441">
        <f t="shared" si="142"/>
        <v>0</v>
      </c>
      <c r="L369" s="442">
        <f t="shared" si="143"/>
        <v>0</v>
      </c>
      <c r="M369" s="459"/>
      <c r="N369" s="418"/>
    </row>
    <row r="370" spans="1:16" ht="11.25" x14ac:dyDescent="0.2">
      <c r="A370" s="29" t="s">
        <v>80</v>
      </c>
      <c r="B370" s="70">
        <v>0</v>
      </c>
      <c r="C370" s="83">
        <v>0</v>
      </c>
      <c r="E370" s="435">
        <f t="shared" si="136"/>
        <v>0</v>
      </c>
      <c r="F370" s="436">
        <f t="shared" si="137"/>
        <v>0</v>
      </c>
      <c r="G370" s="437">
        <f t="shared" si="138"/>
        <v>0</v>
      </c>
      <c r="H370" s="438">
        <f t="shared" si="139"/>
        <v>0</v>
      </c>
      <c r="I370" s="439">
        <f t="shared" si="140"/>
        <v>0</v>
      </c>
      <c r="J370" s="440">
        <f t="shared" si="141"/>
        <v>0</v>
      </c>
      <c r="K370" s="441">
        <f t="shared" si="142"/>
        <v>0</v>
      </c>
      <c r="L370" s="442">
        <f t="shared" si="143"/>
        <v>0</v>
      </c>
      <c r="N370" s="418"/>
    </row>
    <row r="371" spans="1:16" ht="11.25" x14ac:dyDescent="0.2">
      <c r="A371" s="29" t="s">
        <v>77</v>
      </c>
      <c r="B371" s="70">
        <v>0</v>
      </c>
      <c r="C371" s="83">
        <v>0</v>
      </c>
      <c r="E371" s="435">
        <f t="shared" si="136"/>
        <v>0</v>
      </c>
      <c r="F371" s="436">
        <f t="shared" si="137"/>
        <v>0</v>
      </c>
      <c r="G371" s="437">
        <f t="shared" si="138"/>
        <v>0</v>
      </c>
      <c r="H371" s="438">
        <f t="shared" si="139"/>
        <v>0</v>
      </c>
      <c r="I371" s="439">
        <f t="shared" si="140"/>
        <v>0</v>
      </c>
      <c r="J371" s="440">
        <f t="shared" si="141"/>
        <v>0</v>
      </c>
      <c r="K371" s="441">
        <f t="shared" si="142"/>
        <v>0</v>
      </c>
      <c r="L371" s="442">
        <f t="shared" si="143"/>
        <v>0</v>
      </c>
      <c r="N371" s="418"/>
    </row>
    <row r="372" spans="1:16" ht="11.25" x14ac:dyDescent="0.2">
      <c r="A372" s="11" t="s">
        <v>81</v>
      </c>
      <c r="B372" s="12">
        <f>SUM(B365:B368)-SUM(B369:B371)</f>
        <v>0</v>
      </c>
      <c r="C372" s="12">
        <f>SUM(C365:C368)-SUM(C369:C371)</f>
        <v>0</v>
      </c>
      <c r="E372" s="443">
        <f>SUMIFS($E$347:$E$356,$C$347:$C$356,A372,$D$347:$D$356,$E$21)</f>
        <v>0</v>
      </c>
      <c r="F372" s="444">
        <f>SUMIFS($F$347:$F$356,$C$347:$C$356,A372,$D$347:$D$356,$E$465)</f>
        <v>0</v>
      </c>
      <c r="G372" s="445">
        <f t="shared" ref="G372:L372" si="144">SUM(G365:G368)-SUM(G369:G371)</f>
        <v>0</v>
      </c>
      <c r="H372" s="446">
        <f t="shared" si="144"/>
        <v>0</v>
      </c>
      <c r="I372" s="447">
        <f t="shared" si="144"/>
        <v>0</v>
      </c>
      <c r="J372" s="448">
        <f t="shared" si="144"/>
        <v>0</v>
      </c>
      <c r="K372" s="449">
        <f t="shared" si="144"/>
        <v>0</v>
      </c>
      <c r="L372" s="450">
        <f t="shared" si="144"/>
        <v>0</v>
      </c>
      <c r="N372" s="418"/>
    </row>
    <row r="373" spans="1:16" ht="11.25" x14ac:dyDescent="0.2">
      <c r="A373" s="11" t="s">
        <v>82</v>
      </c>
      <c r="B373" s="12">
        <f>SUM(B365:B368)-SUM(B369:B372)</f>
        <v>0</v>
      </c>
      <c r="C373" s="12">
        <f>SUM(C365:C368)-SUM(C369:C372)</f>
        <v>0</v>
      </c>
      <c r="E373" s="443">
        <f>SUMIFS($E$347:$E$356,$C$347:$C$356,A373,$D$347:$D$356,$E$21)</f>
        <v>0</v>
      </c>
      <c r="F373" s="444">
        <f>SUMIFS($F$347:$F$356,$C$347:$C$356,A373,$D$347:$D$356,$E$465)</f>
        <v>0</v>
      </c>
      <c r="G373" s="445">
        <f t="shared" ref="G373:L373" si="145">SUM(G365:G368)-SUM(G369:G372)</f>
        <v>0</v>
      </c>
      <c r="H373" s="446">
        <f t="shared" si="145"/>
        <v>0</v>
      </c>
      <c r="I373" s="447">
        <f t="shared" si="145"/>
        <v>0</v>
      </c>
      <c r="J373" s="448">
        <f t="shared" si="145"/>
        <v>0</v>
      </c>
      <c r="K373" s="449">
        <f t="shared" si="145"/>
        <v>0</v>
      </c>
      <c r="L373" s="450">
        <f t="shared" si="145"/>
        <v>0</v>
      </c>
      <c r="N373" s="418"/>
    </row>
    <row r="374" spans="1:16" ht="11.25" x14ac:dyDescent="0.2">
      <c r="N374" s="418"/>
    </row>
    <row r="375" spans="1:16" ht="11.25" x14ac:dyDescent="0.2">
      <c r="E375" s="451">
        <f>(F372*$H$5)+(H372*$J$5)+(J372*$L$5)+(L372*$N$5)</f>
        <v>0</v>
      </c>
      <c r="N375" s="418"/>
    </row>
    <row r="376" spans="1:16" ht="11.25" x14ac:dyDescent="0.2">
      <c r="N376" s="418"/>
    </row>
    <row r="377" spans="1:16" ht="11.25" x14ac:dyDescent="0.2">
      <c r="N377" s="418"/>
    </row>
    <row r="378" spans="1:16" ht="11.25" x14ac:dyDescent="0.2">
      <c r="A378" s="548" t="s">
        <v>83</v>
      </c>
      <c r="B378" s="548"/>
      <c r="C378" s="548"/>
      <c r="D378" s="548"/>
      <c r="E378" s="548"/>
      <c r="F378" s="548"/>
      <c r="G378" s="548"/>
      <c r="H378" s="548"/>
      <c r="N378" s="418"/>
    </row>
    <row r="379" spans="1:16" ht="11.25" x14ac:dyDescent="0.2">
      <c r="A379" s="548"/>
      <c r="B379" s="548"/>
      <c r="C379" s="548"/>
      <c r="D379" s="548"/>
      <c r="E379" s="548"/>
      <c r="F379" s="548"/>
      <c r="G379" s="548"/>
      <c r="H379" s="548"/>
      <c r="N379" s="418"/>
    </row>
    <row r="380" spans="1:16" s="420" customFormat="1" ht="3.75" customHeight="1" x14ac:dyDescent="0.2">
      <c r="A380" s="419"/>
      <c r="B380" s="419"/>
      <c r="C380" s="419"/>
      <c r="D380" s="419"/>
      <c r="E380" s="419"/>
      <c r="F380" s="419"/>
      <c r="G380" s="419"/>
      <c r="H380" s="419"/>
      <c r="I380" s="515"/>
      <c r="J380" s="515"/>
      <c r="K380" s="515"/>
      <c r="L380" s="515"/>
      <c r="M380" s="515"/>
      <c r="N380" s="418"/>
      <c r="O380" s="515"/>
      <c r="P380" s="515"/>
    </row>
    <row r="381" spans="1:16" ht="11.25" x14ac:dyDescent="0.2">
      <c r="A381" s="548" t="s">
        <v>85</v>
      </c>
      <c r="B381" s="548"/>
      <c r="C381" s="548"/>
      <c r="D381" s="548"/>
      <c r="E381" s="548"/>
      <c r="F381" s="548"/>
      <c r="G381" s="548"/>
      <c r="H381" s="548"/>
      <c r="N381" s="418"/>
    </row>
    <row r="382" spans="1:16" ht="11.25" x14ac:dyDescent="0.2">
      <c r="A382" s="10" t="s">
        <v>8</v>
      </c>
      <c r="B382" s="10"/>
      <c r="C382" s="10" t="s">
        <v>2</v>
      </c>
      <c r="D382" s="10" t="s">
        <v>3</v>
      </c>
      <c r="E382" s="10" t="s">
        <v>137</v>
      </c>
      <c r="F382" s="10" t="s">
        <v>25</v>
      </c>
      <c r="G382" s="10" t="s">
        <v>95</v>
      </c>
      <c r="H382" s="10" t="s">
        <v>240</v>
      </c>
      <c r="N382" s="418"/>
    </row>
    <row r="383" spans="1:16" ht="11.25" x14ac:dyDescent="0.2">
      <c r="A383" s="191" t="s">
        <v>334</v>
      </c>
      <c r="B383" s="167"/>
      <c r="C383" s="167" t="s">
        <v>9</v>
      </c>
      <c r="D383" s="192" t="s">
        <v>92</v>
      </c>
      <c r="E383" s="79">
        <f>ROUND(F383/$B$33,6)</f>
        <v>32.051420999999998</v>
      </c>
      <c r="F383" s="83">
        <f>[7]Consolidação!$G$46</f>
        <v>23846.257218247436</v>
      </c>
      <c r="G383" s="83">
        <f>'[8]2019'!$F$28</f>
        <v>353.50099999999998</v>
      </c>
      <c r="H383" s="103">
        <v>0.03</v>
      </c>
      <c r="I383" s="410"/>
      <c r="N383" s="418"/>
    </row>
    <row r="384" spans="1:16" ht="11.25" x14ac:dyDescent="0.2">
      <c r="A384" s="191" t="s">
        <v>57</v>
      </c>
      <c r="B384" s="167"/>
      <c r="C384" s="167" t="s">
        <v>9</v>
      </c>
      <c r="D384" s="192" t="s">
        <v>78</v>
      </c>
      <c r="E384" s="79">
        <f>ROUND(F384/$B$33,6)</f>
        <v>0.23676700000000001</v>
      </c>
      <c r="F384" s="83">
        <f>[7]Consolidação!$G$10</f>
        <v>176.15496104279239</v>
      </c>
      <c r="G384" s="83">
        <f>'[8]2019'!$F$18</f>
        <v>2.4510000000000001</v>
      </c>
      <c r="H384" s="103">
        <v>0.03</v>
      </c>
      <c r="N384" s="418"/>
    </row>
    <row r="385" spans="1:14" ht="11.25" x14ac:dyDescent="0.2">
      <c r="A385" s="191" t="s">
        <v>58</v>
      </c>
      <c r="B385" s="167"/>
      <c r="C385" s="167" t="s">
        <v>9</v>
      </c>
      <c r="D385" s="192" t="s">
        <v>78</v>
      </c>
      <c r="E385" s="79">
        <f>ROUND(F385/$B$33,6)</f>
        <v>2.1350509999999998</v>
      </c>
      <c r="F385" s="83">
        <f>[7]Consolidação!$G$11</f>
        <v>1588.4779670103098</v>
      </c>
      <c r="G385" s="83">
        <f>'[8]2019'!$F$21</f>
        <v>21.87</v>
      </c>
      <c r="H385" s="103">
        <v>0.03</v>
      </c>
      <c r="N385" s="418"/>
    </row>
    <row r="386" spans="1:14" ht="11.25" x14ac:dyDescent="0.2">
      <c r="A386" s="191" t="s">
        <v>61</v>
      </c>
      <c r="B386" s="167"/>
      <c r="C386" s="167" t="s">
        <v>9</v>
      </c>
      <c r="D386" s="192" t="s">
        <v>78</v>
      </c>
      <c r="E386" s="79">
        <f>ROUND(F386/$B$33,6)</f>
        <v>0.453928</v>
      </c>
      <c r="F386" s="83">
        <f>[7]Consolidação!$G$7</f>
        <v>337.7225713402068</v>
      </c>
      <c r="G386" s="83">
        <f>'[8]2019'!$F$20</f>
        <v>4.0990000000000002</v>
      </c>
      <c r="H386" s="103">
        <v>0.03</v>
      </c>
      <c r="N386" s="418"/>
    </row>
    <row r="387" spans="1:14" ht="11.25" x14ac:dyDescent="0.2">
      <c r="A387" s="191" t="s">
        <v>55</v>
      </c>
      <c r="B387" s="167"/>
      <c r="C387" s="167" t="s">
        <v>9</v>
      </c>
      <c r="D387" s="192" t="s">
        <v>78</v>
      </c>
      <c r="E387" s="79">
        <f t="shared" ref="E387" si="146">ROUND(F387/$B$33,6)</f>
        <v>14.795021</v>
      </c>
      <c r="F387" s="83">
        <f>[7]Consolidação!$G$4</f>
        <v>11007.495268831624</v>
      </c>
      <c r="G387" s="83">
        <f>'[8]2019'!$F$3</f>
        <v>127.366</v>
      </c>
      <c r="H387" s="103">
        <v>0.03</v>
      </c>
      <c r="N387" s="418"/>
    </row>
    <row r="388" spans="1:14" ht="11.25" x14ac:dyDescent="0.2">
      <c r="A388" s="202"/>
      <c r="B388" s="202"/>
      <c r="C388" s="202"/>
      <c r="D388" s="202"/>
      <c r="E388" s="203"/>
      <c r="F388" s="204"/>
      <c r="G388" s="205"/>
      <c r="H388" s="206"/>
      <c r="N388" s="418"/>
    </row>
    <row r="389" spans="1:14" ht="11.25" x14ac:dyDescent="0.2">
      <c r="A389" s="80" t="s">
        <v>32</v>
      </c>
      <c r="B389" s="421"/>
      <c r="C389" s="421"/>
      <c r="D389" s="422"/>
      <c r="E389" s="81">
        <f>SUM(E383:E387)</f>
        <v>49.672187999999991</v>
      </c>
      <c r="F389" s="84">
        <f>SUM(F383:F387)</f>
        <v>36956.107986472372</v>
      </c>
      <c r="G389" s="84">
        <f>SUM(G383:G388)</f>
        <v>509.28699999999998</v>
      </c>
      <c r="H389" s="84"/>
      <c r="I389" s="228"/>
      <c r="N389" s="418"/>
    </row>
    <row r="390" spans="1:14" ht="11.25" x14ac:dyDescent="0.2">
      <c r="F390" s="410"/>
      <c r="G390" s="460"/>
      <c r="N390" s="418"/>
    </row>
    <row r="391" spans="1:14" ht="11.25" x14ac:dyDescent="0.2">
      <c r="A391" s="548" t="s">
        <v>70</v>
      </c>
      <c r="B391" s="548"/>
      <c r="C391" s="548"/>
      <c r="D391" s="548"/>
      <c r="E391" s="548"/>
      <c r="F391" s="548"/>
      <c r="G391" s="548"/>
      <c r="H391" s="548"/>
      <c r="N391" s="418"/>
    </row>
    <row r="392" spans="1:14" x14ac:dyDescent="0.15">
      <c r="A392" s="10" t="s">
        <v>252</v>
      </c>
      <c r="B392" s="10" t="s">
        <v>1</v>
      </c>
      <c r="C392" s="10" t="s">
        <v>2</v>
      </c>
      <c r="D392" s="10" t="s">
        <v>3</v>
      </c>
      <c r="E392" s="10" t="s">
        <v>137</v>
      </c>
      <c r="F392" s="10" t="s">
        <v>25</v>
      </c>
      <c r="G392" s="10" t="s">
        <v>253</v>
      </c>
      <c r="H392" s="10" t="s">
        <v>254</v>
      </c>
      <c r="J392" s="10" t="s">
        <v>72</v>
      </c>
      <c r="K392" s="10" t="s">
        <v>73</v>
      </c>
      <c r="L392" s="10" t="s">
        <v>74</v>
      </c>
      <c r="M392" s="10" t="s">
        <v>75</v>
      </c>
      <c r="N392" s="10" t="s">
        <v>425</v>
      </c>
    </row>
    <row r="393" spans="1:14" ht="11.25" x14ac:dyDescent="0.2">
      <c r="A393" s="167" t="s">
        <v>86</v>
      </c>
      <c r="B393" s="167" t="s">
        <v>340</v>
      </c>
      <c r="C393" s="167" t="s">
        <v>71</v>
      </c>
      <c r="D393" s="192" t="s">
        <v>92</v>
      </c>
      <c r="E393" s="79">
        <f t="shared" ref="E393:E404" si="147">ROUND(F393/$B$33,6)</f>
        <v>0.475136</v>
      </c>
      <c r="F393" s="83">
        <f>SUMIFS(G383:G388,D383:D388,D393)</f>
        <v>353.50099999999998</v>
      </c>
      <c r="G393" s="193">
        <v>0</v>
      </c>
      <c r="H393" s="193">
        <f t="shared" ref="H393:H394" si="148">F393*G393</f>
        <v>0</v>
      </c>
      <c r="J393" s="9" t="e">
        <f>VLOOKUP($A393,[4]cliqccee!$A:$AK,26,FALSE)</f>
        <v>#N/A</v>
      </c>
      <c r="K393" s="9" t="e">
        <f>VLOOKUP($A393,[4]cliqccee!$A:$AK,10,FALSE)</f>
        <v>#N/A</v>
      </c>
      <c r="L393" s="9" t="e">
        <f>VLOOKUP($A393,[4]cliqccee!$A:$AK,32,FALSE)</f>
        <v>#N/A</v>
      </c>
      <c r="M393" s="9" t="e">
        <f>VLOOKUP($A393,[4]cliqccee!$A:$AK,33,FALSE)</f>
        <v>#N/A</v>
      </c>
      <c r="N393" s="499" t="e">
        <f t="shared" ref="N393:N407" si="149">J393-E393</f>
        <v>#N/A</v>
      </c>
    </row>
    <row r="394" spans="1:14" ht="11.25" x14ac:dyDescent="0.2">
      <c r="A394" s="268" t="s">
        <v>86</v>
      </c>
      <c r="B394" s="268" t="s">
        <v>340</v>
      </c>
      <c r="C394" s="268" t="s">
        <v>71</v>
      </c>
      <c r="D394" s="269" t="s">
        <v>78</v>
      </c>
      <c r="E394" s="270">
        <f t="shared" si="147"/>
        <v>0.20938999999999999</v>
      </c>
      <c r="F394" s="271">
        <f>SUMIFS(G383:G388,D383:D388,D394)</f>
        <v>155.786</v>
      </c>
      <c r="G394" s="272">
        <v>0</v>
      </c>
      <c r="H394" s="272">
        <f t="shared" si="148"/>
        <v>0</v>
      </c>
      <c r="J394" s="9" t="e">
        <f>VLOOKUP($A394,[4]cliqccee!$A:$AK,26,FALSE)</f>
        <v>#N/A</v>
      </c>
      <c r="K394" s="9" t="e">
        <f>VLOOKUP($A394,[4]cliqccee!$A:$AK,10,FALSE)</f>
        <v>#N/A</v>
      </c>
      <c r="L394" s="9" t="e">
        <f>VLOOKUP($A394,[4]cliqccee!$A:$AK,32,FALSE)</f>
        <v>#N/A</v>
      </c>
      <c r="M394" s="9" t="e">
        <f>VLOOKUP($A394,[4]cliqccee!$A:$AK,33,FALSE)</f>
        <v>#N/A</v>
      </c>
      <c r="N394" s="499" t="e">
        <f t="shared" si="149"/>
        <v>#N/A</v>
      </c>
    </row>
    <row r="395" spans="1:14" ht="11.25" x14ac:dyDescent="0.2">
      <c r="A395" s="167">
        <v>637036</v>
      </c>
      <c r="B395" s="168" t="s">
        <v>260</v>
      </c>
      <c r="C395" s="167" t="s">
        <v>71</v>
      </c>
      <c r="D395" s="169" t="s">
        <v>232</v>
      </c>
      <c r="E395" s="79">
        <f t="shared" si="147"/>
        <v>0</v>
      </c>
      <c r="F395" s="83">
        <f>VLOOKUP(A395,$A$823:$H$873,6,FALSE)</f>
        <v>0</v>
      </c>
      <c r="G395" s="170">
        <f>VLOOKUP(A395,$A$823:$H$873,7,FALSE)</f>
        <v>0</v>
      </c>
      <c r="H395" s="170">
        <f t="shared" ref="H395:H404" si="150">F395*G395</f>
        <v>0</v>
      </c>
      <c r="J395" s="9" t="str">
        <f>VLOOKUP($A395,[4]cliqccee!$A:$AK,26,FALSE)</f>
        <v>0,000000</v>
      </c>
      <c r="K395" s="9" t="str">
        <f>VLOOKUP($A395,[4]cliqccee!$A:$AK,10,FALSE)</f>
        <v>Validado</v>
      </c>
      <c r="L395" s="9" t="str">
        <f>VLOOKUP($A395,[4]cliqccee!$A:$AK,32,FALSE)</f>
        <v>FLAT</v>
      </c>
      <c r="M395" s="9" t="str">
        <f>VLOOKUP($A395,[4]cliqccee!$A:$AK,33,FALSE)</f>
        <v>Validado</v>
      </c>
      <c r="N395" s="499">
        <f t="shared" si="149"/>
        <v>0</v>
      </c>
    </row>
    <row r="396" spans="1:14" ht="11.25" x14ac:dyDescent="0.2">
      <c r="A396" s="167">
        <v>880826</v>
      </c>
      <c r="B396" s="167" t="s">
        <v>262</v>
      </c>
      <c r="C396" s="167" t="s">
        <v>71</v>
      </c>
      <c r="D396" s="192" t="s">
        <v>92</v>
      </c>
      <c r="E396" s="79">
        <f t="shared" si="147"/>
        <v>0</v>
      </c>
      <c r="F396" s="83">
        <f>VLOOKUP(A396,$A$823:$H$873,6,FALSE)</f>
        <v>0</v>
      </c>
      <c r="G396" s="170">
        <f>VLOOKUP(A396,$A$823:$H$873,7,FALSE)</f>
        <v>0</v>
      </c>
      <c r="H396" s="193">
        <f t="shared" si="150"/>
        <v>0</v>
      </c>
      <c r="J396" s="9" t="str">
        <f>VLOOKUP($A396,[4]cliqccee!$A:$AK,26,FALSE)</f>
        <v>0,000000</v>
      </c>
      <c r="K396" s="9" t="str">
        <f>VLOOKUP($A396,[4]cliqccee!$A:$AK,10,FALSE)</f>
        <v>Validado</v>
      </c>
      <c r="L396" s="9" t="str">
        <f>VLOOKUP($A396,[4]cliqccee!$A:$AK,32,FALSE)</f>
        <v>FLAT</v>
      </c>
      <c r="M396" s="9" t="str">
        <f>VLOOKUP($A396,[4]cliqccee!$A:$AK,33,FALSE)</f>
        <v>Validado</v>
      </c>
      <c r="N396" s="499">
        <f t="shared" si="149"/>
        <v>0</v>
      </c>
    </row>
    <row r="397" spans="1:14" ht="11.25" x14ac:dyDescent="0.2">
      <c r="A397" s="167">
        <v>566601</v>
      </c>
      <c r="B397" s="168" t="s">
        <v>293</v>
      </c>
      <c r="C397" s="167" t="s">
        <v>71</v>
      </c>
      <c r="D397" s="169" t="s">
        <v>78</v>
      </c>
      <c r="E397" s="79">
        <f t="shared" si="147"/>
        <v>0</v>
      </c>
      <c r="F397" s="83">
        <f>VLOOKUP(A397,$A$56:$H$69,6,FALSE)</f>
        <v>0</v>
      </c>
      <c r="G397" s="170">
        <f>VLOOKUP(A397,$A$56:$H$69,7,FALSE)</f>
        <v>0</v>
      </c>
      <c r="H397" s="170">
        <f t="shared" si="150"/>
        <v>0</v>
      </c>
      <c r="J397" s="9" t="str">
        <f>VLOOKUP($A397,[4]cliqccee!$A:$AK,26,FALSE)</f>
        <v>0,000000</v>
      </c>
      <c r="K397" s="9" t="str">
        <f>VLOOKUP($A397,[4]cliqccee!$A:$AK,10,FALSE)</f>
        <v>Validado</v>
      </c>
      <c r="L397" s="9" t="str">
        <f>VLOOKUP($A397,[4]cliqccee!$A:$AK,32,FALSE)</f>
        <v>FLAT</v>
      </c>
      <c r="M397" s="9" t="str">
        <f>VLOOKUP($A397,[4]cliqccee!$A:$AK,33,FALSE)</f>
        <v>Validado</v>
      </c>
      <c r="N397" s="499">
        <f t="shared" si="149"/>
        <v>0</v>
      </c>
    </row>
    <row r="398" spans="1:14" ht="11.25" x14ac:dyDescent="0.2">
      <c r="A398" s="167">
        <v>567046</v>
      </c>
      <c r="B398" s="168" t="s">
        <v>280</v>
      </c>
      <c r="C398" s="167" t="s">
        <v>71</v>
      </c>
      <c r="D398" s="169" t="s">
        <v>78</v>
      </c>
      <c r="E398" s="79">
        <f t="shared" si="147"/>
        <v>0</v>
      </c>
      <c r="F398" s="83">
        <f>VLOOKUP(A398,$A$56:$H$69,6,FALSE)</f>
        <v>0</v>
      </c>
      <c r="G398" s="170">
        <f>VLOOKUP(A398,$A$56:$H$69,7,FALSE)</f>
        <v>0</v>
      </c>
      <c r="H398" s="170">
        <f t="shared" si="150"/>
        <v>0</v>
      </c>
      <c r="J398" s="9" t="str">
        <f>VLOOKUP($A398,[4]cliqccee!$A:$AK,26,FALSE)</f>
        <v>0,000000</v>
      </c>
      <c r="K398" s="9" t="str">
        <f>VLOOKUP($A398,[4]cliqccee!$A:$AK,10,FALSE)</f>
        <v>Validado</v>
      </c>
      <c r="L398" s="9" t="str">
        <f>VLOOKUP($A398,[4]cliqccee!$A:$AK,32,FALSE)</f>
        <v>FLAT</v>
      </c>
      <c r="M398" s="9" t="str">
        <f>VLOOKUP($A398,[4]cliqccee!$A:$AK,33,FALSE)</f>
        <v>Validado</v>
      </c>
      <c r="N398" s="499">
        <f t="shared" si="149"/>
        <v>0</v>
      </c>
    </row>
    <row r="399" spans="1:14" ht="11.25" x14ac:dyDescent="0.2">
      <c r="A399" s="167">
        <v>566657</v>
      </c>
      <c r="B399" s="168" t="s">
        <v>278</v>
      </c>
      <c r="C399" s="167" t="s">
        <v>71</v>
      </c>
      <c r="D399" s="169" t="s">
        <v>78</v>
      </c>
      <c r="E399" s="79">
        <f t="shared" si="147"/>
        <v>0</v>
      </c>
      <c r="F399" s="83">
        <f>VLOOKUP(A399,$A$147:$H$169,6,FALSE)</f>
        <v>0</v>
      </c>
      <c r="G399" s="170">
        <f>VLOOKUP(A399,$A$147:$H$169,7,FALSE)</f>
        <v>0</v>
      </c>
      <c r="H399" s="170">
        <f t="shared" si="150"/>
        <v>0</v>
      </c>
      <c r="J399" s="9" t="str">
        <f>VLOOKUP($A399,[4]cliqccee!$A:$AK,26,FALSE)</f>
        <v>0,000000</v>
      </c>
      <c r="K399" s="9" t="str">
        <f>VLOOKUP($A399,[4]cliqccee!$A:$AK,10,FALSE)</f>
        <v>Validado</v>
      </c>
      <c r="L399" s="9" t="str">
        <f>VLOOKUP($A399,[4]cliqccee!$A:$AK,32,FALSE)</f>
        <v>FLAT</v>
      </c>
      <c r="M399" s="9" t="str">
        <f>VLOOKUP($A399,[4]cliqccee!$A:$AK,33,FALSE)</f>
        <v>Validado</v>
      </c>
      <c r="N399" s="499">
        <f t="shared" si="149"/>
        <v>0</v>
      </c>
    </row>
    <row r="400" spans="1:14" ht="11.25" x14ac:dyDescent="0.2">
      <c r="A400" s="167">
        <v>567235</v>
      </c>
      <c r="B400" s="168" t="s">
        <v>265</v>
      </c>
      <c r="C400" s="167" t="s">
        <v>71</v>
      </c>
      <c r="D400" s="169" t="s">
        <v>78</v>
      </c>
      <c r="E400" s="79">
        <f t="shared" si="147"/>
        <v>17.411377000000002</v>
      </c>
      <c r="F400" s="83">
        <f>VLOOKUP(A400,$A$147:$H$169,6,FALSE)</f>
        <v>12954.064768224933</v>
      </c>
      <c r="G400" s="170">
        <f>VLOOKUP(A400,$A$147:$H$169,7,FALSE)</f>
        <v>0</v>
      </c>
      <c r="H400" s="170">
        <f t="shared" si="150"/>
        <v>0</v>
      </c>
      <c r="J400" s="9" t="str">
        <f>VLOOKUP($A400,[4]cliqccee!$A:$AK,26,FALSE)</f>
        <v>16,614151</v>
      </c>
      <c r="K400" s="9" t="str">
        <f>VLOOKUP($A400,[4]cliqccee!$A:$AK,10,FALSE)</f>
        <v>Validado</v>
      </c>
      <c r="L400" s="9" t="str">
        <f>VLOOKUP($A400,[4]cliqccee!$A:$AK,32,FALSE)</f>
        <v>FLAT</v>
      </c>
      <c r="M400" s="9" t="str">
        <f>VLOOKUP($A400,[4]cliqccee!$A:$AK,33,FALSE)</f>
        <v>Ajustado Validado</v>
      </c>
      <c r="N400" s="499">
        <f t="shared" si="149"/>
        <v>-0.79722600000000199</v>
      </c>
    </row>
    <row r="401" spans="1:14" ht="11.25" x14ac:dyDescent="0.2">
      <c r="A401" s="167">
        <v>558366</v>
      </c>
      <c r="B401" s="168" t="s">
        <v>246</v>
      </c>
      <c r="C401" s="167" t="s">
        <v>71</v>
      </c>
      <c r="D401" s="169" t="s">
        <v>78</v>
      </c>
      <c r="E401" s="79">
        <f t="shared" si="147"/>
        <v>0</v>
      </c>
      <c r="F401" s="83">
        <f>VLOOKUP(A401,$A$202:$H$215,6,FALSE)</f>
        <v>0</v>
      </c>
      <c r="G401" s="170">
        <f>VLOOKUP(A401,$A$202:$H$215,7,FALSE)</f>
        <v>0</v>
      </c>
      <c r="H401" s="170">
        <f t="shared" si="150"/>
        <v>0</v>
      </c>
      <c r="J401" s="9" t="str">
        <f>VLOOKUP($A401,[4]cliqccee!$A:$AK,26,FALSE)</f>
        <v>0,000000</v>
      </c>
      <c r="K401" s="9" t="str">
        <f>VLOOKUP($A401,[4]cliqccee!$A:$AK,10,FALSE)</f>
        <v>Validado</v>
      </c>
      <c r="L401" s="9" t="str">
        <f>VLOOKUP($A401,[4]cliqccee!$A:$AK,32,FALSE)</f>
        <v>FLAT</v>
      </c>
      <c r="M401" s="9" t="str">
        <f>VLOOKUP($A401,[4]cliqccee!$A:$AK,33,FALSE)</f>
        <v>Validado</v>
      </c>
      <c r="N401" s="499">
        <f t="shared" si="149"/>
        <v>0</v>
      </c>
    </row>
    <row r="402" spans="1:14" ht="11.25" x14ac:dyDescent="0.2">
      <c r="A402" s="167">
        <v>73396</v>
      </c>
      <c r="B402" s="168" t="s">
        <v>256</v>
      </c>
      <c r="C402" s="167" t="s">
        <v>71</v>
      </c>
      <c r="D402" s="169" t="s">
        <v>78</v>
      </c>
      <c r="E402" s="79">
        <f t="shared" si="147"/>
        <v>0</v>
      </c>
      <c r="F402" s="83">
        <f>VLOOKUP(A402,$A$823:$H$873,6,FALSE)</f>
        <v>0</v>
      </c>
      <c r="G402" s="170">
        <f>VLOOKUP(A402,$A$823:$H$873,7,FALSE)</f>
        <v>0</v>
      </c>
      <c r="H402" s="170">
        <f t="shared" si="150"/>
        <v>0</v>
      </c>
      <c r="J402" s="9" t="str">
        <f>VLOOKUP($A402,[4]cliqccee!$A:$AK,26,FALSE)</f>
        <v>0,000000</v>
      </c>
      <c r="K402" s="9" t="str">
        <f>VLOOKUP($A402,[4]cliqccee!$A:$AK,10,FALSE)</f>
        <v>Validado</v>
      </c>
      <c r="L402" s="9" t="str">
        <f>VLOOKUP($A402,[4]cliqccee!$A:$AK,32,FALSE)</f>
        <v>FLAT</v>
      </c>
      <c r="M402" s="9" t="str">
        <f>VLOOKUP($A402,[4]cliqccee!$A:$AK,33,FALSE)</f>
        <v>Validado</v>
      </c>
      <c r="N402" s="499">
        <f t="shared" si="149"/>
        <v>0</v>
      </c>
    </row>
    <row r="403" spans="1:14" ht="11.25" x14ac:dyDescent="0.2">
      <c r="A403" s="167">
        <v>566830</v>
      </c>
      <c r="B403" s="167" t="s">
        <v>170</v>
      </c>
      <c r="C403" s="167" t="s">
        <v>71</v>
      </c>
      <c r="D403" s="192" t="s">
        <v>78</v>
      </c>
      <c r="E403" s="79">
        <f t="shared" si="147"/>
        <v>0</v>
      </c>
      <c r="F403" s="83">
        <f>VLOOKUP(A403,$A$742:$H$772,6,FALSE)</f>
        <v>0</v>
      </c>
      <c r="G403" s="193">
        <f>VLOOKUP(A403,$A$742:$H$772,7,FALSE)</f>
        <v>0</v>
      </c>
      <c r="H403" s="193">
        <f t="shared" si="150"/>
        <v>0</v>
      </c>
      <c r="I403" s="461"/>
      <c r="J403" s="9" t="str">
        <f>VLOOKUP($A403,[4]cliqccee!$A:$AK,26,FALSE)</f>
        <v>0,000000</v>
      </c>
      <c r="K403" s="9" t="str">
        <f>VLOOKUP($A403,[4]cliqccee!$A:$AK,10,FALSE)</f>
        <v>Validado</v>
      </c>
      <c r="L403" s="9" t="str">
        <f>VLOOKUP($A403,[4]cliqccee!$A:$AK,32,FALSE)</f>
        <v>FLAT</v>
      </c>
      <c r="M403" s="9" t="str">
        <f>VLOOKUP($A403,[4]cliqccee!$A:$AK,33,FALSE)</f>
        <v>Validado</v>
      </c>
      <c r="N403" s="499">
        <f t="shared" si="149"/>
        <v>0</v>
      </c>
    </row>
    <row r="404" spans="1:14" ht="11.25" x14ac:dyDescent="0.2">
      <c r="A404" s="167">
        <v>1131782</v>
      </c>
      <c r="B404" s="167" t="s">
        <v>385</v>
      </c>
      <c r="C404" s="167" t="s">
        <v>71</v>
      </c>
      <c r="D404" s="192" t="s">
        <v>92</v>
      </c>
      <c r="E404" s="79">
        <f t="shared" si="147"/>
        <v>31.576284999999999</v>
      </c>
      <c r="F404" s="83">
        <f>VLOOKUP(A404,$A$147:$H$169,6,FALSE)</f>
        <v>23492.756218247436</v>
      </c>
      <c r="G404" s="193">
        <f>VLOOKUP(A404,$A$147:$H$169,7,FALSE)</f>
        <v>0</v>
      </c>
      <c r="H404" s="193">
        <f t="shared" si="150"/>
        <v>0</v>
      </c>
      <c r="I404" s="461"/>
      <c r="J404" s="9" t="str">
        <f>VLOOKUP($A404,[4]cliqccee!$A:$AK,26,FALSE)</f>
        <v>28,597345</v>
      </c>
      <c r="K404" s="9" t="str">
        <f>VLOOKUP($A404,[4]cliqccee!$A:$AK,10,FALSE)</f>
        <v>Validado</v>
      </c>
      <c r="L404" s="9" t="str">
        <f>VLOOKUP($A404,[4]cliqccee!$A:$AK,32,FALSE)</f>
        <v>FLAT</v>
      </c>
      <c r="M404" s="9" t="str">
        <f>VLOOKUP($A404,[4]cliqccee!$A:$AK,33,FALSE)</f>
        <v>Ajustado Validado</v>
      </c>
      <c r="N404" s="499">
        <f t="shared" si="149"/>
        <v>-2.9789399999999979</v>
      </c>
    </row>
    <row r="405" spans="1:14" ht="11.25" x14ac:dyDescent="0.2">
      <c r="A405" s="167">
        <v>1154877</v>
      </c>
      <c r="B405" s="406"/>
      <c r="C405" s="167"/>
      <c r="D405" s="192"/>
      <c r="E405" s="79"/>
      <c r="F405" s="83"/>
      <c r="G405" s="170"/>
      <c r="H405" s="193"/>
      <c r="I405" s="461"/>
      <c r="J405" s="9" t="e">
        <f>VLOOKUP($A405,[4]cliqccee!$A:$AK,26,FALSE)</f>
        <v>#N/A</v>
      </c>
      <c r="K405" s="9" t="e">
        <f>VLOOKUP($A405,[4]cliqccee!$A:$AK,10,FALSE)</f>
        <v>#N/A</v>
      </c>
      <c r="L405" s="9" t="e">
        <f>VLOOKUP($A405,[4]cliqccee!$A:$AK,32,FALSE)</f>
        <v>#N/A</v>
      </c>
      <c r="M405" s="9" t="e">
        <f>VLOOKUP($A405,[4]cliqccee!$A:$AK,33,FALSE)</f>
        <v>#N/A</v>
      </c>
      <c r="N405" s="499" t="e">
        <f t="shared" si="149"/>
        <v>#N/A</v>
      </c>
    </row>
    <row r="406" spans="1:14" ht="11.25" x14ac:dyDescent="0.2">
      <c r="A406" s="167"/>
      <c r="B406" s="406"/>
      <c r="C406" s="167"/>
      <c r="D406" s="192"/>
      <c r="E406" s="79"/>
      <c r="F406" s="83"/>
      <c r="G406" s="193"/>
      <c r="H406" s="193"/>
      <c r="I406" s="461"/>
      <c r="J406" s="9" t="e">
        <f>VLOOKUP($A406,[4]cliqccee!$A:$AK,26,FALSE)</f>
        <v>#N/A</v>
      </c>
      <c r="K406" s="9" t="e">
        <f>VLOOKUP($A406,[4]cliqccee!$A:$AK,10,FALSE)</f>
        <v>#N/A</v>
      </c>
      <c r="L406" s="9" t="e">
        <f>VLOOKUP($A406,[4]cliqccee!$A:$AK,32,FALSE)</f>
        <v>#N/A</v>
      </c>
      <c r="M406" s="9" t="e">
        <f>VLOOKUP($A406,[4]cliqccee!$A:$AK,33,FALSE)</f>
        <v>#N/A</v>
      </c>
      <c r="N406" s="499" t="e">
        <f t="shared" si="149"/>
        <v>#N/A</v>
      </c>
    </row>
    <row r="407" spans="1:14" ht="11.25" x14ac:dyDescent="0.2">
      <c r="A407" s="167"/>
      <c r="B407" s="167"/>
      <c r="C407" s="167"/>
      <c r="D407" s="192"/>
      <c r="E407" s="79"/>
      <c r="F407" s="83"/>
      <c r="G407" s="193"/>
      <c r="H407" s="193"/>
      <c r="I407" s="461"/>
      <c r="J407" s="9" t="e">
        <f>VLOOKUP($A407,[4]cliqccee!$A:$AK,26,FALSE)</f>
        <v>#N/A</v>
      </c>
      <c r="K407" s="9" t="e">
        <f>VLOOKUP($A407,[4]cliqccee!$A:$AK,10,FALSE)</f>
        <v>#N/A</v>
      </c>
      <c r="L407" s="9" t="e">
        <f>VLOOKUP($A407,[4]cliqccee!$A:$AK,32,FALSE)</f>
        <v>#N/A</v>
      </c>
      <c r="M407" s="9" t="e">
        <f>VLOOKUP($A407,[4]cliqccee!$A:$AK,33,FALSE)</f>
        <v>#N/A</v>
      </c>
      <c r="N407" s="499" t="e">
        <f t="shared" si="149"/>
        <v>#N/A</v>
      </c>
    </row>
    <row r="408" spans="1:14" x14ac:dyDescent="0.15">
      <c r="A408" s="202"/>
      <c r="B408" s="202"/>
      <c r="C408" s="202"/>
      <c r="D408" s="202"/>
      <c r="E408" s="203"/>
      <c r="F408" s="204"/>
      <c r="G408" s="205"/>
      <c r="H408" s="206"/>
      <c r="J408" s="393"/>
      <c r="K408" s="393"/>
      <c r="L408" s="393"/>
      <c r="M408" s="393"/>
      <c r="N408" s="393"/>
    </row>
    <row r="409" spans="1:14" ht="11.25" x14ac:dyDescent="0.2">
      <c r="A409" s="80" t="s">
        <v>32</v>
      </c>
      <c r="B409" s="421"/>
      <c r="C409" s="421"/>
      <c r="D409" s="422"/>
      <c r="E409" s="81">
        <f>SUM(E393:E408)</f>
        <v>49.672187999999998</v>
      </c>
      <c r="F409" s="84">
        <f>SUM(F393:F408)</f>
        <v>36956.107986472372</v>
      </c>
      <c r="G409" s="82">
        <f>IFERROR(H409/F409,0)</f>
        <v>0</v>
      </c>
      <c r="H409" s="82">
        <f>SUM(H394:H408)</f>
        <v>0</v>
      </c>
      <c r="I409" s="228"/>
      <c r="N409" s="418"/>
    </row>
    <row r="410" spans="1:14" ht="11.25" x14ac:dyDescent="0.2">
      <c r="N410" s="418"/>
    </row>
    <row r="411" spans="1:14" ht="11.25" x14ac:dyDescent="0.2">
      <c r="A411" s="548" t="s">
        <v>233</v>
      </c>
      <c r="B411" s="548"/>
      <c r="C411" s="548"/>
      <c r="E411" s="423" t="s">
        <v>19</v>
      </c>
      <c r="F411" s="423"/>
      <c r="G411" s="424" t="s">
        <v>20</v>
      </c>
      <c r="H411" s="424"/>
      <c r="I411" s="425" t="s">
        <v>21</v>
      </c>
      <c r="J411" s="425"/>
      <c r="K411" s="426" t="s">
        <v>22</v>
      </c>
      <c r="L411" s="426"/>
      <c r="N411" s="418"/>
    </row>
    <row r="412" spans="1:14" ht="11.25" x14ac:dyDescent="0.2">
      <c r="A412" s="10" t="s">
        <v>2</v>
      </c>
      <c r="B412" s="10" t="s">
        <v>137</v>
      </c>
      <c r="C412" s="10" t="s">
        <v>25</v>
      </c>
      <c r="E412" s="427" t="s">
        <v>137</v>
      </c>
      <c r="F412" s="428" t="s">
        <v>25</v>
      </c>
      <c r="G412" s="429" t="s">
        <v>137</v>
      </c>
      <c r="H412" s="430" t="s">
        <v>25</v>
      </c>
      <c r="I412" s="431" t="s">
        <v>137</v>
      </c>
      <c r="J412" s="432" t="s">
        <v>25</v>
      </c>
      <c r="K412" s="433" t="s">
        <v>137</v>
      </c>
      <c r="L412" s="434" t="s">
        <v>25</v>
      </c>
      <c r="N412" s="418"/>
    </row>
    <row r="413" spans="1:14" ht="11.25" x14ac:dyDescent="0.2">
      <c r="A413" s="29" t="s">
        <v>69</v>
      </c>
      <c r="B413" s="70">
        <v>0</v>
      </c>
      <c r="C413" s="83">
        <v>0</v>
      </c>
      <c r="E413" s="435">
        <f t="shared" ref="E413:E419" si="151">SUMIFS($E$387:$E$408,$C$387:$C$408,$A413,$D$387:$D$408,$E$411)</f>
        <v>0</v>
      </c>
      <c r="F413" s="436">
        <f t="shared" ref="F413:F419" si="152">SUMIFS($F$387:$F$408,$C$387:$C$408,$A413,$D$387:$D$408,$E$411)</f>
        <v>0</v>
      </c>
      <c r="G413" s="437">
        <f t="shared" ref="G413:G419" si="153">SUMIFS($E$387:$E$408,$C$387:$C$408,$A413,$D$387:$D$408,$G$411)</f>
        <v>0</v>
      </c>
      <c r="H413" s="438">
        <f t="shared" ref="H413:H419" si="154">SUMIFS($F$387:$F$408,$C$387:$C$408,$A413,$D$387:$D$408,$G$411)</f>
        <v>0</v>
      </c>
      <c r="I413" s="439">
        <f t="shared" ref="I413:I419" si="155">SUMIFS($E$387:$E$408,$C$387:$C$408,$A413,$D$387:$D$408,$I$411)</f>
        <v>0</v>
      </c>
      <c r="J413" s="440">
        <f t="shared" ref="J413:J419" si="156">SUMIFS($F$387:$F$408,$C$387:$C$408,$A413,$D$387:$D$408,$I$411)</f>
        <v>0</v>
      </c>
      <c r="K413" s="441">
        <f t="shared" ref="K413:K419" si="157">SUMIFS($E$387:$E$408,$C$387:$C$408,$A413,$D$387:$D$408,$K$411)</f>
        <v>0</v>
      </c>
      <c r="L413" s="442">
        <f t="shared" ref="L413:L419" si="158">SUMIFS($F$387:$F$408,$C$387:$C$408,$A413,$D$387:$D$408,$K$411)</f>
        <v>0</v>
      </c>
      <c r="N413" s="418"/>
    </row>
    <row r="414" spans="1:14" ht="11.25" x14ac:dyDescent="0.2">
      <c r="A414" s="29" t="s">
        <v>47</v>
      </c>
      <c r="B414" s="70">
        <v>0</v>
      </c>
      <c r="C414" s="83">
        <v>0</v>
      </c>
      <c r="E414" s="435">
        <f t="shared" si="151"/>
        <v>0</v>
      </c>
      <c r="F414" s="436">
        <f t="shared" si="152"/>
        <v>0</v>
      </c>
      <c r="G414" s="437">
        <f t="shared" si="153"/>
        <v>0</v>
      </c>
      <c r="H414" s="438">
        <f t="shared" si="154"/>
        <v>0</v>
      </c>
      <c r="I414" s="439">
        <f t="shared" si="155"/>
        <v>0</v>
      </c>
      <c r="J414" s="440">
        <f t="shared" si="156"/>
        <v>0</v>
      </c>
      <c r="K414" s="441">
        <f t="shared" si="157"/>
        <v>0</v>
      </c>
      <c r="L414" s="442">
        <f t="shared" si="158"/>
        <v>0</v>
      </c>
      <c r="N414" s="418"/>
    </row>
    <row r="415" spans="1:14" ht="11.25" x14ac:dyDescent="0.2">
      <c r="A415" s="29" t="s">
        <v>79</v>
      </c>
      <c r="B415" s="70">
        <v>0</v>
      </c>
      <c r="C415" s="83">
        <v>0</v>
      </c>
      <c r="E415" s="435">
        <f t="shared" si="151"/>
        <v>0</v>
      </c>
      <c r="F415" s="436">
        <f t="shared" si="152"/>
        <v>0</v>
      </c>
      <c r="G415" s="437">
        <f t="shared" si="153"/>
        <v>0</v>
      </c>
      <c r="H415" s="438">
        <f t="shared" si="154"/>
        <v>0</v>
      </c>
      <c r="I415" s="439">
        <f t="shared" si="155"/>
        <v>0</v>
      </c>
      <c r="J415" s="440">
        <f t="shared" si="156"/>
        <v>0</v>
      </c>
      <c r="K415" s="441">
        <f t="shared" si="157"/>
        <v>0</v>
      </c>
      <c r="L415" s="442">
        <f t="shared" si="158"/>
        <v>0</v>
      </c>
      <c r="N415" s="418"/>
    </row>
    <row r="416" spans="1:14" ht="11.25" x14ac:dyDescent="0.2">
      <c r="A416" s="29" t="s">
        <v>71</v>
      </c>
      <c r="B416" s="70">
        <f>E409</f>
        <v>49.672187999999998</v>
      </c>
      <c r="C416" s="83">
        <f>F409</f>
        <v>36956.107986472372</v>
      </c>
      <c r="E416" s="435">
        <f t="shared" si="151"/>
        <v>32.051420999999998</v>
      </c>
      <c r="F416" s="436">
        <f t="shared" si="152"/>
        <v>23846.257218247436</v>
      </c>
      <c r="G416" s="437">
        <f t="shared" si="153"/>
        <v>0</v>
      </c>
      <c r="H416" s="438">
        <f t="shared" si="154"/>
        <v>0</v>
      </c>
      <c r="I416" s="439">
        <f t="shared" si="155"/>
        <v>17.620767000000001</v>
      </c>
      <c r="J416" s="440">
        <f t="shared" si="156"/>
        <v>13109.850768224933</v>
      </c>
      <c r="K416" s="441">
        <f t="shared" si="157"/>
        <v>0</v>
      </c>
      <c r="L416" s="442">
        <f t="shared" si="158"/>
        <v>0</v>
      </c>
      <c r="N416" s="418"/>
    </row>
    <row r="417" spans="1:16" ht="11.25" x14ac:dyDescent="0.2">
      <c r="A417" s="29" t="s">
        <v>9</v>
      </c>
      <c r="B417" s="70">
        <f>E389</f>
        <v>49.672187999999991</v>
      </c>
      <c r="C417" s="83">
        <f>F389</f>
        <v>36956.107986472372</v>
      </c>
      <c r="E417" s="435">
        <f t="shared" si="151"/>
        <v>0</v>
      </c>
      <c r="F417" s="436">
        <f t="shared" si="152"/>
        <v>0</v>
      </c>
      <c r="G417" s="437">
        <f t="shared" si="153"/>
        <v>0</v>
      </c>
      <c r="H417" s="438">
        <f t="shared" si="154"/>
        <v>0</v>
      </c>
      <c r="I417" s="439">
        <f t="shared" si="155"/>
        <v>14.795021</v>
      </c>
      <c r="J417" s="440">
        <f t="shared" si="156"/>
        <v>11007.495268831624</v>
      </c>
      <c r="K417" s="441">
        <f t="shared" si="157"/>
        <v>0</v>
      </c>
      <c r="L417" s="442">
        <f t="shared" si="158"/>
        <v>0</v>
      </c>
      <c r="N417" s="418"/>
    </row>
    <row r="418" spans="1:16" ht="11.25" x14ac:dyDescent="0.2">
      <c r="A418" s="29" t="s">
        <v>80</v>
      </c>
      <c r="B418" s="70">
        <v>0</v>
      </c>
      <c r="C418" s="83">
        <v>0</v>
      </c>
      <c r="E418" s="435">
        <f t="shared" si="151"/>
        <v>0</v>
      </c>
      <c r="F418" s="436">
        <f t="shared" si="152"/>
        <v>0</v>
      </c>
      <c r="G418" s="437">
        <f t="shared" si="153"/>
        <v>0</v>
      </c>
      <c r="H418" s="438">
        <f t="shared" si="154"/>
        <v>0</v>
      </c>
      <c r="I418" s="439">
        <f t="shared" si="155"/>
        <v>0</v>
      </c>
      <c r="J418" s="440">
        <f t="shared" si="156"/>
        <v>0</v>
      </c>
      <c r="K418" s="441">
        <f t="shared" si="157"/>
        <v>0</v>
      </c>
      <c r="L418" s="442">
        <f t="shared" si="158"/>
        <v>0</v>
      </c>
      <c r="N418" s="418"/>
    </row>
    <row r="419" spans="1:16" ht="11.25" x14ac:dyDescent="0.2">
      <c r="A419" s="29" t="s">
        <v>77</v>
      </c>
      <c r="B419" s="70">
        <v>0</v>
      </c>
      <c r="C419" s="83">
        <v>0</v>
      </c>
      <c r="E419" s="435">
        <f t="shared" si="151"/>
        <v>0</v>
      </c>
      <c r="F419" s="436">
        <f t="shared" si="152"/>
        <v>0</v>
      </c>
      <c r="G419" s="437">
        <f t="shared" si="153"/>
        <v>0</v>
      </c>
      <c r="H419" s="438">
        <f t="shared" si="154"/>
        <v>0</v>
      </c>
      <c r="I419" s="439">
        <f t="shared" si="155"/>
        <v>0</v>
      </c>
      <c r="J419" s="440">
        <f t="shared" si="156"/>
        <v>0</v>
      </c>
      <c r="K419" s="441">
        <f t="shared" si="157"/>
        <v>0</v>
      </c>
      <c r="L419" s="442">
        <f t="shared" si="158"/>
        <v>0</v>
      </c>
      <c r="N419" s="418"/>
    </row>
    <row r="420" spans="1:16" ht="11.25" x14ac:dyDescent="0.2">
      <c r="A420" s="11" t="s">
        <v>81</v>
      </c>
      <c r="B420" s="12">
        <f>SUM(B413:B416)-SUM(B417:B419)</f>
        <v>0</v>
      </c>
      <c r="C420" s="12">
        <f>SUM(C413:C416)-SUM(C417:C419)</f>
        <v>0</v>
      </c>
      <c r="E420" s="443">
        <f>SUM(E413:E416)-SUM(E417:E419)</f>
        <v>32.051420999999998</v>
      </c>
      <c r="F420" s="444">
        <f>SUM(F413:F416)-SUM(F417:F419)</f>
        <v>23846.257218247436</v>
      </c>
      <c r="G420" s="445">
        <f t="shared" ref="G420:L420" si="159">SUM(G413:G416)-SUM(G417:G419)</f>
        <v>0</v>
      </c>
      <c r="H420" s="446">
        <f t="shared" si="159"/>
        <v>0</v>
      </c>
      <c r="I420" s="447">
        <f t="shared" si="159"/>
        <v>2.8257460000000005</v>
      </c>
      <c r="J420" s="448">
        <f t="shared" si="159"/>
        <v>2102.3554993933085</v>
      </c>
      <c r="K420" s="449">
        <f t="shared" si="159"/>
        <v>0</v>
      </c>
      <c r="L420" s="450">
        <f t="shared" si="159"/>
        <v>0</v>
      </c>
      <c r="N420" s="418"/>
    </row>
    <row r="421" spans="1:16" ht="11.25" x14ac:dyDescent="0.2">
      <c r="A421" s="11" t="s">
        <v>82</v>
      </c>
      <c r="B421" s="12">
        <f>SUM(B413:B416)-SUM(B417:B420)</f>
        <v>0</v>
      </c>
      <c r="C421" s="12">
        <f>SUM(C413:C416)-SUM(C417:C420)</f>
        <v>0</v>
      </c>
      <c r="E421" s="443">
        <f>SUM(E413:E416)-SUM(E417:E420)</f>
        <v>0</v>
      </c>
      <c r="F421" s="444">
        <f>SUM(F413:F416)-SUM(F417:F420)</f>
        <v>0</v>
      </c>
      <c r="G421" s="445">
        <f t="shared" ref="G421:L421" si="160">SUM(G413:G416)-SUM(G417:G420)</f>
        <v>0</v>
      </c>
      <c r="H421" s="446">
        <f t="shared" si="160"/>
        <v>0</v>
      </c>
      <c r="I421" s="447">
        <f t="shared" si="160"/>
        <v>0</v>
      </c>
      <c r="J421" s="448">
        <f t="shared" si="160"/>
        <v>0</v>
      </c>
      <c r="K421" s="449">
        <f t="shared" si="160"/>
        <v>0</v>
      </c>
      <c r="L421" s="450">
        <f t="shared" si="160"/>
        <v>0</v>
      </c>
      <c r="N421" s="418"/>
    </row>
    <row r="422" spans="1:16" ht="11.25" x14ac:dyDescent="0.2">
      <c r="N422" s="418"/>
    </row>
    <row r="423" spans="1:16" ht="11.25" x14ac:dyDescent="0.2">
      <c r="E423" s="451">
        <f>(F420*$H$5)+(H420*$J$5)+(J420*$L$5)+(L420*$N$5)</f>
        <v>1340516.0057871011</v>
      </c>
      <c r="N423" s="418"/>
    </row>
    <row r="424" spans="1:16" ht="11.25" x14ac:dyDescent="0.2">
      <c r="D424" s="515"/>
      <c r="N424" s="418"/>
    </row>
    <row r="425" spans="1:16" ht="11.25" x14ac:dyDescent="0.2">
      <c r="N425" s="418"/>
    </row>
    <row r="426" spans="1:16" ht="11.25" x14ac:dyDescent="0.2">
      <c r="A426" s="548" t="s">
        <v>87</v>
      </c>
      <c r="B426" s="548"/>
      <c r="C426" s="548"/>
      <c r="D426" s="548"/>
      <c r="E426" s="548"/>
      <c r="F426" s="548"/>
      <c r="G426" s="548"/>
      <c r="H426" s="548"/>
      <c r="N426" s="418"/>
    </row>
    <row r="427" spans="1:16" ht="11.25" x14ac:dyDescent="0.2">
      <c r="A427" s="548"/>
      <c r="B427" s="548"/>
      <c r="C427" s="548"/>
      <c r="D427" s="548"/>
      <c r="E427" s="548"/>
      <c r="F427" s="548"/>
      <c r="G427" s="548"/>
      <c r="H427" s="548"/>
      <c r="N427" s="418"/>
    </row>
    <row r="428" spans="1:16" s="420" customFormat="1" ht="3.75" customHeight="1" x14ac:dyDescent="0.2">
      <c r="A428" s="419"/>
      <c r="B428" s="419"/>
      <c r="C428" s="419"/>
      <c r="D428" s="419"/>
      <c r="E428" s="419"/>
      <c r="F428" s="419"/>
      <c r="G428" s="419"/>
      <c r="H428" s="419"/>
      <c r="I428" s="515"/>
      <c r="J428" s="515"/>
      <c r="K428" s="515"/>
      <c r="L428" s="515"/>
      <c r="M428" s="515"/>
      <c r="N428" s="418"/>
      <c r="O428" s="515"/>
      <c r="P428" s="515"/>
    </row>
    <row r="429" spans="1:16" ht="11.25" x14ac:dyDescent="0.2">
      <c r="A429" s="548" t="s">
        <v>85</v>
      </c>
      <c r="B429" s="548"/>
      <c r="C429" s="548"/>
      <c r="D429" s="548"/>
      <c r="E429" s="548"/>
      <c r="F429" s="548"/>
      <c r="G429" s="548"/>
      <c r="H429" s="548"/>
      <c r="N429" s="418"/>
    </row>
    <row r="430" spans="1:16" ht="11.25" x14ac:dyDescent="0.2">
      <c r="A430" s="10" t="s">
        <v>8</v>
      </c>
      <c r="B430" s="10"/>
      <c r="C430" s="10" t="s">
        <v>2</v>
      </c>
      <c r="D430" s="10" t="s">
        <v>3</v>
      </c>
      <c r="E430" s="10" t="s">
        <v>137</v>
      </c>
      <c r="F430" s="10" t="s">
        <v>25</v>
      </c>
      <c r="G430" s="10" t="s">
        <v>95</v>
      </c>
      <c r="H430" s="10" t="s">
        <v>240</v>
      </c>
      <c r="N430" s="418"/>
    </row>
    <row r="431" spans="1:16" ht="11.25" x14ac:dyDescent="0.2">
      <c r="A431" s="191" t="s">
        <v>44</v>
      </c>
      <c r="B431" s="168"/>
      <c r="C431" s="167" t="s">
        <v>9</v>
      </c>
      <c r="D431" s="169" t="s">
        <v>78</v>
      </c>
      <c r="E431" s="79">
        <f t="shared" ref="E431:E440" si="161">ROUND(F431/$B$33,6)</f>
        <v>38.052754999999998</v>
      </c>
      <c r="F431" s="83">
        <f>[7]Consolidação!$G$28</f>
        <v>28311.249703916314</v>
      </c>
      <c r="G431" s="83">
        <f>'[8]2019'!$F$17 * (F431 / SUM(F431:F434,F440))</f>
        <v>92.328075976894084</v>
      </c>
      <c r="H431" s="103">
        <v>0.03</v>
      </c>
      <c r="N431" s="418"/>
    </row>
    <row r="432" spans="1:16" ht="11.25" x14ac:dyDescent="0.2">
      <c r="A432" s="191" t="s">
        <v>45</v>
      </c>
      <c r="B432" s="168"/>
      <c r="C432" s="167" t="s">
        <v>9</v>
      </c>
      <c r="D432" s="169" t="s">
        <v>78</v>
      </c>
      <c r="E432" s="79">
        <f t="shared" si="161"/>
        <v>11.993679</v>
      </c>
      <c r="F432" s="83">
        <f>[7]Consolidação!$G$29</f>
        <v>8923.2970783960081</v>
      </c>
      <c r="G432" s="83">
        <f>'[8]2019'!$F$17 * (F432 / SUM(F431:F434,F440))</f>
        <v>29.100476285389018</v>
      </c>
      <c r="H432" s="103">
        <v>0.03</v>
      </c>
      <c r="N432" s="418"/>
    </row>
    <row r="433" spans="1:14" ht="11.25" x14ac:dyDescent="0.2">
      <c r="A433" s="191" t="s">
        <v>235</v>
      </c>
      <c r="B433" s="168"/>
      <c r="C433" s="167" t="s">
        <v>9</v>
      </c>
      <c r="D433" s="169" t="s">
        <v>78</v>
      </c>
      <c r="E433" s="79">
        <f t="shared" si="161"/>
        <v>24.104158000000002</v>
      </c>
      <c r="F433" s="83">
        <f>[7]Consolidação!$G$30</f>
        <v>17933.493259595933</v>
      </c>
      <c r="G433" s="83">
        <f>'[8]2019'!$F$17 * (F433 / SUM(F431:F434,F440))</f>
        <v>58.484346170492358</v>
      </c>
      <c r="H433" s="103">
        <v>0.03</v>
      </c>
      <c r="N433" s="418"/>
    </row>
    <row r="434" spans="1:14" ht="11.25" x14ac:dyDescent="0.2">
      <c r="A434" s="191" t="s">
        <v>395</v>
      </c>
      <c r="B434" s="168"/>
      <c r="C434" s="167" t="s">
        <v>9</v>
      </c>
      <c r="D434" s="169" t="s">
        <v>78</v>
      </c>
      <c r="E434" s="79">
        <f t="shared" ref="E434" si="162">ROUND(F434/$B$33,6)</f>
        <v>4.0982219999999998</v>
      </c>
      <c r="F434" s="83">
        <f>[7]Consolidação!$G$31</f>
        <v>3049.0774121557156</v>
      </c>
      <c r="G434" s="83">
        <f>'[8]2019'!$F$17 * (F434 / SUM(F431:F434,F440))</f>
        <v>9.9435897006694933</v>
      </c>
      <c r="H434" s="103">
        <v>0.03</v>
      </c>
      <c r="N434" s="418"/>
    </row>
    <row r="435" spans="1:14" ht="11.25" x14ac:dyDescent="0.2">
      <c r="A435" s="191" t="s">
        <v>46</v>
      </c>
      <c r="B435" s="168"/>
      <c r="C435" s="167" t="s">
        <v>9</v>
      </c>
      <c r="D435" s="169" t="s">
        <v>78</v>
      </c>
      <c r="E435" s="79">
        <f t="shared" si="161"/>
        <v>59.836216999999998</v>
      </c>
      <c r="F435" s="83">
        <f>[7]Consolidação!$G$33</f>
        <v>44518.145673019433</v>
      </c>
      <c r="G435" s="83">
        <f>'[8]2019'!$F$16 * (F435 / SUM(F435:F437))</f>
        <v>157.10725809202594</v>
      </c>
      <c r="H435" s="103">
        <v>0.03</v>
      </c>
      <c r="N435" s="418"/>
    </row>
    <row r="436" spans="1:14" ht="11.25" x14ac:dyDescent="0.2">
      <c r="A436" s="191" t="s">
        <v>48</v>
      </c>
      <c r="B436" s="168"/>
      <c r="C436" s="167" t="s">
        <v>9</v>
      </c>
      <c r="D436" s="169" t="s">
        <v>78</v>
      </c>
      <c r="E436" s="79">
        <f t="shared" si="161"/>
        <v>28.554013999999999</v>
      </c>
      <c r="F436" s="83">
        <f>[7]Consolidação!$G$34</f>
        <v>21244.186535895598</v>
      </c>
      <c r="G436" s="83">
        <f>'[8]2019'!$F$16 * (F436 / SUM(F435:F437))</f>
        <v>74.972033237064508</v>
      </c>
      <c r="H436" s="103">
        <v>0.03</v>
      </c>
      <c r="N436" s="418"/>
    </row>
    <row r="437" spans="1:14" ht="11.25" x14ac:dyDescent="0.2">
      <c r="A437" s="191" t="s">
        <v>396</v>
      </c>
      <c r="B437" s="168"/>
      <c r="C437" s="167" t="s">
        <v>9</v>
      </c>
      <c r="D437" s="169" t="s">
        <v>78</v>
      </c>
      <c r="E437" s="79">
        <f t="shared" ref="E437" si="163">ROUND(F437/$B$33,6)</f>
        <v>6.4414119999999997</v>
      </c>
      <c r="F437" s="83">
        <f>[7]Consolidação!$G$35</f>
        <v>4792.4102137653254</v>
      </c>
      <c r="G437" s="83">
        <f>'[8]2019'!$F$16 * (F437 / SUM(F435:F437))</f>
        <v>16.912708670909549</v>
      </c>
      <c r="H437" s="103">
        <v>0.03</v>
      </c>
      <c r="N437" s="418"/>
    </row>
    <row r="438" spans="1:14" ht="11.25" x14ac:dyDescent="0.2">
      <c r="A438" s="191" t="s">
        <v>354</v>
      </c>
      <c r="B438" s="168"/>
      <c r="C438" s="167" t="s">
        <v>9</v>
      </c>
      <c r="D438" s="169" t="s">
        <v>78</v>
      </c>
      <c r="E438" s="79">
        <f t="shared" si="161"/>
        <v>5.9208410000000002</v>
      </c>
      <c r="F438" s="83">
        <f>[7]Consolidação!$G$40</f>
        <v>4405.1060721649501</v>
      </c>
      <c r="G438" s="83"/>
      <c r="H438" s="103">
        <v>0.03</v>
      </c>
      <c r="N438" s="418"/>
    </row>
    <row r="439" spans="1:14" ht="11.25" x14ac:dyDescent="0.2">
      <c r="A439" s="191" t="s">
        <v>62</v>
      </c>
      <c r="B439" s="168"/>
      <c r="C439" s="167" t="s">
        <v>9</v>
      </c>
      <c r="D439" s="169" t="s">
        <v>78</v>
      </c>
      <c r="E439" s="79">
        <f>ROUND(F439/$B$33,6)</f>
        <v>14.053288999999999</v>
      </c>
      <c r="F439" s="83">
        <f>[7]Consolidação!$G$39</f>
        <v>10455.646762886599</v>
      </c>
      <c r="G439" s="83">
        <f>'[8]2019'!$F$15</f>
        <v>55.343000000000004</v>
      </c>
      <c r="H439" s="103">
        <v>0.03</v>
      </c>
      <c r="I439" s="228"/>
      <c r="N439" s="418"/>
    </row>
    <row r="440" spans="1:14" ht="11.25" x14ac:dyDescent="0.2">
      <c r="A440" s="191" t="s">
        <v>56</v>
      </c>
      <c r="B440" s="168"/>
      <c r="C440" s="167" t="s">
        <v>9</v>
      </c>
      <c r="D440" s="169" t="s">
        <v>78</v>
      </c>
      <c r="E440" s="79">
        <f t="shared" si="161"/>
        <v>4.1056090000000003</v>
      </c>
      <c r="F440" s="83">
        <f>[7]Consolidação!$G$38</f>
        <v>3054.5730201628498</v>
      </c>
      <c r="G440" s="83">
        <f>'[8]2019'!$F$17 * (F440 / SUM(F431:F434,F440))</f>
        <v>9.9615118665550817</v>
      </c>
      <c r="H440" s="103">
        <v>0.03</v>
      </c>
      <c r="I440" s="228"/>
      <c r="N440" s="418"/>
    </row>
    <row r="441" spans="1:14" ht="11.25" x14ac:dyDescent="0.2">
      <c r="A441" s="215"/>
      <c r="B441" s="215"/>
      <c r="C441" s="215"/>
      <c r="D441" s="216"/>
      <c r="E441" s="174"/>
      <c r="F441" s="175"/>
      <c r="G441" s="175"/>
      <c r="H441" s="175"/>
      <c r="I441" s="228"/>
      <c r="N441" s="418"/>
    </row>
    <row r="442" spans="1:14" ht="11.25" x14ac:dyDescent="0.2">
      <c r="A442" s="80" t="s">
        <v>32</v>
      </c>
      <c r="B442" s="421"/>
      <c r="C442" s="421"/>
      <c r="D442" s="422"/>
      <c r="E442" s="81">
        <f>SUM(E431:E441)</f>
        <v>197.16019600000001</v>
      </c>
      <c r="F442" s="84">
        <f>SUM(F431:F441)</f>
        <v>146687.18573195871</v>
      </c>
      <c r="G442" s="84">
        <f>SUM(G431:G441)</f>
        <v>504.15300000000008</v>
      </c>
      <c r="H442" s="84"/>
      <c r="I442" s="228"/>
      <c r="N442" s="418"/>
    </row>
    <row r="443" spans="1:14" ht="11.25" x14ac:dyDescent="0.2">
      <c r="N443" s="418"/>
    </row>
    <row r="444" spans="1:14" ht="11.25" x14ac:dyDescent="0.2">
      <c r="A444" s="548" t="s">
        <v>70</v>
      </c>
      <c r="B444" s="548"/>
      <c r="C444" s="548"/>
      <c r="D444" s="548"/>
      <c r="E444" s="548"/>
      <c r="F444" s="548"/>
      <c r="G444" s="548"/>
      <c r="H444" s="548"/>
      <c r="N444" s="418"/>
    </row>
    <row r="445" spans="1:14" x14ac:dyDescent="0.15">
      <c r="A445" s="10" t="s">
        <v>252</v>
      </c>
      <c r="B445" s="10" t="s">
        <v>1</v>
      </c>
      <c r="C445" s="10" t="s">
        <v>2</v>
      </c>
      <c r="D445" s="10" t="s">
        <v>3</v>
      </c>
      <c r="E445" s="10" t="s">
        <v>137</v>
      </c>
      <c r="F445" s="10" t="s">
        <v>25</v>
      </c>
      <c r="G445" s="10" t="s">
        <v>253</v>
      </c>
      <c r="H445" s="10" t="s">
        <v>254</v>
      </c>
      <c r="J445" s="10" t="s">
        <v>72</v>
      </c>
      <c r="K445" s="10" t="s">
        <v>73</v>
      </c>
      <c r="L445" s="10" t="s">
        <v>74</v>
      </c>
      <c r="M445" s="10" t="s">
        <v>75</v>
      </c>
      <c r="N445" s="10" t="s">
        <v>425</v>
      </c>
    </row>
    <row r="446" spans="1:14" ht="11.25" x14ac:dyDescent="0.2">
      <c r="A446" s="268" t="s">
        <v>86</v>
      </c>
      <c r="B446" s="268" t="s">
        <v>341</v>
      </c>
      <c r="C446" s="268" t="s">
        <v>71</v>
      </c>
      <c r="D446" s="269" t="s">
        <v>78</v>
      </c>
      <c r="E446" s="270">
        <f t="shared" ref="E446:E452" si="164">ROUND(F446/$B$33,6)</f>
        <v>0.67762500000000003</v>
      </c>
      <c r="F446" s="271">
        <f>SUMIFS(G431:G441,D431:D441,D446)</f>
        <v>504.15300000000008</v>
      </c>
      <c r="G446" s="272">
        <v>0</v>
      </c>
      <c r="H446" s="272">
        <f t="shared" ref="H446:H452" si="165">F446*G446</f>
        <v>0</v>
      </c>
      <c r="I446" s="458"/>
      <c r="J446" s="9" t="e">
        <f>VLOOKUP($A446,[4]cliqccee!$A:$AK,26,FALSE)</f>
        <v>#N/A</v>
      </c>
      <c r="K446" s="9" t="e">
        <f>VLOOKUP($A446,[4]cliqccee!$A:$AK,10,FALSE)</f>
        <v>#N/A</v>
      </c>
      <c r="L446" s="9" t="e">
        <f>VLOOKUP($A446,[4]cliqccee!$A:$AK,32,FALSE)</f>
        <v>#N/A</v>
      </c>
      <c r="M446" s="9" t="e">
        <f>VLOOKUP($A446,[4]cliqccee!$A:$AK,33,FALSE)</f>
        <v>#N/A</v>
      </c>
      <c r="N446" s="499" t="e">
        <f t="shared" ref="N446:N461" si="166">J446-E446</f>
        <v>#N/A</v>
      </c>
    </row>
    <row r="447" spans="1:14" ht="11.25" x14ac:dyDescent="0.2">
      <c r="A447" s="356">
        <v>637037</v>
      </c>
      <c r="B447" s="356" t="s">
        <v>260</v>
      </c>
      <c r="C447" s="356" t="s">
        <v>71</v>
      </c>
      <c r="D447" s="357" t="s">
        <v>232</v>
      </c>
      <c r="E447" s="358">
        <f t="shared" si="164"/>
        <v>0</v>
      </c>
      <c r="F447" s="359">
        <f>VLOOKUP(A447,$A$823:$H$873,6,FALSE)</f>
        <v>0</v>
      </c>
      <c r="G447" s="405">
        <f>VLOOKUP(A447,$A$823:$H$873,7,FALSE)</f>
        <v>0</v>
      </c>
      <c r="H447" s="405">
        <f t="shared" si="165"/>
        <v>0</v>
      </c>
      <c r="I447" s="228"/>
      <c r="J447" s="9" t="str">
        <f>VLOOKUP($A447,[4]cliqccee!$A:$AK,26,FALSE)</f>
        <v>0,000000</v>
      </c>
      <c r="K447" s="9" t="str">
        <f>VLOOKUP($A447,[4]cliqccee!$A:$AK,10,FALSE)</f>
        <v>Validado</v>
      </c>
      <c r="L447" s="9" t="str">
        <f>VLOOKUP($A447,[4]cliqccee!$A:$AK,32,FALSE)</f>
        <v>FLAT</v>
      </c>
      <c r="M447" s="9" t="str">
        <f>VLOOKUP($A447,[4]cliqccee!$A:$AK,33,FALSE)</f>
        <v>Validado</v>
      </c>
      <c r="N447" s="499">
        <f t="shared" si="166"/>
        <v>0</v>
      </c>
    </row>
    <row r="448" spans="1:14" ht="11.25" x14ac:dyDescent="0.2">
      <c r="A448" s="167">
        <v>567025</v>
      </c>
      <c r="B448" s="167" t="s">
        <v>171</v>
      </c>
      <c r="C448" s="167" t="s">
        <v>71</v>
      </c>
      <c r="D448" s="192" t="s">
        <v>78</v>
      </c>
      <c r="E448" s="79">
        <f t="shared" si="164"/>
        <v>0</v>
      </c>
      <c r="F448" s="83">
        <f>VLOOKUP(A448,$A$56:$H$69,6,FALSE)</f>
        <v>0</v>
      </c>
      <c r="G448" s="193">
        <f>VLOOKUP(A448,$A$56:$H$69,7,FALSE)</f>
        <v>0</v>
      </c>
      <c r="H448" s="193">
        <f t="shared" si="165"/>
        <v>0</v>
      </c>
      <c r="I448" s="228"/>
      <c r="J448" s="9" t="str">
        <f>VLOOKUP($A448,[4]cliqccee!$A:$AK,26,FALSE)</f>
        <v>0,000000</v>
      </c>
      <c r="K448" s="9" t="str">
        <f>VLOOKUP($A448,[4]cliqccee!$A:$AK,10,FALSE)</f>
        <v>Validado</v>
      </c>
      <c r="L448" s="9" t="str">
        <f>VLOOKUP($A448,[4]cliqccee!$A:$AK,32,FALSE)</f>
        <v>FLAT</v>
      </c>
      <c r="M448" s="9" t="str">
        <f>VLOOKUP($A448,[4]cliqccee!$A:$AK,33,FALSE)</f>
        <v>Validado</v>
      </c>
      <c r="N448" s="499">
        <f t="shared" si="166"/>
        <v>0</v>
      </c>
    </row>
    <row r="449" spans="1:14" ht="11.25" x14ac:dyDescent="0.2">
      <c r="A449" s="167">
        <v>567197</v>
      </c>
      <c r="B449" s="167" t="s">
        <v>265</v>
      </c>
      <c r="C449" s="167" t="s">
        <v>71</v>
      </c>
      <c r="D449" s="192" t="s">
        <v>78</v>
      </c>
      <c r="E449" s="79">
        <f t="shared" si="164"/>
        <v>196.48257100000001</v>
      </c>
      <c r="F449" s="83">
        <f>VLOOKUP(A449,$A$147:$H$169,6,FALSE)</f>
        <v>146183.03273195872</v>
      </c>
      <c r="G449" s="193">
        <f>VLOOKUP(A449,$A$147:$H$169,7,FALSE)</f>
        <v>0</v>
      </c>
      <c r="H449" s="193">
        <f t="shared" si="165"/>
        <v>0</v>
      </c>
      <c r="I449" s="228"/>
      <c r="J449" s="9" t="str">
        <f>VLOOKUP($A449,[4]cliqccee!$A:$AK,26,FALSE)</f>
        <v>213,026385</v>
      </c>
      <c r="K449" s="9" t="str">
        <f>VLOOKUP($A449,[4]cliqccee!$A:$AK,10,FALSE)</f>
        <v>Validado</v>
      </c>
      <c r="L449" s="9" t="str">
        <f>VLOOKUP($A449,[4]cliqccee!$A:$AK,32,FALSE)</f>
        <v>FLAT</v>
      </c>
      <c r="M449" s="9" t="str">
        <f>VLOOKUP($A449,[4]cliqccee!$A:$AK,33,FALSE)</f>
        <v>Ajustado Validado</v>
      </c>
      <c r="N449" s="499">
        <f t="shared" si="166"/>
        <v>16.543813999999998</v>
      </c>
    </row>
    <row r="450" spans="1:14" ht="11.25" x14ac:dyDescent="0.2">
      <c r="A450" s="167">
        <v>395153</v>
      </c>
      <c r="B450" s="167" t="s">
        <v>263</v>
      </c>
      <c r="C450" s="167" t="s">
        <v>71</v>
      </c>
      <c r="D450" s="192" t="s">
        <v>78</v>
      </c>
      <c r="E450" s="79">
        <f t="shared" si="164"/>
        <v>0</v>
      </c>
      <c r="F450" s="83">
        <f>VLOOKUP(A450,$A$202:$H$215,6,FALSE)</f>
        <v>0</v>
      </c>
      <c r="G450" s="193">
        <f>VLOOKUP(A450,$A$202:$H$215,7,FALSE)</f>
        <v>0</v>
      </c>
      <c r="H450" s="193">
        <f t="shared" si="165"/>
        <v>0</v>
      </c>
      <c r="I450" s="228"/>
      <c r="J450" s="9" t="str">
        <f>VLOOKUP($A450,[4]cliqccee!$A:$AK,26,FALSE)</f>
        <v>0,000000</v>
      </c>
      <c r="K450" s="9" t="str">
        <f>VLOOKUP($A450,[4]cliqccee!$A:$AK,10,FALSE)</f>
        <v>Validado</v>
      </c>
      <c r="L450" s="9" t="str">
        <f>VLOOKUP($A450,[4]cliqccee!$A:$AK,32,FALSE)</f>
        <v>FLAT</v>
      </c>
      <c r="M450" s="9" t="str">
        <f>VLOOKUP($A450,[4]cliqccee!$A:$AK,33,FALSE)</f>
        <v>Validado</v>
      </c>
      <c r="N450" s="499">
        <f t="shared" si="166"/>
        <v>0</v>
      </c>
    </row>
    <row r="451" spans="1:14" ht="11.25" x14ac:dyDescent="0.2">
      <c r="A451" s="167">
        <v>395160</v>
      </c>
      <c r="B451" s="167" t="s">
        <v>264</v>
      </c>
      <c r="C451" s="167" t="s">
        <v>71</v>
      </c>
      <c r="D451" s="192" t="s">
        <v>78</v>
      </c>
      <c r="E451" s="79">
        <f t="shared" si="164"/>
        <v>0</v>
      </c>
      <c r="F451" s="83">
        <f>VLOOKUP(A451,$A$823:$H$873,6,FALSE)</f>
        <v>0</v>
      </c>
      <c r="G451" s="193">
        <f>VLOOKUP(A451,$A$823:$H$873,7,FALSE)</f>
        <v>0</v>
      </c>
      <c r="H451" s="193">
        <f t="shared" si="165"/>
        <v>0</v>
      </c>
      <c r="I451" s="228"/>
      <c r="J451" s="9" t="str">
        <f>VLOOKUP($A451,[4]cliqccee!$A:$AK,26,FALSE)</f>
        <v>0,000000</v>
      </c>
      <c r="K451" s="9" t="str">
        <f>VLOOKUP($A451,[4]cliqccee!$A:$AK,10,FALSE)</f>
        <v>Validado</v>
      </c>
      <c r="L451" s="9" t="str">
        <f>VLOOKUP($A451,[4]cliqccee!$A:$AK,32,FALSE)</f>
        <v>FLAT</v>
      </c>
      <c r="M451" s="9" t="str">
        <f>VLOOKUP($A451,[4]cliqccee!$A:$AK,33,FALSE)</f>
        <v>Validado</v>
      </c>
      <c r="N451" s="499">
        <f t="shared" si="166"/>
        <v>0</v>
      </c>
    </row>
    <row r="452" spans="1:14" ht="11.25" x14ac:dyDescent="0.2">
      <c r="A452" s="167">
        <v>566824</v>
      </c>
      <c r="B452" s="167" t="s">
        <v>170</v>
      </c>
      <c r="C452" s="167" t="s">
        <v>71</v>
      </c>
      <c r="D452" s="192" t="s">
        <v>78</v>
      </c>
      <c r="E452" s="79">
        <f t="shared" si="164"/>
        <v>0</v>
      </c>
      <c r="F452" s="83">
        <f>VLOOKUP(A452,$A$742:$H$772,6,FALSE)</f>
        <v>0</v>
      </c>
      <c r="G452" s="193">
        <f>VLOOKUP(A452,$A$742:$H$772,7,FALSE)</f>
        <v>0</v>
      </c>
      <c r="H452" s="193">
        <f t="shared" si="165"/>
        <v>0</v>
      </c>
      <c r="I452" s="228"/>
      <c r="J452" s="9" t="str">
        <f>VLOOKUP($A452,[4]cliqccee!$A:$AK,26,FALSE)</f>
        <v>0,000000</v>
      </c>
      <c r="K452" s="9" t="str">
        <f>VLOOKUP($A452,[4]cliqccee!$A:$AK,10,FALSE)</f>
        <v>Validado</v>
      </c>
      <c r="L452" s="9" t="str">
        <f>VLOOKUP($A452,[4]cliqccee!$A:$AK,32,FALSE)</f>
        <v>FLAT</v>
      </c>
      <c r="M452" s="9" t="str">
        <f>VLOOKUP($A452,[4]cliqccee!$A:$AK,33,FALSE)</f>
        <v>Validado</v>
      </c>
      <c r="N452" s="499">
        <f t="shared" si="166"/>
        <v>0</v>
      </c>
    </row>
    <row r="453" spans="1:14" ht="11.25" x14ac:dyDescent="0.2">
      <c r="A453" s="167"/>
      <c r="B453" s="406"/>
      <c r="C453" s="406"/>
      <c r="D453" s="407"/>
      <c r="E453" s="501"/>
      <c r="F453" s="83"/>
      <c r="G453" s="170"/>
      <c r="H453" s="193"/>
      <c r="I453" s="411"/>
      <c r="J453" s="9" t="e">
        <f>VLOOKUP($A453,[4]cliqccee!$A:$AK,26,FALSE)</f>
        <v>#N/A</v>
      </c>
      <c r="K453" s="9" t="e">
        <f>VLOOKUP($A453,[4]cliqccee!$A:$AK,10,FALSE)</f>
        <v>#N/A</v>
      </c>
      <c r="L453" s="9" t="e">
        <f>VLOOKUP($A453,[4]cliqccee!$A:$AK,32,FALSE)</f>
        <v>#N/A</v>
      </c>
      <c r="M453" s="9" t="e">
        <f>VLOOKUP($A453,[4]cliqccee!$A:$AK,33,FALSE)</f>
        <v>#N/A</v>
      </c>
      <c r="N453" s="499" t="e">
        <f t="shared" si="166"/>
        <v>#N/A</v>
      </c>
    </row>
    <row r="454" spans="1:14" ht="11.25" x14ac:dyDescent="0.2">
      <c r="A454" s="167"/>
      <c r="B454" s="406"/>
      <c r="C454" s="406"/>
      <c r="D454" s="407"/>
      <c r="E454" s="501"/>
      <c r="F454" s="83"/>
      <c r="G454" s="170"/>
      <c r="H454" s="193"/>
      <c r="I454" s="228"/>
      <c r="J454" s="9" t="e">
        <f>VLOOKUP($A454,[4]cliqccee!$A:$AK,26,FALSE)</f>
        <v>#N/A</v>
      </c>
      <c r="K454" s="9" t="e">
        <f>VLOOKUP($A454,[4]cliqccee!$A:$AK,10,FALSE)</f>
        <v>#N/A</v>
      </c>
      <c r="L454" s="9" t="e">
        <f>VLOOKUP($A454,[4]cliqccee!$A:$AK,32,FALSE)</f>
        <v>#N/A</v>
      </c>
      <c r="M454" s="9" t="e">
        <f>VLOOKUP($A454,[4]cliqccee!$A:$AK,33,FALSE)</f>
        <v>#N/A</v>
      </c>
      <c r="N454" s="499" t="e">
        <f t="shared" si="166"/>
        <v>#N/A</v>
      </c>
    </row>
    <row r="455" spans="1:14" ht="11.25" x14ac:dyDescent="0.2">
      <c r="A455" s="167"/>
      <c r="B455" s="406"/>
      <c r="C455" s="406"/>
      <c r="D455" s="407"/>
      <c r="E455" s="501"/>
      <c r="F455" s="83"/>
      <c r="G455" s="170"/>
      <c r="H455" s="193"/>
      <c r="I455" s="228"/>
      <c r="J455" s="9" t="e">
        <f>VLOOKUP($A455,[4]cliqccee!$A:$AK,26,FALSE)</f>
        <v>#N/A</v>
      </c>
      <c r="K455" s="9" t="e">
        <f>VLOOKUP($A455,[4]cliqccee!$A:$AK,10,FALSE)</f>
        <v>#N/A</v>
      </c>
      <c r="L455" s="9" t="e">
        <f>VLOOKUP($A455,[4]cliqccee!$A:$AK,32,FALSE)</f>
        <v>#N/A</v>
      </c>
      <c r="M455" s="9" t="e">
        <f>VLOOKUP($A455,[4]cliqccee!$A:$AK,33,FALSE)</f>
        <v>#N/A</v>
      </c>
      <c r="N455" s="499" t="e">
        <f t="shared" si="166"/>
        <v>#N/A</v>
      </c>
    </row>
    <row r="456" spans="1:14" ht="11.25" x14ac:dyDescent="0.2">
      <c r="A456" s="167"/>
      <c r="B456" s="406"/>
      <c r="C456" s="406"/>
      <c r="D456" s="407"/>
      <c r="E456" s="501"/>
      <c r="F456" s="83"/>
      <c r="G456" s="170"/>
      <c r="H456" s="193"/>
      <c r="I456" s="228"/>
      <c r="J456" s="9" t="e">
        <f>VLOOKUP($A456,[4]cliqccee!$A:$AK,26,FALSE)</f>
        <v>#N/A</v>
      </c>
      <c r="K456" s="9" t="e">
        <f>VLOOKUP($A456,[4]cliqccee!$A:$AK,10,FALSE)</f>
        <v>#N/A</v>
      </c>
      <c r="L456" s="9" t="e">
        <f>VLOOKUP($A456,[4]cliqccee!$A:$AK,32,FALSE)</f>
        <v>#N/A</v>
      </c>
      <c r="M456" s="9" t="e">
        <f>VLOOKUP($A456,[4]cliqccee!$A:$AK,33,FALSE)</f>
        <v>#N/A</v>
      </c>
      <c r="N456" s="499" t="e">
        <f t="shared" si="166"/>
        <v>#N/A</v>
      </c>
    </row>
    <row r="457" spans="1:14" ht="11.25" x14ac:dyDescent="0.2">
      <c r="A457" s="167"/>
      <c r="B457" s="406"/>
      <c r="C457" s="406"/>
      <c r="D457" s="407"/>
      <c r="E457" s="501"/>
      <c r="F457" s="83"/>
      <c r="G457" s="170"/>
      <c r="H457" s="193"/>
      <c r="I457" s="228"/>
      <c r="J457" s="9" t="e">
        <f>VLOOKUP($A457,[4]cliqccee!$A:$AK,26,FALSE)</f>
        <v>#N/A</v>
      </c>
      <c r="K457" s="9" t="e">
        <f>VLOOKUP($A457,[4]cliqccee!$A:$AK,10,FALSE)</f>
        <v>#N/A</v>
      </c>
      <c r="L457" s="9" t="e">
        <f>VLOOKUP($A457,[4]cliqccee!$A:$AK,32,FALSE)</f>
        <v>#N/A</v>
      </c>
      <c r="M457" s="9" t="e">
        <f>VLOOKUP($A457,[4]cliqccee!$A:$AK,33,FALSE)</f>
        <v>#N/A</v>
      </c>
      <c r="N457" s="499" t="e">
        <f t="shared" si="166"/>
        <v>#N/A</v>
      </c>
    </row>
    <row r="458" spans="1:14" ht="11.25" x14ac:dyDescent="0.2">
      <c r="A458" s="167"/>
      <c r="B458" s="406"/>
      <c r="C458" s="406"/>
      <c r="D458" s="407"/>
      <c r="E458" s="501"/>
      <c r="F458" s="83"/>
      <c r="G458" s="170"/>
      <c r="H458" s="193"/>
      <c r="I458" s="228"/>
      <c r="J458" s="9" t="e">
        <f>VLOOKUP($A458,[4]cliqccee!$A:$AK,26,FALSE)</f>
        <v>#N/A</v>
      </c>
      <c r="K458" s="9" t="e">
        <f>VLOOKUP($A458,[4]cliqccee!$A:$AK,10,FALSE)</f>
        <v>#N/A</v>
      </c>
      <c r="L458" s="9" t="e">
        <f>VLOOKUP($A458,[4]cliqccee!$A:$AK,32,FALSE)</f>
        <v>#N/A</v>
      </c>
      <c r="M458" s="9" t="e">
        <f>VLOOKUP($A458,[4]cliqccee!$A:$AK,33,FALSE)</f>
        <v>#N/A</v>
      </c>
      <c r="N458" s="499" t="e">
        <f t="shared" si="166"/>
        <v>#N/A</v>
      </c>
    </row>
    <row r="459" spans="1:14" ht="11.25" x14ac:dyDescent="0.2">
      <c r="A459" s="167"/>
      <c r="B459" s="406"/>
      <c r="C459" s="406"/>
      <c r="D459" s="407"/>
      <c r="E459" s="501"/>
      <c r="F459" s="83"/>
      <c r="G459" s="170"/>
      <c r="H459" s="193"/>
      <c r="I459" s="228"/>
      <c r="J459" s="9" t="e">
        <f>VLOOKUP($A459,[4]cliqccee!$A:$AK,26,FALSE)</f>
        <v>#N/A</v>
      </c>
      <c r="K459" s="9" t="e">
        <f>VLOOKUP($A459,[4]cliqccee!$A:$AK,10,FALSE)</f>
        <v>#N/A</v>
      </c>
      <c r="L459" s="9" t="e">
        <f>VLOOKUP($A459,[4]cliqccee!$A:$AK,32,FALSE)</f>
        <v>#N/A</v>
      </c>
      <c r="M459" s="9" t="e">
        <f>VLOOKUP($A459,[4]cliqccee!$A:$AK,33,FALSE)</f>
        <v>#N/A</v>
      </c>
      <c r="N459" s="499" t="e">
        <f t="shared" si="166"/>
        <v>#N/A</v>
      </c>
    </row>
    <row r="460" spans="1:14" ht="11.25" x14ac:dyDescent="0.2">
      <c r="A460" s="167"/>
      <c r="B460" s="406"/>
      <c r="C460" s="406"/>
      <c r="D460" s="407"/>
      <c r="E460" s="501"/>
      <c r="F460" s="83"/>
      <c r="G460" s="170"/>
      <c r="H460" s="193"/>
      <c r="I460" s="228"/>
      <c r="J460" s="9" t="e">
        <f>VLOOKUP($A460,[4]cliqccee!$A:$AK,26,FALSE)</f>
        <v>#N/A</v>
      </c>
      <c r="K460" s="9" t="e">
        <f>VLOOKUP($A460,[4]cliqccee!$A:$AK,10,FALSE)</f>
        <v>#N/A</v>
      </c>
      <c r="L460" s="9" t="e">
        <f>VLOOKUP($A460,[4]cliqccee!$A:$AK,32,FALSE)</f>
        <v>#N/A</v>
      </c>
      <c r="M460" s="9" t="e">
        <f>VLOOKUP($A460,[4]cliqccee!$A:$AK,33,FALSE)</f>
        <v>#N/A</v>
      </c>
      <c r="N460" s="499" t="e">
        <f t="shared" si="166"/>
        <v>#N/A</v>
      </c>
    </row>
    <row r="461" spans="1:14" ht="11.25" x14ac:dyDescent="0.2">
      <c r="A461" s="167"/>
      <c r="B461" s="406"/>
      <c r="C461" s="406"/>
      <c r="D461" s="407"/>
      <c r="E461" s="501"/>
      <c r="F461" s="83"/>
      <c r="G461" s="170"/>
      <c r="H461" s="193"/>
      <c r="I461" s="228"/>
      <c r="J461" s="9" t="e">
        <f>VLOOKUP($A461,[4]cliqccee!$A:$AK,26,FALSE)</f>
        <v>#N/A</v>
      </c>
      <c r="K461" s="9" t="e">
        <f>VLOOKUP($A461,[4]cliqccee!$A:$AK,10,FALSE)</f>
        <v>#N/A</v>
      </c>
      <c r="L461" s="9" t="e">
        <f>VLOOKUP($A461,[4]cliqccee!$A:$AK,32,FALSE)</f>
        <v>#N/A</v>
      </c>
      <c r="M461" s="9" t="e">
        <f>VLOOKUP($A461,[4]cliqccee!$A:$AK,33,FALSE)</f>
        <v>#N/A</v>
      </c>
      <c r="N461" s="499" t="e">
        <f t="shared" si="166"/>
        <v>#N/A</v>
      </c>
    </row>
    <row r="462" spans="1:14" ht="11.25" x14ac:dyDescent="0.2">
      <c r="A462" s="253"/>
      <c r="B462" s="253"/>
      <c r="C462" s="253"/>
      <c r="D462" s="253"/>
      <c r="E462" s="203"/>
      <c r="F462" s="204"/>
      <c r="G462" s="205"/>
      <c r="H462" s="206"/>
      <c r="I462" s="228"/>
      <c r="J462" s="393"/>
      <c r="K462" s="393"/>
      <c r="L462" s="393"/>
      <c r="M462" s="393"/>
      <c r="N462" s="418"/>
    </row>
    <row r="463" spans="1:14" ht="11.25" x14ac:dyDescent="0.2">
      <c r="A463" s="80" t="s">
        <v>32</v>
      </c>
      <c r="B463" s="421"/>
      <c r="C463" s="421"/>
      <c r="D463" s="422"/>
      <c r="E463" s="81">
        <f>SUM(E446:E462)</f>
        <v>197.16019600000001</v>
      </c>
      <c r="F463" s="84">
        <f>SUM(F446:F462)</f>
        <v>146687.18573195871</v>
      </c>
      <c r="G463" s="82">
        <f>IFERROR(H463/F463,0)</f>
        <v>0</v>
      </c>
      <c r="H463" s="82">
        <f>SUM(H446:H462)</f>
        <v>0</v>
      </c>
      <c r="I463" s="228"/>
      <c r="N463" s="418"/>
    </row>
    <row r="464" spans="1:14" ht="11.25" x14ac:dyDescent="0.2">
      <c r="N464" s="418"/>
    </row>
    <row r="465" spans="1:14" ht="11.25" x14ac:dyDescent="0.2">
      <c r="A465" s="548" t="s">
        <v>233</v>
      </c>
      <c r="B465" s="548"/>
      <c r="C465" s="548"/>
      <c r="E465" s="423" t="s">
        <v>19</v>
      </c>
      <c r="F465" s="423"/>
      <c r="G465" s="424" t="s">
        <v>20</v>
      </c>
      <c r="H465" s="424"/>
      <c r="I465" s="425" t="s">
        <v>21</v>
      </c>
      <c r="J465" s="425"/>
      <c r="K465" s="426" t="s">
        <v>22</v>
      </c>
      <c r="L465" s="426"/>
      <c r="N465" s="418"/>
    </row>
    <row r="466" spans="1:14" ht="11.25" x14ac:dyDescent="0.2">
      <c r="A466" s="10" t="s">
        <v>2</v>
      </c>
      <c r="B466" s="10" t="s">
        <v>137</v>
      </c>
      <c r="C466" s="10" t="s">
        <v>25</v>
      </c>
      <c r="E466" s="427" t="s">
        <v>137</v>
      </c>
      <c r="F466" s="428" t="s">
        <v>25</v>
      </c>
      <c r="G466" s="429" t="s">
        <v>137</v>
      </c>
      <c r="H466" s="430" t="s">
        <v>25</v>
      </c>
      <c r="I466" s="431" t="s">
        <v>137</v>
      </c>
      <c r="J466" s="432" t="s">
        <v>25</v>
      </c>
      <c r="K466" s="433" t="s">
        <v>137</v>
      </c>
      <c r="L466" s="434" t="s">
        <v>25</v>
      </c>
      <c r="N466" s="418"/>
    </row>
    <row r="467" spans="1:14" ht="11.25" x14ac:dyDescent="0.2">
      <c r="A467" s="29" t="s">
        <v>69</v>
      </c>
      <c r="B467" s="70">
        <v>0</v>
      </c>
      <c r="C467" s="83">
        <v>0</v>
      </c>
      <c r="E467" s="435">
        <f t="shared" ref="E467:E473" si="167">SUMIFS($E$431:$E$462,$C$431:$C$462,$A467,$D$431:$D$462,$E$465)</f>
        <v>0</v>
      </c>
      <c r="F467" s="436">
        <f t="shared" ref="F467:F473" si="168">SUMIFS($F$431:$F$462,$C$431:$C$462,$A467,$D$431:$D$462,$E$465)</f>
        <v>0</v>
      </c>
      <c r="G467" s="437">
        <f t="shared" ref="G467:G473" si="169">SUMIFS($E$431:$E$462,$C$431:$C$462,$A467,$D$431:$D$462,$G$465)</f>
        <v>0</v>
      </c>
      <c r="H467" s="438">
        <f t="shared" ref="H467:H473" si="170">SUMIFS($F$431:$F$462,$C$431:$C$462,$A467,$D$431:$D$462,$G$465)</f>
        <v>0</v>
      </c>
      <c r="I467" s="439">
        <f t="shared" ref="I467:I473" si="171">SUMIFS($E$431:$E$462,$C$431:$C$462,$A467,$D$431:$D$462,$I$465)</f>
        <v>0</v>
      </c>
      <c r="J467" s="440">
        <f t="shared" ref="J467:J473" si="172">SUMIFS($F$431:$F$462,$C$431:$C$462,$A467,$D$431:$D$462,$I$465)</f>
        <v>0</v>
      </c>
      <c r="K467" s="441">
        <f t="shared" ref="K467:K473" si="173">SUMIFS($E$431:$E$462,$C$431:$C$462,$A467,$D$431:$D$462,$K$465)</f>
        <v>0</v>
      </c>
      <c r="L467" s="442">
        <f t="shared" ref="L467:L473" si="174">SUMIFS($F$431:$F$462,$C$431:$C$462,$A467,$D$431:$D$462,$K$465)</f>
        <v>0</v>
      </c>
      <c r="N467" s="418"/>
    </row>
    <row r="468" spans="1:14" ht="11.25" x14ac:dyDescent="0.2">
      <c r="A468" s="29" t="s">
        <v>47</v>
      </c>
      <c r="B468" s="70">
        <v>0</v>
      </c>
      <c r="C468" s="83">
        <v>0</v>
      </c>
      <c r="E468" s="435">
        <f t="shared" si="167"/>
        <v>0</v>
      </c>
      <c r="F468" s="436">
        <f t="shared" si="168"/>
        <v>0</v>
      </c>
      <c r="G468" s="437">
        <f t="shared" si="169"/>
        <v>0</v>
      </c>
      <c r="H468" s="438">
        <f t="shared" si="170"/>
        <v>0</v>
      </c>
      <c r="I468" s="439">
        <f t="shared" si="171"/>
        <v>0</v>
      </c>
      <c r="J468" s="440">
        <f t="shared" si="172"/>
        <v>0</v>
      </c>
      <c r="K468" s="441">
        <f t="shared" si="173"/>
        <v>0</v>
      </c>
      <c r="L468" s="442">
        <f t="shared" si="174"/>
        <v>0</v>
      </c>
      <c r="N468" s="418"/>
    </row>
    <row r="469" spans="1:14" ht="11.25" x14ac:dyDescent="0.2">
      <c r="A469" s="29" t="s">
        <v>79</v>
      </c>
      <c r="B469" s="70">
        <v>0</v>
      </c>
      <c r="C469" s="83">
        <v>0</v>
      </c>
      <c r="E469" s="435">
        <f t="shared" si="167"/>
        <v>0</v>
      </c>
      <c r="F469" s="436">
        <f t="shared" si="168"/>
        <v>0</v>
      </c>
      <c r="G469" s="437">
        <f t="shared" si="169"/>
        <v>0</v>
      </c>
      <c r="H469" s="438">
        <f t="shared" si="170"/>
        <v>0</v>
      </c>
      <c r="I469" s="439">
        <f t="shared" si="171"/>
        <v>0</v>
      </c>
      <c r="J469" s="440">
        <f t="shared" si="172"/>
        <v>0</v>
      </c>
      <c r="K469" s="441">
        <f t="shared" si="173"/>
        <v>0</v>
      </c>
      <c r="L469" s="442">
        <f t="shared" si="174"/>
        <v>0</v>
      </c>
      <c r="N469" s="418"/>
    </row>
    <row r="470" spans="1:14" ht="11.25" x14ac:dyDescent="0.2">
      <c r="A470" s="29" t="s">
        <v>71</v>
      </c>
      <c r="B470" s="70">
        <f>E463</f>
        <v>197.16019600000001</v>
      </c>
      <c r="C470" s="83">
        <f>F463</f>
        <v>146687.18573195871</v>
      </c>
      <c r="E470" s="435">
        <f t="shared" si="167"/>
        <v>0</v>
      </c>
      <c r="F470" s="436">
        <f t="shared" si="168"/>
        <v>0</v>
      </c>
      <c r="G470" s="437">
        <f t="shared" si="169"/>
        <v>0</v>
      </c>
      <c r="H470" s="438">
        <f t="shared" si="170"/>
        <v>0</v>
      </c>
      <c r="I470" s="439">
        <f t="shared" si="171"/>
        <v>197.16019600000001</v>
      </c>
      <c r="J470" s="440">
        <f t="shared" si="172"/>
        <v>146687.18573195871</v>
      </c>
      <c r="K470" s="441">
        <f t="shared" si="173"/>
        <v>0</v>
      </c>
      <c r="L470" s="442">
        <f t="shared" si="174"/>
        <v>0</v>
      </c>
      <c r="N470" s="418"/>
    </row>
    <row r="471" spans="1:14" ht="11.25" x14ac:dyDescent="0.2">
      <c r="A471" s="29" t="s">
        <v>9</v>
      </c>
      <c r="B471" s="70">
        <f>E442</f>
        <v>197.16019600000001</v>
      </c>
      <c r="C471" s="83">
        <f>F442</f>
        <v>146687.18573195871</v>
      </c>
      <c r="E471" s="435">
        <f t="shared" si="167"/>
        <v>0</v>
      </c>
      <c r="F471" s="436">
        <f t="shared" si="168"/>
        <v>0</v>
      </c>
      <c r="G471" s="437">
        <f t="shared" si="169"/>
        <v>0</v>
      </c>
      <c r="H471" s="438">
        <f t="shared" si="170"/>
        <v>0</v>
      </c>
      <c r="I471" s="439">
        <f t="shared" si="171"/>
        <v>197.16019600000001</v>
      </c>
      <c r="J471" s="440">
        <f t="shared" si="172"/>
        <v>146687.18573195871</v>
      </c>
      <c r="K471" s="441">
        <f t="shared" si="173"/>
        <v>0</v>
      </c>
      <c r="L471" s="442">
        <f t="shared" si="174"/>
        <v>0</v>
      </c>
      <c r="M471" s="459"/>
      <c r="N471" s="418"/>
    </row>
    <row r="472" spans="1:14" ht="11.25" x14ac:dyDescent="0.2">
      <c r="A472" s="29" t="s">
        <v>80</v>
      </c>
      <c r="B472" s="70">
        <v>0</v>
      </c>
      <c r="C472" s="83">
        <v>0</v>
      </c>
      <c r="E472" s="435">
        <f t="shared" si="167"/>
        <v>0</v>
      </c>
      <c r="F472" s="436">
        <f t="shared" si="168"/>
        <v>0</v>
      </c>
      <c r="G472" s="437">
        <f t="shared" si="169"/>
        <v>0</v>
      </c>
      <c r="H472" s="438">
        <f t="shared" si="170"/>
        <v>0</v>
      </c>
      <c r="I472" s="439">
        <f t="shared" si="171"/>
        <v>0</v>
      </c>
      <c r="J472" s="440">
        <f t="shared" si="172"/>
        <v>0</v>
      </c>
      <c r="K472" s="441">
        <f t="shared" si="173"/>
        <v>0</v>
      </c>
      <c r="L472" s="442">
        <f t="shared" si="174"/>
        <v>0</v>
      </c>
      <c r="N472" s="418"/>
    </row>
    <row r="473" spans="1:14" ht="11.25" x14ac:dyDescent="0.2">
      <c r="A473" s="29" t="s">
        <v>77</v>
      </c>
      <c r="B473" s="70">
        <v>0</v>
      </c>
      <c r="C473" s="83">
        <v>0</v>
      </c>
      <c r="E473" s="435">
        <f t="shared" si="167"/>
        <v>0</v>
      </c>
      <c r="F473" s="436">
        <f t="shared" si="168"/>
        <v>0</v>
      </c>
      <c r="G473" s="437">
        <f t="shared" si="169"/>
        <v>0</v>
      </c>
      <c r="H473" s="438">
        <f t="shared" si="170"/>
        <v>0</v>
      </c>
      <c r="I473" s="439">
        <f t="shared" si="171"/>
        <v>0</v>
      </c>
      <c r="J473" s="440">
        <f t="shared" si="172"/>
        <v>0</v>
      </c>
      <c r="K473" s="441">
        <f t="shared" si="173"/>
        <v>0</v>
      </c>
      <c r="L473" s="442">
        <f t="shared" si="174"/>
        <v>0</v>
      </c>
      <c r="N473" s="418"/>
    </row>
    <row r="474" spans="1:14" ht="11.25" x14ac:dyDescent="0.2">
      <c r="A474" s="11" t="s">
        <v>81</v>
      </c>
      <c r="B474" s="12">
        <f>SUM(B467:B470)-SUM(B471:B473)</f>
        <v>0</v>
      </c>
      <c r="C474" s="12">
        <f>SUM(C467:C470)-SUM(C471:C473)</f>
        <v>0</v>
      </c>
      <c r="E474" s="443">
        <f t="shared" ref="E474:L474" si="175">SUM(E467:E470)-SUM(E471:E473)</f>
        <v>0</v>
      </c>
      <c r="F474" s="444">
        <f>SUM(F467:F470)-SUM(F471:F473)</f>
        <v>0</v>
      </c>
      <c r="G474" s="445">
        <f t="shared" si="175"/>
        <v>0</v>
      </c>
      <c r="H474" s="446">
        <f t="shared" si="175"/>
        <v>0</v>
      </c>
      <c r="I474" s="447">
        <f t="shared" si="175"/>
        <v>0</v>
      </c>
      <c r="J474" s="448">
        <f t="shared" si="175"/>
        <v>0</v>
      </c>
      <c r="K474" s="449">
        <f t="shared" si="175"/>
        <v>0</v>
      </c>
      <c r="L474" s="450">
        <f t="shared" si="175"/>
        <v>0</v>
      </c>
      <c r="N474" s="418"/>
    </row>
    <row r="475" spans="1:14" ht="11.25" x14ac:dyDescent="0.2">
      <c r="A475" s="11" t="s">
        <v>82</v>
      </c>
      <c r="B475" s="12">
        <f>SUM(B467:B470)-SUM(B471:B474)</f>
        <v>0</v>
      </c>
      <c r="C475" s="12">
        <f>SUM(C467:C470)-SUM(C471:C474)</f>
        <v>0</v>
      </c>
      <c r="E475" s="443">
        <f>SUM(E467:E470)-SUM(E471:E474)</f>
        <v>0</v>
      </c>
      <c r="F475" s="444">
        <f t="shared" ref="F475:L475" si="176">SUM(F467:F470)-SUM(F471:F474)</f>
        <v>0</v>
      </c>
      <c r="G475" s="445">
        <f t="shared" si="176"/>
        <v>0</v>
      </c>
      <c r="H475" s="446">
        <f t="shared" si="176"/>
        <v>0</v>
      </c>
      <c r="I475" s="447">
        <f t="shared" si="176"/>
        <v>0</v>
      </c>
      <c r="J475" s="448">
        <f t="shared" si="176"/>
        <v>0</v>
      </c>
      <c r="K475" s="449">
        <f t="shared" si="176"/>
        <v>0</v>
      </c>
      <c r="L475" s="450">
        <f t="shared" si="176"/>
        <v>0</v>
      </c>
      <c r="N475" s="418"/>
    </row>
    <row r="476" spans="1:14" ht="11.25" x14ac:dyDescent="0.2">
      <c r="N476" s="418"/>
    </row>
    <row r="477" spans="1:14" ht="11.25" x14ac:dyDescent="0.2">
      <c r="E477" s="451">
        <f>(F474*$H$5)+(H474*$J$5)+(J474*$L$5)+(L474*$N$5)</f>
        <v>0</v>
      </c>
      <c r="N477" s="418"/>
    </row>
    <row r="478" spans="1:14" ht="11.25" x14ac:dyDescent="0.2">
      <c r="N478" s="418"/>
    </row>
    <row r="479" spans="1:14" ht="11.25" x14ac:dyDescent="0.2">
      <c r="A479" s="548" t="s">
        <v>422</v>
      </c>
      <c r="B479" s="548"/>
      <c r="C479" s="548"/>
      <c r="D479" s="548"/>
      <c r="E479" s="548"/>
      <c r="F479" s="548"/>
      <c r="G479" s="548"/>
      <c r="H479" s="548"/>
      <c r="N479" s="418"/>
    </row>
    <row r="480" spans="1:14" ht="11.25" x14ac:dyDescent="0.2">
      <c r="A480" s="548"/>
      <c r="B480" s="548"/>
      <c r="C480" s="548"/>
      <c r="D480" s="548"/>
      <c r="E480" s="548"/>
      <c r="F480" s="548"/>
      <c r="G480" s="548"/>
      <c r="H480" s="548"/>
      <c r="N480" s="418"/>
    </row>
    <row r="481" spans="1:16" s="420" customFormat="1" ht="3.75" customHeight="1" x14ac:dyDescent="0.2">
      <c r="A481" s="419"/>
      <c r="B481" s="419"/>
      <c r="C481" s="419"/>
      <c r="D481" s="419"/>
      <c r="E481" s="419"/>
      <c r="F481" s="419"/>
      <c r="G481" s="419"/>
      <c r="H481" s="419"/>
      <c r="I481" s="515"/>
      <c r="J481" s="515"/>
      <c r="K481" s="515"/>
      <c r="L481" s="515"/>
      <c r="M481" s="515"/>
      <c r="N481" s="418"/>
      <c r="O481" s="515"/>
      <c r="P481" s="515"/>
    </row>
    <row r="482" spans="1:16" ht="11.25" x14ac:dyDescent="0.2">
      <c r="A482" s="548" t="s">
        <v>85</v>
      </c>
      <c r="B482" s="548"/>
      <c r="C482" s="548"/>
      <c r="D482" s="548"/>
      <c r="E482" s="548"/>
      <c r="F482" s="548"/>
      <c r="G482" s="548"/>
      <c r="H482" s="548"/>
      <c r="N482" s="418"/>
    </row>
    <row r="483" spans="1:16" ht="11.25" x14ac:dyDescent="0.2">
      <c r="A483" s="10" t="s">
        <v>8</v>
      </c>
      <c r="B483" s="10"/>
      <c r="C483" s="10" t="s">
        <v>2</v>
      </c>
      <c r="D483" s="10" t="s">
        <v>3</v>
      </c>
      <c r="E483" s="10" t="s">
        <v>137</v>
      </c>
      <c r="F483" s="10" t="s">
        <v>25</v>
      </c>
      <c r="G483" s="10" t="s">
        <v>95</v>
      </c>
      <c r="H483" s="10" t="s">
        <v>240</v>
      </c>
      <c r="N483" s="418"/>
    </row>
    <row r="484" spans="1:16" ht="11.25" x14ac:dyDescent="0.2">
      <c r="A484" s="191" t="s">
        <v>255</v>
      </c>
      <c r="B484" s="167"/>
      <c r="C484" s="167" t="s">
        <v>9</v>
      </c>
      <c r="D484" s="192" t="s">
        <v>78</v>
      </c>
      <c r="E484" s="79">
        <f t="shared" ref="E484" si="177">ROUND(F484/$B$33,6)</f>
        <v>5.0870709999999999</v>
      </c>
      <c r="F484" s="83">
        <f>[7]Consolidação!$G$42</f>
        <v>3784.7808200901709</v>
      </c>
      <c r="G484" s="83">
        <f>'[8]2019'!$F$24</f>
        <v>17.754000000000001</v>
      </c>
      <c r="H484" s="103">
        <v>0.03</v>
      </c>
      <c r="N484" s="418"/>
    </row>
    <row r="485" spans="1:16" ht="11.25" x14ac:dyDescent="0.2">
      <c r="A485" s="202"/>
      <c r="B485" s="202"/>
      <c r="C485" s="202"/>
      <c r="D485" s="202"/>
      <c r="E485" s="203"/>
      <c r="F485" s="204"/>
      <c r="G485" s="205"/>
      <c r="H485" s="206"/>
      <c r="N485" s="418"/>
    </row>
    <row r="486" spans="1:16" ht="11.25" x14ac:dyDescent="0.2">
      <c r="A486" s="80" t="s">
        <v>32</v>
      </c>
      <c r="B486" s="421"/>
      <c r="C486" s="421"/>
      <c r="D486" s="422"/>
      <c r="E486" s="81">
        <f>SUM(E484:E485)</f>
        <v>5.0870709999999999</v>
      </c>
      <c r="F486" s="84">
        <f>SUM(F484:F485)</f>
        <v>3784.7808200901709</v>
      </c>
      <c r="G486" s="84">
        <f>SUM(G484:G485)</f>
        <v>17.754000000000001</v>
      </c>
      <c r="H486" s="84"/>
      <c r="I486" s="228"/>
      <c r="N486" s="418"/>
    </row>
    <row r="487" spans="1:16" ht="11.25" x14ac:dyDescent="0.2">
      <c r="F487" s="410"/>
      <c r="G487" s="460"/>
      <c r="N487" s="418"/>
    </row>
    <row r="488" spans="1:16" ht="11.25" x14ac:dyDescent="0.2">
      <c r="A488" s="548" t="s">
        <v>70</v>
      </c>
      <c r="B488" s="548"/>
      <c r="C488" s="548"/>
      <c r="D488" s="548"/>
      <c r="E488" s="548"/>
      <c r="F488" s="548"/>
      <c r="G488" s="548"/>
      <c r="H488" s="548"/>
      <c r="N488" s="418"/>
    </row>
    <row r="489" spans="1:16" x14ac:dyDescent="0.15">
      <c r="A489" s="10" t="s">
        <v>252</v>
      </c>
      <c r="B489" s="10" t="s">
        <v>1</v>
      </c>
      <c r="C489" s="10" t="s">
        <v>2</v>
      </c>
      <c r="D489" s="10" t="s">
        <v>3</v>
      </c>
      <c r="E489" s="10" t="s">
        <v>137</v>
      </c>
      <c r="F489" s="10" t="s">
        <v>25</v>
      </c>
      <c r="G489" s="10" t="s">
        <v>253</v>
      </c>
      <c r="H489" s="10" t="s">
        <v>254</v>
      </c>
      <c r="J489" s="10" t="s">
        <v>72</v>
      </c>
      <c r="K489" s="10" t="s">
        <v>73</v>
      </c>
      <c r="L489" s="10" t="s">
        <v>74</v>
      </c>
      <c r="M489" s="10" t="s">
        <v>75</v>
      </c>
      <c r="N489" s="10" t="s">
        <v>425</v>
      </c>
    </row>
    <row r="490" spans="1:16" ht="11.25" x14ac:dyDescent="0.2">
      <c r="A490" s="268" t="s">
        <v>86</v>
      </c>
      <c r="B490" s="268" t="s">
        <v>340</v>
      </c>
      <c r="C490" s="268" t="s">
        <v>71</v>
      </c>
      <c r="D490" s="269" t="s">
        <v>78</v>
      </c>
      <c r="E490" s="270">
        <f t="shared" ref="E490:E495" si="178">ROUND(F490/$B$33,6)</f>
        <v>2.3862999999999999E-2</v>
      </c>
      <c r="F490" s="271">
        <f>SUMIFS(G484:G485,D484:D485,D490)</f>
        <v>17.754000000000001</v>
      </c>
      <c r="G490" s="272">
        <v>0</v>
      </c>
      <c r="H490" s="272">
        <f t="shared" ref="H490:H495" si="179">F490*G490</f>
        <v>0</v>
      </c>
      <c r="J490" s="9" t="e">
        <f>VLOOKUP($A490,[4]cliqccee!$A:$AK,26,FALSE)</f>
        <v>#N/A</v>
      </c>
      <c r="K490" s="9" t="e">
        <f>VLOOKUP($A490,[4]cliqccee!$A:$AK,10,FALSE)</f>
        <v>#N/A</v>
      </c>
      <c r="L490" s="9" t="e">
        <f>VLOOKUP($A490,[4]cliqccee!$A:$AK,32,FALSE)</f>
        <v>#N/A</v>
      </c>
      <c r="M490" s="9" t="e">
        <f>VLOOKUP($A490,[4]cliqccee!$A:$AK,33,FALSE)</f>
        <v>#N/A</v>
      </c>
      <c r="N490" s="499" t="e">
        <f t="shared" ref="N490:N496" si="180">J490-E490</f>
        <v>#N/A</v>
      </c>
    </row>
    <row r="491" spans="1:16" ht="11.25" x14ac:dyDescent="0.2">
      <c r="A491" s="167">
        <v>1167530</v>
      </c>
      <c r="B491" s="168" t="s">
        <v>423</v>
      </c>
      <c r="C491" s="167" t="s">
        <v>71</v>
      </c>
      <c r="D491" s="169" t="s">
        <v>78</v>
      </c>
      <c r="E491" s="79">
        <f t="shared" si="178"/>
        <v>0</v>
      </c>
      <c r="F491" s="83"/>
      <c r="G491" s="170">
        <v>0</v>
      </c>
      <c r="H491" s="170">
        <f t="shared" si="179"/>
        <v>0</v>
      </c>
      <c r="J491" s="9" t="str">
        <f>VLOOKUP($A491,[4]cliqccee!$A:$AK,26,FALSE)</f>
        <v>0,000000</v>
      </c>
      <c r="K491" s="9" t="str">
        <f>VLOOKUP($A491,[4]cliqccee!$A:$AK,10,FALSE)</f>
        <v>Validado</v>
      </c>
      <c r="L491" s="9" t="str">
        <f>VLOOKUP($A491,[4]cliqccee!$A:$AK,32,FALSE)</f>
        <v>FLAT</v>
      </c>
      <c r="M491" s="9" t="str">
        <f>VLOOKUP($A491,[4]cliqccee!$A:$AK,33,FALSE)</f>
        <v>Validado</v>
      </c>
      <c r="N491" s="499">
        <f t="shared" si="180"/>
        <v>0</v>
      </c>
    </row>
    <row r="492" spans="1:16" ht="11.25" x14ac:dyDescent="0.2">
      <c r="A492" s="167">
        <v>1167492</v>
      </c>
      <c r="B492" s="167" t="s">
        <v>31</v>
      </c>
      <c r="C492" s="167" t="s">
        <v>71</v>
      </c>
      <c r="D492" s="169" t="s">
        <v>78</v>
      </c>
      <c r="E492" s="79">
        <f t="shared" si="178"/>
        <v>0</v>
      </c>
      <c r="F492" s="83"/>
      <c r="G492" s="170">
        <v>0</v>
      </c>
      <c r="H492" s="193">
        <f t="shared" si="179"/>
        <v>0</v>
      </c>
      <c r="J492" s="9" t="str">
        <f>VLOOKUP($A492,[4]cliqccee!$A:$AK,26,FALSE)</f>
        <v>0,000000</v>
      </c>
      <c r="K492" s="9" t="str">
        <f>VLOOKUP($A492,[4]cliqccee!$A:$AK,10,FALSE)</f>
        <v>Validado</v>
      </c>
      <c r="L492" s="9" t="str">
        <f>VLOOKUP($A492,[4]cliqccee!$A:$AK,32,FALSE)</f>
        <v>FLAT</v>
      </c>
      <c r="M492" s="9" t="str">
        <f>VLOOKUP($A492,[4]cliqccee!$A:$AK,33,FALSE)</f>
        <v>Validado</v>
      </c>
      <c r="N492" s="499">
        <f t="shared" si="180"/>
        <v>0</v>
      </c>
    </row>
    <row r="493" spans="1:16" ht="11.25" x14ac:dyDescent="0.2">
      <c r="A493" s="167">
        <v>1167485</v>
      </c>
      <c r="B493" s="168" t="s">
        <v>329</v>
      </c>
      <c r="C493" s="167" t="s">
        <v>71</v>
      </c>
      <c r="D493" s="169" t="s">
        <v>78</v>
      </c>
      <c r="E493" s="79">
        <f t="shared" si="178"/>
        <v>0</v>
      </c>
      <c r="F493" s="83">
        <f>F68</f>
        <v>0</v>
      </c>
      <c r="G493" s="170">
        <v>0</v>
      </c>
      <c r="H493" s="170">
        <f t="shared" si="179"/>
        <v>0</v>
      </c>
      <c r="J493" s="9" t="str">
        <f>VLOOKUP($A493,[4]cliqccee!$A:$AK,26,FALSE)</f>
        <v>4,979315</v>
      </c>
      <c r="K493" s="9" t="str">
        <f>VLOOKUP($A493,[4]cliqccee!$A:$AK,10,FALSE)</f>
        <v>Validado</v>
      </c>
      <c r="L493" s="9" t="str">
        <f>VLOOKUP($A493,[4]cliqccee!$A:$AK,32,FALSE)</f>
        <v>FLAT</v>
      </c>
      <c r="M493" s="9" t="str">
        <f>VLOOKUP($A493,[4]cliqccee!$A:$AK,33,FALSE)</f>
        <v>Ajustado Validado</v>
      </c>
      <c r="N493" s="499">
        <f t="shared" si="180"/>
        <v>4.9793149999999997</v>
      </c>
    </row>
    <row r="494" spans="1:16" ht="11.25" x14ac:dyDescent="0.2">
      <c r="A494" s="167">
        <v>1167486</v>
      </c>
      <c r="B494" s="168" t="s">
        <v>330</v>
      </c>
      <c r="C494" s="167" t="s">
        <v>71</v>
      </c>
      <c r="D494" s="169" t="s">
        <v>78</v>
      </c>
      <c r="E494" s="79">
        <f t="shared" si="178"/>
        <v>0</v>
      </c>
      <c r="F494" s="83"/>
      <c r="G494" s="170">
        <v>0</v>
      </c>
      <c r="H494" s="170">
        <f t="shared" si="179"/>
        <v>0</v>
      </c>
      <c r="J494" s="9" t="str">
        <f>VLOOKUP($A494,[4]cliqccee!$A:$AK,26,FALSE)</f>
        <v>0,000000</v>
      </c>
      <c r="K494" s="9" t="str">
        <f>VLOOKUP($A494,[4]cliqccee!$A:$AK,10,FALSE)</f>
        <v>Validado</v>
      </c>
      <c r="L494" s="9" t="str">
        <f>VLOOKUP($A494,[4]cliqccee!$A:$AK,32,FALSE)</f>
        <v>FLAT</v>
      </c>
      <c r="M494" s="9" t="str">
        <f>VLOOKUP($A494,[4]cliqccee!$A:$AK,33,FALSE)</f>
        <v>Validado</v>
      </c>
      <c r="N494" s="499">
        <f t="shared" si="180"/>
        <v>0</v>
      </c>
    </row>
    <row r="495" spans="1:16" ht="11.25" x14ac:dyDescent="0.2">
      <c r="A495" s="167">
        <v>1167491</v>
      </c>
      <c r="B495" s="168" t="s">
        <v>331</v>
      </c>
      <c r="C495" s="167" t="s">
        <v>71</v>
      </c>
      <c r="D495" s="169" t="s">
        <v>78</v>
      </c>
      <c r="E495" s="79">
        <f t="shared" si="178"/>
        <v>0</v>
      </c>
      <c r="F495" s="83"/>
      <c r="G495" s="170">
        <v>0</v>
      </c>
      <c r="H495" s="170">
        <f t="shared" si="179"/>
        <v>0</v>
      </c>
      <c r="J495" s="9" t="str">
        <f>VLOOKUP($A495,[4]cliqccee!$A:$AK,26,FALSE)</f>
        <v>0,000000</v>
      </c>
      <c r="K495" s="9" t="str">
        <f>VLOOKUP($A495,[4]cliqccee!$A:$AK,10,FALSE)</f>
        <v>Validado</v>
      </c>
      <c r="L495" s="9" t="str">
        <f>VLOOKUP($A495,[4]cliqccee!$A:$AK,32,FALSE)</f>
        <v>FLAT</v>
      </c>
      <c r="M495" s="9" t="str">
        <f>VLOOKUP($A495,[4]cliqccee!$A:$AK,33,FALSE)</f>
        <v>Validado</v>
      </c>
      <c r="N495" s="499">
        <f t="shared" si="180"/>
        <v>0</v>
      </c>
    </row>
    <row r="496" spans="1:16" ht="11.25" x14ac:dyDescent="0.2">
      <c r="A496" s="542">
        <f>A322</f>
        <v>1229956</v>
      </c>
      <c r="B496" s="167" t="str">
        <f>B322</f>
        <v>CVRD D&gt;&gt; CVRD TIG</v>
      </c>
      <c r="C496" s="167" t="s">
        <v>71</v>
      </c>
      <c r="D496" s="169" t="str">
        <f t="shared" ref="D496:F496" si="181">D322</f>
        <v>SUDESTE</v>
      </c>
      <c r="E496" s="79">
        <f t="shared" si="181"/>
        <v>5.0632080000000004</v>
      </c>
      <c r="F496" s="83">
        <f t="shared" si="181"/>
        <v>3767.026820090171</v>
      </c>
      <c r="G496" s="170"/>
      <c r="H496" s="170"/>
      <c r="I496" s="461"/>
      <c r="J496" s="9" t="e">
        <f>VLOOKUP($A496,[4]cliqccee!$A:$AK,26,FALSE)</f>
        <v>#N/A</v>
      </c>
      <c r="K496" s="9" t="e">
        <f>VLOOKUP($A496,[4]cliqccee!$A:$AK,10,FALSE)</f>
        <v>#N/A</v>
      </c>
      <c r="L496" s="9" t="e">
        <f>VLOOKUP($A496,[4]cliqccee!$A:$AK,32,FALSE)</f>
        <v>#N/A</v>
      </c>
      <c r="M496" s="9" t="e">
        <f>VLOOKUP($A496,[4]cliqccee!$A:$AK,33,FALSE)</f>
        <v>#N/A</v>
      </c>
      <c r="N496" s="499" t="e">
        <f t="shared" si="180"/>
        <v>#N/A</v>
      </c>
    </row>
    <row r="497" spans="1:14" x14ac:dyDescent="0.15">
      <c r="A497" s="202"/>
      <c r="B497" s="202"/>
      <c r="C497" s="202"/>
      <c r="D497" s="202"/>
      <c r="E497" s="203"/>
      <c r="F497" s="204"/>
      <c r="G497" s="205"/>
      <c r="H497" s="206"/>
      <c r="J497" s="393"/>
      <c r="K497" s="393"/>
      <c r="L497" s="393"/>
      <c r="M497" s="393"/>
      <c r="N497" s="393"/>
    </row>
    <row r="498" spans="1:14" ht="11.25" x14ac:dyDescent="0.2">
      <c r="A498" s="80" t="s">
        <v>32</v>
      </c>
      <c r="B498" s="421"/>
      <c r="C498" s="421"/>
      <c r="D498" s="422"/>
      <c r="E498" s="81">
        <f>SUM(E490:E497)</f>
        <v>5.0870710000000008</v>
      </c>
      <c r="F498" s="84">
        <f>SUM(F490:F497)</f>
        <v>3784.7808200901709</v>
      </c>
      <c r="G498" s="82">
        <f>IFERROR(H498/F498,0)</f>
        <v>0</v>
      </c>
      <c r="H498" s="82">
        <f>SUM(H490:H497)</f>
        <v>0</v>
      </c>
      <c r="I498" s="228"/>
      <c r="N498" s="418"/>
    </row>
    <row r="499" spans="1:14" ht="11.25" x14ac:dyDescent="0.2">
      <c r="N499" s="418"/>
    </row>
    <row r="500" spans="1:14" ht="11.25" x14ac:dyDescent="0.2">
      <c r="A500" s="548" t="s">
        <v>233</v>
      </c>
      <c r="B500" s="548"/>
      <c r="C500" s="548"/>
      <c r="E500" s="423" t="s">
        <v>19</v>
      </c>
      <c r="F500" s="423"/>
      <c r="G500" s="424" t="s">
        <v>20</v>
      </c>
      <c r="H500" s="424"/>
      <c r="I500" s="425" t="s">
        <v>21</v>
      </c>
      <c r="J500" s="425"/>
      <c r="K500" s="426" t="s">
        <v>22</v>
      </c>
      <c r="L500" s="426"/>
      <c r="N500" s="418"/>
    </row>
    <row r="501" spans="1:14" ht="11.25" x14ac:dyDescent="0.2">
      <c r="A501" s="10" t="s">
        <v>2</v>
      </c>
      <c r="B501" s="10" t="s">
        <v>137</v>
      </c>
      <c r="C501" s="10" t="s">
        <v>25</v>
      </c>
      <c r="E501" s="427" t="s">
        <v>137</v>
      </c>
      <c r="F501" s="428" t="s">
        <v>25</v>
      </c>
      <c r="G501" s="429" t="s">
        <v>137</v>
      </c>
      <c r="H501" s="430" t="s">
        <v>25</v>
      </c>
      <c r="I501" s="431" t="s">
        <v>137</v>
      </c>
      <c r="J501" s="432" t="s">
        <v>25</v>
      </c>
      <c r="K501" s="433" t="s">
        <v>137</v>
      </c>
      <c r="L501" s="434" t="s">
        <v>25</v>
      </c>
      <c r="N501" s="418"/>
    </row>
    <row r="502" spans="1:14" ht="11.25" x14ac:dyDescent="0.2">
      <c r="A502" s="29" t="s">
        <v>69</v>
      </c>
      <c r="B502" s="70">
        <v>0</v>
      </c>
      <c r="C502" s="83">
        <v>0</v>
      </c>
      <c r="E502" s="435">
        <f t="shared" ref="E502:E508" si="182">SUMIFS($E$387:$E$408,$C$387:$C$408,$A502,$D$387:$D$408,$E$411)</f>
        <v>0</v>
      </c>
      <c r="F502" s="436">
        <f t="shared" ref="F502:F508" si="183">SUMIFS($F$387:$F$408,$C$387:$C$408,$A502,$D$387:$D$408,$E$411)</f>
        <v>0</v>
      </c>
      <c r="G502" s="437">
        <f t="shared" ref="G502:G508" si="184">SUMIFS($E$387:$E$408,$C$387:$C$408,$A502,$D$387:$D$408,$G$411)</f>
        <v>0</v>
      </c>
      <c r="H502" s="438">
        <f t="shared" ref="H502:H508" si="185">SUMIFS($F$387:$F$408,$C$387:$C$408,$A502,$D$387:$D$408,$G$411)</f>
        <v>0</v>
      </c>
      <c r="I502" s="439">
        <f t="shared" ref="I502:I508" si="186">SUMIFS($E$387:$E$408,$C$387:$C$408,$A502,$D$387:$D$408,$I$411)</f>
        <v>0</v>
      </c>
      <c r="J502" s="440">
        <f t="shared" ref="J502:J508" si="187">SUMIFS($F$387:$F$408,$C$387:$C$408,$A502,$D$387:$D$408,$I$411)</f>
        <v>0</v>
      </c>
      <c r="K502" s="441">
        <f t="shared" ref="K502:K508" si="188">SUMIFS($E$387:$E$408,$C$387:$C$408,$A502,$D$387:$D$408,$K$411)</f>
        <v>0</v>
      </c>
      <c r="L502" s="442">
        <f t="shared" ref="L502:L508" si="189">SUMIFS($F$387:$F$408,$C$387:$C$408,$A502,$D$387:$D$408,$K$411)</f>
        <v>0</v>
      </c>
      <c r="N502" s="418"/>
    </row>
    <row r="503" spans="1:14" ht="11.25" x14ac:dyDescent="0.2">
      <c r="A503" s="29" t="s">
        <v>47</v>
      </c>
      <c r="B503" s="70">
        <v>0</v>
      </c>
      <c r="C503" s="83">
        <v>0</v>
      </c>
      <c r="E503" s="435">
        <f t="shared" si="182"/>
        <v>0</v>
      </c>
      <c r="F503" s="436">
        <f t="shared" si="183"/>
        <v>0</v>
      </c>
      <c r="G503" s="437">
        <f t="shared" si="184"/>
        <v>0</v>
      </c>
      <c r="H503" s="438">
        <f t="shared" si="185"/>
        <v>0</v>
      </c>
      <c r="I503" s="439">
        <f t="shared" si="186"/>
        <v>0</v>
      </c>
      <c r="J503" s="440">
        <f t="shared" si="187"/>
        <v>0</v>
      </c>
      <c r="K503" s="441">
        <f t="shared" si="188"/>
        <v>0</v>
      </c>
      <c r="L503" s="442">
        <f t="shared" si="189"/>
        <v>0</v>
      </c>
      <c r="N503" s="418"/>
    </row>
    <row r="504" spans="1:14" ht="11.25" x14ac:dyDescent="0.2">
      <c r="A504" s="29" t="s">
        <v>79</v>
      </c>
      <c r="B504" s="70">
        <v>0</v>
      </c>
      <c r="C504" s="83">
        <v>0</v>
      </c>
      <c r="E504" s="435">
        <f t="shared" si="182"/>
        <v>0</v>
      </c>
      <c r="F504" s="436">
        <f t="shared" si="183"/>
        <v>0</v>
      </c>
      <c r="G504" s="437">
        <f t="shared" si="184"/>
        <v>0</v>
      </c>
      <c r="H504" s="438">
        <f t="shared" si="185"/>
        <v>0</v>
      </c>
      <c r="I504" s="439">
        <f t="shared" si="186"/>
        <v>0</v>
      </c>
      <c r="J504" s="440">
        <f t="shared" si="187"/>
        <v>0</v>
      </c>
      <c r="K504" s="441">
        <f t="shared" si="188"/>
        <v>0</v>
      </c>
      <c r="L504" s="442">
        <f t="shared" si="189"/>
        <v>0</v>
      </c>
      <c r="N504" s="418"/>
    </row>
    <row r="505" spans="1:14" ht="11.25" x14ac:dyDescent="0.2">
      <c r="A505" s="29" t="s">
        <v>71</v>
      </c>
      <c r="B505" s="70">
        <f>E498</f>
        <v>5.0870710000000008</v>
      </c>
      <c r="C505" s="83">
        <f>F498</f>
        <v>3784.7808200901709</v>
      </c>
      <c r="E505" s="435">
        <f t="shared" si="182"/>
        <v>32.051420999999998</v>
      </c>
      <c r="F505" s="436">
        <f t="shared" si="183"/>
        <v>23846.257218247436</v>
      </c>
      <c r="G505" s="437">
        <f t="shared" si="184"/>
        <v>0</v>
      </c>
      <c r="H505" s="438">
        <f t="shared" si="185"/>
        <v>0</v>
      </c>
      <c r="I505" s="439">
        <f t="shared" si="186"/>
        <v>17.620767000000001</v>
      </c>
      <c r="J505" s="440">
        <f t="shared" si="187"/>
        <v>13109.850768224933</v>
      </c>
      <c r="K505" s="441">
        <f t="shared" si="188"/>
        <v>0</v>
      </c>
      <c r="L505" s="442">
        <f t="shared" si="189"/>
        <v>0</v>
      </c>
      <c r="N505" s="418"/>
    </row>
    <row r="506" spans="1:14" ht="11.25" x14ac:dyDescent="0.2">
      <c r="A506" s="29" t="s">
        <v>9</v>
      </c>
      <c r="B506" s="70">
        <f>E486</f>
        <v>5.0870709999999999</v>
      </c>
      <c r="C506" s="83">
        <f>F486</f>
        <v>3784.7808200901709</v>
      </c>
      <c r="E506" s="435">
        <f t="shared" si="182"/>
        <v>0</v>
      </c>
      <c r="F506" s="436">
        <f t="shared" si="183"/>
        <v>0</v>
      </c>
      <c r="G506" s="437">
        <f t="shared" si="184"/>
        <v>0</v>
      </c>
      <c r="H506" s="438">
        <f t="shared" si="185"/>
        <v>0</v>
      </c>
      <c r="I506" s="439">
        <f t="shared" si="186"/>
        <v>14.795021</v>
      </c>
      <c r="J506" s="440">
        <f t="shared" si="187"/>
        <v>11007.495268831624</v>
      </c>
      <c r="K506" s="441">
        <f t="shared" si="188"/>
        <v>0</v>
      </c>
      <c r="L506" s="442">
        <f t="shared" si="189"/>
        <v>0</v>
      </c>
      <c r="N506" s="418"/>
    </row>
    <row r="507" spans="1:14" ht="11.25" x14ac:dyDescent="0.2">
      <c r="A507" s="29" t="s">
        <v>80</v>
      </c>
      <c r="B507" s="70">
        <v>0</v>
      </c>
      <c r="C507" s="83">
        <v>0</v>
      </c>
      <c r="E507" s="435">
        <f t="shared" si="182"/>
        <v>0</v>
      </c>
      <c r="F507" s="436">
        <f t="shared" si="183"/>
        <v>0</v>
      </c>
      <c r="G507" s="437">
        <f t="shared" si="184"/>
        <v>0</v>
      </c>
      <c r="H507" s="438">
        <f t="shared" si="185"/>
        <v>0</v>
      </c>
      <c r="I507" s="439">
        <f t="shared" si="186"/>
        <v>0</v>
      </c>
      <c r="J507" s="440">
        <f t="shared" si="187"/>
        <v>0</v>
      </c>
      <c r="K507" s="441">
        <f t="shared" si="188"/>
        <v>0</v>
      </c>
      <c r="L507" s="442">
        <f t="shared" si="189"/>
        <v>0</v>
      </c>
      <c r="N507" s="418"/>
    </row>
    <row r="508" spans="1:14" ht="11.25" x14ac:dyDescent="0.2">
      <c r="A508" s="29" t="s">
        <v>77</v>
      </c>
      <c r="B508" s="70">
        <v>0</v>
      </c>
      <c r="C508" s="83">
        <v>0</v>
      </c>
      <c r="E508" s="435">
        <f t="shared" si="182"/>
        <v>0</v>
      </c>
      <c r="F508" s="436">
        <f t="shared" si="183"/>
        <v>0</v>
      </c>
      <c r="G508" s="437">
        <f t="shared" si="184"/>
        <v>0</v>
      </c>
      <c r="H508" s="438">
        <f t="shared" si="185"/>
        <v>0</v>
      </c>
      <c r="I508" s="439">
        <f t="shared" si="186"/>
        <v>0</v>
      </c>
      <c r="J508" s="440">
        <f t="shared" si="187"/>
        <v>0</v>
      </c>
      <c r="K508" s="441">
        <f t="shared" si="188"/>
        <v>0</v>
      </c>
      <c r="L508" s="442">
        <f t="shared" si="189"/>
        <v>0</v>
      </c>
      <c r="N508" s="418"/>
    </row>
    <row r="509" spans="1:14" ht="11.25" x14ac:dyDescent="0.2">
      <c r="A509" s="11" t="s">
        <v>81</v>
      </c>
      <c r="B509" s="12">
        <f>SUM(B502:B505)-SUM(B506:B508)</f>
        <v>0</v>
      </c>
      <c r="C509" s="12">
        <f>SUM(C502:C505)-SUM(C506:C508)</f>
        <v>0</v>
      </c>
      <c r="E509" s="443">
        <f>SUM(E502:E505)-SUM(E506:E508)</f>
        <v>32.051420999999998</v>
      </c>
      <c r="F509" s="444">
        <f>SUM(F502:F505)-SUM(F506:F508)</f>
        <v>23846.257218247436</v>
      </c>
      <c r="G509" s="445">
        <f t="shared" ref="G509:L509" si="190">SUM(G502:G505)-SUM(G506:G508)</f>
        <v>0</v>
      </c>
      <c r="H509" s="446">
        <f t="shared" si="190"/>
        <v>0</v>
      </c>
      <c r="I509" s="447">
        <f t="shared" si="190"/>
        <v>2.8257460000000005</v>
      </c>
      <c r="J509" s="448">
        <f t="shared" si="190"/>
        <v>2102.3554993933085</v>
      </c>
      <c r="K509" s="449">
        <f t="shared" si="190"/>
        <v>0</v>
      </c>
      <c r="L509" s="450">
        <f t="shared" si="190"/>
        <v>0</v>
      </c>
      <c r="N509" s="418"/>
    </row>
    <row r="510" spans="1:14" ht="11.25" x14ac:dyDescent="0.2">
      <c r="A510" s="11" t="s">
        <v>82</v>
      </c>
      <c r="B510" s="12">
        <f>SUM(B502:B505)-SUM(B506:B509)</f>
        <v>0</v>
      </c>
      <c r="C510" s="12">
        <f>SUM(C502:C505)-SUM(C506:C509)</f>
        <v>0</v>
      </c>
      <c r="E510" s="443">
        <f>SUM(E502:E505)-SUM(E506:E509)</f>
        <v>0</v>
      </c>
      <c r="F510" s="444">
        <f>SUM(F502:F505)-SUM(F506:F509)</f>
        <v>0</v>
      </c>
      <c r="G510" s="445">
        <f t="shared" ref="G510:L510" si="191">SUM(G502:G505)-SUM(G506:G509)</f>
        <v>0</v>
      </c>
      <c r="H510" s="446">
        <f t="shared" si="191"/>
        <v>0</v>
      </c>
      <c r="I510" s="447">
        <f t="shared" si="191"/>
        <v>0</v>
      </c>
      <c r="J510" s="448">
        <f t="shared" si="191"/>
        <v>0</v>
      </c>
      <c r="K510" s="449">
        <f t="shared" si="191"/>
        <v>0</v>
      </c>
      <c r="L510" s="450">
        <f t="shared" si="191"/>
        <v>0</v>
      </c>
      <c r="N510" s="418"/>
    </row>
    <row r="511" spans="1:14" ht="11.25" x14ac:dyDescent="0.2">
      <c r="N511" s="418"/>
    </row>
    <row r="512" spans="1:14" ht="11.25" x14ac:dyDescent="0.2">
      <c r="E512" s="451">
        <f>(F509*$H$5)+(H509*$J$5)+(J509*$L$5)+(L509*$N$5)</f>
        <v>1340516.0057871011</v>
      </c>
      <c r="N512" s="418"/>
    </row>
    <row r="513" spans="1:23" ht="11.25" x14ac:dyDescent="0.2">
      <c r="D513" s="515"/>
      <c r="N513" s="418"/>
    </row>
    <row r="514" spans="1:23" ht="11.25" x14ac:dyDescent="0.2">
      <c r="N514" s="418"/>
    </row>
    <row r="515" spans="1:23" ht="11.25" x14ac:dyDescent="0.2">
      <c r="A515" s="548" t="s">
        <v>372</v>
      </c>
      <c r="B515" s="548"/>
      <c r="C515" s="548"/>
      <c r="D515" s="548"/>
      <c r="E515" s="548"/>
      <c r="F515" s="548"/>
      <c r="G515" s="548"/>
      <c r="H515" s="548"/>
      <c r="N515" s="418"/>
    </row>
    <row r="516" spans="1:23" ht="11.25" x14ac:dyDescent="0.2">
      <c r="A516" s="548"/>
      <c r="B516" s="548"/>
      <c r="C516" s="548"/>
      <c r="D516" s="548"/>
      <c r="E516" s="548"/>
      <c r="F516" s="548"/>
      <c r="G516" s="548"/>
      <c r="H516" s="548"/>
      <c r="N516" s="418"/>
    </row>
    <row r="517" spans="1:23" s="420" customFormat="1" ht="3.75" customHeight="1" x14ac:dyDescent="0.2">
      <c r="A517" s="419"/>
      <c r="B517" s="419"/>
      <c r="C517" s="419"/>
      <c r="D517" s="419"/>
      <c r="E517" s="419"/>
      <c r="F517" s="419"/>
      <c r="G517" s="419"/>
      <c r="H517" s="419"/>
      <c r="I517" s="515"/>
      <c r="J517" s="515"/>
      <c r="K517" s="515"/>
      <c r="L517" s="515"/>
      <c r="M517" s="515"/>
      <c r="N517" s="418"/>
      <c r="O517" s="515"/>
      <c r="P517" s="515"/>
    </row>
    <row r="518" spans="1:23" ht="11.25" x14ac:dyDescent="0.2">
      <c r="A518" s="548" t="s">
        <v>85</v>
      </c>
      <c r="B518" s="548"/>
      <c r="C518" s="548"/>
      <c r="D518" s="548"/>
      <c r="E518" s="548"/>
      <c r="F518" s="548"/>
      <c r="G518" s="548"/>
      <c r="H518" s="548"/>
      <c r="N518" s="418"/>
    </row>
    <row r="519" spans="1:23" ht="11.25" x14ac:dyDescent="0.2">
      <c r="A519" s="10" t="s">
        <v>8</v>
      </c>
      <c r="B519" s="10"/>
      <c r="C519" s="10" t="s">
        <v>2</v>
      </c>
      <c r="D519" s="10" t="s">
        <v>3</v>
      </c>
      <c r="E519" s="10" t="s">
        <v>137</v>
      </c>
      <c r="F519" s="10" t="s">
        <v>25</v>
      </c>
      <c r="G519" s="10" t="s">
        <v>95</v>
      </c>
      <c r="H519" s="10" t="s">
        <v>240</v>
      </c>
      <c r="N519" s="418"/>
    </row>
    <row r="520" spans="1:23" ht="11.25" x14ac:dyDescent="0.2">
      <c r="A520" s="191" t="s">
        <v>388</v>
      </c>
      <c r="B520" s="167"/>
      <c r="C520" s="167" t="s">
        <v>9</v>
      </c>
      <c r="D520" s="192" t="s">
        <v>78</v>
      </c>
      <c r="E520" s="79">
        <f t="shared" ref="E520:E522" si="192">ROUND(F520/$B$33,6)</f>
        <v>0.124103</v>
      </c>
      <c r="F520" s="83">
        <f>[7]Consolidação!$G$24</f>
        <v>92.33232854603628</v>
      </c>
      <c r="G520" s="83">
        <f>'[8]2019'!$F$35</f>
        <v>2.9929999999999999</v>
      </c>
      <c r="H520" s="103">
        <v>0.03</v>
      </c>
      <c r="N520" s="418"/>
    </row>
    <row r="521" spans="1:23" ht="11.25" x14ac:dyDescent="0.2">
      <c r="A521" s="191" t="s">
        <v>375</v>
      </c>
      <c r="B521" s="167"/>
      <c r="C521" s="167" t="s">
        <v>9</v>
      </c>
      <c r="D521" s="169" t="s">
        <v>78</v>
      </c>
      <c r="E521" s="79">
        <f t="shared" si="192"/>
        <v>1.0670360000000001</v>
      </c>
      <c r="F521" s="83">
        <f>[7]Consolidação!$G$25</f>
        <v>793.8746480981157</v>
      </c>
      <c r="G521" s="83">
        <f>'[8]2019'!$F$34</f>
        <v>18.515999999999998</v>
      </c>
      <c r="H521" s="103">
        <v>0.03</v>
      </c>
      <c r="N521" s="418"/>
    </row>
    <row r="522" spans="1:23" ht="11.25" x14ac:dyDescent="0.2">
      <c r="A522" s="191" t="s">
        <v>389</v>
      </c>
      <c r="B522" s="167"/>
      <c r="C522" s="167" t="s">
        <v>9</v>
      </c>
      <c r="D522" s="192" t="s">
        <v>78</v>
      </c>
      <c r="E522" s="79">
        <f t="shared" si="192"/>
        <v>0.73677300000000001</v>
      </c>
      <c r="F522" s="83">
        <f>[7]Consolidação!$G$26</f>
        <v>548.15936132243132</v>
      </c>
      <c r="G522" s="83">
        <f>'[8]2019'!$F$36</f>
        <v>13.156000000000001</v>
      </c>
      <c r="H522" s="103">
        <v>0.03</v>
      </c>
      <c r="N522" s="418"/>
    </row>
    <row r="523" spans="1:23" ht="11.25" x14ac:dyDescent="0.2">
      <c r="A523" s="217"/>
      <c r="B523" s="217"/>
      <c r="C523" s="217"/>
      <c r="D523" s="217"/>
      <c r="E523" s="218"/>
      <c r="F523" s="219"/>
      <c r="G523" s="220"/>
      <c r="H523" s="221"/>
      <c r="N523" s="418"/>
    </row>
    <row r="524" spans="1:23" ht="11.25" x14ac:dyDescent="0.2">
      <c r="A524" s="80" t="s">
        <v>32</v>
      </c>
      <c r="B524" s="421"/>
      <c r="C524" s="421"/>
      <c r="D524" s="422"/>
      <c r="E524" s="81">
        <f>SUM(E520:E523)</f>
        <v>1.9279120000000001</v>
      </c>
      <c r="F524" s="84">
        <f>SUM(F520:F523)</f>
        <v>1434.3663379665832</v>
      </c>
      <c r="G524" s="84">
        <f>SUM(G520:G523)</f>
        <v>34.664999999999999</v>
      </c>
      <c r="H524" s="84"/>
      <c r="I524" s="228"/>
      <c r="N524" s="418"/>
    </row>
    <row r="525" spans="1:23" ht="11.25" x14ac:dyDescent="0.2">
      <c r="N525" s="418"/>
    </row>
    <row r="526" spans="1:23" ht="11.25" x14ac:dyDescent="0.2">
      <c r="A526" s="548" t="s">
        <v>70</v>
      </c>
      <c r="B526" s="548"/>
      <c r="C526" s="548"/>
      <c r="D526" s="548"/>
      <c r="E526" s="548"/>
      <c r="F526" s="548"/>
      <c r="G526" s="548"/>
      <c r="H526" s="548"/>
      <c r="I526" s="418"/>
      <c r="J526" s="418"/>
      <c r="K526" s="418"/>
      <c r="L526" s="418"/>
      <c r="M526" s="418"/>
      <c r="N526" s="418"/>
      <c r="O526" s="418"/>
      <c r="P526" s="418"/>
      <c r="Q526" s="418"/>
      <c r="R526" s="418"/>
      <c r="S526" s="418"/>
      <c r="T526" s="418"/>
      <c r="U526" s="418"/>
      <c r="V526" s="418"/>
      <c r="W526" s="418"/>
    </row>
    <row r="527" spans="1:23" ht="11.25" x14ac:dyDescent="0.2">
      <c r="A527" s="10" t="s">
        <v>252</v>
      </c>
      <c r="B527" s="10" t="s">
        <v>1</v>
      </c>
      <c r="C527" s="10" t="s">
        <v>2</v>
      </c>
      <c r="D527" s="10" t="s">
        <v>3</v>
      </c>
      <c r="E527" s="10" t="s">
        <v>137</v>
      </c>
      <c r="F527" s="10" t="s">
        <v>25</v>
      </c>
      <c r="G527" s="10" t="s">
        <v>253</v>
      </c>
      <c r="H527" s="10" t="s">
        <v>254</v>
      </c>
      <c r="I527" s="418"/>
      <c r="J527" s="10" t="s">
        <v>72</v>
      </c>
      <c r="K527" s="10" t="s">
        <v>73</v>
      </c>
      <c r="L527" s="10" t="s">
        <v>74</v>
      </c>
      <c r="M527" s="10" t="s">
        <v>75</v>
      </c>
      <c r="N527" s="10" t="s">
        <v>425</v>
      </c>
      <c r="O527" s="418"/>
      <c r="P527" s="418"/>
      <c r="Q527" s="418"/>
      <c r="R527" s="418"/>
      <c r="S527" s="418"/>
      <c r="T527" s="418"/>
      <c r="U527" s="418"/>
      <c r="V527" s="418"/>
      <c r="W527" s="418"/>
    </row>
    <row r="528" spans="1:23" ht="11.25" x14ac:dyDescent="0.2">
      <c r="A528" s="268"/>
      <c r="B528" s="268" t="s">
        <v>373</v>
      </c>
      <c r="C528" s="268" t="s">
        <v>71</v>
      </c>
      <c r="D528" s="269" t="s">
        <v>78</v>
      </c>
      <c r="E528" s="270">
        <f t="shared" ref="E528:E530" si="193">ROUND(F528/$B$33,6)</f>
        <v>4.6593000000000002E-2</v>
      </c>
      <c r="F528" s="271">
        <f>SUMIFS(G520:G523,D520:D523,D528)</f>
        <v>34.664999999999999</v>
      </c>
      <c r="G528" s="272">
        <v>0</v>
      </c>
      <c r="H528" s="272">
        <f t="shared" ref="H528:H530" si="194">F528*G528</f>
        <v>0</v>
      </c>
      <c r="I528" s="458"/>
      <c r="J528" s="9" t="e">
        <f>VLOOKUP($A528,[4]cliqccee!$A:$AK,26,FALSE)</f>
        <v>#N/A</v>
      </c>
      <c r="K528" s="9" t="e">
        <f>VLOOKUP($A528,[4]cliqccee!$A:$AK,10,FALSE)</f>
        <v>#N/A</v>
      </c>
      <c r="L528" s="9" t="e">
        <f>VLOOKUP($A528,[4]cliqccee!$A:$AK,32,FALSE)</f>
        <v>#N/A</v>
      </c>
      <c r="M528" s="9" t="e">
        <f>VLOOKUP($A528,[4]cliqccee!$A:$AK,33,FALSE)</f>
        <v>#N/A</v>
      </c>
      <c r="N528" s="499" t="e">
        <f t="shared" ref="N528:N532" si="195">J528-E528</f>
        <v>#N/A</v>
      </c>
    </row>
    <row r="529" spans="1:14" ht="11.25" x14ac:dyDescent="0.2">
      <c r="A529" s="167">
        <v>956744</v>
      </c>
      <c r="B529" s="168" t="s">
        <v>371</v>
      </c>
      <c r="C529" s="167" t="s">
        <v>71</v>
      </c>
      <c r="D529" s="169" t="s">
        <v>78</v>
      </c>
      <c r="E529" s="79">
        <f t="shared" si="193"/>
        <v>0</v>
      </c>
      <c r="F529" s="83">
        <f>VLOOKUP(A529,$A$56:$H$69,6,TRUE)</f>
        <v>0</v>
      </c>
      <c r="G529" s="170">
        <f>VLOOKUP(A529,$A$56:$H$69,7,TRUE)</f>
        <v>0</v>
      </c>
      <c r="H529" s="170">
        <f t="shared" si="194"/>
        <v>0</v>
      </c>
      <c r="I529" s="458"/>
      <c r="J529" s="9" t="e">
        <f>VLOOKUP($A529,[4]cliqccee!$A:$AK,26,FALSE)</f>
        <v>#N/A</v>
      </c>
      <c r="K529" s="9" t="e">
        <f>VLOOKUP($A529,[4]cliqccee!$A:$AK,10,FALSE)</f>
        <v>#N/A</v>
      </c>
      <c r="L529" s="9" t="e">
        <f>VLOOKUP($A529,[4]cliqccee!$A:$AK,32,FALSE)</f>
        <v>#N/A</v>
      </c>
      <c r="M529" s="9" t="e">
        <f>VLOOKUP($A529,[4]cliqccee!$A:$AK,33,FALSE)</f>
        <v>#N/A</v>
      </c>
      <c r="N529" s="499" t="e">
        <f t="shared" si="195"/>
        <v>#N/A</v>
      </c>
    </row>
    <row r="530" spans="1:14" ht="11.25" x14ac:dyDescent="0.2">
      <c r="A530" s="167">
        <v>1097147</v>
      </c>
      <c r="B530" s="168" t="s">
        <v>409</v>
      </c>
      <c r="C530" s="167" t="s">
        <v>71</v>
      </c>
      <c r="D530" s="169" t="s">
        <v>78</v>
      </c>
      <c r="E530" s="79">
        <f t="shared" si="193"/>
        <v>0.124103</v>
      </c>
      <c r="F530" s="83">
        <f>VLOOKUP(A530,$A$823:$H$873,6,FALSE)</f>
        <v>92.33232854603628</v>
      </c>
      <c r="G530" s="170">
        <f>VLOOKUP(A530,$A$823:$H$873,7,FALSE)</f>
        <v>219.51</v>
      </c>
      <c r="H530" s="170">
        <f t="shared" si="194"/>
        <v>20267.869439140424</v>
      </c>
      <c r="I530" s="228"/>
      <c r="J530" s="9" t="str">
        <f>VLOOKUP($A530,[4]cliqccee!$A:$AK,26,FALSE)</f>
        <v>0,162550</v>
      </c>
      <c r="K530" s="9" t="str">
        <f>VLOOKUP($A530,[4]cliqccee!$A:$AK,10,FALSE)</f>
        <v>Validado</v>
      </c>
      <c r="L530" s="9" t="str">
        <f>VLOOKUP($A530,[4]cliqccee!$A:$AK,32,FALSE)</f>
        <v>FLAT</v>
      </c>
      <c r="M530" s="9" t="str">
        <f>VLOOKUP($A530,[4]cliqccee!$A:$AK,33,FALSE)</f>
        <v>Ajustado Validado</v>
      </c>
      <c r="N530" s="499">
        <f t="shared" si="195"/>
        <v>3.8446999999999995E-2</v>
      </c>
    </row>
    <row r="531" spans="1:14" ht="11.25" x14ac:dyDescent="0.2">
      <c r="A531" s="167">
        <v>1097148</v>
      </c>
      <c r="B531" s="168" t="s">
        <v>410</v>
      </c>
      <c r="C531" s="167" t="s">
        <v>71</v>
      </c>
      <c r="D531" s="169" t="s">
        <v>78</v>
      </c>
      <c r="E531" s="79">
        <f t="shared" ref="E531:E532" si="196">ROUND(F531/$B$33,6)</f>
        <v>1.0670360000000001</v>
      </c>
      <c r="F531" s="83">
        <f>VLOOKUP(A531,$A$823:$H$873,6,FALSE)</f>
        <v>793.8746480981157</v>
      </c>
      <c r="G531" s="170">
        <f>VLOOKUP(A531,$A$823:$H$873,7,FALSE)</f>
        <v>219.51</v>
      </c>
      <c r="H531" s="170">
        <f t="shared" ref="H531:H532" si="197">F531*G531</f>
        <v>174263.42400401738</v>
      </c>
      <c r="I531" s="228"/>
      <c r="J531" s="9" t="str">
        <f>VLOOKUP($A531,[4]cliqccee!$A:$AK,26,FALSE)</f>
        <v>0,996301</v>
      </c>
      <c r="K531" s="9" t="str">
        <f>VLOOKUP($A531,[4]cliqccee!$A:$AK,10,FALSE)</f>
        <v>Validado</v>
      </c>
      <c r="L531" s="9" t="str">
        <f>VLOOKUP($A531,[4]cliqccee!$A:$AK,32,FALSE)</f>
        <v>FLAT</v>
      </c>
      <c r="M531" s="9" t="str">
        <f>VLOOKUP($A531,[4]cliqccee!$A:$AK,33,FALSE)</f>
        <v>Ajustado Validado</v>
      </c>
      <c r="N531" s="499">
        <f t="shared" si="195"/>
        <v>-7.0735000000000103E-2</v>
      </c>
    </row>
    <row r="532" spans="1:14" ht="11.25" x14ac:dyDescent="0.2">
      <c r="A532" s="167">
        <v>1097157</v>
      </c>
      <c r="B532" s="168" t="s">
        <v>411</v>
      </c>
      <c r="C532" s="167" t="s">
        <v>71</v>
      </c>
      <c r="D532" s="169" t="s">
        <v>78</v>
      </c>
      <c r="E532" s="79">
        <f t="shared" si="196"/>
        <v>0.73677300000000001</v>
      </c>
      <c r="F532" s="83">
        <f>VLOOKUP(A532,$A$823:$H$873,6,FALSE)</f>
        <v>548.15936132243132</v>
      </c>
      <c r="G532" s="170">
        <f>VLOOKUP(A532,$A$823:$H$873,7,FALSE)</f>
        <v>219.51</v>
      </c>
      <c r="H532" s="170">
        <f t="shared" si="197"/>
        <v>120326.46140388689</v>
      </c>
      <c r="I532" s="228"/>
      <c r="J532" s="9" t="str">
        <f>VLOOKUP($A532,[4]cliqccee!$A:$AK,26,FALSE)</f>
        <v>0,718770</v>
      </c>
      <c r="K532" s="9" t="str">
        <f>VLOOKUP($A532,[4]cliqccee!$A:$AK,10,FALSE)</f>
        <v>Validado</v>
      </c>
      <c r="L532" s="9" t="str">
        <f>VLOOKUP($A532,[4]cliqccee!$A:$AK,32,FALSE)</f>
        <v>FLAT</v>
      </c>
      <c r="M532" s="9" t="str">
        <f>VLOOKUP($A532,[4]cliqccee!$A:$AK,33,FALSE)</f>
        <v>Ajustado Validado</v>
      </c>
      <c r="N532" s="499">
        <f t="shared" si="195"/>
        <v>-1.8002999999999991E-2</v>
      </c>
    </row>
    <row r="533" spans="1:14" x14ac:dyDescent="0.15">
      <c r="A533" s="217"/>
      <c r="B533" s="217"/>
      <c r="C533" s="217"/>
      <c r="D533" s="217"/>
      <c r="E533" s="218"/>
      <c r="F533" s="219"/>
      <c r="G533" s="220"/>
      <c r="H533" s="221"/>
      <c r="I533" s="228"/>
      <c r="J533" s="393"/>
      <c r="K533" s="393"/>
      <c r="L533" s="393"/>
      <c r="M533" s="393"/>
      <c r="N533" s="393"/>
    </row>
    <row r="534" spans="1:14" ht="11.25" x14ac:dyDescent="0.2">
      <c r="A534" s="80" t="s">
        <v>32</v>
      </c>
      <c r="B534" s="421"/>
      <c r="C534" s="421"/>
      <c r="D534" s="422"/>
      <c r="E534" s="81">
        <f>SUM(E528:E533)</f>
        <v>1.9745050000000002</v>
      </c>
      <c r="F534" s="84">
        <f>SUM(F528:F533)</f>
        <v>1469.0313379665834</v>
      </c>
      <c r="G534" s="82">
        <f>IFERROR(H534/F534,0)</f>
        <v>214.33018255612387</v>
      </c>
      <c r="H534" s="82">
        <f>SUM(H528:H533)</f>
        <v>314857.75484704471</v>
      </c>
      <c r="I534" s="228"/>
      <c r="N534" s="418"/>
    </row>
    <row r="535" spans="1:14" ht="11.25" x14ac:dyDescent="0.2">
      <c r="N535" s="418"/>
    </row>
    <row r="536" spans="1:14" ht="11.25" x14ac:dyDescent="0.2">
      <c r="A536" s="548" t="s">
        <v>233</v>
      </c>
      <c r="B536" s="548"/>
      <c r="C536" s="548"/>
      <c r="E536" s="423" t="s">
        <v>19</v>
      </c>
      <c r="F536" s="423"/>
      <c r="G536" s="424" t="s">
        <v>20</v>
      </c>
      <c r="H536" s="424"/>
      <c r="I536" s="425" t="s">
        <v>21</v>
      </c>
      <c r="J536" s="425"/>
      <c r="K536" s="426" t="s">
        <v>22</v>
      </c>
      <c r="L536" s="426"/>
      <c r="N536" s="418"/>
    </row>
    <row r="537" spans="1:14" ht="11.25" x14ac:dyDescent="0.2">
      <c r="A537" s="10" t="s">
        <v>2</v>
      </c>
      <c r="B537" s="10" t="s">
        <v>137</v>
      </c>
      <c r="C537" s="10" t="s">
        <v>25</v>
      </c>
      <c r="E537" s="427" t="s">
        <v>137</v>
      </c>
      <c r="F537" s="428" t="s">
        <v>25</v>
      </c>
      <c r="G537" s="429" t="s">
        <v>137</v>
      </c>
      <c r="H537" s="430" t="s">
        <v>25</v>
      </c>
      <c r="I537" s="431" t="s">
        <v>137</v>
      </c>
      <c r="J537" s="432" t="s">
        <v>25</v>
      </c>
      <c r="K537" s="433" t="s">
        <v>137</v>
      </c>
      <c r="L537" s="434" t="s">
        <v>25</v>
      </c>
      <c r="N537" s="418"/>
    </row>
    <row r="538" spans="1:14" ht="11.25" x14ac:dyDescent="0.2">
      <c r="A538" s="29" t="s">
        <v>69</v>
      </c>
      <c r="B538" s="70">
        <v>0</v>
      </c>
      <c r="C538" s="83">
        <v>0</v>
      </c>
      <c r="E538" s="435">
        <f t="shared" ref="E538:E544" si="198">SUMIFS($E$520:$E$533,$C$520:$C$533,$A538,$D$520:$D$533,$E$536)</f>
        <v>0</v>
      </c>
      <c r="F538" s="436">
        <f t="shared" ref="F538:F544" si="199">SUMIFS($F$520:$F$533,$C$520:$C$533,$A538,$D$520:$D$533,$E$536)</f>
        <v>0</v>
      </c>
      <c r="G538" s="437">
        <f t="shared" ref="G538:G544" si="200">SUMIFS($E$520:$E$533,$C$520:$C$533,$A538,$D$520:$D$533,$G$536)</f>
        <v>0</v>
      </c>
      <c r="H538" s="438">
        <f t="shared" ref="H538:H544" si="201">SUMIFS($F$520:$F$533,$C$520:$C$533,$A538,$D$520:$D$533,$G$536)</f>
        <v>0</v>
      </c>
      <c r="I538" s="439">
        <f t="shared" ref="I538:I544" si="202">SUMIFS($E$520:$E$533,$C$520:$C$533,$A538,$D$520:$D$533,$I$536)</f>
        <v>0</v>
      </c>
      <c r="J538" s="440">
        <f t="shared" ref="J538:J544" si="203">SUMIFS($F$520:$F$533,$C$520:$C$533,$A538,$D$520:$D$533,$I$536)</f>
        <v>0</v>
      </c>
      <c r="K538" s="441">
        <f t="shared" ref="K538:K544" si="204">SUMIFS($E$520:$E$533,$C$520:$C$533,$A538,$D$520:$D$533,$K$536)</f>
        <v>0</v>
      </c>
      <c r="L538" s="442">
        <f t="shared" ref="L538:L544" si="205">SUMIFS($F$520:$F$533,$C$520:$C$533,$A538,$D$520:$D$533,$K$536)</f>
        <v>0</v>
      </c>
      <c r="N538" s="418"/>
    </row>
    <row r="539" spans="1:14" ht="11.25" x14ac:dyDescent="0.2">
      <c r="A539" s="29" t="s">
        <v>47</v>
      </c>
      <c r="B539" s="70">
        <v>0</v>
      </c>
      <c r="C539" s="83">
        <v>0</v>
      </c>
      <c r="E539" s="435">
        <f t="shared" si="198"/>
        <v>0</v>
      </c>
      <c r="F539" s="436">
        <f t="shared" si="199"/>
        <v>0</v>
      </c>
      <c r="G539" s="437">
        <f t="shared" si="200"/>
        <v>0</v>
      </c>
      <c r="H539" s="438">
        <f t="shared" si="201"/>
        <v>0</v>
      </c>
      <c r="I539" s="439">
        <f t="shared" si="202"/>
        <v>0</v>
      </c>
      <c r="J539" s="440">
        <f t="shared" si="203"/>
        <v>0</v>
      </c>
      <c r="K539" s="441">
        <f t="shared" si="204"/>
        <v>0</v>
      </c>
      <c r="L539" s="442">
        <f t="shared" si="205"/>
        <v>0</v>
      </c>
      <c r="N539" s="418"/>
    </row>
    <row r="540" spans="1:14" ht="11.25" x14ac:dyDescent="0.2">
      <c r="A540" s="29" t="s">
        <v>79</v>
      </c>
      <c r="B540" s="70">
        <v>0</v>
      </c>
      <c r="C540" s="83">
        <v>0</v>
      </c>
      <c r="E540" s="435">
        <f t="shared" si="198"/>
        <v>0</v>
      </c>
      <c r="F540" s="436">
        <f t="shared" si="199"/>
        <v>0</v>
      </c>
      <c r="G540" s="437">
        <f t="shared" si="200"/>
        <v>0</v>
      </c>
      <c r="H540" s="438">
        <f t="shared" si="201"/>
        <v>0</v>
      </c>
      <c r="I540" s="439">
        <f t="shared" si="202"/>
        <v>0</v>
      </c>
      <c r="J540" s="440">
        <f t="shared" si="203"/>
        <v>0</v>
      </c>
      <c r="K540" s="441">
        <f t="shared" si="204"/>
        <v>0</v>
      </c>
      <c r="L540" s="442">
        <f t="shared" si="205"/>
        <v>0</v>
      </c>
      <c r="N540" s="418"/>
    </row>
    <row r="541" spans="1:14" ht="11.25" x14ac:dyDescent="0.2">
      <c r="A541" s="29" t="s">
        <v>71</v>
      </c>
      <c r="B541" s="70">
        <f>E534</f>
        <v>1.9745050000000002</v>
      </c>
      <c r="C541" s="83">
        <f>F534</f>
        <v>1469.0313379665834</v>
      </c>
      <c r="E541" s="435">
        <f t="shared" si="198"/>
        <v>0</v>
      </c>
      <c r="F541" s="436">
        <f t="shared" si="199"/>
        <v>0</v>
      </c>
      <c r="G541" s="437">
        <f t="shared" si="200"/>
        <v>0</v>
      </c>
      <c r="H541" s="438">
        <f t="shared" si="201"/>
        <v>0</v>
      </c>
      <c r="I541" s="439">
        <f t="shared" si="202"/>
        <v>1.9745050000000002</v>
      </c>
      <c r="J541" s="440">
        <f t="shared" si="203"/>
        <v>1469.0313379665834</v>
      </c>
      <c r="K541" s="441">
        <f t="shared" si="204"/>
        <v>0</v>
      </c>
      <c r="L541" s="442">
        <f t="shared" si="205"/>
        <v>0</v>
      </c>
      <c r="N541" s="418"/>
    </row>
    <row r="542" spans="1:14" ht="11.25" x14ac:dyDescent="0.2">
      <c r="A542" s="29" t="s">
        <v>9</v>
      </c>
      <c r="B542" s="70">
        <f>E524</f>
        <v>1.9279120000000001</v>
      </c>
      <c r="C542" s="83">
        <f>F524</f>
        <v>1434.3663379665832</v>
      </c>
      <c r="E542" s="435">
        <f t="shared" si="198"/>
        <v>0</v>
      </c>
      <c r="F542" s="436">
        <f t="shared" si="199"/>
        <v>0</v>
      </c>
      <c r="G542" s="437">
        <f t="shared" si="200"/>
        <v>0</v>
      </c>
      <c r="H542" s="438">
        <f t="shared" si="201"/>
        <v>0</v>
      </c>
      <c r="I542" s="439">
        <f t="shared" si="202"/>
        <v>1.9279120000000001</v>
      </c>
      <c r="J542" s="440">
        <f t="shared" si="203"/>
        <v>1434.3663379665832</v>
      </c>
      <c r="K542" s="441">
        <f t="shared" si="204"/>
        <v>0</v>
      </c>
      <c r="L542" s="442">
        <f t="shared" si="205"/>
        <v>0</v>
      </c>
      <c r="M542" s="459"/>
      <c r="N542" s="418"/>
    </row>
    <row r="543" spans="1:14" ht="11.25" x14ac:dyDescent="0.2">
      <c r="A543" s="29" t="s">
        <v>80</v>
      </c>
      <c r="B543" s="70">
        <v>0</v>
      </c>
      <c r="C543" s="83">
        <v>0</v>
      </c>
      <c r="E543" s="435">
        <f t="shared" si="198"/>
        <v>0</v>
      </c>
      <c r="F543" s="436">
        <f t="shared" si="199"/>
        <v>0</v>
      </c>
      <c r="G543" s="437">
        <f t="shared" si="200"/>
        <v>0</v>
      </c>
      <c r="H543" s="438">
        <f t="shared" si="201"/>
        <v>0</v>
      </c>
      <c r="I543" s="439">
        <f t="shared" si="202"/>
        <v>0</v>
      </c>
      <c r="J543" s="440">
        <f t="shared" si="203"/>
        <v>0</v>
      </c>
      <c r="K543" s="441">
        <f t="shared" si="204"/>
        <v>0</v>
      </c>
      <c r="L543" s="442">
        <f t="shared" si="205"/>
        <v>0</v>
      </c>
      <c r="N543" s="418"/>
    </row>
    <row r="544" spans="1:14" ht="11.25" x14ac:dyDescent="0.2">
      <c r="A544" s="29" t="s">
        <v>77</v>
      </c>
      <c r="B544" s="70">
        <v>0</v>
      </c>
      <c r="C544" s="83">
        <v>0</v>
      </c>
      <c r="E544" s="435">
        <f t="shared" si="198"/>
        <v>0</v>
      </c>
      <c r="F544" s="436">
        <f t="shared" si="199"/>
        <v>0</v>
      </c>
      <c r="G544" s="437">
        <f t="shared" si="200"/>
        <v>0</v>
      </c>
      <c r="H544" s="438">
        <f t="shared" si="201"/>
        <v>0</v>
      </c>
      <c r="I544" s="439">
        <f t="shared" si="202"/>
        <v>0</v>
      </c>
      <c r="J544" s="440">
        <f t="shared" si="203"/>
        <v>0</v>
      </c>
      <c r="K544" s="441">
        <f t="shared" si="204"/>
        <v>0</v>
      </c>
      <c r="L544" s="442">
        <f t="shared" si="205"/>
        <v>0</v>
      </c>
      <c r="N544" s="418"/>
    </row>
    <row r="545" spans="1:16" ht="11.25" x14ac:dyDescent="0.2">
      <c r="A545" s="11" t="s">
        <v>81</v>
      </c>
      <c r="B545" s="12">
        <f>SUM(B538:B541)-SUM(B542:B544)</f>
        <v>4.6593000000000107E-2</v>
      </c>
      <c r="C545" s="12">
        <f>SUM(C538:C541)-SUM(C542:C544)</f>
        <v>34.665000000000191</v>
      </c>
      <c r="E545" s="443">
        <f>SUMIFS($E$347:$E$356,$C$347:$C$356,A545,$D$347:$D$356,$E$21)</f>
        <v>0</v>
      </c>
      <c r="F545" s="444">
        <f>SUMIFS($F$347:$F$356,$C$347:$C$356,A545,$D$347:$D$356,$E$465)</f>
        <v>0</v>
      </c>
      <c r="G545" s="445">
        <f t="shared" ref="G545:L545" si="206">SUM(G538:G541)-SUM(G542:G544)</f>
        <v>0</v>
      </c>
      <c r="H545" s="446">
        <f t="shared" si="206"/>
        <v>0</v>
      </c>
      <c r="I545" s="447">
        <f t="shared" si="206"/>
        <v>4.6593000000000107E-2</v>
      </c>
      <c r="J545" s="448">
        <f t="shared" si="206"/>
        <v>34.665000000000191</v>
      </c>
      <c r="K545" s="449">
        <f t="shared" si="206"/>
        <v>0</v>
      </c>
      <c r="L545" s="450">
        <f t="shared" si="206"/>
        <v>0</v>
      </c>
      <c r="N545" s="418"/>
    </row>
    <row r="546" spans="1:16" ht="11.25" x14ac:dyDescent="0.2">
      <c r="A546" s="11" t="s">
        <v>82</v>
      </c>
      <c r="B546" s="12">
        <f>SUM(B538:B541)-SUM(B542:B545)</f>
        <v>0</v>
      </c>
      <c r="C546" s="12">
        <f>SUM(C538:C541)-SUM(C542:C545)</f>
        <v>0</v>
      </c>
      <c r="E546" s="443">
        <f>SUMIFS($E$347:$E$356,$C$347:$C$356,A546,$D$347:$D$356,$E$21)</f>
        <v>0</v>
      </c>
      <c r="F546" s="444">
        <f>SUMIFS($F$347:$F$356,$C$347:$C$356,A546,$D$347:$D$356,$E$465)</f>
        <v>0</v>
      </c>
      <c r="G546" s="445">
        <f t="shared" ref="G546:L546" si="207">SUM(G538:G541)-SUM(G542:G545)</f>
        <v>0</v>
      </c>
      <c r="H546" s="446">
        <f t="shared" si="207"/>
        <v>0</v>
      </c>
      <c r="I546" s="447">
        <f t="shared" si="207"/>
        <v>0</v>
      </c>
      <c r="J546" s="448">
        <f t="shared" si="207"/>
        <v>0</v>
      </c>
      <c r="K546" s="449">
        <f t="shared" si="207"/>
        <v>0</v>
      </c>
      <c r="L546" s="450">
        <f t="shared" si="207"/>
        <v>0</v>
      </c>
      <c r="N546" s="418"/>
    </row>
    <row r="547" spans="1:16" ht="11.25" x14ac:dyDescent="0.2">
      <c r="N547" s="418"/>
    </row>
    <row r="548" spans="1:16" ht="11.25" x14ac:dyDescent="0.2">
      <c r="E548" s="451">
        <f>(F545*$H$5)+(H545*$J$5)+(J545*$L$5)+(L545*$N$5)</f>
        <v>3004.9201493951778</v>
      </c>
      <c r="N548" s="418"/>
    </row>
    <row r="549" spans="1:16" ht="11.25" x14ac:dyDescent="0.2">
      <c r="N549" s="418"/>
    </row>
    <row r="550" spans="1:16" ht="11.25" x14ac:dyDescent="0.2">
      <c r="N550" s="418"/>
    </row>
    <row r="551" spans="1:16" ht="11.25" x14ac:dyDescent="0.2">
      <c r="A551" s="548" t="s">
        <v>226</v>
      </c>
      <c r="B551" s="548"/>
      <c r="C551" s="548"/>
      <c r="D551" s="548"/>
      <c r="E551" s="548"/>
      <c r="F551" s="548"/>
      <c r="G551" s="548"/>
      <c r="H551" s="548"/>
      <c r="N551" s="418"/>
    </row>
    <row r="552" spans="1:16" ht="11.25" x14ac:dyDescent="0.2">
      <c r="A552" s="548"/>
      <c r="B552" s="548"/>
      <c r="C552" s="548"/>
      <c r="D552" s="548"/>
      <c r="E552" s="548"/>
      <c r="F552" s="548"/>
      <c r="G552" s="548"/>
      <c r="H552" s="548"/>
      <c r="N552" s="418"/>
    </row>
    <row r="553" spans="1:16" s="420" customFormat="1" ht="3.75" customHeight="1" x14ac:dyDescent="0.2">
      <c r="A553" s="419"/>
      <c r="B553" s="419"/>
      <c r="C553" s="419"/>
      <c r="D553" s="419"/>
      <c r="E553" s="419"/>
      <c r="F553" s="419"/>
      <c r="G553" s="419"/>
      <c r="H553" s="419"/>
      <c r="I553" s="515"/>
      <c r="J553" s="515"/>
      <c r="K553" s="515"/>
      <c r="L553" s="515"/>
      <c r="M553" s="515"/>
      <c r="N553" s="418"/>
      <c r="O553" s="515"/>
      <c r="P553" s="515"/>
    </row>
    <row r="554" spans="1:16" ht="11.25" x14ac:dyDescent="0.2">
      <c r="A554" s="548" t="s">
        <v>85</v>
      </c>
      <c r="B554" s="548"/>
      <c r="C554" s="548"/>
      <c r="D554" s="548"/>
      <c r="E554" s="548"/>
      <c r="F554" s="548"/>
      <c r="G554" s="548"/>
      <c r="H554" s="548"/>
      <c r="N554" s="418"/>
    </row>
    <row r="555" spans="1:16" ht="11.25" x14ac:dyDescent="0.2">
      <c r="A555" s="10" t="s">
        <v>8</v>
      </c>
      <c r="B555" s="10"/>
      <c r="C555" s="10" t="s">
        <v>2</v>
      </c>
      <c r="D555" s="10" t="s">
        <v>3</v>
      </c>
      <c r="E555" s="10" t="s">
        <v>137</v>
      </c>
      <c r="F555" s="10" t="s">
        <v>25</v>
      </c>
      <c r="G555" s="10" t="s">
        <v>95</v>
      </c>
      <c r="H555" s="10" t="s">
        <v>240</v>
      </c>
      <c r="N555" s="418"/>
    </row>
    <row r="556" spans="1:16" ht="11.25" x14ac:dyDescent="0.2">
      <c r="A556" s="194" t="s">
        <v>304</v>
      </c>
      <c r="B556" s="195"/>
      <c r="C556" s="195" t="s">
        <v>9</v>
      </c>
      <c r="D556" s="196" t="s">
        <v>78</v>
      </c>
      <c r="E556" s="97">
        <f>ROUND(F556/$B$33,6)</f>
        <v>6.9374669999999998</v>
      </c>
      <c r="F556" s="98">
        <f>[7]Consolidação!$G$52</f>
        <v>5161.4751861511977</v>
      </c>
      <c r="G556" s="98">
        <f>'[8]2019'!$F$10</f>
        <v>110.298</v>
      </c>
      <c r="H556" s="154">
        <v>0.03</v>
      </c>
      <c r="L556" s="410"/>
      <c r="N556" s="418"/>
    </row>
    <row r="557" spans="1:16" ht="11.25" x14ac:dyDescent="0.2">
      <c r="A557" s="215"/>
      <c r="B557" s="215"/>
      <c r="C557" s="215"/>
      <c r="D557" s="216"/>
      <c r="E557" s="174"/>
      <c r="F557" s="175"/>
      <c r="G557" s="175"/>
      <c r="H557" s="175"/>
      <c r="L557" s="410"/>
      <c r="N557" s="418"/>
    </row>
    <row r="558" spans="1:16" ht="11.25" x14ac:dyDescent="0.2">
      <c r="A558" s="80" t="s">
        <v>32</v>
      </c>
      <c r="B558" s="421"/>
      <c r="C558" s="421"/>
      <c r="D558" s="422"/>
      <c r="E558" s="81">
        <f>SUM(E556:E557)</f>
        <v>6.9374669999999998</v>
      </c>
      <c r="F558" s="84">
        <f>SUM(F556:F557)</f>
        <v>5161.4751861511977</v>
      </c>
      <c r="G558" s="84">
        <f>SUM(G556:G557)</f>
        <v>110.298</v>
      </c>
      <c r="H558" s="84"/>
      <c r="I558" s="228"/>
      <c r="N558" s="418"/>
    </row>
    <row r="559" spans="1:16" ht="11.25" x14ac:dyDescent="0.2">
      <c r="N559" s="418"/>
    </row>
    <row r="560" spans="1:16" ht="11.25" x14ac:dyDescent="0.2">
      <c r="A560" s="548" t="s">
        <v>70</v>
      </c>
      <c r="B560" s="548"/>
      <c r="C560" s="548"/>
      <c r="D560" s="548"/>
      <c r="E560" s="548"/>
      <c r="F560" s="548"/>
      <c r="G560" s="548"/>
      <c r="H560" s="548"/>
      <c r="N560" s="418"/>
    </row>
    <row r="561" spans="1:15" x14ac:dyDescent="0.15">
      <c r="A561" s="10" t="s">
        <v>252</v>
      </c>
      <c r="B561" s="10" t="s">
        <v>1</v>
      </c>
      <c r="C561" s="10" t="s">
        <v>2</v>
      </c>
      <c r="D561" s="10" t="s">
        <v>3</v>
      </c>
      <c r="E561" s="10" t="s">
        <v>137</v>
      </c>
      <c r="F561" s="10" t="s">
        <v>25</v>
      </c>
      <c r="G561" s="10" t="s">
        <v>253</v>
      </c>
      <c r="H561" s="10" t="s">
        <v>254</v>
      </c>
      <c r="J561" s="10" t="s">
        <v>72</v>
      </c>
      <c r="K561" s="10" t="s">
        <v>73</v>
      </c>
      <c r="L561" s="10" t="s">
        <v>74</v>
      </c>
      <c r="M561" s="10" t="s">
        <v>75</v>
      </c>
      <c r="N561" s="10" t="s">
        <v>425</v>
      </c>
    </row>
    <row r="562" spans="1:15" ht="11.25" x14ac:dyDescent="0.2">
      <c r="A562" s="268">
        <v>15580</v>
      </c>
      <c r="B562" s="268" t="s">
        <v>343</v>
      </c>
      <c r="C562" s="268" t="s">
        <v>71</v>
      </c>
      <c r="D562" s="269" t="s">
        <v>78</v>
      </c>
      <c r="E562" s="270">
        <f>ROUND(F562/$B$33,6)</f>
        <v>0.14824999999999999</v>
      </c>
      <c r="F562" s="271">
        <f>G556</f>
        <v>110.298</v>
      </c>
      <c r="G562" s="272">
        <v>0</v>
      </c>
      <c r="H562" s="272">
        <f>F562*G562</f>
        <v>0</v>
      </c>
      <c r="J562" s="9"/>
      <c r="K562" s="9"/>
      <c r="L562" s="9"/>
      <c r="M562" s="9"/>
      <c r="N562" s="499"/>
    </row>
    <row r="563" spans="1:15" ht="11.25" x14ac:dyDescent="0.2">
      <c r="A563" s="167">
        <v>832615</v>
      </c>
      <c r="B563" s="168" t="s">
        <v>305</v>
      </c>
      <c r="C563" s="167" t="s">
        <v>71</v>
      </c>
      <c r="D563" s="169" t="s">
        <v>78</v>
      </c>
      <c r="E563" s="79">
        <f>ROUND(F563/$B$33,6)</f>
        <v>0</v>
      </c>
      <c r="F563" s="83">
        <f>VLOOKUP(A563,$A$823:$H$873,6,FALSE)</f>
        <v>0</v>
      </c>
      <c r="G563" s="170">
        <f>VLOOKUP(A563,$A$823:$H$873,7,FALSE)</f>
        <v>0</v>
      </c>
      <c r="H563" s="170">
        <f>F563*G563</f>
        <v>0</v>
      </c>
      <c r="J563" s="9" t="str">
        <f>VLOOKUP($A563,[4]cliqccee!$A:$AK,26,FALSE)</f>
        <v>0,000000</v>
      </c>
      <c r="K563" s="9" t="str">
        <f>VLOOKUP($A563,[4]cliqccee!$A:$AK,10,FALSE)</f>
        <v>Validado</v>
      </c>
      <c r="L563" s="9" t="str">
        <f>VLOOKUP($A563,[4]cliqccee!$A:$AK,32,FALSE)</f>
        <v>FLAT</v>
      </c>
      <c r="M563" s="9" t="str">
        <f>VLOOKUP($A563,[4]cliqccee!$A:$AK,33,FALSE)</f>
        <v>Validado</v>
      </c>
      <c r="N563" s="499">
        <f t="shared" ref="N563:N566" si="208">J563-E563</f>
        <v>0</v>
      </c>
    </row>
    <row r="564" spans="1:15" ht="11.25" x14ac:dyDescent="0.2">
      <c r="A564" s="248">
        <v>1007319</v>
      </c>
      <c r="B564" s="248" t="s">
        <v>358</v>
      </c>
      <c r="C564" s="248" t="s">
        <v>71</v>
      </c>
      <c r="D564" s="249" t="s">
        <v>78</v>
      </c>
      <c r="E564" s="250">
        <v>7</v>
      </c>
      <c r="F564" s="251">
        <f>E564*$B$33</f>
        <v>5208</v>
      </c>
      <c r="G564" s="252">
        <f>[5]LONGO_PRAZO!$AP$73</f>
        <v>145.28</v>
      </c>
      <c r="H564" s="252">
        <f>F564*G564</f>
        <v>756618.23999999999</v>
      </c>
      <c r="J564" s="9" t="str">
        <f>VLOOKUP($A564,[4]cliqccee!$A:$AK,26,FALSE)</f>
        <v>0,000000</v>
      </c>
      <c r="K564" s="9" t="str">
        <f>VLOOKUP($A564,[4]cliqccee!$A:$AK,10,FALSE)</f>
        <v>Validado</v>
      </c>
      <c r="L564" s="9" t="str">
        <f>VLOOKUP($A564,[4]cliqccee!$A:$AK,32,FALSE)</f>
        <v>FLAT</v>
      </c>
      <c r="M564" s="9" t="str">
        <f>VLOOKUP($A564,[4]cliqccee!$A:$AK,33,FALSE)</f>
        <v>Validado</v>
      </c>
      <c r="N564" s="499">
        <f t="shared" si="208"/>
        <v>-7</v>
      </c>
      <c r="O564" s="536"/>
    </row>
    <row r="565" spans="1:15" ht="11.25" x14ac:dyDescent="0.2">
      <c r="A565" s="167"/>
      <c r="B565" s="167"/>
      <c r="C565" s="167"/>
      <c r="D565" s="192"/>
      <c r="E565" s="79"/>
      <c r="F565" s="83"/>
      <c r="G565" s="193"/>
      <c r="H565" s="193"/>
      <c r="J565" s="9" t="e">
        <f>VLOOKUP($A565,[4]cliqccee!$A:$AK,26,FALSE)</f>
        <v>#N/A</v>
      </c>
      <c r="K565" s="9" t="e">
        <f>VLOOKUP($A565,[4]cliqccee!$A:$AK,10,FALSE)</f>
        <v>#N/A</v>
      </c>
      <c r="L565" s="9" t="e">
        <f>VLOOKUP($A565,[4]cliqccee!$A:$AK,32,FALSE)</f>
        <v>#N/A</v>
      </c>
      <c r="M565" s="9" t="e">
        <f>VLOOKUP($A565,[4]cliqccee!$A:$AK,33,FALSE)</f>
        <v>#N/A</v>
      </c>
      <c r="N565" s="499" t="e">
        <f t="shared" si="208"/>
        <v>#N/A</v>
      </c>
    </row>
    <row r="566" spans="1:15" ht="11.25" x14ac:dyDescent="0.2">
      <c r="A566" s="167"/>
      <c r="B566" s="167"/>
      <c r="C566" s="167"/>
      <c r="D566" s="192"/>
      <c r="E566" s="79"/>
      <c r="F566" s="83"/>
      <c r="G566" s="193"/>
      <c r="H566" s="193"/>
      <c r="J566" s="9" t="e">
        <f>VLOOKUP($A566,[4]cliqccee!$A:$AK,26,FALSE)</f>
        <v>#N/A</v>
      </c>
      <c r="K566" s="9" t="e">
        <f>VLOOKUP($A566,[4]cliqccee!$A:$AK,10,FALSE)</f>
        <v>#N/A</v>
      </c>
      <c r="L566" s="9" t="e">
        <f>VLOOKUP($A566,[4]cliqccee!$A:$AK,32,FALSE)</f>
        <v>#N/A</v>
      </c>
      <c r="M566" s="9" t="e">
        <f>VLOOKUP($A566,[4]cliqccee!$A:$AK,33,FALSE)</f>
        <v>#N/A</v>
      </c>
      <c r="N566" s="499" t="e">
        <f t="shared" si="208"/>
        <v>#N/A</v>
      </c>
    </row>
    <row r="567" spans="1:15" x14ac:dyDescent="0.15">
      <c r="A567" s="253"/>
      <c r="B567" s="253"/>
      <c r="C567" s="253"/>
      <c r="D567" s="253"/>
      <c r="E567" s="203"/>
      <c r="F567" s="204"/>
      <c r="G567" s="205"/>
      <c r="H567" s="206"/>
      <c r="J567" s="393"/>
      <c r="K567" s="393"/>
      <c r="L567" s="393"/>
      <c r="M567" s="393"/>
      <c r="N567" s="393"/>
    </row>
    <row r="568" spans="1:15" ht="11.25" x14ac:dyDescent="0.2">
      <c r="A568" s="80" t="s">
        <v>32</v>
      </c>
      <c r="B568" s="421"/>
      <c r="C568" s="421"/>
      <c r="D568" s="422"/>
      <c r="E568" s="81">
        <f>SUM(E562:E567)</f>
        <v>7.14825</v>
      </c>
      <c r="F568" s="84">
        <f>SUM(F562:F567)</f>
        <v>5318.2979999999998</v>
      </c>
      <c r="G568" s="82">
        <f>IFERROR(H568/F568,0)</f>
        <v>142.26698842374009</v>
      </c>
      <c r="H568" s="82">
        <f>SUM(H562:H567)</f>
        <v>756618.23999999999</v>
      </c>
      <c r="I568" s="228"/>
      <c r="N568" s="418"/>
    </row>
    <row r="569" spans="1:15" ht="11.25" x14ac:dyDescent="0.2">
      <c r="N569" s="418"/>
    </row>
    <row r="570" spans="1:15" ht="11.25" x14ac:dyDescent="0.2">
      <c r="A570" s="548" t="s">
        <v>233</v>
      </c>
      <c r="B570" s="548"/>
      <c r="C570" s="548"/>
      <c r="E570" s="423" t="s">
        <v>19</v>
      </c>
      <c r="F570" s="423"/>
      <c r="G570" s="424" t="s">
        <v>20</v>
      </c>
      <c r="H570" s="424"/>
      <c r="I570" s="425" t="s">
        <v>21</v>
      </c>
      <c r="J570" s="425"/>
      <c r="K570" s="426" t="s">
        <v>22</v>
      </c>
      <c r="L570" s="426"/>
      <c r="N570" s="418"/>
    </row>
    <row r="571" spans="1:15" ht="11.25" x14ac:dyDescent="0.2">
      <c r="A571" s="10" t="s">
        <v>2</v>
      </c>
      <c r="B571" s="10" t="s">
        <v>137</v>
      </c>
      <c r="C571" s="10" t="s">
        <v>25</v>
      </c>
      <c r="E571" s="427" t="s">
        <v>137</v>
      </c>
      <c r="F571" s="428" t="s">
        <v>25</v>
      </c>
      <c r="G571" s="429" t="s">
        <v>137</v>
      </c>
      <c r="H571" s="430" t="s">
        <v>25</v>
      </c>
      <c r="I571" s="431" t="s">
        <v>137</v>
      </c>
      <c r="J571" s="432" t="s">
        <v>25</v>
      </c>
      <c r="K571" s="433" t="s">
        <v>137</v>
      </c>
      <c r="L571" s="434" t="s">
        <v>25</v>
      </c>
      <c r="N571" s="418"/>
    </row>
    <row r="572" spans="1:15" ht="11.25" x14ac:dyDescent="0.2">
      <c r="A572" s="29" t="s">
        <v>69</v>
      </c>
      <c r="B572" s="70">
        <v>0</v>
      </c>
      <c r="C572" s="83">
        <v>0</v>
      </c>
      <c r="E572" s="435">
        <f>SUMIFS($E$556:$E$567,$C$556:$C$567,$A572,$D$556:$D$567,$E$570)</f>
        <v>0</v>
      </c>
      <c r="F572" s="436">
        <f>SUMIFS($F$556:$F$567,$C$556:$C$567,$A572,$D$556:$D$567,$E$570)</f>
        <v>0</v>
      </c>
      <c r="G572" s="437">
        <f>SUMIFS($E$556:$E$567,$C$556:$C$567,$A572,$D$556:$D$567,$G$570)</f>
        <v>0</v>
      </c>
      <c r="H572" s="438">
        <f>SUMIFS($F$556:$F$567,$C$556:$C$567,$A572,$D$556:$D$567,$G$570)</f>
        <v>0</v>
      </c>
      <c r="I572" s="439">
        <f>SUMIFS($E$556:$E$567,$C$556:$C$567,$A572,$D$556:$D$567,$I$570)</f>
        <v>0</v>
      </c>
      <c r="J572" s="440">
        <f>SUMIFS($F$556:$F$567,$C$556:$C$567,$A572,$D$556:$D$567,$I$570)</f>
        <v>0</v>
      </c>
      <c r="K572" s="441">
        <f>SUMIFS($E$556:$E$567,$C$556:$C$567,$A572,$D$556:$D$567,$K$570)</f>
        <v>0</v>
      </c>
      <c r="L572" s="442">
        <f>SUMIFS($F$556:$F$567,$C$556:$C$567,$A572,$D$556:$D$567,$K$570)</f>
        <v>0</v>
      </c>
      <c r="N572" s="418"/>
    </row>
    <row r="573" spans="1:15" ht="11.25" x14ac:dyDescent="0.2">
      <c r="A573" s="29" t="s">
        <v>47</v>
      </c>
      <c r="B573" s="70">
        <v>0</v>
      </c>
      <c r="C573" s="83">
        <v>0</v>
      </c>
      <c r="E573" s="435">
        <f t="shared" ref="E573:E578" si="209">SUMIFS($E$556:$E$567,$C$556:$C$567,$A573,$D$556:$D$567,$E$570)</f>
        <v>0</v>
      </c>
      <c r="F573" s="436">
        <f t="shared" ref="F573:F578" si="210">SUMIFS($F$556:$F$567,$C$556:$C$567,$A573,$D$556:$D$567,$E$570)</f>
        <v>0</v>
      </c>
      <c r="G573" s="437">
        <f t="shared" ref="G573:G578" si="211">SUMIFS($E$556:$E$567,$C$556:$C$567,$A573,$D$556:$D$567,$G$570)</f>
        <v>0</v>
      </c>
      <c r="H573" s="438">
        <f t="shared" ref="H573:H578" si="212">SUMIFS($F$556:$F$567,$C$556:$C$567,$A573,$D$556:$D$567,$G$570)</f>
        <v>0</v>
      </c>
      <c r="I573" s="439">
        <f t="shared" ref="I573:I578" si="213">SUMIFS($E$556:$E$567,$C$556:$C$567,$A573,$D$556:$D$567,$I$570)</f>
        <v>0</v>
      </c>
      <c r="J573" s="440">
        <f t="shared" ref="J573:J578" si="214">SUMIFS($F$556:$F$567,$C$556:$C$567,$A573,$D$556:$D$567,$I$570)</f>
        <v>0</v>
      </c>
      <c r="K573" s="441">
        <f t="shared" ref="K573:K578" si="215">SUMIFS($E$556:$E$567,$C$556:$C$567,$A573,$D$556:$D$567,$K$570)</f>
        <v>0</v>
      </c>
      <c r="L573" s="442">
        <f t="shared" ref="L573:L578" si="216">SUMIFS($F$556:$F$567,$C$556:$C$567,$A573,$D$556:$D$567,$K$570)</f>
        <v>0</v>
      </c>
      <c r="N573" s="418"/>
    </row>
    <row r="574" spans="1:15" ht="11.25" x14ac:dyDescent="0.2">
      <c r="A574" s="29" t="s">
        <v>79</v>
      </c>
      <c r="B574" s="70">
        <v>0</v>
      </c>
      <c r="C574" s="83">
        <v>0</v>
      </c>
      <c r="E574" s="435">
        <f t="shared" si="209"/>
        <v>0</v>
      </c>
      <c r="F574" s="436">
        <f t="shared" si="210"/>
        <v>0</v>
      </c>
      <c r="G574" s="437">
        <f t="shared" si="211"/>
        <v>0</v>
      </c>
      <c r="H574" s="438">
        <f t="shared" si="212"/>
        <v>0</v>
      </c>
      <c r="I574" s="439">
        <f t="shared" si="213"/>
        <v>0</v>
      </c>
      <c r="J574" s="440">
        <f t="shared" si="214"/>
        <v>0</v>
      </c>
      <c r="K574" s="441">
        <f t="shared" si="215"/>
        <v>0</v>
      </c>
      <c r="L574" s="442">
        <f t="shared" si="216"/>
        <v>0</v>
      </c>
      <c r="N574" s="418"/>
    </row>
    <row r="575" spans="1:15" ht="11.25" x14ac:dyDescent="0.2">
      <c r="A575" s="29" t="s">
        <v>71</v>
      </c>
      <c r="B575" s="70">
        <f>E568</f>
        <v>7.14825</v>
      </c>
      <c r="C575" s="83">
        <f>F568</f>
        <v>5318.2979999999998</v>
      </c>
      <c r="E575" s="435">
        <f t="shared" si="209"/>
        <v>0</v>
      </c>
      <c r="F575" s="436">
        <f t="shared" si="210"/>
        <v>0</v>
      </c>
      <c r="G575" s="437">
        <f t="shared" si="211"/>
        <v>0</v>
      </c>
      <c r="H575" s="438">
        <f t="shared" si="212"/>
        <v>0</v>
      </c>
      <c r="I575" s="439">
        <f t="shared" si="213"/>
        <v>7.14825</v>
      </c>
      <c r="J575" s="440">
        <f t="shared" si="214"/>
        <v>5318.2979999999998</v>
      </c>
      <c r="K575" s="441">
        <f t="shared" si="215"/>
        <v>0</v>
      </c>
      <c r="L575" s="442">
        <f t="shared" si="216"/>
        <v>0</v>
      </c>
      <c r="N575" s="418"/>
    </row>
    <row r="576" spans="1:15" ht="11.25" x14ac:dyDescent="0.2">
      <c r="A576" s="29" t="s">
        <v>9</v>
      </c>
      <c r="B576" s="70">
        <f>E558</f>
        <v>6.9374669999999998</v>
      </c>
      <c r="C576" s="83">
        <f>F558</f>
        <v>5161.4751861511977</v>
      </c>
      <c r="E576" s="435">
        <f t="shared" si="209"/>
        <v>0</v>
      </c>
      <c r="F576" s="436">
        <f t="shared" si="210"/>
        <v>0</v>
      </c>
      <c r="G576" s="437">
        <f t="shared" si="211"/>
        <v>0</v>
      </c>
      <c r="H576" s="438">
        <f t="shared" si="212"/>
        <v>0</v>
      </c>
      <c r="I576" s="439">
        <f t="shared" si="213"/>
        <v>6.9374669999999998</v>
      </c>
      <c r="J576" s="440">
        <f t="shared" si="214"/>
        <v>5161.4751861511977</v>
      </c>
      <c r="K576" s="441">
        <f t="shared" si="215"/>
        <v>0</v>
      </c>
      <c r="L576" s="442">
        <f t="shared" si="216"/>
        <v>0</v>
      </c>
      <c r="N576" s="418"/>
    </row>
    <row r="577" spans="1:17" ht="11.25" x14ac:dyDescent="0.2">
      <c r="A577" s="29" t="s">
        <v>80</v>
      </c>
      <c r="B577" s="70">
        <v>0</v>
      </c>
      <c r="C577" s="83">
        <v>0</v>
      </c>
      <c r="E577" s="435">
        <f t="shared" si="209"/>
        <v>0</v>
      </c>
      <c r="F577" s="436">
        <f t="shared" si="210"/>
        <v>0</v>
      </c>
      <c r="G577" s="437">
        <f t="shared" si="211"/>
        <v>0</v>
      </c>
      <c r="H577" s="438">
        <f t="shared" si="212"/>
        <v>0</v>
      </c>
      <c r="I577" s="439">
        <f t="shared" si="213"/>
        <v>0</v>
      </c>
      <c r="J577" s="440">
        <f t="shared" si="214"/>
        <v>0</v>
      </c>
      <c r="K577" s="441">
        <f t="shared" si="215"/>
        <v>0</v>
      </c>
      <c r="L577" s="442">
        <f t="shared" si="216"/>
        <v>0</v>
      </c>
      <c r="N577" s="418"/>
    </row>
    <row r="578" spans="1:17" ht="11.25" x14ac:dyDescent="0.2">
      <c r="A578" s="29" t="s">
        <v>77</v>
      </c>
      <c r="B578" s="70">
        <v>0</v>
      </c>
      <c r="C578" s="83">
        <v>0</v>
      </c>
      <c r="E578" s="435">
        <f t="shared" si="209"/>
        <v>0</v>
      </c>
      <c r="F578" s="436">
        <f t="shared" si="210"/>
        <v>0</v>
      </c>
      <c r="G578" s="437">
        <f t="shared" si="211"/>
        <v>0</v>
      </c>
      <c r="H578" s="438">
        <f t="shared" si="212"/>
        <v>0</v>
      </c>
      <c r="I578" s="439">
        <f t="shared" si="213"/>
        <v>0</v>
      </c>
      <c r="J578" s="440">
        <f t="shared" si="214"/>
        <v>0</v>
      </c>
      <c r="K578" s="441">
        <f t="shared" si="215"/>
        <v>0</v>
      </c>
      <c r="L578" s="442">
        <f t="shared" si="216"/>
        <v>0</v>
      </c>
      <c r="N578" s="418"/>
    </row>
    <row r="579" spans="1:17" ht="11.25" x14ac:dyDescent="0.2">
      <c r="A579" s="11" t="s">
        <v>81</v>
      </c>
      <c r="B579" s="12">
        <f>SUM(B572:B575)-SUM(B576:B578)</f>
        <v>0.21078300000000016</v>
      </c>
      <c r="C579" s="12">
        <f>SUM(C572:C575)-SUM(C576:C578)</f>
        <v>156.82281384880207</v>
      </c>
      <c r="E579" s="443">
        <f t="shared" ref="E579:L579" si="217">SUM(E572:E575)-SUM(E576:E578)</f>
        <v>0</v>
      </c>
      <c r="F579" s="444">
        <f t="shared" si="217"/>
        <v>0</v>
      </c>
      <c r="G579" s="445">
        <f t="shared" si="217"/>
        <v>0</v>
      </c>
      <c r="H579" s="446">
        <f t="shared" si="217"/>
        <v>0</v>
      </c>
      <c r="I579" s="447">
        <f t="shared" si="217"/>
        <v>0.21078300000000016</v>
      </c>
      <c r="J579" s="448">
        <f t="shared" si="217"/>
        <v>156.82281384880207</v>
      </c>
      <c r="K579" s="449">
        <f t="shared" si="217"/>
        <v>0</v>
      </c>
      <c r="L579" s="450">
        <f t="shared" si="217"/>
        <v>0</v>
      </c>
      <c r="N579" s="418"/>
    </row>
    <row r="580" spans="1:17" ht="11.25" x14ac:dyDescent="0.2">
      <c r="A580" s="11" t="s">
        <v>82</v>
      </c>
      <c r="B580" s="12">
        <f>SUM(B572:B575)-SUM(B576:B579)</f>
        <v>0</v>
      </c>
      <c r="C580" s="12">
        <f>SUM(C572:C575)-SUM(C576:C579)</f>
        <v>0</v>
      </c>
      <c r="E580" s="443">
        <f t="shared" ref="E580:L580" si="218">SUM(E572:E575)-SUM(E576:E579)</f>
        <v>0</v>
      </c>
      <c r="F580" s="444">
        <f t="shared" si="218"/>
        <v>0</v>
      </c>
      <c r="G580" s="445">
        <f t="shared" si="218"/>
        <v>0</v>
      </c>
      <c r="H580" s="446">
        <f t="shared" si="218"/>
        <v>0</v>
      </c>
      <c r="I580" s="447">
        <f t="shared" si="218"/>
        <v>0</v>
      </c>
      <c r="J580" s="448">
        <f t="shared" si="218"/>
        <v>0</v>
      </c>
      <c r="K580" s="449">
        <f t="shared" si="218"/>
        <v>0</v>
      </c>
      <c r="L580" s="450">
        <f t="shared" si="218"/>
        <v>0</v>
      </c>
      <c r="N580" s="418"/>
    </row>
    <row r="581" spans="1:17" ht="11.25" x14ac:dyDescent="0.2">
      <c r="N581" s="418"/>
    </row>
    <row r="582" spans="1:17" ht="11.25" x14ac:dyDescent="0.2">
      <c r="E582" s="451">
        <f>(F579*$H$5)+(H579*$J$5)+(J579*$L$5)+(L579*$N$5)</f>
        <v>13594.116059977265</v>
      </c>
      <c r="N582" s="418"/>
      <c r="O582" s="527"/>
    </row>
    <row r="583" spans="1:17" ht="11.25" x14ac:dyDescent="0.2">
      <c r="D583" s="418"/>
      <c r="E583" s="418"/>
      <c r="F583" s="418"/>
      <c r="N583" s="418"/>
    </row>
    <row r="584" spans="1:17" ht="11.25" x14ac:dyDescent="0.2">
      <c r="D584" s="418"/>
      <c r="E584" s="418"/>
      <c r="F584" s="418"/>
      <c r="N584" s="418"/>
    </row>
    <row r="585" spans="1:17" ht="11.25" x14ac:dyDescent="0.2">
      <c r="A585" s="548" t="s">
        <v>94</v>
      </c>
      <c r="B585" s="548"/>
      <c r="C585" s="548"/>
      <c r="D585" s="548"/>
      <c r="E585" s="548"/>
      <c r="F585" s="548"/>
      <c r="G585" s="548"/>
      <c r="H585" s="548"/>
      <c r="N585" s="418"/>
    </row>
    <row r="586" spans="1:17" s="177" customFormat="1" ht="11.25" x14ac:dyDescent="0.2">
      <c r="A586" s="548"/>
      <c r="B586" s="548"/>
      <c r="C586" s="548"/>
      <c r="D586" s="548"/>
      <c r="E586" s="548"/>
      <c r="F586" s="548"/>
      <c r="G586" s="548"/>
      <c r="H586" s="548"/>
      <c r="I586" s="515"/>
      <c r="J586" s="515"/>
      <c r="K586" s="515"/>
      <c r="L586" s="515"/>
      <c r="M586" s="515"/>
      <c r="N586" s="418"/>
      <c r="O586" s="515"/>
      <c r="P586" s="515"/>
    </row>
    <row r="587" spans="1:17" s="177" customFormat="1" ht="3.75" customHeight="1" x14ac:dyDescent="0.15">
      <c r="A587" s="419"/>
      <c r="B587" s="419"/>
      <c r="C587" s="419"/>
      <c r="D587" s="419"/>
      <c r="E587" s="419"/>
      <c r="F587" s="419"/>
      <c r="G587" s="419"/>
      <c r="H587" s="419"/>
      <c r="I587" s="515"/>
      <c r="J587" s="515"/>
      <c r="K587" s="515"/>
      <c r="L587" s="515"/>
      <c r="M587" s="515"/>
      <c r="N587" s="515"/>
      <c r="O587" s="515"/>
      <c r="P587" s="515"/>
    </row>
    <row r="588" spans="1:17" s="177" customFormat="1" x14ac:dyDescent="0.15">
      <c r="A588" s="548" t="s">
        <v>85</v>
      </c>
      <c r="B588" s="548"/>
      <c r="C588" s="548"/>
      <c r="D588" s="548"/>
      <c r="E588" s="548"/>
      <c r="F588" s="548"/>
      <c r="G588" s="548"/>
      <c r="H588" s="548"/>
      <c r="I588" s="515"/>
      <c r="J588" s="515"/>
      <c r="K588" s="395" t="s">
        <v>221</v>
      </c>
      <c r="L588" s="395" t="s">
        <v>222</v>
      </c>
      <c r="M588" s="395" t="s">
        <v>223</v>
      </c>
      <c r="N588" s="395" t="s">
        <v>132</v>
      </c>
      <c r="O588" s="395" t="s">
        <v>224</v>
      </c>
      <c r="P588" s="395" t="s">
        <v>225</v>
      </c>
    </row>
    <row r="589" spans="1:17" x14ac:dyDescent="0.15">
      <c r="A589" s="10" t="s">
        <v>8</v>
      </c>
      <c r="B589" s="10"/>
      <c r="C589" s="10" t="s">
        <v>2</v>
      </c>
      <c r="D589" s="10" t="s">
        <v>3</v>
      </c>
      <c r="E589" s="10" t="s">
        <v>137</v>
      </c>
      <c r="F589" s="10" t="s">
        <v>25</v>
      </c>
      <c r="G589" s="10" t="s">
        <v>95</v>
      </c>
      <c r="H589" s="10" t="s">
        <v>240</v>
      </c>
      <c r="J589" s="462" t="s">
        <v>218</v>
      </c>
      <c r="K589" s="463">
        <f>[9]Premissas!X3</f>
        <v>66</v>
      </c>
      <c r="L589" s="464">
        <f xml:space="preserve"> 4066 / 1000</f>
        <v>4.0659999999999998</v>
      </c>
      <c r="M589" s="465">
        <f>K589*L589</f>
        <v>268.35599999999999</v>
      </c>
      <c r="N589" s="465">
        <f>[7]Consolidação!$C$50 / ( 1 - 2.5%)</f>
        <v>227.43470704273506</v>
      </c>
      <c r="O589" s="465">
        <f>IF(M589&gt;N589,N589,M589)</f>
        <v>227.43470704273506</v>
      </c>
      <c r="P589" s="466">
        <f>N589-O589</f>
        <v>0</v>
      </c>
    </row>
    <row r="590" spans="1:17" x14ac:dyDescent="0.15">
      <c r="A590" s="194" t="s">
        <v>296</v>
      </c>
      <c r="B590" s="195"/>
      <c r="C590" s="195" t="s">
        <v>9</v>
      </c>
      <c r="D590" s="196" t="s">
        <v>232</v>
      </c>
      <c r="E590" s="97">
        <f>ROUND(F590/$B$33,6)</f>
        <v>50.982373000000003</v>
      </c>
      <c r="F590" s="98">
        <f>[7]Consolidação!$G$50</f>
        <v>37930.885248593011</v>
      </c>
      <c r="G590" s="98">
        <f>'[8]2019'!$F$8</f>
        <v>778.827</v>
      </c>
      <c r="H590" s="154">
        <v>0.03</v>
      </c>
      <c r="J590" s="462" t="s">
        <v>219</v>
      </c>
      <c r="K590" s="463">
        <f>[9]Premissas!X4</f>
        <v>678</v>
      </c>
      <c r="L590" s="464">
        <f xml:space="preserve"> 34469 / 1000</f>
        <v>34.469000000000001</v>
      </c>
      <c r="M590" s="465">
        <f>K590*L590</f>
        <v>23369.982</v>
      </c>
      <c r="N590" s="465">
        <f>[7]Consolidação!$D$50 / ( 1 - 2.5%)</f>
        <v>37542.926506393174</v>
      </c>
      <c r="O590" s="465">
        <f>IF(M590&gt;N590,N590,M590)</f>
        <v>23369.982</v>
      </c>
      <c r="P590" s="466">
        <f>N590-O590</f>
        <v>14172.944506393174</v>
      </c>
    </row>
    <row r="591" spans="1:17" x14ac:dyDescent="0.15">
      <c r="A591" s="215"/>
      <c r="B591" s="215"/>
      <c r="C591" s="215"/>
      <c r="D591" s="216"/>
      <c r="E591" s="174"/>
      <c r="F591" s="175"/>
      <c r="G591" s="175"/>
      <c r="H591" s="175"/>
      <c r="J591" s="467" t="s">
        <v>32</v>
      </c>
      <c r="K591" s="468">
        <f>K589+K590</f>
        <v>744</v>
      </c>
      <c r="L591" s="177"/>
      <c r="M591" s="469">
        <f>M589+M590</f>
        <v>23638.338</v>
      </c>
      <c r="N591" s="465">
        <f>N589+N590</f>
        <v>37770.361213435906</v>
      </c>
      <c r="O591" s="465">
        <f>O589+O590</f>
        <v>23597.416707042736</v>
      </c>
      <c r="P591" s="466">
        <f>(N591-O591)</f>
        <v>14172.944506393171</v>
      </c>
    </row>
    <row r="592" spans="1:17" ht="11.25" x14ac:dyDescent="0.2">
      <c r="A592" s="80" t="s">
        <v>32</v>
      </c>
      <c r="B592" s="421"/>
      <c r="C592" s="421"/>
      <c r="D592" s="422"/>
      <c r="E592" s="81">
        <f>SUM(E590:E591)</f>
        <v>50.982373000000003</v>
      </c>
      <c r="F592" s="84">
        <f>SUM(F590:F591)</f>
        <v>37930.885248593011</v>
      </c>
      <c r="G592" s="84">
        <f>SUM(G590:G591)</f>
        <v>778.827</v>
      </c>
      <c r="H592" s="84"/>
      <c r="I592" s="228"/>
      <c r="J592" s="177"/>
      <c r="K592" s="177"/>
      <c r="L592" s="177"/>
      <c r="M592" s="177"/>
      <c r="N592" s="418"/>
      <c r="O592" s="186"/>
      <c r="P592" s="466">
        <f>G590-P591</f>
        <v>-13394.117506393171</v>
      </c>
      <c r="Q592" s="466">
        <f>P592/K591</f>
        <v>-18.002846110743508</v>
      </c>
    </row>
    <row r="593" spans="1:15" ht="11.25" x14ac:dyDescent="0.2">
      <c r="I593" s="228"/>
      <c r="N593" s="418"/>
      <c r="O593" s="228"/>
    </row>
    <row r="594" spans="1:15" ht="11.25" x14ac:dyDescent="0.2">
      <c r="A594" s="548" t="s">
        <v>70</v>
      </c>
      <c r="B594" s="548"/>
      <c r="C594" s="548"/>
      <c r="D594" s="548"/>
      <c r="E594" s="548"/>
      <c r="F594" s="548"/>
      <c r="G594" s="548"/>
      <c r="H594" s="548"/>
      <c r="N594" s="418"/>
    </row>
    <row r="595" spans="1:15" x14ac:dyDescent="0.15">
      <c r="A595" s="10" t="s">
        <v>252</v>
      </c>
      <c r="B595" s="10" t="s">
        <v>1</v>
      </c>
      <c r="C595" s="10" t="s">
        <v>2</v>
      </c>
      <c r="D595" s="10" t="s">
        <v>3</v>
      </c>
      <c r="E595" s="10" t="s">
        <v>137</v>
      </c>
      <c r="F595" s="10" t="s">
        <v>25</v>
      </c>
      <c r="G595" s="10" t="s">
        <v>253</v>
      </c>
      <c r="H595" s="10" t="s">
        <v>254</v>
      </c>
      <c r="J595" s="10" t="s">
        <v>72</v>
      </c>
      <c r="K595" s="10" t="s">
        <v>73</v>
      </c>
      <c r="L595" s="10" t="s">
        <v>74</v>
      </c>
      <c r="M595" s="10" t="s">
        <v>75</v>
      </c>
      <c r="N595" s="10" t="s">
        <v>425</v>
      </c>
    </row>
    <row r="596" spans="1:15" ht="11.25" x14ac:dyDescent="0.2">
      <c r="A596" s="268">
        <v>15130</v>
      </c>
      <c r="B596" s="268" t="s">
        <v>343</v>
      </c>
      <c r="C596" s="268" t="s">
        <v>71</v>
      </c>
      <c r="D596" s="269" t="s">
        <v>232</v>
      </c>
      <c r="E596" s="270">
        <f>ROUND(F596/$B$33,6)</f>
        <v>1.04681</v>
      </c>
      <c r="F596" s="271">
        <f>G590</f>
        <v>778.827</v>
      </c>
      <c r="G596" s="272">
        <v>0</v>
      </c>
      <c r="H596" s="272">
        <f t="shared" ref="H596:H604" si="219">F596*G596</f>
        <v>0</v>
      </c>
      <c r="I596" s="228"/>
      <c r="J596" s="9"/>
      <c r="K596" s="9"/>
      <c r="L596" s="9"/>
      <c r="M596" s="9"/>
      <c r="N596" s="499"/>
    </row>
    <row r="597" spans="1:15" ht="11.25" x14ac:dyDescent="0.2">
      <c r="A597" s="167">
        <v>1113768</v>
      </c>
      <c r="B597" s="167" t="s">
        <v>96</v>
      </c>
      <c r="C597" s="167" t="s">
        <v>71</v>
      </c>
      <c r="D597" s="192" t="s">
        <v>232</v>
      </c>
      <c r="E597" s="79">
        <f>ROUND(F597/$B$33,6)</f>
        <v>31.716958000000002</v>
      </c>
      <c r="F597" s="83">
        <f>O591</f>
        <v>23597.416707042736</v>
      </c>
      <c r="G597" s="193"/>
      <c r="H597" s="193">
        <f t="shared" si="219"/>
        <v>0</v>
      </c>
      <c r="I597" s="228"/>
      <c r="J597" s="9">
        <f>VLOOKUP($A597,[4]cliqccee!$A:$AK,26,FALSE)</f>
        <v>0</v>
      </c>
      <c r="K597" s="9" t="str">
        <f>VLOOKUP($A597,[4]cliqccee!$A:$AK,10,FALSE)</f>
        <v>Validado</v>
      </c>
      <c r="L597" s="9">
        <f>VLOOKUP($A597,[4]cliqccee!$A:$AK,32,FALSE)</f>
        <v>0</v>
      </c>
      <c r="M597" s="9">
        <f>VLOOKUP($A597,[4]cliqccee!$A:$AK,33,FALSE)</f>
        <v>0</v>
      </c>
      <c r="N597" s="499">
        <f t="shared" ref="N597:N604" si="220">J597-E597</f>
        <v>-31.716958000000002</v>
      </c>
      <c r="O597" s="536"/>
    </row>
    <row r="598" spans="1:15" ht="11.25" x14ac:dyDescent="0.2">
      <c r="A598" s="167">
        <v>768173</v>
      </c>
      <c r="B598" s="167" t="s">
        <v>297</v>
      </c>
      <c r="C598" s="167" t="s">
        <v>71</v>
      </c>
      <c r="D598" s="192" t="s">
        <v>232</v>
      </c>
      <c r="E598" s="79">
        <f>ROUND(F598/$B$33,6)</f>
        <v>0</v>
      </c>
      <c r="F598" s="83">
        <f>VLOOKUP(A598,$A$823:$H$873,6,FALSE)</f>
        <v>0</v>
      </c>
      <c r="G598" s="193">
        <f>VLOOKUP(A598,$A$823:$H$873,7,FALSE)</f>
        <v>0</v>
      </c>
      <c r="H598" s="193">
        <f t="shared" si="219"/>
        <v>0</v>
      </c>
      <c r="J598" s="9" t="e">
        <f>VLOOKUP($A598,[4]cliqccee!$A:$AK,26,FALSE)</f>
        <v>#N/A</v>
      </c>
      <c r="K598" s="9" t="e">
        <f>VLOOKUP($A598,[4]cliqccee!$A:$AK,10,FALSE)</f>
        <v>#N/A</v>
      </c>
      <c r="L598" s="9" t="e">
        <f>VLOOKUP($A598,[4]cliqccee!$A:$AK,32,FALSE)</f>
        <v>#N/A</v>
      </c>
      <c r="M598" s="9" t="e">
        <f>VLOOKUP($A598,[4]cliqccee!$A:$AK,33,FALSE)</f>
        <v>#N/A</v>
      </c>
      <c r="N598" s="499" t="e">
        <f t="shared" si="220"/>
        <v>#N/A</v>
      </c>
    </row>
    <row r="599" spans="1:15" ht="11.25" x14ac:dyDescent="0.2">
      <c r="A599" s="195">
        <v>839296</v>
      </c>
      <c r="B599" s="195" t="s">
        <v>299</v>
      </c>
      <c r="C599" s="195" t="s">
        <v>71</v>
      </c>
      <c r="D599" s="196" t="s">
        <v>232</v>
      </c>
      <c r="E599" s="97">
        <f>ROUND(F599/$B$33,6)</f>
        <v>0</v>
      </c>
      <c r="F599" s="98">
        <f>VLOOKUP(A599,$A$742:$H$772,6,FALSE)</f>
        <v>0</v>
      </c>
      <c r="G599" s="197">
        <f>VLOOKUP(A599,$A$742:$H$772,7,FALSE)</f>
        <v>0</v>
      </c>
      <c r="H599" s="197">
        <f t="shared" si="219"/>
        <v>0</v>
      </c>
      <c r="J599" s="9" t="str">
        <f>VLOOKUP($A599,[4]cliqccee!$A:$AK,26,FALSE)</f>
        <v>0,000000</v>
      </c>
      <c r="K599" s="9" t="str">
        <f>VLOOKUP($A599,[4]cliqccee!$A:$AK,10,FALSE)</f>
        <v>Validado</v>
      </c>
      <c r="L599" s="9" t="str">
        <f>VLOOKUP($A599,[4]cliqccee!$A:$AK,32,FALSE)</f>
        <v>FLAT</v>
      </c>
      <c r="M599" s="9" t="str">
        <f>VLOOKUP($A599,[4]cliqccee!$A:$AK,33,FALSE)</f>
        <v>Validado</v>
      </c>
      <c r="N599" s="499">
        <f t="shared" si="220"/>
        <v>0</v>
      </c>
    </row>
    <row r="600" spans="1:15" ht="11.25" x14ac:dyDescent="0.2">
      <c r="A600" s="167">
        <v>1098443</v>
      </c>
      <c r="B600" s="167" t="s">
        <v>402</v>
      </c>
      <c r="C600" s="167" t="s">
        <v>71</v>
      </c>
      <c r="D600" s="192" t="s">
        <v>232</v>
      </c>
      <c r="E600" s="79">
        <v>10</v>
      </c>
      <c r="F600" s="83">
        <f>ROUND(E600*$B$33,3)</f>
        <v>7440</v>
      </c>
      <c r="G600" s="193">
        <f>[5]LONGO_PRAZO!$AQ$92</f>
        <v>218.9757981759233</v>
      </c>
      <c r="H600" s="193">
        <f t="shared" ref="H600" si="221">F600*G600</f>
        <v>1629179.9384288695</v>
      </c>
      <c r="J600" s="9" t="str">
        <f>VLOOKUP($A600,[4]cliqccee!$A:$AK,26,FALSE)</f>
        <v>0,000000</v>
      </c>
      <c r="K600" s="9" t="str">
        <f>VLOOKUP($A600,[4]cliqccee!$A:$AK,10,FALSE)</f>
        <v>Validado</v>
      </c>
      <c r="L600" s="9" t="str">
        <f>VLOOKUP($A600,[4]cliqccee!$A:$AK,32,FALSE)</f>
        <v>FLAT</v>
      </c>
      <c r="M600" s="9" t="str">
        <f>VLOOKUP($A600,[4]cliqccee!$A:$AK,33,FALSE)</f>
        <v>Validado</v>
      </c>
      <c r="N600" s="499">
        <f t="shared" si="220"/>
        <v>-10</v>
      </c>
      <c r="O600" s="536"/>
    </row>
    <row r="601" spans="1:15" ht="11.25" x14ac:dyDescent="0.2">
      <c r="A601" s="542"/>
      <c r="B601" s="167" t="s">
        <v>475</v>
      </c>
      <c r="C601" s="167" t="s">
        <v>71</v>
      </c>
      <c r="D601" s="192" t="s">
        <v>232</v>
      </c>
      <c r="E601" s="79">
        <v>5</v>
      </c>
      <c r="F601" s="83">
        <f>E601*$B$33</f>
        <v>3720</v>
      </c>
      <c r="G601" s="193">
        <f>[5]LONGO_PRAZO!$AQ$102</f>
        <v>210.70959387129639</v>
      </c>
      <c r="H601" s="193"/>
      <c r="J601" s="9" t="e">
        <f>VLOOKUP($A601,[4]cliqccee!$A:$AK,26,FALSE)</f>
        <v>#N/A</v>
      </c>
      <c r="K601" s="9" t="e">
        <f>VLOOKUP($A601,[4]cliqccee!$A:$AK,10,FALSE)</f>
        <v>#N/A</v>
      </c>
      <c r="L601" s="9" t="e">
        <f>VLOOKUP($A601,[4]cliqccee!$A:$AK,32,FALSE)</f>
        <v>#N/A</v>
      </c>
      <c r="M601" s="9" t="e">
        <f>VLOOKUP($A601,[4]cliqccee!$A:$AK,33,FALSE)</f>
        <v>#N/A</v>
      </c>
      <c r="N601" s="499" t="e">
        <f t="shared" si="220"/>
        <v>#N/A</v>
      </c>
      <c r="O601" s="536"/>
    </row>
    <row r="602" spans="1:15" s="540" customFormat="1" ht="11.25" x14ac:dyDescent="0.2">
      <c r="A602" s="542"/>
      <c r="B602" s="167" t="s">
        <v>476</v>
      </c>
      <c r="C602" s="167" t="s">
        <v>71</v>
      </c>
      <c r="D602" s="192" t="s">
        <v>232</v>
      </c>
      <c r="E602" s="79">
        <v>3</v>
      </c>
      <c r="F602" s="83">
        <f>E602*$B$33</f>
        <v>2232</v>
      </c>
      <c r="G602" s="193">
        <f>[5]LONGO_PRAZO!$AQ$120</f>
        <v>200</v>
      </c>
      <c r="H602" s="193"/>
      <c r="J602" s="9"/>
      <c r="K602" s="9"/>
      <c r="L602" s="9"/>
      <c r="M602" s="9"/>
      <c r="N602" s="499"/>
      <c r="O602" s="536"/>
    </row>
    <row r="603" spans="1:15" s="540" customFormat="1" ht="11.25" x14ac:dyDescent="0.2">
      <c r="A603" s="542"/>
      <c r="B603" s="167" t="s">
        <v>477</v>
      </c>
      <c r="C603" s="167" t="s">
        <v>71</v>
      </c>
      <c r="D603" s="192" t="s">
        <v>232</v>
      </c>
      <c r="E603" s="79">
        <v>2</v>
      </c>
      <c r="F603" s="83">
        <f>E603*$B$33</f>
        <v>1488</v>
      </c>
      <c r="G603" s="193">
        <v>169</v>
      </c>
      <c r="H603" s="193"/>
      <c r="J603" s="9"/>
      <c r="K603" s="9"/>
      <c r="L603" s="9"/>
      <c r="M603" s="9"/>
      <c r="N603" s="499"/>
      <c r="O603" s="536"/>
    </row>
    <row r="604" spans="1:15" ht="11.25" x14ac:dyDescent="0.2">
      <c r="A604" s="167"/>
      <c r="B604" s="167"/>
      <c r="C604" s="167"/>
      <c r="D604" s="192"/>
      <c r="E604" s="79"/>
      <c r="F604" s="83"/>
      <c r="G604" s="193"/>
      <c r="H604" s="193">
        <f t="shared" si="219"/>
        <v>0</v>
      </c>
      <c r="J604" s="9" t="e">
        <f>VLOOKUP($A604,[4]cliqccee!$A:$AK,26,FALSE)</f>
        <v>#N/A</v>
      </c>
      <c r="K604" s="9" t="e">
        <f>VLOOKUP($A604,[4]cliqccee!$A:$AK,10,FALSE)</f>
        <v>#N/A</v>
      </c>
      <c r="L604" s="9" t="e">
        <f>VLOOKUP($A604,[4]cliqccee!$A:$AK,32,FALSE)</f>
        <v>#N/A</v>
      </c>
      <c r="M604" s="9" t="e">
        <f>VLOOKUP($A604,[4]cliqccee!$A:$AK,33,FALSE)</f>
        <v>#N/A</v>
      </c>
      <c r="N604" s="499" t="e">
        <f t="shared" si="220"/>
        <v>#N/A</v>
      </c>
    </row>
    <row r="605" spans="1:15" x14ac:dyDescent="0.15">
      <c r="A605" s="198"/>
      <c r="B605" s="198"/>
      <c r="C605" s="198"/>
      <c r="D605" s="261"/>
      <c r="E605" s="85"/>
      <c r="F605" s="86"/>
      <c r="G605" s="317"/>
      <c r="H605" s="317"/>
      <c r="J605" s="393"/>
      <c r="K605" s="393"/>
      <c r="L605" s="393"/>
      <c r="M605" s="393"/>
      <c r="N605" s="393"/>
    </row>
    <row r="606" spans="1:15" ht="11.25" x14ac:dyDescent="0.2">
      <c r="A606" s="80" t="s">
        <v>32</v>
      </c>
      <c r="B606" s="421"/>
      <c r="C606" s="421"/>
      <c r="D606" s="422"/>
      <c r="E606" s="81">
        <f>SUM(E596:E605)</f>
        <v>52.763767999999999</v>
      </c>
      <c r="F606" s="84">
        <f>SUM(F596:F605)</f>
        <v>39256.24370704274</v>
      </c>
      <c r="G606" s="82">
        <f>IFERROR(H606/F606,0)</f>
        <v>41.501167319699199</v>
      </c>
      <c r="H606" s="82">
        <f>SUM(H596:H605)</f>
        <v>1629179.9384288695</v>
      </c>
      <c r="I606" s="228"/>
      <c r="J606" s="418"/>
      <c r="K606" s="418"/>
      <c r="L606" s="418"/>
      <c r="M606" s="418"/>
      <c r="N606" s="418"/>
    </row>
    <row r="607" spans="1:15" s="418" customFormat="1" ht="11.25" x14ac:dyDescent="0.2"/>
    <row r="608" spans="1:15" ht="11.25" x14ac:dyDescent="0.2">
      <c r="A608" s="548" t="s">
        <v>76</v>
      </c>
      <c r="B608" s="548"/>
      <c r="C608" s="548"/>
      <c r="D608" s="548"/>
      <c r="E608" s="548"/>
      <c r="F608" s="548"/>
      <c r="G608" s="548"/>
      <c r="H608" s="548"/>
      <c r="I608" s="418"/>
      <c r="N608" s="418"/>
    </row>
    <row r="609" spans="1:25" ht="11.25" x14ac:dyDescent="0.2">
      <c r="A609" s="10" t="s">
        <v>252</v>
      </c>
      <c r="B609" s="10" t="s">
        <v>1</v>
      </c>
      <c r="C609" s="10" t="s">
        <v>2</v>
      </c>
      <c r="D609" s="10" t="s">
        <v>3</v>
      </c>
      <c r="E609" s="10" t="s">
        <v>137</v>
      </c>
      <c r="F609" s="10" t="s">
        <v>25</v>
      </c>
      <c r="G609" s="10" t="s">
        <v>253</v>
      </c>
      <c r="H609" s="10" t="s">
        <v>254</v>
      </c>
      <c r="I609" s="418"/>
      <c r="J609" s="10" t="s">
        <v>72</v>
      </c>
      <c r="K609" s="10" t="s">
        <v>73</v>
      </c>
      <c r="L609" s="10" t="s">
        <v>74</v>
      </c>
      <c r="M609" s="10" t="s">
        <v>75</v>
      </c>
      <c r="N609" s="10" t="s">
        <v>425</v>
      </c>
      <c r="O609" s="418"/>
      <c r="P609" s="418"/>
      <c r="Q609" s="418"/>
      <c r="R609" s="418"/>
      <c r="S609" s="418"/>
      <c r="T609" s="418"/>
      <c r="U609" s="418"/>
      <c r="V609" s="418"/>
      <c r="W609" s="418"/>
    </row>
    <row r="610" spans="1:25" ht="11.25" x14ac:dyDescent="0.2">
      <c r="A610" s="167"/>
      <c r="B610" s="406"/>
      <c r="C610" s="167"/>
      <c r="D610" s="169"/>
      <c r="E610" s="79"/>
      <c r="F610" s="83"/>
      <c r="G610" s="170"/>
      <c r="H610" s="170"/>
      <c r="I610" s="418"/>
      <c r="J610" s="9" t="e">
        <f>VLOOKUP($A610,[4]cliqccee!$A:$AK,26,FALSE)</f>
        <v>#N/A</v>
      </c>
      <c r="K610" s="9" t="e">
        <f>VLOOKUP($A610,[4]cliqccee!$A:$AK,10,FALSE)</f>
        <v>#N/A</v>
      </c>
      <c r="L610" s="9" t="e">
        <f>VLOOKUP($A610,[4]cliqccee!$A:$AK,32,FALSE)</f>
        <v>#N/A</v>
      </c>
      <c r="M610" s="9" t="e">
        <f>VLOOKUP($A610,[4]cliqccee!$A:$AK,33,FALSE)</f>
        <v>#N/A</v>
      </c>
      <c r="N610" s="499" t="e">
        <f t="shared" ref="N610:N611" si="222">J610-E610</f>
        <v>#N/A</v>
      </c>
      <c r="O610" s="418"/>
      <c r="P610" s="418"/>
      <c r="Q610" s="418"/>
      <c r="R610" s="418"/>
      <c r="S610" s="418"/>
      <c r="T610" s="418"/>
      <c r="U610" s="418"/>
      <c r="V610" s="418"/>
      <c r="W610" s="418"/>
    </row>
    <row r="611" spans="1:25" ht="11.25" x14ac:dyDescent="0.2">
      <c r="A611" s="167"/>
      <c r="B611" s="168"/>
      <c r="C611" s="167"/>
      <c r="D611" s="169"/>
      <c r="E611" s="79"/>
      <c r="F611" s="83"/>
      <c r="G611" s="170"/>
      <c r="H611" s="170"/>
      <c r="I611" s="418"/>
      <c r="J611" s="9" t="e">
        <f>VLOOKUP($A611,[4]cliqccee!$A:$AK,26,FALSE)</f>
        <v>#N/A</v>
      </c>
      <c r="K611" s="9" t="e">
        <f>VLOOKUP($A611,[4]cliqccee!$A:$AK,10,FALSE)</f>
        <v>#N/A</v>
      </c>
      <c r="L611" s="9" t="e">
        <f>VLOOKUP($A611,[4]cliqccee!$A:$AK,32,FALSE)</f>
        <v>#N/A</v>
      </c>
      <c r="M611" s="9" t="e">
        <f>VLOOKUP($A611,[4]cliqccee!$A:$AK,33,FALSE)</f>
        <v>#N/A</v>
      </c>
      <c r="N611" s="499" t="e">
        <f t="shared" si="222"/>
        <v>#N/A</v>
      </c>
      <c r="O611" s="418"/>
      <c r="P611" s="418"/>
      <c r="Q611" s="418"/>
      <c r="R611" s="418"/>
      <c r="S611" s="418"/>
      <c r="T611" s="418"/>
      <c r="U611" s="418"/>
      <c r="V611" s="418"/>
      <c r="W611" s="418"/>
      <c r="Y611" s="177"/>
    </row>
    <row r="612" spans="1:25" ht="11.25" x14ac:dyDescent="0.2">
      <c r="A612" s="253"/>
      <c r="B612" s="253"/>
      <c r="C612" s="253"/>
      <c r="D612" s="253"/>
      <c r="E612" s="203"/>
      <c r="F612" s="204"/>
      <c r="G612" s="205"/>
      <c r="H612" s="206"/>
      <c r="J612" s="393"/>
      <c r="K612" s="393"/>
      <c r="L612" s="393"/>
      <c r="M612" s="393"/>
      <c r="N612" s="393"/>
      <c r="O612" s="418"/>
      <c r="P612" s="418"/>
      <c r="Q612" s="418"/>
      <c r="R612" s="418"/>
      <c r="S612" s="418"/>
      <c r="T612" s="418"/>
      <c r="U612" s="418"/>
      <c r="V612" s="418"/>
      <c r="W612" s="418"/>
    </row>
    <row r="613" spans="1:25" ht="11.25" x14ac:dyDescent="0.2">
      <c r="A613" s="80" t="s">
        <v>32</v>
      </c>
      <c r="B613" s="421"/>
      <c r="C613" s="421"/>
      <c r="D613" s="422"/>
      <c r="E613" s="81">
        <f>SUM(E610:E612)</f>
        <v>0</v>
      </c>
      <c r="F613" s="84">
        <f>SUM(F610:F612)</f>
        <v>0</v>
      </c>
      <c r="G613" s="82">
        <f>IFERROR(H613/F613,0)</f>
        <v>0</v>
      </c>
      <c r="H613" s="82">
        <f>SUM(H610:H612)</f>
        <v>0</v>
      </c>
      <c r="I613" s="228"/>
      <c r="N613" s="499"/>
      <c r="O613" s="418"/>
      <c r="P613" s="418"/>
      <c r="Q613" s="418"/>
      <c r="R613" s="418"/>
      <c r="S613" s="418"/>
      <c r="T613" s="418"/>
      <c r="U613" s="418"/>
      <c r="V613" s="418"/>
      <c r="W613" s="418"/>
    </row>
    <row r="614" spans="1:25" ht="11.25" x14ac:dyDescent="0.2">
      <c r="F614" s="228"/>
      <c r="N614" s="499"/>
    </row>
    <row r="615" spans="1:25" ht="11.25" x14ac:dyDescent="0.2">
      <c r="A615" s="548" t="s">
        <v>233</v>
      </c>
      <c r="B615" s="548"/>
      <c r="C615" s="548"/>
      <c r="E615" s="423" t="s">
        <v>19</v>
      </c>
      <c r="F615" s="423"/>
      <c r="G615" s="424" t="s">
        <v>20</v>
      </c>
      <c r="H615" s="424"/>
      <c r="I615" s="425" t="s">
        <v>21</v>
      </c>
      <c r="J615" s="425"/>
      <c r="K615" s="426" t="s">
        <v>22</v>
      </c>
      <c r="L615" s="426"/>
      <c r="N615" s="499"/>
    </row>
    <row r="616" spans="1:25" ht="11.25" x14ac:dyDescent="0.2">
      <c r="A616" s="10" t="s">
        <v>2</v>
      </c>
      <c r="B616" s="10" t="s">
        <v>137</v>
      </c>
      <c r="C616" s="10" t="s">
        <v>25</v>
      </c>
      <c r="E616" s="427" t="s">
        <v>137</v>
      </c>
      <c r="F616" s="428" t="s">
        <v>25</v>
      </c>
      <c r="G616" s="429" t="s">
        <v>137</v>
      </c>
      <c r="H616" s="430" t="s">
        <v>25</v>
      </c>
      <c r="I616" s="431" t="s">
        <v>137</v>
      </c>
      <c r="J616" s="432" t="s">
        <v>25</v>
      </c>
      <c r="K616" s="433" t="s">
        <v>137</v>
      </c>
      <c r="L616" s="434" t="s">
        <v>25</v>
      </c>
      <c r="N616" s="499"/>
    </row>
    <row r="617" spans="1:25" ht="11.25" x14ac:dyDescent="0.2">
      <c r="A617" s="29" t="s">
        <v>69</v>
      </c>
      <c r="B617" s="70">
        <v>0</v>
      </c>
      <c r="C617" s="83">
        <v>0</v>
      </c>
      <c r="E617" s="435">
        <f t="shared" ref="E617:E623" si="223">SUMIFS($E$590:$E$611,$C$590:$C$611,$A617,$D$590:$D$611,$E$615)</f>
        <v>0</v>
      </c>
      <c r="F617" s="436">
        <f t="shared" ref="F617:F623" si="224">SUMIFS($F$590:$F$611,$C$590:$C$611,$A617,$D$590:$D$611,$E$615)</f>
        <v>0</v>
      </c>
      <c r="G617" s="437">
        <f t="shared" ref="G617:G623" si="225">SUMIFS($E$590:$E$611,$C$590:$C$611,$A617,$D$590:$D$611,$G$615)</f>
        <v>0</v>
      </c>
      <c r="H617" s="438">
        <f t="shared" ref="H617:H623" si="226">SUMIFS($F$590:$F$611,$C$590:$C$611,$A617,$D$590:$D$611,$G$615)</f>
        <v>0</v>
      </c>
      <c r="I617" s="439">
        <f t="shared" ref="I617:I623" si="227">SUMIFS($E$590:$E$611,$C$590:$C$611,$A617,$D$590:$D$611,$I$615)</f>
        <v>0</v>
      </c>
      <c r="J617" s="440">
        <f t="shared" ref="J617:J623" si="228">SUMIFS($F$590:$F$611,$C$590:$C$611,$A617,$D$590:$D$611,$I$615)</f>
        <v>0</v>
      </c>
      <c r="K617" s="441">
        <f t="shared" ref="K617:K623" si="229">SUMIFS($E$590:$E$611,$C$590:$C$611,$A617,$D$590:$D$611,$K$615)</f>
        <v>0</v>
      </c>
      <c r="L617" s="442">
        <f t="shared" ref="L617:L623" si="230">SUMIFS($F$590:$F$611,$C$590:$C$611,$A617,$D$590:$D$611,$K$615)</f>
        <v>0</v>
      </c>
      <c r="N617" s="418"/>
    </row>
    <row r="618" spans="1:25" ht="11.25" x14ac:dyDescent="0.2">
      <c r="A618" s="29" t="s">
        <v>47</v>
      </c>
      <c r="B618" s="70">
        <v>0</v>
      </c>
      <c r="C618" s="83">
        <v>0</v>
      </c>
      <c r="E618" s="435">
        <f t="shared" si="223"/>
        <v>0</v>
      </c>
      <c r="F618" s="436">
        <f t="shared" si="224"/>
        <v>0</v>
      </c>
      <c r="G618" s="437">
        <f t="shared" si="225"/>
        <v>0</v>
      </c>
      <c r="H618" s="438">
        <f t="shared" si="226"/>
        <v>0</v>
      </c>
      <c r="I618" s="439">
        <f t="shared" si="227"/>
        <v>0</v>
      </c>
      <c r="J618" s="440">
        <f t="shared" si="228"/>
        <v>0</v>
      </c>
      <c r="K618" s="441">
        <f t="shared" si="229"/>
        <v>0</v>
      </c>
      <c r="L618" s="442">
        <f t="shared" si="230"/>
        <v>0</v>
      </c>
      <c r="N618" s="418"/>
    </row>
    <row r="619" spans="1:25" ht="11.25" x14ac:dyDescent="0.2">
      <c r="A619" s="29" t="s">
        <v>79</v>
      </c>
      <c r="B619" s="70">
        <v>0</v>
      </c>
      <c r="C619" s="83">
        <v>0</v>
      </c>
      <c r="E619" s="435">
        <f t="shared" si="223"/>
        <v>0</v>
      </c>
      <c r="F619" s="436">
        <f t="shared" si="224"/>
        <v>0</v>
      </c>
      <c r="G619" s="437">
        <f t="shared" si="225"/>
        <v>0</v>
      </c>
      <c r="H619" s="438">
        <f t="shared" si="226"/>
        <v>0</v>
      </c>
      <c r="I619" s="439">
        <f t="shared" si="227"/>
        <v>0</v>
      </c>
      <c r="J619" s="440">
        <f t="shared" si="228"/>
        <v>0</v>
      </c>
      <c r="K619" s="441">
        <f t="shared" si="229"/>
        <v>0</v>
      </c>
      <c r="L619" s="442">
        <f t="shared" si="230"/>
        <v>0</v>
      </c>
      <c r="N619" s="418"/>
    </row>
    <row r="620" spans="1:25" ht="11.25" x14ac:dyDescent="0.2">
      <c r="A620" s="29" t="s">
        <v>71</v>
      </c>
      <c r="B620" s="70">
        <f>E606</f>
        <v>52.763767999999999</v>
      </c>
      <c r="C620" s="83">
        <f>F606</f>
        <v>39256.24370704274</v>
      </c>
      <c r="E620" s="435">
        <f t="shared" si="223"/>
        <v>0</v>
      </c>
      <c r="F620" s="436">
        <f t="shared" si="224"/>
        <v>0</v>
      </c>
      <c r="G620" s="437">
        <f t="shared" si="225"/>
        <v>52.763767999999999</v>
      </c>
      <c r="H620" s="438">
        <f t="shared" si="226"/>
        <v>39256.24370704274</v>
      </c>
      <c r="I620" s="439">
        <f t="shared" si="227"/>
        <v>0</v>
      </c>
      <c r="J620" s="440">
        <f t="shared" si="228"/>
        <v>0</v>
      </c>
      <c r="K620" s="441">
        <f t="shared" si="229"/>
        <v>0</v>
      </c>
      <c r="L620" s="442">
        <f t="shared" si="230"/>
        <v>0</v>
      </c>
      <c r="N620" s="418"/>
    </row>
    <row r="621" spans="1:25" ht="11.25" x14ac:dyDescent="0.2">
      <c r="A621" s="29" t="s">
        <v>9</v>
      </c>
      <c r="B621" s="70">
        <f>E592</f>
        <v>50.982373000000003</v>
      </c>
      <c r="C621" s="83">
        <f>F592</f>
        <v>37930.885248593011</v>
      </c>
      <c r="E621" s="435">
        <f t="shared" si="223"/>
        <v>0</v>
      </c>
      <c r="F621" s="436">
        <f t="shared" si="224"/>
        <v>0</v>
      </c>
      <c r="G621" s="437">
        <f t="shared" si="225"/>
        <v>50.982373000000003</v>
      </c>
      <c r="H621" s="438">
        <f t="shared" si="226"/>
        <v>37930.885248593011</v>
      </c>
      <c r="I621" s="439">
        <f t="shared" si="227"/>
        <v>0</v>
      </c>
      <c r="J621" s="440">
        <f t="shared" si="228"/>
        <v>0</v>
      </c>
      <c r="K621" s="441">
        <f t="shared" si="229"/>
        <v>0</v>
      </c>
      <c r="L621" s="442">
        <f t="shared" si="230"/>
        <v>0</v>
      </c>
      <c r="N621" s="418"/>
    </row>
    <row r="622" spans="1:25" ht="11.25" x14ac:dyDescent="0.2">
      <c r="A622" s="29" t="s">
        <v>80</v>
      </c>
      <c r="B622" s="70">
        <v>0</v>
      </c>
      <c r="C622" s="83">
        <v>0</v>
      </c>
      <c r="E622" s="435">
        <f t="shared" si="223"/>
        <v>0</v>
      </c>
      <c r="F622" s="436">
        <f t="shared" si="224"/>
        <v>0</v>
      </c>
      <c r="G622" s="437">
        <f t="shared" si="225"/>
        <v>0</v>
      </c>
      <c r="H622" s="438">
        <f t="shared" si="226"/>
        <v>0</v>
      </c>
      <c r="I622" s="439">
        <f t="shared" si="227"/>
        <v>0</v>
      </c>
      <c r="J622" s="440">
        <f t="shared" si="228"/>
        <v>0</v>
      </c>
      <c r="K622" s="441">
        <f t="shared" si="229"/>
        <v>0</v>
      </c>
      <c r="L622" s="442">
        <f t="shared" si="230"/>
        <v>0</v>
      </c>
      <c r="N622" s="418"/>
    </row>
    <row r="623" spans="1:25" ht="11.25" x14ac:dyDescent="0.2">
      <c r="A623" s="29" t="s">
        <v>77</v>
      </c>
      <c r="B623" s="70">
        <f>E613</f>
        <v>0</v>
      </c>
      <c r="C623" s="83">
        <f>F613</f>
        <v>0</v>
      </c>
      <c r="E623" s="435">
        <f t="shared" si="223"/>
        <v>0</v>
      </c>
      <c r="F623" s="436">
        <f t="shared" si="224"/>
        <v>0</v>
      </c>
      <c r="G623" s="437">
        <f t="shared" si="225"/>
        <v>0</v>
      </c>
      <c r="H623" s="438">
        <f t="shared" si="226"/>
        <v>0</v>
      </c>
      <c r="I623" s="439">
        <f t="shared" si="227"/>
        <v>0</v>
      </c>
      <c r="J623" s="440">
        <f t="shared" si="228"/>
        <v>0</v>
      </c>
      <c r="K623" s="441">
        <f t="shared" si="229"/>
        <v>0</v>
      </c>
      <c r="L623" s="442">
        <f t="shared" si="230"/>
        <v>0</v>
      </c>
      <c r="N623" s="418"/>
    </row>
    <row r="624" spans="1:25" ht="11.25" x14ac:dyDescent="0.2">
      <c r="A624" s="11" t="s">
        <v>81</v>
      </c>
      <c r="B624" s="12">
        <f>SUM(B617:B620)-SUM(B621:B623)</f>
        <v>1.7813949999999963</v>
      </c>
      <c r="C624" s="12">
        <f>SUM(C617:C620)-SUM(C621:C623)</f>
        <v>1325.3584584497294</v>
      </c>
      <c r="E624" s="443">
        <f>SUM(E617:E620)-SUM(E621:E623)</f>
        <v>0</v>
      </c>
      <c r="F624" s="444">
        <f>SUM(F617:F620)-SUM(F621:F623)</f>
        <v>0</v>
      </c>
      <c r="G624" s="445">
        <f t="shared" ref="G624:L624" si="231">SUM(G617:G620)-SUM(G621:G623)</f>
        <v>1.7813949999999963</v>
      </c>
      <c r="H624" s="446">
        <f t="shared" si="231"/>
        <v>1325.3584584497294</v>
      </c>
      <c r="I624" s="447">
        <f t="shared" si="231"/>
        <v>0</v>
      </c>
      <c r="J624" s="448">
        <f t="shared" si="231"/>
        <v>0</v>
      </c>
      <c r="K624" s="449">
        <f t="shared" si="231"/>
        <v>0</v>
      </c>
      <c r="L624" s="450">
        <f t="shared" si="231"/>
        <v>0</v>
      </c>
      <c r="N624" s="418"/>
    </row>
    <row r="625" spans="1:19" ht="11.25" x14ac:dyDescent="0.2">
      <c r="A625" s="11" t="s">
        <v>82</v>
      </c>
      <c r="B625" s="12">
        <f>SUM(B617:B620)-SUM(B621:B624)</f>
        <v>0</v>
      </c>
      <c r="C625" s="12">
        <f>SUM(C617:C620)-SUM(C621:C624)</f>
        <v>0</v>
      </c>
      <c r="E625" s="443">
        <f>SUM(E617:E620)-SUM(E621:E624)</f>
        <v>0</v>
      </c>
      <c r="F625" s="444">
        <f t="shared" ref="F625:L625" si="232">SUM(F617:F620)-SUM(F621:F624)</f>
        <v>0</v>
      </c>
      <c r="G625" s="445">
        <f t="shared" si="232"/>
        <v>0</v>
      </c>
      <c r="H625" s="446">
        <f t="shared" si="232"/>
        <v>0</v>
      </c>
      <c r="I625" s="447">
        <f t="shared" si="232"/>
        <v>0</v>
      </c>
      <c r="J625" s="448">
        <f t="shared" si="232"/>
        <v>0</v>
      </c>
      <c r="K625" s="449">
        <f t="shared" si="232"/>
        <v>0</v>
      </c>
      <c r="L625" s="450">
        <f t="shared" si="232"/>
        <v>0</v>
      </c>
      <c r="N625" s="418"/>
    </row>
    <row r="626" spans="1:19" ht="11.25" x14ac:dyDescent="0.2">
      <c r="N626" s="418"/>
    </row>
    <row r="627" spans="1:19" ht="11.25" x14ac:dyDescent="0.2">
      <c r="E627" s="451">
        <f>(F624*$H$5)+(H624*$J$5)+(J624*$L$5)+(L624*$N$5)</f>
        <v>64376.080606796124</v>
      </c>
      <c r="N627" s="418"/>
    </row>
    <row r="628" spans="1:19" ht="11.25" x14ac:dyDescent="0.2">
      <c r="G628" s="410"/>
      <c r="N628" s="418"/>
    </row>
    <row r="629" spans="1:19" ht="11.25" x14ac:dyDescent="0.2">
      <c r="G629" s="410"/>
      <c r="N629" s="418"/>
    </row>
    <row r="630" spans="1:19" ht="11.25" x14ac:dyDescent="0.2">
      <c r="A630" s="548" t="s">
        <v>97</v>
      </c>
      <c r="B630" s="548"/>
      <c r="C630" s="548"/>
      <c r="D630" s="548"/>
      <c r="E630" s="548"/>
      <c r="F630" s="548"/>
      <c r="G630" s="548"/>
      <c r="H630" s="548"/>
      <c r="N630" s="418"/>
    </row>
    <row r="631" spans="1:19" ht="11.25" x14ac:dyDescent="0.2">
      <c r="A631" s="548"/>
      <c r="B631" s="548"/>
      <c r="C631" s="548"/>
      <c r="D631" s="548"/>
      <c r="E631" s="548"/>
      <c r="F631" s="548"/>
      <c r="G631" s="548"/>
      <c r="H631" s="548"/>
      <c r="N631" s="418"/>
    </row>
    <row r="632" spans="1:19" ht="4.5" customHeight="1" x14ac:dyDescent="0.2">
      <c r="N632" s="418"/>
    </row>
    <row r="633" spans="1:19" ht="11.25" x14ac:dyDescent="0.2">
      <c r="A633" s="548" t="s">
        <v>85</v>
      </c>
      <c r="B633" s="548"/>
      <c r="C633" s="548"/>
      <c r="D633" s="548"/>
      <c r="E633" s="548"/>
      <c r="F633" s="548"/>
      <c r="G633" s="548"/>
      <c r="H633" s="548"/>
      <c r="N633" s="418"/>
    </row>
    <row r="634" spans="1:19" ht="11.25" x14ac:dyDescent="0.2">
      <c r="A634" s="10" t="s">
        <v>8</v>
      </c>
      <c r="B634" s="10"/>
      <c r="C634" s="10" t="s">
        <v>2</v>
      </c>
      <c r="D634" s="10" t="s">
        <v>3</v>
      </c>
      <c r="E634" s="10" t="s">
        <v>137</v>
      </c>
      <c r="F634" s="10" t="s">
        <v>25</v>
      </c>
      <c r="G634" s="10" t="s">
        <v>95</v>
      </c>
      <c r="H634" s="10" t="s">
        <v>240</v>
      </c>
      <c r="N634" s="418"/>
      <c r="S634" s="185"/>
    </row>
    <row r="635" spans="1:19" ht="11.25" x14ac:dyDescent="0.2">
      <c r="A635" s="194" t="s">
        <v>301</v>
      </c>
      <c r="B635" s="195"/>
      <c r="C635" s="195" t="s">
        <v>9</v>
      </c>
      <c r="D635" s="196" t="s">
        <v>78</v>
      </c>
      <c r="E635" s="97">
        <f>ROUND(F635/$B$33,6)</f>
        <v>29.532169</v>
      </c>
      <c r="F635" s="98">
        <f>[7]Consolidação!$G$51</f>
        <v>21971.933994226805</v>
      </c>
      <c r="G635" s="98">
        <f>'[8]2019'!$F$11</f>
        <v>444.24900000000002</v>
      </c>
      <c r="H635" s="154">
        <v>0.03</v>
      </c>
      <c r="L635" s="410"/>
      <c r="N635" s="418"/>
    </row>
    <row r="636" spans="1:19" ht="11.25" x14ac:dyDescent="0.2">
      <c r="A636" s="217"/>
      <c r="B636" s="217"/>
      <c r="C636" s="217"/>
      <c r="D636" s="217"/>
      <c r="E636" s="218"/>
      <c r="F636" s="219"/>
      <c r="G636" s="220"/>
      <c r="H636" s="221"/>
      <c r="N636" s="418"/>
    </row>
    <row r="637" spans="1:19" ht="11.25" x14ac:dyDescent="0.2">
      <c r="A637" s="80" t="s">
        <v>32</v>
      </c>
      <c r="B637" s="421"/>
      <c r="C637" s="421"/>
      <c r="D637" s="422"/>
      <c r="E637" s="81">
        <f>SUM(E635:E636)</f>
        <v>29.532169</v>
      </c>
      <c r="F637" s="84">
        <f>SUM(F635:F636)</f>
        <v>21971.933994226805</v>
      </c>
      <c r="G637" s="84">
        <f>SUM(G635:G636)</f>
        <v>444.24900000000002</v>
      </c>
      <c r="H637" s="84"/>
      <c r="I637" s="228"/>
      <c r="N637" s="418"/>
    </row>
    <row r="638" spans="1:19" ht="11.25" x14ac:dyDescent="0.2">
      <c r="N638" s="418"/>
    </row>
    <row r="639" spans="1:19" ht="11.25" x14ac:dyDescent="0.2">
      <c r="A639" s="548" t="s">
        <v>70</v>
      </c>
      <c r="B639" s="548"/>
      <c r="C639" s="548"/>
      <c r="D639" s="548"/>
      <c r="E639" s="548"/>
      <c r="F639" s="548"/>
      <c r="G639" s="548"/>
      <c r="H639" s="548"/>
      <c r="N639" s="418"/>
    </row>
    <row r="640" spans="1:19" x14ac:dyDescent="0.15">
      <c r="A640" s="10" t="s">
        <v>252</v>
      </c>
      <c r="B640" s="10" t="s">
        <v>1</v>
      </c>
      <c r="C640" s="10" t="s">
        <v>2</v>
      </c>
      <c r="D640" s="10" t="s">
        <v>3</v>
      </c>
      <c r="E640" s="10" t="s">
        <v>137</v>
      </c>
      <c r="F640" s="10" t="s">
        <v>25</v>
      </c>
      <c r="G640" s="10" t="s">
        <v>253</v>
      </c>
      <c r="H640" s="10" t="s">
        <v>254</v>
      </c>
      <c r="J640" s="10" t="s">
        <v>72</v>
      </c>
      <c r="K640" s="10" t="s">
        <v>73</v>
      </c>
      <c r="L640" s="10" t="s">
        <v>74</v>
      </c>
      <c r="M640" s="10" t="s">
        <v>75</v>
      </c>
      <c r="N640" s="10" t="s">
        <v>425</v>
      </c>
    </row>
    <row r="641" spans="1:25" ht="11.25" x14ac:dyDescent="0.2">
      <c r="A641" s="268">
        <v>15581</v>
      </c>
      <c r="B641" s="268" t="s">
        <v>343</v>
      </c>
      <c r="C641" s="268" t="s">
        <v>71</v>
      </c>
      <c r="D641" s="269" t="s">
        <v>78</v>
      </c>
      <c r="E641" s="270">
        <f t="shared" ref="E641:E645" si="233">ROUND(F641/$B$33,6)</f>
        <v>0.597109</v>
      </c>
      <c r="F641" s="271">
        <f>G635</f>
        <v>444.24900000000002</v>
      </c>
      <c r="G641" s="272">
        <v>0</v>
      </c>
      <c r="H641" s="272">
        <f t="shared" ref="H641:H646" si="234">F641*G641</f>
        <v>0</v>
      </c>
      <c r="J641" s="9"/>
      <c r="K641" s="9"/>
      <c r="L641" s="9"/>
      <c r="M641" s="9"/>
      <c r="N641" s="499"/>
    </row>
    <row r="642" spans="1:25" ht="11.25" x14ac:dyDescent="0.2">
      <c r="A642" s="167">
        <v>747543</v>
      </c>
      <c r="B642" s="168" t="s">
        <v>156</v>
      </c>
      <c r="C642" s="167" t="s">
        <v>71</v>
      </c>
      <c r="D642" s="169" t="s">
        <v>78</v>
      </c>
      <c r="E642" s="79">
        <f t="shared" si="233"/>
        <v>0</v>
      </c>
      <c r="F642" s="83">
        <f>VLOOKUP(A642,$A$56:$H$69,6,FALSE)</f>
        <v>0</v>
      </c>
      <c r="G642" s="170">
        <f>VLOOKUP(A642,$A$56:$H$69,7,FALSE)</f>
        <v>0</v>
      </c>
      <c r="H642" s="170">
        <f t="shared" si="234"/>
        <v>0</v>
      </c>
      <c r="I642" s="453"/>
      <c r="J642" s="9" t="str">
        <f>VLOOKUP($A642,[4]cliqccee!$A:$AK,26,FALSE)</f>
        <v>0,000000</v>
      </c>
      <c r="K642" s="9" t="str">
        <f>VLOOKUP($A642,[4]cliqccee!$A:$AK,10,FALSE)</f>
        <v>Validado</v>
      </c>
      <c r="L642" s="9" t="str">
        <f>VLOOKUP($A642,[4]cliqccee!$A:$AK,32,FALSE)</f>
        <v>FLAT</v>
      </c>
      <c r="M642" s="9" t="str">
        <f>VLOOKUP($A642,[4]cliqccee!$A:$AK,33,FALSE)</f>
        <v>Validado</v>
      </c>
      <c r="N642" s="499">
        <f t="shared" ref="N642:N650" si="235">J642-E642</f>
        <v>0</v>
      </c>
    </row>
    <row r="643" spans="1:25" ht="11.25" x14ac:dyDescent="0.2">
      <c r="A643" s="167">
        <v>747625</v>
      </c>
      <c r="B643" s="167" t="s">
        <v>157</v>
      </c>
      <c r="C643" s="167" t="s">
        <v>71</v>
      </c>
      <c r="D643" s="192" t="s">
        <v>78</v>
      </c>
      <c r="E643" s="79">
        <f t="shared" si="233"/>
        <v>0</v>
      </c>
      <c r="F643" s="83">
        <f>VLOOKUP(A643,$A$202:$H$215,6,FALSE)</f>
        <v>0</v>
      </c>
      <c r="G643" s="193">
        <f>VLOOKUP(A643,$A$202:$H$215,7,FALSE)</f>
        <v>0</v>
      </c>
      <c r="H643" s="193">
        <f t="shared" si="234"/>
        <v>0</v>
      </c>
      <c r="J643" s="9" t="str">
        <f>VLOOKUP($A643,[4]cliqccee!$A:$AK,26,FALSE)</f>
        <v>0,000000</v>
      </c>
      <c r="K643" s="9" t="str">
        <f>VLOOKUP($A643,[4]cliqccee!$A:$AK,10,FALSE)</f>
        <v>Validado</v>
      </c>
      <c r="L643" s="9" t="str">
        <f>VLOOKUP($A643,[4]cliqccee!$A:$AK,32,FALSE)</f>
        <v>FLAT</v>
      </c>
      <c r="M643" s="9" t="str">
        <f>VLOOKUP($A643,[4]cliqccee!$A:$AK,33,FALSE)</f>
        <v>Validado</v>
      </c>
      <c r="N643" s="499">
        <f t="shared" si="235"/>
        <v>0</v>
      </c>
    </row>
    <row r="644" spans="1:25" ht="11.25" x14ac:dyDescent="0.2">
      <c r="A644" s="167">
        <v>747536</v>
      </c>
      <c r="B644" s="168" t="s">
        <v>302</v>
      </c>
      <c r="C644" s="167" t="s">
        <v>71</v>
      </c>
      <c r="D644" s="169" t="s">
        <v>78</v>
      </c>
      <c r="E644" s="79">
        <f t="shared" si="233"/>
        <v>0</v>
      </c>
      <c r="F644" s="83">
        <f>VLOOKUP(A644,$A$823:$H$873,6,FALSE)</f>
        <v>0</v>
      </c>
      <c r="G644" s="170">
        <f>VLOOKUP(A644,$A$823:$H$873,7,FALSE)</f>
        <v>0</v>
      </c>
      <c r="H644" s="170">
        <f t="shared" si="234"/>
        <v>0</v>
      </c>
      <c r="J644" s="9" t="str">
        <f>VLOOKUP($A644,[4]cliqccee!$A:$AK,26,FALSE)</f>
        <v>0,000000</v>
      </c>
      <c r="K644" s="9" t="str">
        <f>VLOOKUP($A644,[4]cliqccee!$A:$AK,10,FALSE)</f>
        <v>Validado</v>
      </c>
      <c r="L644" s="9" t="str">
        <f>VLOOKUP($A644,[4]cliqccee!$A:$AK,32,FALSE)</f>
        <v>FLAT</v>
      </c>
      <c r="M644" s="9" t="str">
        <f>VLOOKUP($A644,[4]cliqccee!$A:$AK,33,FALSE)</f>
        <v>Validado</v>
      </c>
      <c r="N644" s="499">
        <f t="shared" si="235"/>
        <v>0</v>
      </c>
    </row>
    <row r="645" spans="1:25" ht="11.25" x14ac:dyDescent="0.2">
      <c r="A645" s="195">
        <v>557818</v>
      </c>
      <c r="B645" s="195" t="s">
        <v>170</v>
      </c>
      <c r="C645" s="195" t="s">
        <v>71</v>
      </c>
      <c r="D645" s="196" t="s">
        <v>78</v>
      </c>
      <c r="E645" s="97">
        <f t="shared" si="233"/>
        <v>0</v>
      </c>
      <c r="F645" s="98">
        <f>VLOOKUP(A645,$A$742:$H$772,6,FALSE)</f>
        <v>0</v>
      </c>
      <c r="G645" s="197">
        <f>VLOOKUP(A645,$A$742:$H$772,7,FALSE)</f>
        <v>0</v>
      </c>
      <c r="H645" s="197">
        <f t="shared" si="234"/>
        <v>0</v>
      </c>
      <c r="J645" s="9" t="str">
        <f>VLOOKUP($A645,[4]cliqccee!$A:$AK,26,FALSE)</f>
        <v>0,000000</v>
      </c>
      <c r="K645" s="9" t="str">
        <f>VLOOKUP($A645,[4]cliqccee!$A:$AK,10,FALSE)</f>
        <v>Validado</v>
      </c>
      <c r="L645" s="9" t="str">
        <f>VLOOKUP($A645,[4]cliqccee!$A:$AK,32,FALSE)</f>
        <v>FLAT</v>
      </c>
      <c r="M645" s="9" t="str">
        <f>VLOOKUP($A645,[4]cliqccee!$A:$AK,33,FALSE)</f>
        <v>Validado</v>
      </c>
      <c r="N645" s="499">
        <f t="shared" si="235"/>
        <v>0</v>
      </c>
    </row>
    <row r="646" spans="1:25" ht="11.25" x14ac:dyDescent="0.2">
      <c r="A646" s="248">
        <v>952937</v>
      </c>
      <c r="B646" s="248" t="s">
        <v>358</v>
      </c>
      <c r="C646" s="248" t="s">
        <v>71</v>
      </c>
      <c r="D646" s="249" t="s">
        <v>78</v>
      </c>
      <c r="E646" s="250">
        <v>22.3</v>
      </c>
      <c r="F646" s="251">
        <f>E646*$B$33</f>
        <v>16591.2</v>
      </c>
      <c r="G646" s="252">
        <f>[5]LONGO_PRAZO!$AP$73</f>
        <v>145.28</v>
      </c>
      <c r="H646" s="252">
        <f t="shared" si="234"/>
        <v>2410369.5360000003</v>
      </c>
      <c r="J646" s="9" t="str">
        <f>VLOOKUP($A646,[4]cliqccee!$A:$AK,26,FALSE)</f>
        <v>0,000000</v>
      </c>
      <c r="K646" s="9" t="str">
        <f>VLOOKUP($A646,[4]cliqccee!$A:$AK,10,FALSE)</f>
        <v>Validado</v>
      </c>
      <c r="L646" s="9" t="str">
        <f>VLOOKUP($A646,[4]cliqccee!$A:$AK,32,FALSE)</f>
        <v>FLAT</v>
      </c>
      <c r="M646" s="9" t="str">
        <f>VLOOKUP($A646,[4]cliqccee!$A:$AK,33,FALSE)</f>
        <v>Ajustado Validado</v>
      </c>
      <c r="N646" s="499">
        <f t="shared" si="235"/>
        <v>-22.3</v>
      </c>
      <c r="O646" s="536"/>
    </row>
    <row r="647" spans="1:25" ht="11.25" x14ac:dyDescent="0.2">
      <c r="A647" s="542"/>
      <c r="B647" s="167" t="s">
        <v>478</v>
      </c>
      <c r="C647" s="167" t="s">
        <v>71</v>
      </c>
      <c r="D647" s="192" t="s">
        <v>78</v>
      </c>
      <c r="E647" s="79">
        <v>3.23</v>
      </c>
      <c r="F647" s="83">
        <f>E647*$B$33</f>
        <v>2403.12</v>
      </c>
      <c r="G647" s="193">
        <f>[5]LONGO_PRAZO!$AQ$174</f>
        <v>0</v>
      </c>
      <c r="H647" s="193"/>
      <c r="J647" s="9" t="e">
        <f>VLOOKUP($A647,[4]cliqccee!$A:$AK,26,FALSE)</f>
        <v>#N/A</v>
      </c>
      <c r="K647" s="9" t="e">
        <f>VLOOKUP($A647,[4]cliqccee!$A:$AK,10,FALSE)</f>
        <v>#N/A</v>
      </c>
      <c r="L647" s="9" t="e">
        <f>VLOOKUP($A647,[4]cliqccee!$A:$AK,32,FALSE)</f>
        <v>#N/A</v>
      </c>
      <c r="M647" s="9" t="e">
        <f>VLOOKUP($A647,[4]cliqccee!$A:$AK,33,FALSE)</f>
        <v>#N/A</v>
      </c>
      <c r="N647" s="499" t="e">
        <f t="shared" si="235"/>
        <v>#N/A</v>
      </c>
      <c r="O647" s="536"/>
    </row>
    <row r="648" spans="1:25" s="540" customFormat="1" ht="11.25" x14ac:dyDescent="0.2">
      <c r="A648" s="542"/>
      <c r="B648" s="167" t="s">
        <v>479</v>
      </c>
      <c r="C648" s="167" t="s">
        <v>71</v>
      </c>
      <c r="D648" s="192" t="s">
        <v>78</v>
      </c>
      <c r="E648" s="79">
        <v>2</v>
      </c>
      <c r="F648" s="83">
        <f>E648*B33</f>
        <v>1488</v>
      </c>
      <c r="G648" s="193">
        <f>[5]LONGO_PRAZO!$AQ$118</f>
        <v>199</v>
      </c>
      <c r="H648" s="193"/>
      <c r="J648" s="9"/>
      <c r="K648" s="9"/>
      <c r="L648" s="9"/>
      <c r="M648" s="9"/>
      <c r="N648" s="499"/>
      <c r="O648" s="536"/>
    </row>
    <row r="649" spans="1:25" s="540" customFormat="1" ht="11.25" x14ac:dyDescent="0.2">
      <c r="A649" s="542"/>
      <c r="B649" s="167" t="s">
        <v>480</v>
      </c>
      <c r="C649" s="167" t="s">
        <v>71</v>
      </c>
      <c r="D649" s="192" t="s">
        <v>78</v>
      </c>
      <c r="E649" s="79">
        <v>1</v>
      </c>
      <c r="F649" s="83">
        <f>E649*B33</f>
        <v>744</v>
      </c>
      <c r="G649" s="193">
        <f>[5]LONGO_PRAZO!$AM$119</f>
        <v>200</v>
      </c>
      <c r="H649" s="193"/>
      <c r="J649" s="9"/>
      <c r="K649" s="9"/>
      <c r="L649" s="9"/>
      <c r="M649" s="9"/>
      <c r="N649" s="499"/>
      <c r="O649" s="536"/>
    </row>
    <row r="650" spans="1:25" ht="11.25" x14ac:dyDescent="0.2">
      <c r="A650" s="542"/>
      <c r="B650" s="167"/>
      <c r="C650" s="167"/>
      <c r="D650" s="192"/>
      <c r="E650" s="79"/>
      <c r="F650" s="83"/>
      <c r="G650" s="193"/>
      <c r="H650" s="193"/>
      <c r="J650" s="9" t="e">
        <f>VLOOKUP($A650,[4]cliqccee!$A:$AK,26,FALSE)</f>
        <v>#N/A</v>
      </c>
      <c r="K650" s="9" t="e">
        <f>VLOOKUP($A650,[4]cliqccee!$A:$AK,10,FALSE)</f>
        <v>#N/A</v>
      </c>
      <c r="L650" s="9" t="e">
        <f>VLOOKUP($A650,[4]cliqccee!$A:$AK,32,FALSE)</f>
        <v>#N/A</v>
      </c>
      <c r="M650" s="9" t="e">
        <f>VLOOKUP($A650,[4]cliqccee!$A:$AK,33,FALSE)</f>
        <v>#N/A</v>
      </c>
      <c r="N650" s="499" t="e">
        <f t="shared" si="235"/>
        <v>#N/A</v>
      </c>
    </row>
    <row r="651" spans="1:25" x14ac:dyDescent="0.15">
      <c r="A651" s="253"/>
      <c r="B651" s="253"/>
      <c r="C651" s="253"/>
      <c r="D651" s="253"/>
      <c r="E651" s="203"/>
      <c r="F651" s="204"/>
      <c r="G651" s="205"/>
      <c r="H651" s="206"/>
      <c r="J651" s="393"/>
      <c r="K651" s="393"/>
      <c r="L651" s="393"/>
      <c r="M651" s="393"/>
      <c r="N651" s="393"/>
    </row>
    <row r="652" spans="1:25" ht="11.25" x14ac:dyDescent="0.2">
      <c r="A652" s="80" t="s">
        <v>32</v>
      </c>
      <c r="B652" s="421"/>
      <c r="C652" s="421"/>
      <c r="D652" s="422"/>
      <c r="E652" s="81">
        <f>SUM(E641:E651)</f>
        <v>29.127109000000001</v>
      </c>
      <c r="F652" s="84">
        <f>SUM(F641:F651)</f>
        <v>21670.569</v>
      </c>
      <c r="G652" s="82">
        <f>IFERROR(H652/F652,0)</f>
        <v>111.22779175756762</v>
      </c>
      <c r="H652" s="82">
        <f>SUM(H641:H651)</f>
        <v>2410369.5360000003</v>
      </c>
      <c r="I652" s="228"/>
      <c r="N652" s="418"/>
    </row>
    <row r="653" spans="1:25" ht="11.25" x14ac:dyDescent="0.2">
      <c r="N653" s="418"/>
    </row>
    <row r="654" spans="1:25" ht="11.25" x14ac:dyDescent="0.2">
      <c r="A654" s="167"/>
      <c r="B654" s="168"/>
      <c r="C654" s="167"/>
      <c r="D654" s="169"/>
      <c r="E654" s="79"/>
      <c r="F654" s="83"/>
      <c r="G654" s="170"/>
      <c r="H654" s="170"/>
      <c r="I654" s="418"/>
      <c r="J654" s="9"/>
      <c r="K654" s="9"/>
      <c r="L654" s="9"/>
      <c r="M654" s="9"/>
      <c r="N654" s="418"/>
      <c r="O654" s="418"/>
      <c r="P654" s="418"/>
      <c r="Q654" s="418"/>
      <c r="R654" s="418"/>
      <c r="S654" s="418"/>
      <c r="T654" s="418"/>
      <c r="U654" s="418"/>
      <c r="V654" s="418"/>
      <c r="W654" s="418"/>
      <c r="Y654" s="177"/>
    </row>
    <row r="655" spans="1:25" ht="11.25" x14ac:dyDescent="0.2">
      <c r="A655" s="548" t="s">
        <v>233</v>
      </c>
      <c r="B655" s="548"/>
      <c r="C655" s="548"/>
      <c r="E655" s="423" t="s">
        <v>19</v>
      </c>
      <c r="F655" s="423"/>
      <c r="G655" s="424" t="s">
        <v>20</v>
      </c>
      <c r="H655" s="424"/>
      <c r="I655" s="425" t="s">
        <v>21</v>
      </c>
      <c r="J655" s="425"/>
      <c r="K655" s="426" t="s">
        <v>22</v>
      </c>
      <c r="L655" s="426"/>
      <c r="N655" s="418"/>
      <c r="O655" s="418"/>
      <c r="P655" s="418"/>
      <c r="Q655" s="418"/>
      <c r="R655" s="418"/>
      <c r="S655" s="418"/>
      <c r="T655" s="418"/>
      <c r="U655" s="418"/>
      <c r="V655" s="418"/>
      <c r="W655" s="418"/>
    </row>
    <row r="656" spans="1:25" ht="11.25" x14ac:dyDescent="0.2">
      <c r="A656" s="10" t="s">
        <v>2</v>
      </c>
      <c r="B656" s="10" t="s">
        <v>137</v>
      </c>
      <c r="C656" s="10" t="s">
        <v>25</v>
      </c>
      <c r="E656" s="427" t="s">
        <v>137</v>
      </c>
      <c r="F656" s="428" t="s">
        <v>25</v>
      </c>
      <c r="G656" s="429" t="s">
        <v>137</v>
      </c>
      <c r="H656" s="430" t="s">
        <v>25</v>
      </c>
      <c r="I656" s="431" t="s">
        <v>137</v>
      </c>
      <c r="J656" s="432" t="s">
        <v>25</v>
      </c>
      <c r="K656" s="433" t="s">
        <v>137</v>
      </c>
      <c r="L656" s="434" t="s">
        <v>25</v>
      </c>
      <c r="N656" s="418"/>
      <c r="O656" s="418"/>
      <c r="P656" s="418"/>
      <c r="Q656" s="418"/>
      <c r="R656" s="418"/>
      <c r="S656" s="418"/>
      <c r="T656" s="418"/>
      <c r="U656" s="418"/>
      <c r="V656" s="418"/>
      <c r="W656" s="418"/>
    </row>
    <row r="657" spans="1:23" ht="11.25" x14ac:dyDescent="0.2">
      <c r="A657" s="29" t="s">
        <v>69</v>
      </c>
      <c r="B657" s="70">
        <v>0</v>
      </c>
      <c r="C657" s="83">
        <v>0</v>
      </c>
      <c r="E657" s="435">
        <f t="shared" ref="E657:E663" si="236">SUMIFS($E$635:$E$651,$C$635:$C$651,$A657,$D$635:$D$651,$E$655)</f>
        <v>0</v>
      </c>
      <c r="F657" s="436">
        <f t="shared" ref="F657:F663" si="237">SUMIFS($F$635:$F$651,$C$635:$C$651,$A657,$D$635:$D$651,$E$655)</f>
        <v>0</v>
      </c>
      <c r="G657" s="437">
        <f t="shared" ref="G657:G663" si="238">SUMIFS($E$635:$E$651,$C$635:$C$651,$A657,$D$635:$D$651,$G$655)</f>
        <v>0</v>
      </c>
      <c r="H657" s="438">
        <f t="shared" ref="H657:H663" si="239">SUMIFS($F$635:$F$651,$C$635:$C$651,$A657,$D$635:$D$651,$G$655)</f>
        <v>0</v>
      </c>
      <c r="I657" s="439">
        <f t="shared" ref="I657:I663" si="240">SUMIFS($E$635:$E$651,$C$635:$C$651,$A657,$D$635:$D$651,$I$655)</f>
        <v>0</v>
      </c>
      <c r="J657" s="440">
        <f t="shared" ref="J657:J663" si="241">SUMIFS($F$635:$F$651,$C$635:$C$651,$A657,$D$635:$D$651,$I$655)</f>
        <v>0</v>
      </c>
      <c r="K657" s="441">
        <f t="shared" ref="K657:K663" si="242">SUMIFS($E$635:$E$651,$C$635:$C$651,$A657,$D$635:$D$651,$K$655)</f>
        <v>0</v>
      </c>
      <c r="L657" s="442">
        <f t="shared" ref="L657:L663" si="243">SUMIFS($F$635:$F$651,$C$635:$C$651,$A657,$D$635:$D$651,$K$655)</f>
        <v>0</v>
      </c>
      <c r="N657" s="418"/>
      <c r="O657" s="418"/>
      <c r="P657" s="418"/>
      <c r="Q657" s="418"/>
      <c r="R657" s="418"/>
      <c r="S657" s="418"/>
      <c r="T657" s="418"/>
      <c r="U657" s="418"/>
      <c r="V657" s="418"/>
      <c r="W657" s="418"/>
    </row>
    <row r="658" spans="1:23" ht="11.25" x14ac:dyDescent="0.2">
      <c r="A658" s="29" t="s">
        <v>47</v>
      </c>
      <c r="B658" s="70">
        <v>0</v>
      </c>
      <c r="C658" s="83">
        <v>0</v>
      </c>
      <c r="E658" s="435">
        <f t="shared" si="236"/>
        <v>0</v>
      </c>
      <c r="F658" s="436">
        <f t="shared" si="237"/>
        <v>0</v>
      </c>
      <c r="G658" s="437">
        <f t="shared" si="238"/>
        <v>0</v>
      </c>
      <c r="H658" s="438">
        <f t="shared" si="239"/>
        <v>0</v>
      </c>
      <c r="I658" s="439">
        <f t="shared" si="240"/>
        <v>0</v>
      </c>
      <c r="J658" s="440">
        <f t="shared" si="241"/>
        <v>0</v>
      </c>
      <c r="K658" s="441">
        <f t="shared" si="242"/>
        <v>0</v>
      </c>
      <c r="L658" s="442">
        <f t="shared" si="243"/>
        <v>0</v>
      </c>
      <c r="N658" s="418"/>
      <c r="O658" s="418"/>
      <c r="P658" s="418"/>
      <c r="Q658" s="418"/>
      <c r="R658" s="418"/>
      <c r="S658" s="418"/>
      <c r="T658" s="418"/>
      <c r="U658" s="418"/>
      <c r="V658" s="418"/>
      <c r="W658" s="418"/>
    </row>
    <row r="659" spans="1:23" ht="11.25" x14ac:dyDescent="0.2">
      <c r="A659" s="29" t="s">
        <v>79</v>
      </c>
      <c r="B659" s="70">
        <v>0</v>
      </c>
      <c r="C659" s="83">
        <v>0</v>
      </c>
      <c r="E659" s="435">
        <f t="shared" si="236"/>
        <v>0</v>
      </c>
      <c r="F659" s="436">
        <f t="shared" si="237"/>
        <v>0</v>
      </c>
      <c r="G659" s="437">
        <f t="shared" si="238"/>
        <v>0</v>
      </c>
      <c r="H659" s="438">
        <f t="shared" si="239"/>
        <v>0</v>
      </c>
      <c r="I659" s="439">
        <f t="shared" si="240"/>
        <v>0</v>
      </c>
      <c r="J659" s="440">
        <f t="shared" si="241"/>
        <v>0</v>
      </c>
      <c r="K659" s="441">
        <f t="shared" si="242"/>
        <v>0</v>
      </c>
      <c r="L659" s="442">
        <f t="shared" si="243"/>
        <v>0</v>
      </c>
      <c r="N659" s="418"/>
      <c r="O659" s="418"/>
      <c r="P659" s="418"/>
      <c r="Q659" s="418"/>
      <c r="R659" s="418"/>
      <c r="S659" s="418"/>
      <c r="T659" s="418"/>
      <c r="U659" s="418"/>
      <c r="V659" s="418"/>
      <c r="W659" s="418"/>
    </row>
    <row r="660" spans="1:23" ht="11.25" x14ac:dyDescent="0.2">
      <c r="A660" s="29" t="s">
        <v>71</v>
      </c>
      <c r="B660" s="70">
        <f>E652</f>
        <v>29.127109000000001</v>
      </c>
      <c r="C660" s="83">
        <f>F652</f>
        <v>21670.569</v>
      </c>
      <c r="E660" s="435">
        <f t="shared" si="236"/>
        <v>0</v>
      </c>
      <c r="F660" s="436">
        <f t="shared" si="237"/>
        <v>0</v>
      </c>
      <c r="G660" s="437">
        <f t="shared" si="238"/>
        <v>0</v>
      </c>
      <c r="H660" s="438">
        <f t="shared" si="239"/>
        <v>0</v>
      </c>
      <c r="I660" s="439">
        <f t="shared" si="240"/>
        <v>29.127109000000001</v>
      </c>
      <c r="J660" s="440">
        <f t="shared" si="241"/>
        <v>21670.569</v>
      </c>
      <c r="K660" s="441">
        <f t="shared" si="242"/>
        <v>0</v>
      </c>
      <c r="L660" s="442">
        <f t="shared" si="243"/>
        <v>0</v>
      </c>
      <c r="N660" s="418"/>
      <c r="O660" s="418"/>
      <c r="P660" s="418"/>
      <c r="Q660" s="418"/>
      <c r="R660" s="418"/>
      <c r="S660" s="418"/>
      <c r="T660" s="418"/>
      <c r="U660" s="418"/>
      <c r="V660" s="418"/>
      <c r="W660" s="418"/>
    </row>
    <row r="661" spans="1:23" ht="11.25" x14ac:dyDescent="0.2">
      <c r="A661" s="29" t="s">
        <v>9</v>
      </c>
      <c r="B661" s="70">
        <f>E637</f>
        <v>29.532169</v>
      </c>
      <c r="C661" s="83">
        <f>F637</f>
        <v>21971.933994226805</v>
      </c>
      <c r="E661" s="435">
        <f t="shared" si="236"/>
        <v>0</v>
      </c>
      <c r="F661" s="436">
        <f t="shared" si="237"/>
        <v>0</v>
      </c>
      <c r="G661" s="437">
        <f t="shared" si="238"/>
        <v>0</v>
      </c>
      <c r="H661" s="438">
        <f t="shared" si="239"/>
        <v>0</v>
      </c>
      <c r="I661" s="439">
        <f t="shared" si="240"/>
        <v>29.532169</v>
      </c>
      <c r="J661" s="440">
        <f t="shared" si="241"/>
        <v>21971.933994226805</v>
      </c>
      <c r="K661" s="441">
        <f t="shared" si="242"/>
        <v>0</v>
      </c>
      <c r="L661" s="442">
        <f t="shared" si="243"/>
        <v>0</v>
      </c>
      <c r="N661" s="418"/>
      <c r="O661" s="418"/>
      <c r="P661" s="418"/>
      <c r="Q661" s="418"/>
      <c r="R661" s="418"/>
      <c r="S661" s="418"/>
      <c r="T661" s="418"/>
      <c r="U661" s="418"/>
      <c r="V661" s="418"/>
      <c r="W661" s="418"/>
    </row>
    <row r="662" spans="1:23" ht="11.25" x14ac:dyDescent="0.2">
      <c r="A662" s="29" t="s">
        <v>80</v>
      </c>
      <c r="B662" s="70">
        <v>0</v>
      </c>
      <c r="C662" s="83">
        <v>0</v>
      </c>
      <c r="E662" s="435">
        <f t="shared" si="236"/>
        <v>0</v>
      </c>
      <c r="F662" s="436">
        <f t="shared" si="237"/>
        <v>0</v>
      </c>
      <c r="G662" s="437">
        <f t="shared" si="238"/>
        <v>0</v>
      </c>
      <c r="H662" s="438">
        <f t="shared" si="239"/>
        <v>0</v>
      </c>
      <c r="I662" s="439">
        <f t="shared" si="240"/>
        <v>0</v>
      </c>
      <c r="J662" s="440">
        <f t="shared" si="241"/>
        <v>0</v>
      </c>
      <c r="K662" s="441">
        <f t="shared" si="242"/>
        <v>0</v>
      </c>
      <c r="L662" s="442">
        <f t="shared" si="243"/>
        <v>0</v>
      </c>
      <c r="N662" s="418"/>
      <c r="O662" s="418"/>
      <c r="P662" s="418"/>
      <c r="Q662" s="418"/>
      <c r="R662" s="418"/>
      <c r="S662" s="418"/>
      <c r="T662" s="418"/>
      <c r="U662" s="418"/>
      <c r="V662" s="418"/>
      <c r="W662" s="418"/>
    </row>
    <row r="663" spans="1:23" ht="11.25" x14ac:dyDescent="0.2">
      <c r="A663" s="29" t="s">
        <v>77</v>
      </c>
      <c r="B663" s="70">
        <v>0</v>
      </c>
      <c r="C663" s="83">
        <v>0</v>
      </c>
      <c r="E663" s="435">
        <f t="shared" si="236"/>
        <v>0</v>
      </c>
      <c r="F663" s="436">
        <f t="shared" si="237"/>
        <v>0</v>
      </c>
      <c r="G663" s="437">
        <f t="shared" si="238"/>
        <v>0</v>
      </c>
      <c r="H663" s="438">
        <f t="shared" si="239"/>
        <v>0</v>
      </c>
      <c r="I663" s="439">
        <f t="shared" si="240"/>
        <v>0</v>
      </c>
      <c r="J663" s="440">
        <f t="shared" si="241"/>
        <v>0</v>
      </c>
      <c r="K663" s="441">
        <f t="shared" si="242"/>
        <v>0</v>
      </c>
      <c r="L663" s="442">
        <f t="shared" si="243"/>
        <v>0</v>
      </c>
      <c r="N663" s="418"/>
      <c r="O663" s="418"/>
      <c r="P663" s="418"/>
      <c r="Q663" s="418"/>
      <c r="R663" s="418"/>
      <c r="S663" s="418"/>
      <c r="T663" s="418"/>
      <c r="U663" s="418"/>
      <c r="V663" s="418"/>
      <c r="W663" s="418"/>
    </row>
    <row r="664" spans="1:23" ht="11.25" x14ac:dyDescent="0.2">
      <c r="A664" s="11" t="s">
        <v>81</v>
      </c>
      <c r="B664" s="12">
        <f>SUM(B657:B660)-SUM(B661:B663)</f>
        <v>-0.40505999999999887</v>
      </c>
      <c r="C664" s="12">
        <f>SUM(C657:C660)-SUM(C661:C663)</f>
        <v>-301.36499422680572</v>
      </c>
      <c r="E664" s="443">
        <f>SUM(E657:E660)-SUM(E661:E663)</f>
        <v>0</v>
      </c>
      <c r="F664" s="444">
        <f>SUM(F657:F660)-SUM(F661:F663)</f>
        <v>0</v>
      </c>
      <c r="G664" s="445">
        <f t="shared" ref="G664:L664" si="244">SUM(G657:G660)-SUM(G661:G663)</f>
        <v>0</v>
      </c>
      <c r="H664" s="446">
        <f t="shared" si="244"/>
        <v>0</v>
      </c>
      <c r="I664" s="447">
        <f t="shared" si="244"/>
        <v>-0.40505999999999887</v>
      </c>
      <c r="J664" s="448">
        <f t="shared" si="244"/>
        <v>-301.36499422680572</v>
      </c>
      <c r="K664" s="449">
        <f t="shared" si="244"/>
        <v>0</v>
      </c>
      <c r="L664" s="450">
        <f t="shared" si="244"/>
        <v>0</v>
      </c>
      <c r="N664" s="418"/>
      <c r="O664" s="418"/>
      <c r="P664" s="418"/>
      <c r="Q664" s="418"/>
      <c r="R664" s="418"/>
      <c r="S664" s="418"/>
      <c r="T664" s="418"/>
      <c r="U664" s="418"/>
      <c r="V664" s="418"/>
      <c r="W664" s="418"/>
    </row>
    <row r="665" spans="1:23" ht="11.25" x14ac:dyDescent="0.2">
      <c r="A665" s="11" t="s">
        <v>82</v>
      </c>
      <c r="B665" s="12">
        <f>SUM(B657:B660)-SUM(B661:B664)</f>
        <v>0</v>
      </c>
      <c r="C665" s="12">
        <f>SUM(C657:C660)-SUM(C661:C664)</f>
        <v>0</v>
      </c>
      <c r="E665" s="443">
        <f>SUM(E657:E660)-SUM(E661:E664)</f>
        <v>0</v>
      </c>
      <c r="F665" s="444">
        <f t="shared" ref="F665:L665" si="245">SUM(F657:F660)-SUM(F661:F664)</f>
        <v>0</v>
      </c>
      <c r="G665" s="445">
        <f t="shared" si="245"/>
        <v>0</v>
      </c>
      <c r="H665" s="446">
        <f t="shared" si="245"/>
        <v>0</v>
      </c>
      <c r="I665" s="447">
        <f t="shared" si="245"/>
        <v>0</v>
      </c>
      <c r="J665" s="448">
        <f t="shared" si="245"/>
        <v>0</v>
      </c>
      <c r="K665" s="449">
        <f t="shared" si="245"/>
        <v>0</v>
      </c>
      <c r="L665" s="450">
        <f t="shared" si="245"/>
        <v>0</v>
      </c>
      <c r="N665" s="418"/>
      <c r="O665" s="418"/>
      <c r="P665" s="418"/>
      <c r="Q665" s="418"/>
      <c r="R665" s="418"/>
      <c r="S665" s="418"/>
      <c r="T665" s="418"/>
      <c r="U665" s="418"/>
      <c r="V665" s="418"/>
      <c r="W665" s="418"/>
    </row>
    <row r="666" spans="1:23" ht="11.25" x14ac:dyDescent="0.2">
      <c r="N666" s="418"/>
      <c r="O666" s="418"/>
      <c r="P666" s="418"/>
      <c r="Q666" s="418"/>
      <c r="R666" s="418"/>
      <c r="S666" s="418"/>
      <c r="T666" s="418"/>
      <c r="U666" s="418"/>
      <c r="V666" s="418"/>
      <c r="W666" s="418"/>
    </row>
    <row r="667" spans="1:23" ht="11.25" x14ac:dyDescent="0.2">
      <c r="E667" s="451">
        <f>(F664*$H$5)+(H664*$J$5)+(J664*$L$5)+(L664*$N$5)</f>
        <v>-26123.690854593537</v>
      </c>
      <c r="N667" s="418"/>
      <c r="O667" s="418"/>
      <c r="P667" s="418"/>
      <c r="Q667" s="418"/>
      <c r="R667" s="418"/>
      <c r="S667" s="418"/>
      <c r="T667" s="418"/>
      <c r="U667" s="418"/>
      <c r="V667" s="418"/>
      <c r="W667" s="418"/>
    </row>
    <row r="668" spans="1:23" s="418" customFormat="1" ht="11.25" x14ac:dyDescent="0.2"/>
    <row r="669" spans="1:23" s="418" customFormat="1" ht="11.25" x14ac:dyDescent="0.2"/>
    <row r="670" spans="1:23" ht="11.25" x14ac:dyDescent="0.2">
      <c r="A670" s="548" t="s">
        <v>99</v>
      </c>
      <c r="B670" s="548"/>
      <c r="C670" s="548"/>
      <c r="D670" s="548"/>
      <c r="E670" s="548"/>
      <c r="F670" s="548"/>
      <c r="G670" s="548"/>
      <c r="H670" s="548"/>
      <c r="N670" s="418"/>
      <c r="O670" s="418"/>
      <c r="P670" s="418"/>
      <c r="Q670" s="418"/>
      <c r="R670" s="418"/>
      <c r="S670" s="418"/>
      <c r="T670" s="418"/>
      <c r="U670" s="418"/>
      <c r="V670" s="418"/>
      <c r="W670" s="418"/>
    </row>
    <row r="671" spans="1:23" ht="14.25" customHeight="1" x14ac:dyDescent="0.2">
      <c r="A671" s="548"/>
      <c r="B671" s="548"/>
      <c r="C671" s="548"/>
      <c r="D671" s="548"/>
      <c r="E671" s="548"/>
      <c r="F671" s="548"/>
      <c r="G671" s="548"/>
      <c r="H671" s="548"/>
      <c r="N671" s="418"/>
      <c r="O671" s="418"/>
      <c r="P671" s="418"/>
      <c r="Q671" s="418"/>
      <c r="R671" s="418"/>
      <c r="S671" s="418"/>
      <c r="T671" s="418"/>
      <c r="U671" s="418"/>
      <c r="V671" s="418"/>
      <c r="W671" s="418"/>
    </row>
    <row r="672" spans="1:23" ht="4.5" customHeight="1" x14ac:dyDescent="0.2">
      <c r="N672" s="418"/>
      <c r="O672" s="418"/>
      <c r="P672" s="418"/>
      <c r="Q672" s="418"/>
      <c r="R672" s="418"/>
      <c r="S672" s="418"/>
      <c r="T672" s="418"/>
      <c r="U672" s="418"/>
      <c r="V672" s="418"/>
      <c r="W672" s="418"/>
    </row>
    <row r="673" spans="1:23" ht="11.25" x14ac:dyDescent="0.2">
      <c r="A673" s="548" t="s">
        <v>85</v>
      </c>
      <c r="B673" s="548"/>
      <c r="C673" s="548"/>
      <c r="D673" s="548"/>
      <c r="E673" s="548"/>
      <c r="F673" s="548"/>
      <c r="G673" s="548"/>
      <c r="H673" s="548"/>
      <c r="J673" s="417"/>
      <c r="N673" s="418"/>
      <c r="O673" s="418"/>
      <c r="P673" s="418"/>
      <c r="Q673" s="418"/>
      <c r="R673" s="418"/>
      <c r="S673" s="418"/>
      <c r="T673" s="418"/>
      <c r="U673" s="418"/>
      <c r="V673" s="418"/>
      <c r="W673" s="418"/>
    </row>
    <row r="674" spans="1:23" ht="11.25" x14ac:dyDescent="0.2">
      <c r="A674" s="10" t="s">
        <v>8</v>
      </c>
      <c r="B674" s="10"/>
      <c r="C674" s="10" t="s">
        <v>2</v>
      </c>
      <c r="D674" s="10" t="s">
        <v>3</v>
      </c>
      <c r="E674" s="10" t="s">
        <v>137</v>
      </c>
      <c r="F674" s="10" t="s">
        <v>25</v>
      </c>
      <c r="G674" s="10" t="s">
        <v>95</v>
      </c>
      <c r="H674" s="10" t="s">
        <v>240</v>
      </c>
      <c r="J674" s="417"/>
      <c r="K674" s="231"/>
      <c r="N674" s="418"/>
      <c r="O674" s="418"/>
      <c r="P674" s="418"/>
      <c r="Q674" s="418"/>
      <c r="R674" s="418"/>
      <c r="S674" s="418"/>
      <c r="T674" s="418"/>
      <c r="U674" s="418"/>
      <c r="V674" s="418"/>
      <c r="W674" s="418"/>
    </row>
    <row r="675" spans="1:23" ht="11.25" x14ac:dyDescent="0.2">
      <c r="A675" s="195" t="s">
        <v>100</v>
      </c>
      <c r="B675" s="195"/>
      <c r="C675" s="195" t="s">
        <v>9</v>
      </c>
      <c r="D675" s="196" t="s">
        <v>92</v>
      </c>
      <c r="E675" s="97">
        <f>ROUND(F675/$B$33,6)</f>
        <v>115.22494</v>
      </c>
      <c r="F675" s="98">
        <f>[7]Consolidação!$G$47</f>
        <v>85727.355312061816</v>
      </c>
      <c r="G675" s="98">
        <f>'[8]2019'!$F$13</f>
        <v>1979.6179999999999</v>
      </c>
      <c r="H675" s="154">
        <v>0.03</v>
      </c>
      <c r="J675" s="461"/>
      <c r="K675" s="228">
        <f>J675/744</f>
        <v>0</v>
      </c>
      <c r="N675" s="418"/>
      <c r="O675" s="418"/>
      <c r="P675" s="418"/>
      <c r="Q675" s="418"/>
      <c r="R675" s="418"/>
      <c r="S675" s="418"/>
      <c r="T675" s="418"/>
      <c r="U675" s="418"/>
      <c r="V675" s="418"/>
      <c r="W675" s="418"/>
    </row>
    <row r="676" spans="1:23" ht="11.25" x14ac:dyDescent="0.2">
      <c r="A676" s="215"/>
      <c r="B676" s="215"/>
      <c r="C676" s="215"/>
      <c r="D676" s="216"/>
      <c r="E676" s="174"/>
      <c r="F676" s="175"/>
      <c r="G676" s="175"/>
      <c r="H676" s="175"/>
      <c r="J676" s="228"/>
      <c r="N676" s="418"/>
      <c r="O676" s="418"/>
      <c r="P676" s="418"/>
      <c r="Q676" s="418"/>
      <c r="R676" s="418"/>
      <c r="S676" s="418"/>
      <c r="T676" s="418"/>
      <c r="U676" s="418"/>
      <c r="V676" s="418"/>
      <c r="W676" s="418"/>
    </row>
    <row r="677" spans="1:23" ht="11.25" x14ac:dyDescent="0.2">
      <c r="A677" s="80" t="s">
        <v>32</v>
      </c>
      <c r="B677" s="421"/>
      <c r="C677" s="421"/>
      <c r="D677" s="422"/>
      <c r="E677" s="81">
        <f>SUM(E675:E676)</f>
        <v>115.22494</v>
      </c>
      <c r="F677" s="84">
        <f>SUM(F675:F676)</f>
        <v>85727.355312061816</v>
      </c>
      <c r="G677" s="84">
        <f>SUM(G675:G676)</f>
        <v>1979.6179999999999</v>
      </c>
      <c r="H677" s="84"/>
      <c r="I677" s="228"/>
      <c r="N677" s="418"/>
      <c r="O677" s="418"/>
      <c r="P677" s="418"/>
      <c r="Q677" s="418"/>
      <c r="R677" s="418"/>
      <c r="S677" s="418"/>
      <c r="T677" s="418"/>
      <c r="U677" s="418"/>
      <c r="V677" s="418"/>
      <c r="W677" s="418"/>
    </row>
    <row r="678" spans="1:23" ht="11.25" x14ac:dyDescent="0.2">
      <c r="N678" s="418"/>
      <c r="O678" s="418"/>
      <c r="P678" s="418"/>
      <c r="Q678" s="418"/>
      <c r="R678" s="418"/>
      <c r="S678" s="418"/>
      <c r="T678" s="418"/>
      <c r="U678" s="418"/>
      <c r="V678" s="418"/>
      <c r="W678" s="418"/>
    </row>
    <row r="679" spans="1:23" ht="11.25" x14ac:dyDescent="0.2">
      <c r="A679" s="548" t="s">
        <v>70</v>
      </c>
      <c r="B679" s="548"/>
      <c r="C679" s="548"/>
      <c r="D679" s="548"/>
      <c r="E679" s="548"/>
      <c r="F679" s="548"/>
      <c r="G679" s="548"/>
      <c r="H679" s="548"/>
      <c r="N679" s="418"/>
      <c r="O679" s="418"/>
      <c r="P679" s="418"/>
      <c r="Q679" s="418"/>
      <c r="R679" s="418"/>
      <c r="S679" s="418"/>
      <c r="T679" s="418"/>
      <c r="U679" s="418"/>
      <c r="V679" s="418"/>
      <c r="W679" s="418"/>
    </row>
    <row r="680" spans="1:23" ht="11.25" x14ac:dyDescent="0.2">
      <c r="A680" s="10" t="s">
        <v>252</v>
      </c>
      <c r="B680" s="10" t="s">
        <v>1</v>
      </c>
      <c r="C680" s="10" t="s">
        <v>2</v>
      </c>
      <c r="D680" s="10" t="s">
        <v>3</v>
      </c>
      <c r="E680" s="10" t="s">
        <v>137</v>
      </c>
      <c r="F680" s="10" t="s">
        <v>25</v>
      </c>
      <c r="G680" s="10" t="s">
        <v>253</v>
      </c>
      <c r="H680" s="10" t="s">
        <v>254</v>
      </c>
      <c r="J680" s="10" t="s">
        <v>72</v>
      </c>
      <c r="K680" s="10" t="s">
        <v>73</v>
      </c>
      <c r="L680" s="10" t="s">
        <v>74</v>
      </c>
      <c r="M680" s="10" t="s">
        <v>75</v>
      </c>
      <c r="N680" s="10" t="s">
        <v>425</v>
      </c>
      <c r="O680" s="418"/>
      <c r="P680" s="418"/>
      <c r="Q680" s="418"/>
      <c r="R680" s="418"/>
      <c r="S680" s="418"/>
      <c r="T680" s="418"/>
      <c r="U680" s="418"/>
      <c r="V680" s="418"/>
      <c r="W680" s="418"/>
    </row>
    <row r="681" spans="1:23" ht="11.25" x14ac:dyDescent="0.2">
      <c r="A681" s="268">
        <v>105942</v>
      </c>
      <c r="B681" s="268" t="s">
        <v>344</v>
      </c>
      <c r="C681" s="268" t="s">
        <v>71</v>
      </c>
      <c r="D681" s="269" t="s">
        <v>92</v>
      </c>
      <c r="E681" s="270">
        <f t="shared" ref="E681:E685" si="246">ROUND(F681/$B$33,6)</f>
        <v>2.6607769999999999</v>
      </c>
      <c r="F681" s="271">
        <f>G675</f>
        <v>1979.6179999999999</v>
      </c>
      <c r="G681" s="381">
        <v>0</v>
      </c>
      <c r="H681" s="272">
        <f t="shared" ref="H681:H685" si="247">F681*G681</f>
        <v>0</v>
      </c>
      <c r="J681" s="9"/>
      <c r="K681" s="9"/>
      <c r="L681" s="9"/>
      <c r="M681" s="9"/>
      <c r="N681" s="499"/>
      <c r="O681" s="418"/>
      <c r="P681" s="418"/>
      <c r="Q681" s="418"/>
      <c r="R681" s="418"/>
      <c r="S681" s="418"/>
      <c r="T681" s="418"/>
      <c r="U681" s="418"/>
      <c r="V681" s="418"/>
      <c r="W681" s="418"/>
    </row>
    <row r="682" spans="1:23" ht="11.25" x14ac:dyDescent="0.2">
      <c r="A682" s="167">
        <v>566711</v>
      </c>
      <c r="B682" s="167" t="s">
        <v>277</v>
      </c>
      <c r="C682" s="167" t="s">
        <v>71</v>
      </c>
      <c r="D682" s="192" t="s">
        <v>92</v>
      </c>
      <c r="E682" s="79">
        <f t="shared" si="246"/>
        <v>0</v>
      </c>
      <c r="F682" s="83">
        <f>VLOOKUP(A682,$A$147:$H$169,6,FALSE)</f>
        <v>0</v>
      </c>
      <c r="G682" s="193">
        <f>VLOOKUP(A682,$A$147:$H$169,7,FALSE)</f>
        <v>0</v>
      </c>
      <c r="H682" s="193">
        <f t="shared" si="247"/>
        <v>0</v>
      </c>
      <c r="J682" s="9" t="str">
        <f>VLOOKUP($A682,[4]cliqccee!$A:$AK,26,FALSE)</f>
        <v>0,000000</v>
      </c>
      <c r="K682" s="9" t="str">
        <f>VLOOKUP($A682,[4]cliqccee!$A:$AK,10,FALSE)</f>
        <v>Validado</v>
      </c>
      <c r="L682" s="9" t="str">
        <f>VLOOKUP($A682,[4]cliqccee!$A:$AK,32,FALSE)</f>
        <v>FLAT</v>
      </c>
      <c r="M682" s="9" t="str">
        <f>VLOOKUP($A682,[4]cliqccee!$A:$AK,33,FALSE)</f>
        <v>Validado</v>
      </c>
      <c r="N682" s="499">
        <f t="shared" ref="N682:N689" si="248">J682-E682</f>
        <v>0</v>
      </c>
      <c r="O682" s="418"/>
      <c r="P682" s="418"/>
      <c r="Q682" s="418"/>
      <c r="R682" s="418"/>
      <c r="S682" s="418"/>
      <c r="T682" s="418"/>
      <c r="U682" s="418"/>
      <c r="V682" s="418"/>
      <c r="W682" s="418"/>
    </row>
    <row r="683" spans="1:23" ht="11.25" x14ac:dyDescent="0.2">
      <c r="A683" s="167">
        <v>796225</v>
      </c>
      <c r="B683" s="167" t="s">
        <v>307</v>
      </c>
      <c r="C683" s="167" t="s">
        <v>71</v>
      </c>
      <c r="D683" s="192" t="s">
        <v>92</v>
      </c>
      <c r="E683" s="79">
        <f t="shared" si="246"/>
        <v>0</v>
      </c>
      <c r="F683" s="83">
        <f>VLOOKUP(A683,$A$742:$H$772,6,FALSE)</f>
        <v>0</v>
      </c>
      <c r="G683" s="193">
        <f>VLOOKUP(A683,$A$742:$H$772,7,FALSE)</f>
        <v>0</v>
      </c>
      <c r="H683" s="193">
        <f t="shared" si="247"/>
        <v>0</v>
      </c>
      <c r="J683" s="9" t="str">
        <f>VLOOKUP($A683,[4]cliqccee!$A:$AK,26,FALSE)</f>
        <v>0,000000</v>
      </c>
      <c r="K683" s="9" t="str">
        <f>VLOOKUP($A683,[4]cliqccee!$A:$AK,10,FALSE)</f>
        <v>Validado</v>
      </c>
      <c r="L683" s="9" t="str">
        <f>VLOOKUP($A683,[4]cliqccee!$A:$AK,32,FALSE)</f>
        <v>FLAT</v>
      </c>
      <c r="M683" s="9" t="str">
        <f>VLOOKUP($A683,[4]cliqccee!$A:$AK,33,FALSE)</f>
        <v>Validado</v>
      </c>
      <c r="N683" s="499">
        <f t="shared" si="248"/>
        <v>0</v>
      </c>
      <c r="O683" s="418"/>
      <c r="P683" s="418"/>
      <c r="Q683" s="418"/>
      <c r="R683" s="418"/>
      <c r="S683" s="418"/>
      <c r="T683" s="418"/>
      <c r="U683" s="418"/>
      <c r="V683" s="418"/>
      <c r="W683" s="418"/>
    </row>
    <row r="684" spans="1:23" ht="11.25" x14ac:dyDescent="0.2">
      <c r="A684" s="167">
        <v>876788</v>
      </c>
      <c r="B684" s="167" t="s">
        <v>309</v>
      </c>
      <c r="C684" s="167" t="s">
        <v>71</v>
      </c>
      <c r="D684" s="192" t="s">
        <v>78</v>
      </c>
      <c r="E684" s="79">
        <f t="shared" si="246"/>
        <v>0</v>
      </c>
      <c r="F684" s="83">
        <f>VLOOKUP(A684,$A$823:$H$873,6,FALSE)</f>
        <v>0</v>
      </c>
      <c r="G684" s="193">
        <f>VLOOKUP(A684,$A$823:$H$873,7,FALSE)</f>
        <v>0</v>
      </c>
      <c r="H684" s="193">
        <f t="shared" si="247"/>
        <v>0</v>
      </c>
      <c r="J684" s="9" t="str">
        <f>VLOOKUP($A684,[4]cliqccee!$A:$AK,26,FALSE)</f>
        <v>0,000000</v>
      </c>
      <c r="K684" s="9" t="str">
        <f>VLOOKUP($A684,[4]cliqccee!$A:$AK,10,FALSE)</f>
        <v>Validado</v>
      </c>
      <c r="L684" s="9" t="str">
        <f>VLOOKUP($A684,[4]cliqccee!$A:$AK,32,FALSE)</f>
        <v>FLAT</v>
      </c>
      <c r="M684" s="9" t="str">
        <f>VLOOKUP($A684,[4]cliqccee!$A:$AK,33,FALSE)</f>
        <v>Validado</v>
      </c>
      <c r="N684" s="499">
        <f t="shared" si="248"/>
        <v>0</v>
      </c>
      <c r="O684" s="418"/>
      <c r="P684" s="418"/>
      <c r="Q684" s="418"/>
      <c r="R684" s="418"/>
      <c r="S684" s="418"/>
      <c r="T684" s="418"/>
      <c r="U684" s="418"/>
      <c r="V684" s="418"/>
      <c r="W684" s="418"/>
    </row>
    <row r="685" spans="1:23" ht="11.25" x14ac:dyDescent="0.2">
      <c r="A685" s="195">
        <v>876844</v>
      </c>
      <c r="B685" s="195" t="s">
        <v>311</v>
      </c>
      <c r="C685" s="195" t="s">
        <v>71</v>
      </c>
      <c r="D685" s="196" t="s">
        <v>78</v>
      </c>
      <c r="E685" s="97">
        <f t="shared" si="246"/>
        <v>0</v>
      </c>
      <c r="F685" s="98">
        <f>VLOOKUP(A685,$A$742:$H$772,6,FALSE)</f>
        <v>0</v>
      </c>
      <c r="G685" s="197">
        <f>VLOOKUP(A685,$A$742:$H$772,7,FALSE)</f>
        <v>0</v>
      </c>
      <c r="H685" s="197">
        <f t="shared" si="247"/>
        <v>0</v>
      </c>
      <c r="J685" s="9" t="str">
        <f>VLOOKUP($A685,[4]cliqccee!$A:$AK,26,FALSE)</f>
        <v>0,000000</v>
      </c>
      <c r="K685" s="9" t="str">
        <f>VLOOKUP($A685,[4]cliqccee!$A:$AK,10,FALSE)</f>
        <v>Validado</v>
      </c>
      <c r="L685" s="9" t="str">
        <f>VLOOKUP($A685,[4]cliqccee!$A:$AK,32,FALSE)</f>
        <v>FLAT</v>
      </c>
      <c r="M685" s="9" t="str">
        <f>VLOOKUP($A685,[4]cliqccee!$A:$AK,33,FALSE)</f>
        <v>Validado</v>
      </c>
      <c r="N685" s="499">
        <f t="shared" si="248"/>
        <v>0</v>
      </c>
    </row>
    <row r="686" spans="1:23" ht="11.25" x14ac:dyDescent="0.2">
      <c r="A686" s="248">
        <v>1097627</v>
      </c>
      <c r="B686" s="248" t="s">
        <v>339</v>
      </c>
      <c r="C686" s="248" t="s">
        <v>71</v>
      </c>
      <c r="D686" s="249" t="s">
        <v>92</v>
      </c>
      <c r="E686" s="250">
        <f t="shared" ref="E686:E687" si="249">ROUND(F686/$B$33,6)</f>
        <v>10.7</v>
      </c>
      <c r="F686" s="251">
        <f>VLOOKUP(A686,$A$742:$H$772,6,FALSE)</f>
        <v>7960.7999999999993</v>
      </c>
      <c r="G686" s="252">
        <f>VLOOKUP(A686,$A$742:$H$772,7,FALSE)</f>
        <v>229.17</v>
      </c>
      <c r="H686" s="252">
        <f t="shared" ref="H686:H687" si="250">F686*G686</f>
        <v>1824376.5359999998</v>
      </c>
      <c r="J686" s="9" t="str">
        <f>VLOOKUP($A686,[4]cliqccee!$A:$AK,26,FALSE)</f>
        <v>10,700000</v>
      </c>
      <c r="K686" s="9" t="str">
        <f>VLOOKUP($A686,[4]cliqccee!$A:$AK,10,FALSE)</f>
        <v>Validado</v>
      </c>
      <c r="L686" s="9" t="str">
        <f>VLOOKUP($A686,[4]cliqccee!$A:$AK,32,FALSE)</f>
        <v>FLAT</v>
      </c>
      <c r="M686" s="9" t="str">
        <f>VLOOKUP($A686,[4]cliqccee!$A:$AK,33,FALSE)</f>
        <v>Validado</v>
      </c>
      <c r="N686" s="499">
        <f t="shared" si="248"/>
        <v>0</v>
      </c>
    </row>
    <row r="687" spans="1:23" ht="11.25" x14ac:dyDescent="0.2">
      <c r="A687" s="167">
        <v>1097143</v>
      </c>
      <c r="B687" s="167" t="s">
        <v>401</v>
      </c>
      <c r="C687" s="167" t="s">
        <v>71</v>
      </c>
      <c r="D687" s="192" t="s">
        <v>92</v>
      </c>
      <c r="E687" s="79">
        <f t="shared" si="249"/>
        <v>101.864163</v>
      </c>
      <c r="F687" s="83">
        <f>VLOOKUP(A687,$A$147:$H$169,6,FALSE)</f>
        <v>75786.937312061811</v>
      </c>
      <c r="G687" s="193">
        <f>VLOOKUP(A687,$A$147:$H$169,7,FALSE)</f>
        <v>152.44999999999999</v>
      </c>
      <c r="H687" s="193">
        <f t="shared" si="250"/>
        <v>11553718.593223821</v>
      </c>
      <c r="J687" s="9" t="str">
        <f>VLOOKUP($A687,[4]cliqccee!$A:$AK,26,FALSE)</f>
        <v>108,689554</v>
      </c>
      <c r="K687" s="9" t="str">
        <f>VLOOKUP($A687,[4]cliqccee!$A:$AK,10,FALSE)</f>
        <v>Validado</v>
      </c>
      <c r="L687" s="9" t="str">
        <f>VLOOKUP($A687,[4]cliqccee!$A:$AK,32,FALSE)</f>
        <v>FLAT</v>
      </c>
      <c r="M687" s="9" t="str">
        <f>VLOOKUP($A687,[4]cliqccee!$A:$AK,33,FALSE)</f>
        <v>Ajustado Validado</v>
      </c>
      <c r="N687" s="499">
        <f t="shared" si="248"/>
        <v>6.8253909999999962</v>
      </c>
    </row>
    <row r="688" spans="1:23" ht="11.25" x14ac:dyDescent="0.2">
      <c r="A688" s="167"/>
      <c r="B688" s="167"/>
      <c r="C688" s="167"/>
      <c r="D688" s="192"/>
      <c r="E688" s="79"/>
      <c r="F688" s="83"/>
      <c r="G688" s="193"/>
      <c r="H688" s="193"/>
      <c r="J688" s="9" t="e">
        <f>VLOOKUP($A688,[4]cliqccee!$A:$AK,26,FALSE)</f>
        <v>#N/A</v>
      </c>
      <c r="K688" s="9" t="e">
        <f>VLOOKUP($A688,[4]cliqccee!$A:$AK,10,FALSE)</f>
        <v>#N/A</v>
      </c>
      <c r="L688" s="9" t="e">
        <f>VLOOKUP($A688,[4]cliqccee!$A:$AK,32,FALSE)</f>
        <v>#N/A</v>
      </c>
      <c r="M688" s="9" t="e">
        <f>VLOOKUP($A688,[4]cliqccee!$A:$AK,33,FALSE)</f>
        <v>#N/A</v>
      </c>
      <c r="N688" s="499" t="e">
        <f t="shared" si="248"/>
        <v>#N/A</v>
      </c>
    </row>
    <row r="689" spans="1:14" ht="11.25" x14ac:dyDescent="0.2">
      <c r="A689" s="253"/>
      <c r="B689" s="253"/>
      <c r="C689" s="253"/>
      <c r="D689" s="253"/>
      <c r="E689" s="203"/>
      <c r="F689" s="204"/>
      <c r="G689" s="205"/>
      <c r="H689" s="206"/>
      <c r="J689" s="9" t="e">
        <f>VLOOKUP($A689,[4]cliqccee!$A:$AK,26,FALSE)</f>
        <v>#N/A</v>
      </c>
      <c r="K689" s="9" t="e">
        <f>VLOOKUP($A689,[4]cliqccee!$A:$AK,10,FALSE)</f>
        <v>#N/A</v>
      </c>
      <c r="L689" s="9" t="e">
        <f>VLOOKUP($A689,[4]cliqccee!$A:$AK,32,FALSE)</f>
        <v>#N/A</v>
      </c>
      <c r="M689" s="9" t="e">
        <f>VLOOKUP($A689,[4]cliqccee!$A:$AK,33,FALSE)</f>
        <v>#N/A</v>
      </c>
      <c r="N689" s="499" t="e">
        <f t="shared" si="248"/>
        <v>#N/A</v>
      </c>
    </row>
    <row r="690" spans="1:14" ht="11.25" x14ac:dyDescent="0.2">
      <c r="A690" s="223" t="s">
        <v>32</v>
      </c>
      <c r="B690" s="470"/>
      <c r="C690" s="470"/>
      <c r="D690" s="471"/>
      <c r="E690" s="226">
        <f>SUM(E681:E689)</f>
        <v>115.22494</v>
      </c>
      <c r="F690" s="227">
        <f>SUM(F681:F689)</f>
        <v>85727.355312061816</v>
      </c>
      <c r="G690" s="82">
        <f>IFERROR(H690/F690,0)</f>
        <v>156.05398160861645</v>
      </c>
      <c r="H690" s="82">
        <f>SUM(H681:H689)</f>
        <v>13378095.129223822</v>
      </c>
      <c r="I690" s="228"/>
      <c r="N690" s="418"/>
    </row>
    <row r="691" spans="1:14" ht="11.25" x14ac:dyDescent="0.2">
      <c r="N691" s="418"/>
    </row>
    <row r="692" spans="1:14" ht="11.25" x14ac:dyDescent="0.2">
      <c r="A692" s="548" t="s">
        <v>233</v>
      </c>
      <c r="B692" s="548"/>
      <c r="C692" s="548"/>
      <c r="E692" s="423" t="s">
        <v>19</v>
      </c>
      <c r="F692" s="423"/>
      <c r="G692" s="424" t="s">
        <v>20</v>
      </c>
      <c r="H692" s="424"/>
      <c r="I692" s="425" t="s">
        <v>21</v>
      </c>
      <c r="J692" s="425"/>
      <c r="K692" s="426" t="s">
        <v>22</v>
      </c>
      <c r="L692" s="426"/>
      <c r="N692" s="418"/>
    </row>
    <row r="693" spans="1:14" ht="11.25" x14ac:dyDescent="0.2">
      <c r="A693" s="10" t="s">
        <v>2</v>
      </c>
      <c r="B693" s="10" t="s">
        <v>137</v>
      </c>
      <c r="C693" s="10" t="s">
        <v>25</v>
      </c>
      <c r="E693" s="427" t="s">
        <v>137</v>
      </c>
      <c r="F693" s="428" t="s">
        <v>25</v>
      </c>
      <c r="G693" s="429" t="s">
        <v>137</v>
      </c>
      <c r="H693" s="430" t="s">
        <v>25</v>
      </c>
      <c r="I693" s="431" t="s">
        <v>137</v>
      </c>
      <c r="J693" s="432" t="s">
        <v>25</v>
      </c>
      <c r="K693" s="433" t="s">
        <v>137</v>
      </c>
      <c r="L693" s="434" t="s">
        <v>25</v>
      </c>
      <c r="N693" s="418"/>
    </row>
    <row r="694" spans="1:14" ht="11.25" x14ac:dyDescent="0.2">
      <c r="A694" s="29" t="s">
        <v>69</v>
      </c>
      <c r="B694" s="70">
        <v>0</v>
      </c>
      <c r="C694" s="83">
        <v>0</v>
      </c>
      <c r="E694" s="435">
        <f>SUMIFS($E$675:$E$689,$C$675:$C$689,$A694,$D$675:$D$689,$E$692)</f>
        <v>0</v>
      </c>
      <c r="F694" s="436">
        <f>SUMIFS($F$675:$F$689,$C$675:$C$689,$A694,$D$675:$D$689,$E$692)</f>
        <v>0</v>
      </c>
      <c r="G694" s="437">
        <f>SUMIFS($E$675:$E$689,$C$675:$C$689,$A694,$D$675:$D$689,$G$692)</f>
        <v>0</v>
      </c>
      <c r="H694" s="438">
        <f>SUMIFS($F$675:$F$689,$C$675:$C$689,$A694,$D$675:$D$689,$G$692)</f>
        <v>0</v>
      </c>
      <c r="I694" s="439">
        <f>SUMIFS($E$675:$E$689,$C$675:$C$689,$A694,$D$675:$D$689,$I$692)</f>
        <v>0</v>
      </c>
      <c r="J694" s="440">
        <f>SUMIFS($F$675:$F$689,$C$675:$C$689,$A694,$D$675:$D$689,$I$692)</f>
        <v>0</v>
      </c>
      <c r="K694" s="441">
        <f>SUMIFS($E$675:$E$689,$C$675:$C$689,$A694,$D$675:$D$689,$K$692)</f>
        <v>0</v>
      </c>
      <c r="L694" s="442">
        <f>SUMIFS($F$675:$F$689,$C$675:$C$689,$A694,$D$675:$D$689,$K$692)</f>
        <v>0</v>
      </c>
      <c r="N694" s="418"/>
    </row>
    <row r="695" spans="1:14" ht="11.25" x14ac:dyDescent="0.2">
      <c r="A695" s="29" t="s">
        <v>47</v>
      </c>
      <c r="B695" s="70">
        <v>0</v>
      </c>
      <c r="C695" s="83">
        <v>0</v>
      </c>
      <c r="E695" s="435">
        <f t="shared" ref="E695:E700" si="251">SUMIFS($E$675:$E$689,$C$675:$C$689,$A695,$D$675:$D$689,$E$692)</f>
        <v>0</v>
      </c>
      <c r="F695" s="436">
        <f t="shared" ref="F695:F700" si="252">SUMIFS($F$675:$F$689,$C$675:$C$689,$A695,$D$675:$D$689,$E$692)</f>
        <v>0</v>
      </c>
      <c r="G695" s="437">
        <f t="shared" ref="G695:G700" si="253">SUMIFS($E$675:$E$689,$C$675:$C$689,$A695,$D$675:$D$689,$G$692)</f>
        <v>0</v>
      </c>
      <c r="H695" s="438">
        <f t="shared" ref="H695:H700" si="254">SUMIFS($F$675:$F$689,$C$675:$C$689,$A695,$D$675:$D$689,$G$692)</f>
        <v>0</v>
      </c>
      <c r="I695" s="439">
        <f t="shared" ref="I695:I700" si="255">SUMIFS($E$675:$E$689,$C$675:$C$689,$A695,$D$675:$D$689,$I$692)</f>
        <v>0</v>
      </c>
      <c r="J695" s="440">
        <f t="shared" ref="J695:J700" si="256">SUMIFS($F$675:$F$689,$C$675:$C$689,$A695,$D$675:$D$689,$I$692)</f>
        <v>0</v>
      </c>
      <c r="K695" s="441">
        <f t="shared" ref="K695:K700" si="257">SUMIFS($E$675:$E$689,$C$675:$C$689,$A695,$D$675:$D$689,$K$692)</f>
        <v>0</v>
      </c>
      <c r="L695" s="442">
        <f t="shared" ref="L695:L700" si="258">SUMIFS($F$675:$F$689,$C$675:$C$689,$A695,$D$675:$D$689,$K$692)</f>
        <v>0</v>
      </c>
      <c r="N695" s="418"/>
    </row>
    <row r="696" spans="1:14" ht="11.25" x14ac:dyDescent="0.2">
      <c r="A696" s="29" t="s">
        <v>79</v>
      </c>
      <c r="B696" s="70">
        <v>0</v>
      </c>
      <c r="C696" s="83">
        <v>0</v>
      </c>
      <c r="E696" s="435">
        <f t="shared" si="251"/>
        <v>0</v>
      </c>
      <c r="F696" s="436">
        <f t="shared" si="252"/>
        <v>0</v>
      </c>
      <c r="G696" s="437">
        <f t="shared" si="253"/>
        <v>0</v>
      </c>
      <c r="H696" s="438">
        <f t="shared" si="254"/>
        <v>0</v>
      </c>
      <c r="I696" s="439">
        <f t="shared" si="255"/>
        <v>0</v>
      </c>
      <c r="J696" s="440">
        <f t="shared" si="256"/>
        <v>0</v>
      </c>
      <c r="K696" s="441">
        <f t="shared" si="257"/>
        <v>0</v>
      </c>
      <c r="L696" s="442">
        <f t="shared" si="258"/>
        <v>0</v>
      </c>
      <c r="N696" s="418"/>
    </row>
    <row r="697" spans="1:14" ht="11.25" x14ac:dyDescent="0.2">
      <c r="A697" s="29" t="s">
        <v>71</v>
      </c>
      <c r="B697" s="70">
        <f>E690</f>
        <v>115.22494</v>
      </c>
      <c r="C697" s="83">
        <f>F690</f>
        <v>85727.355312061816</v>
      </c>
      <c r="E697" s="435">
        <f t="shared" si="251"/>
        <v>115.22494</v>
      </c>
      <c r="F697" s="436">
        <f t="shared" si="252"/>
        <v>85727.355312061816</v>
      </c>
      <c r="G697" s="437">
        <f t="shared" si="253"/>
        <v>0</v>
      </c>
      <c r="H697" s="438">
        <f t="shared" si="254"/>
        <v>0</v>
      </c>
      <c r="I697" s="439">
        <f t="shared" si="255"/>
        <v>0</v>
      </c>
      <c r="J697" s="440">
        <f t="shared" si="256"/>
        <v>0</v>
      </c>
      <c r="K697" s="441">
        <f t="shared" si="257"/>
        <v>0</v>
      </c>
      <c r="L697" s="442">
        <f t="shared" si="258"/>
        <v>0</v>
      </c>
      <c r="N697" s="418"/>
    </row>
    <row r="698" spans="1:14" ht="11.25" x14ac:dyDescent="0.2">
      <c r="A698" s="29" t="s">
        <v>9</v>
      </c>
      <c r="B698" s="70">
        <f>E677</f>
        <v>115.22494</v>
      </c>
      <c r="C698" s="83">
        <f>F677</f>
        <v>85727.355312061816</v>
      </c>
      <c r="E698" s="435">
        <f t="shared" si="251"/>
        <v>115.22494</v>
      </c>
      <c r="F698" s="436">
        <f t="shared" si="252"/>
        <v>85727.355312061816</v>
      </c>
      <c r="G698" s="437">
        <f t="shared" si="253"/>
        <v>0</v>
      </c>
      <c r="H698" s="438">
        <f t="shared" si="254"/>
        <v>0</v>
      </c>
      <c r="I698" s="439">
        <f t="shared" si="255"/>
        <v>0</v>
      </c>
      <c r="J698" s="440">
        <f t="shared" si="256"/>
        <v>0</v>
      </c>
      <c r="K698" s="441">
        <f t="shared" si="257"/>
        <v>0</v>
      </c>
      <c r="L698" s="442">
        <f t="shared" si="258"/>
        <v>0</v>
      </c>
      <c r="N698" s="418"/>
    </row>
    <row r="699" spans="1:14" ht="11.25" x14ac:dyDescent="0.2">
      <c r="A699" s="29" t="s">
        <v>80</v>
      </c>
      <c r="B699" s="70">
        <v>0</v>
      </c>
      <c r="C699" s="83">
        <v>0</v>
      </c>
      <c r="E699" s="435">
        <f t="shared" si="251"/>
        <v>0</v>
      </c>
      <c r="F699" s="436">
        <f t="shared" si="252"/>
        <v>0</v>
      </c>
      <c r="G699" s="437">
        <f t="shared" si="253"/>
        <v>0</v>
      </c>
      <c r="H699" s="438">
        <f t="shared" si="254"/>
        <v>0</v>
      </c>
      <c r="I699" s="439">
        <f t="shared" si="255"/>
        <v>0</v>
      </c>
      <c r="J699" s="440">
        <f t="shared" si="256"/>
        <v>0</v>
      </c>
      <c r="K699" s="441">
        <f t="shared" si="257"/>
        <v>0</v>
      </c>
      <c r="L699" s="442">
        <f t="shared" si="258"/>
        <v>0</v>
      </c>
      <c r="N699" s="418"/>
    </row>
    <row r="700" spans="1:14" ht="11.25" x14ac:dyDescent="0.2">
      <c r="A700" s="29" t="s">
        <v>77</v>
      </c>
      <c r="B700" s="70">
        <v>0</v>
      </c>
      <c r="C700" s="83">
        <v>0</v>
      </c>
      <c r="E700" s="435">
        <f t="shared" si="251"/>
        <v>0</v>
      </c>
      <c r="F700" s="436">
        <f t="shared" si="252"/>
        <v>0</v>
      </c>
      <c r="G700" s="437">
        <f t="shared" si="253"/>
        <v>0</v>
      </c>
      <c r="H700" s="438">
        <f t="shared" si="254"/>
        <v>0</v>
      </c>
      <c r="I700" s="439">
        <f t="shared" si="255"/>
        <v>0</v>
      </c>
      <c r="J700" s="440">
        <f t="shared" si="256"/>
        <v>0</v>
      </c>
      <c r="K700" s="441">
        <f t="shared" si="257"/>
        <v>0</v>
      </c>
      <c r="L700" s="442">
        <f t="shared" si="258"/>
        <v>0</v>
      </c>
      <c r="N700" s="418"/>
    </row>
    <row r="701" spans="1:14" ht="11.25" x14ac:dyDescent="0.2">
      <c r="A701" s="11" t="s">
        <v>81</v>
      </c>
      <c r="B701" s="12">
        <f>SUM(B694:B697)-SUM(B698:B700)</f>
        <v>0</v>
      </c>
      <c r="C701" s="12">
        <f>SUM(C694:C697)-SUM(C698:C700)</f>
        <v>0</v>
      </c>
      <c r="E701" s="443">
        <f>SUM(E694:E697)-SUM(E698:E700)</f>
        <v>0</v>
      </c>
      <c r="F701" s="444">
        <f>SUM(F694:F697)-SUM(F698:F700)</f>
        <v>0</v>
      </c>
      <c r="G701" s="445">
        <f t="shared" ref="G701:L701" si="259">SUM(G694:G697)-SUM(G698:G700)</f>
        <v>0</v>
      </c>
      <c r="H701" s="446">
        <f t="shared" si="259"/>
        <v>0</v>
      </c>
      <c r="I701" s="447">
        <f t="shared" si="259"/>
        <v>0</v>
      </c>
      <c r="J701" s="448">
        <f t="shared" si="259"/>
        <v>0</v>
      </c>
      <c r="K701" s="449">
        <f t="shared" si="259"/>
        <v>0</v>
      </c>
      <c r="L701" s="450">
        <f t="shared" si="259"/>
        <v>0</v>
      </c>
      <c r="N701" s="418"/>
    </row>
    <row r="702" spans="1:14" ht="11.25" x14ac:dyDescent="0.2">
      <c r="A702" s="11" t="s">
        <v>82</v>
      </c>
      <c r="B702" s="12">
        <f>SUM(B694:B697)-SUM(B698:B701)</f>
        <v>0</v>
      </c>
      <c r="C702" s="12">
        <f>SUM(C694:C697)-SUM(C698:C701)</f>
        <v>0</v>
      </c>
      <c r="E702" s="443">
        <f>SUM(E694:E697)-SUM(E698:E701)</f>
        <v>0</v>
      </c>
      <c r="F702" s="444">
        <f t="shared" ref="F702:L702" si="260">SUM(F694:F697)-SUM(F698:F701)</f>
        <v>0</v>
      </c>
      <c r="G702" s="445">
        <f t="shared" si="260"/>
        <v>0</v>
      </c>
      <c r="H702" s="446">
        <f t="shared" si="260"/>
        <v>0</v>
      </c>
      <c r="I702" s="447">
        <f t="shared" si="260"/>
        <v>0</v>
      </c>
      <c r="J702" s="448">
        <f t="shared" si="260"/>
        <v>0</v>
      </c>
      <c r="K702" s="449">
        <f t="shared" si="260"/>
        <v>0</v>
      </c>
      <c r="L702" s="450">
        <f t="shared" si="260"/>
        <v>0</v>
      </c>
      <c r="N702" s="418"/>
    </row>
    <row r="703" spans="1:14" ht="11.25" x14ac:dyDescent="0.2">
      <c r="N703" s="418"/>
    </row>
    <row r="704" spans="1:14" ht="11.25" x14ac:dyDescent="0.2">
      <c r="E704" s="451">
        <f>(F701*$H$5)+(H701*$J$5)+(J701*$L$5)+(L701*$N$5)</f>
        <v>0</v>
      </c>
      <c r="N704" s="418"/>
    </row>
    <row r="705" spans="1:23" s="418" customFormat="1" ht="11.25" x14ac:dyDescent="0.2"/>
    <row r="706" spans="1:23" ht="11.25" x14ac:dyDescent="0.2">
      <c r="N706" s="418"/>
    </row>
    <row r="707" spans="1:23" ht="11.25" x14ac:dyDescent="0.2">
      <c r="A707" s="548" t="s">
        <v>101</v>
      </c>
      <c r="B707" s="548"/>
      <c r="C707" s="548"/>
      <c r="D707" s="548"/>
      <c r="E707" s="548"/>
      <c r="F707" s="548"/>
      <c r="G707" s="548"/>
      <c r="H707" s="548"/>
      <c r="N707" s="418"/>
    </row>
    <row r="708" spans="1:23" ht="11.25" x14ac:dyDescent="0.2">
      <c r="A708" s="548"/>
      <c r="B708" s="548"/>
      <c r="C708" s="548"/>
      <c r="D708" s="548"/>
      <c r="E708" s="548"/>
      <c r="F708" s="548"/>
      <c r="G708" s="548"/>
      <c r="H708" s="548"/>
      <c r="N708" s="418"/>
    </row>
    <row r="709" spans="1:23" ht="4.5" customHeight="1" x14ac:dyDescent="0.2">
      <c r="N709" s="418"/>
    </row>
    <row r="710" spans="1:23" ht="11.25" x14ac:dyDescent="0.2">
      <c r="A710" s="548" t="s">
        <v>70</v>
      </c>
      <c r="B710" s="548"/>
      <c r="C710" s="548"/>
      <c r="D710" s="548"/>
      <c r="E710" s="548"/>
      <c r="F710" s="548"/>
      <c r="G710" s="548"/>
      <c r="H710" s="548"/>
      <c r="N710" s="418"/>
      <c r="O710" s="418"/>
      <c r="P710" s="418"/>
      <c r="Q710" s="418"/>
      <c r="R710" s="418"/>
      <c r="S710" s="418"/>
      <c r="T710" s="418"/>
      <c r="U710" s="418"/>
      <c r="V710" s="418"/>
      <c r="W710" s="418"/>
    </row>
    <row r="711" spans="1:23" ht="11.25" x14ac:dyDescent="0.2">
      <c r="A711" s="10" t="s">
        <v>252</v>
      </c>
      <c r="B711" s="10" t="s">
        <v>1</v>
      </c>
      <c r="C711" s="10" t="s">
        <v>2</v>
      </c>
      <c r="D711" s="10" t="s">
        <v>3</v>
      </c>
      <c r="E711" s="10" t="s">
        <v>137</v>
      </c>
      <c r="F711" s="10" t="s">
        <v>25</v>
      </c>
      <c r="G711" s="10" t="s">
        <v>253</v>
      </c>
      <c r="H711" s="10" t="s">
        <v>254</v>
      </c>
      <c r="J711" s="10" t="s">
        <v>72</v>
      </c>
      <c r="K711" s="10" t="s">
        <v>73</v>
      </c>
      <c r="L711" s="10" t="s">
        <v>74</v>
      </c>
      <c r="M711" s="10" t="s">
        <v>75</v>
      </c>
      <c r="N711" s="10" t="s">
        <v>425</v>
      </c>
      <c r="O711" s="418"/>
      <c r="P711" s="418"/>
      <c r="Q711" s="418"/>
      <c r="R711" s="418"/>
      <c r="S711" s="418"/>
      <c r="T711" s="418"/>
      <c r="U711" s="418"/>
      <c r="V711" s="418"/>
      <c r="W711" s="418"/>
    </row>
    <row r="712" spans="1:23" ht="11.25" x14ac:dyDescent="0.2">
      <c r="A712" s="167">
        <v>598099</v>
      </c>
      <c r="B712" s="168" t="s">
        <v>278</v>
      </c>
      <c r="C712" s="167" t="s">
        <v>71</v>
      </c>
      <c r="D712" s="169" t="s">
        <v>92</v>
      </c>
      <c r="E712" s="79">
        <f t="shared" ref="E712:E717" si="261">ROUND(F712/$B$33,6)</f>
        <v>0</v>
      </c>
      <c r="F712" s="83">
        <f>VLOOKUP(A712,$A$147:$H$169,6,FALSE)</f>
        <v>0</v>
      </c>
      <c r="G712" s="83">
        <f>VLOOKUP(A712,$A$147:$H$169,7,FALSE)</f>
        <v>0</v>
      </c>
      <c r="H712" s="170">
        <f t="shared" ref="H712:H717" si="262">F712*G712</f>
        <v>0</v>
      </c>
      <c r="J712" s="9" t="str">
        <f>VLOOKUP($A712,[4]cliqccee!$A:$AK,26,FALSE)</f>
        <v>0,000000</v>
      </c>
      <c r="K712" s="9" t="str">
        <f>VLOOKUP($A712,[4]cliqccee!$A:$AK,10,FALSE)</f>
        <v>Validado</v>
      </c>
      <c r="L712" s="9" t="str">
        <f>VLOOKUP($A712,[4]cliqccee!$A:$AK,32,FALSE)</f>
        <v>FLAT</v>
      </c>
      <c r="M712" s="9" t="str">
        <f>VLOOKUP($A712,[4]cliqccee!$A:$AK,33,FALSE)</f>
        <v>Validado</v>
      </c>
      <c r="N712" s="499">
        <f t="shared" ref="N712:N736" si="263">J712-E712</f>
        <v>0</v>
      </c>
      <c r="O712" s="418"/>
      <c r="P712" s="418"/>
      <c r="Q712" s="418"/>
      <c r="R712" s="418"/>
      <c r="S712" s="418"/>
      <c r="T712" s="418"/>
      <c r="U712" s="418"/>
      <c r="V712" s="418"/>
      <c r="W712" s="418"/>
    </row>
    <row r="713" spans="1:23" ht="11.25" x14ac:dyDescent="0.2">
      <c r="A713" s="167">
        <v>569850</v>
      </c>
      <c r="B713" s="168" t="s">
        <v>248</v>
      </c>
      <c r="C713" s="167" t="s">
        <v>71</v>
      </c>
      <c r="D713" s="169" t="s">
        <v>78</v>
      </c>
      <c r="E713" s="79"/>
      <c r="F713" s="83"/>
      <c r="G713" s="83"/>
      <c r="H713" s="170"/>
      <c r="J713" s="9" t="str">
        <f>VLOOKUP($A713,[4]cliqccee!$A:$AK,26,FALSE)</f>
        <v>0,000000</v>
      </c>
      <c r="K713" s="9" t="str">
        <f>VLOOKUP($A713,[4]cliqccee!$A:$AK,10,FALSE)</f>
        <v>Validado</v>
      </c>
      <c r="L713" s="9" t="str">
        <f>VLOOKUP($A713,[4]cliqccee!$A:$AK,32,FALSE)</f>
        <v>FLAT</v>
      </c>
      <c r="M713" s="9" t="str">
        <f>VLOOKUP($A713,[4]cliqccee!$A:$AK,33,FALSE)</f>
        <v>Validado</v>
      </c>
      <c r="N713" s="499">
        <f t="shared" si="263"/>
        <v>0</v>
      </c>
      <c r="O713" s="418"/>
      <c r="P713" s="418"/>
      <c r="Q713" s="418"/>
      <c r="R713" s="418"/>
      <c r="S713" s="418"/>
      <c r="T713" s="418"/>
      <c r="U713" s="418"/>
      <c r="V713" s="418"/>
      <c r="W713" s="418"/>
    </row>
    <row r="714" spans="1:23" ht="11.25" x14ac:dyDescent="0.2">
      <c r="A714" s="167">
        <v>395247</v>
      </c>
      <c r="B714" s="168" t="s">
        <v>313</v>
      </c>
      <c r="C714" s="167" t="s">
        <v>71</v>
      </c>
      <c r="D714" s="169" t="s">
        <v>78</v>
      </c>
      <c r="E714" s="79">
        <f t="shared" si="261"/>
        <v>0</v>
      </c>
      <c r="F714" s="83">
        <f>VLOOKUP(A714,$A$147:$H$169,6,FALSE)</f>
        <v>0</v>
      </c>
      <c r="G714" s="83">
        <f>VLOOKUP(A714,$A$147:$H$169,7,FALSE)</f>
        <v>0</v>
      </c>
      <c r="H714" s="170">
        <f t="shared" si="262"/>
        <v>0</v>
      </c>
      <c r="J714" s="9" t="str">
        <f>VLOOKUP($A714,[4]cliqccee!$A:$AK,26,FALSE)</f>
        <v>0,000000</v>
      </c>
      <c r="K714" s="9" t="str">
        <f>VLOOKUP($A714,[4]cliqccee!$A:$AK,10,FALSE)</f>
        <v>Validado</v>
      </c>
      <c r="L714" s="9" t="str">
        <f>VLOOKUP($A714,[4]cliqccee!$A:$AK,32,FALSE)</f>
        <v>FLAT</v>
      </c>
      <c r="M714" s="9" t="str">
        <f>VLOOKUP($A714,[4]cliqccee!$A:$AK,33,FALSE)</f>
        <v>Validado</v>
      </c>
      <c r="N714" s="499">
        <f t="shared" si="263"/>
        <v>0</v>
      </c>
      <c r="O714" s="418"/>
      <c r="P714" s="418"/>
      <c r="Q714" s="418"/>
      <c r="R714" s="418"/>
      <c r="S714" s="418"/>
      <c r="T714" s="418"/>
      <c r="U714" s="418"/>
      <c r="V714" s="418"/>
      <c r="W714" s="418"/>
    </row>
    <row r="715" spans="1:23" ht="11.25" x14ac:dyDescent="0.2">
      <c r="A715" s="167">
        <v>291617</v>
      </c>
      <c r="B715" s="168" t="s">
        <v>290</v>
      </c>
      <c r="C715" s="167" t="s">
        <v>71</v>
      </c>
      <c r="D715" s="169" t="s">
        <v>78</v>
      </c>
      <c r="E715" s="79">
        <f t="shared" si="261"/>
        <v>0</v>
      </c>
      <c r="F715" s="83">
        <f>VLOOKUP(A715,$A$147:$H$169,6,FALSE)</f>
        <v>0</v>
      </c>
      <c r="G715" s="83">
        <f>VLOOKUP(A715,$A$147:$H$169,7,FALSE)</f>
        <v>0</v>
      </c>
      <c r="H715" s="170">
        <f t="shared" si="262"/>
        <v>0</v>
      </c>
      <c r="J715" s="9" t="str">
        <f>VLOOKUP($A715,[4]cliqccee!$A:$AK,26,FALSE)</f>
        <v>0,000000</v>
      </c>
      <c r="K715" s="9" t="str">
        <f>VLOOKUP($A715,[4]cliqccee!$A:$AK,10,FALSE)</f>
        <v>Validado</v>
      </c>
      <c r="L715" s="9" t="str">
        <f>VLOOKUP($A715,[4]cliqccee!$A:$AK,32,FALSE)</f>
        <v>FLAT</v>
      </c>
      <c r="M715" s="9" t="str">
        <f>VLOOKUP($A715,[4]cliqccee!$A:$AK,33,FALSE)</f>
        <v>Validado</v>
      </c>
      <c r="N715" s="499">
        <f t="shared" si="263"/>
        <v>0</v>
      </c>
      <c r="O715" s="418"/>
      <c r="P715" s="418"/>
      <c r="Q715" s="418"/>
      <c r="R715" s="418"/>
      <c r="S715" s="418"/>
      <c r="T715" s="418"/>
      <c r="U715" s="418"/>
      <c r="V715" s="418"/>
      <c r="W715" s="418"/>
    </row>
    <row r="716" spans="1:23" ht="11.25" x14ac:dyDescent="0.2">
      <c r="A716" s="167">
        <v>241132</v>
      </c>
      <c r="B716" s="168" t="s">
        <v>312</v>
      </c>
      <c r="C716" s="167" t="s">
        <v>71</v>
      </c>
      <c r="D716" s="169" t="s">
        <v>78</v>
      </c>
      <c r="E716" s="79">
        <f t="shared" si="261"/>
        <v>76</v>
      </c>
      <c r="F716" s="83">
        <f>[5]LP_TIMELINE_MWh!$AY$15</f>
        <v>56544</v>
      </c>
      <c r="G716" s="83">
        <f>[5]LONGO_PRAZO!$AQ$15</f>
        <v>224.6</v>
      </c>
      <c r="H716" s="170">
        <f t="shared" si="262"/>
        <v>12699782.4</v>
      </c>
      <c r="J716" s="9" t="str">
        <f>VLOOKUP($A716,[4]cliqccee!$A:$AK,26,FALSE)</f>
        <v>76,000000</v>
      </c>
      <c r="K716" s="9" t="str">
        <f>VLOOKUP($A716,[4]cliqccee!$A:$AK,10,FALSE)</f>
        <v>Validado</v>
      </c>
      <c r="L716" s="9" t="str">
        <f>VLOOKUP($A716,[4]cliqccee!$A:$AK,32,FALSE)</f>
        <v>FLAT</v>
      </c>
      <c r="M716" s="9" t="str">
        <f>VLOOKUP($A716,[4]cliqccee!$A:$AK,33,FALSE)</f>
        <v>Ajustado Validado</v>
      </c>
      <c r="N716" s="499">
        <f t="shared" si="263"/>
        <v>0</v>
      </c>
      <c r="O716" s="418"/>
      <c r="P716" s="418"/>
      <c r="Q716" s="418"/>
      <c r="R716" s="418"/>
      <c r="S716" s="418"/>
      <c r="T716" s="418"/>
      <c r="U716" s="418"/>
      <c r="V716" s="418"/>
      <c r="W716" s="418"/>
    </row>
    <row r="717" spans="1:23" ht="11.25" x14ac:dyDescent="0.2">
      <c r="A717" s="195">
        <v>663805</v>
      </c>
      <c r="B717" s="195" t="s">
        <v>314</v>
      </c>
      <c r="C717" s="195" t="s">
        <v>71</v>
      </c>
      <c r="D717" s="196" t="s">
        <v>78</v>
      </c>
      <c r="E717" s="97">
        <f t="shared" si="261"/>
        <v>120</v>
      </c>
      <c r="F717" s="98">
        <f>[5]LP_TIMELINE_MWh!$AY$12</f>
        <v>89280</v>
      </c>
      <c r="G717" s="98">
        <f>[5]LONGO_PRAZO!$AQ$12</f>
        <v>0</v>
      </c>
      <c r="H717" s="197">
        <f t="shared" si="262"/>
        <v>0</v>
      </c>
      <c r="J717" s="9" t="str">
        <f>VLOOKUP($A717,[4]cliqccee!$A:$AK,26,FALSE)</f>
        <v>120,000000</v>
      </c>
      <c r="K717" s="9" t="str">
        <f>VLOOKUP($A717,[4]cliqccee!$A:$AK,10,FALSE)</f>
        <v>Validado</v>
      </c>
      <c r="L717" s="9" t="str">
        <f>VLOOKUP($A717,[4]cliqccee!$A:$AK,32,FALSE)</f>
        <v>FLAT</v>
      </c>
      <c r="M717" s="9" t="str">
        <f>VLOOKUP($A717,[4]cliqccee!$A:$AK,33,FALSE)</f>
        <v>Ajustado Validado</v>
      </c>
      <c r="N717" s="499">
        <f t="shared" si="263"/>
        <v>0</v>
      </c>
      <c r="O717" s="418"/>
      <c r="P717" s="418"/>
      <c r="Q717" s="418"/>
      <c r="R717" s="418"/>
      <c r="S717" s="418"/>
      <c r="T717" s="418"/>
      <c r="U717" s="418"/>
      <c r="V717" s="418"/>
      <c r="W717" s="418"/>
    </row>
    <row r="718" spans="1:23" ht="11.25" x14ac:dyDescent="0.2">
      <c r="A718" s="167"/>
      <c r="B718" s="406" t="s">
        <v>481</v>
      </c>
      <c r="C718" s="406" t="s">
        <v>71</v>
      </c>
      <c r="D718" s="407" t="s">
        <v>78</v>
      </c>
      <c r="E718" s="501">
        <v>3</v>
      </c>
      <c r="F718" s="526">
        <f t="shared" ref="F718:F732" si="264">E718*$B$33</f>
        <v>2232</v>
      </c>
      <c r="G718" s="525">
        <f>'[6]Contratos_Curto Prazo (Compra)'!L122/0.9075</f>
        <v>202.22620458879641</v>
      </c>
      <c r="H718" s="525">
        <f t="shared" ref="H718:H732" si="265">G718*F718</f>
        <v>451368.88864219357</v>
      </c>
      <c r="J718" s="9" t="e">
        <f>VLOOKUP($A718,[4]cliqccee!$A:$AK,26,FALSE)</f>
        <v>#N/A</v>
      </c>
      <c r="K718" s="9" t="e">
        <f>VLOOKUP($A718,[4]cliqccee!$A:$AK,10,FALSE)</f>
        <v>#N/A</v>
      </c>
      <c r="L718" s="9" t="e">
        <f>VLOOKUP($A718,[4]cliqccee!$A:$AK,32,FALSE)</f>
        <v>#N/A</v>
      </c>
      <c r="M718" s="9" t="e">
        <f>VLOOKUP($A718,[4]cliqccee!$A:$AK,33,FALSE)</f>
        <v>#N/A</v>
      </c>
      <c r="N718" s="499" t="e">
        <f t="shared" si="263"/>
        <v>#N/A</v>
      </c>
      <c r="O718" s="537"/>
      <c r="P718" s="418"/>
      <c r="Q718" s="418"/>
      <c r="R718" s="418"/>
      <c r="S718" s="418"/>
      <c r="T718" s="418"/>
      <c r="U718" s="418"/>
      <c r="V718" s="418"/>
      <c r="W718" s="418"/>
    </row>
    <row r="719" spans="1:23" ht="11.25" x14ac:dyDescent="0.2">
      <c r="A719" s="167"/>
      <c r="B719" s="406" t="s">
        <v>482</v>
      </c>
      <c r="C719" s="406" t="s">
        <v>71</v>
      </c>
      <c r="D719" s="407" t="s">
        <v>78</v>
      </c>
      <c r="E719" s="501">
        <v>5</v>
      </c>
      <c r="F719" s="526">
        <f t="shared" si="264"/>
        <v>3720</v>
      </c>
      <c r="G719" s="525">
        <f>'[6]Contratos_Curto Prazo (Compra)'!L123/0.9075</f>
        <v>151.66965344159732</v>
      </c>
      <c r="H719" s="525">
        <f t="shared" si="265"/>
        <v>564211.11080274207</v>
      </c>
      <c r="J719" s="9" t="e">
        <f>VLOOKUP($A719,[4]cliqccee!$A:$AK,26,FALSE)</f>
        <v>#N/A</v>
      </c>
      <c r="K719" s="9" t="e">
        <f>VLOOKUP($A719,[4]cliqccee!$A:$AK,10,FALSE)</f>
        <v>#N/A</v>
      </c>
      <c r="L719" s="9" t="e">
        <f>VLOOKUP($A719,[4]cliqccee!$A:$AK,32,FALSE)</f>
        <v>#N/A</v>
      </c>
      <c r="M719" s="9" t="e">
        <f>VLOOKUP($A719,[4]cliqccee!$A:$AK,33,FALSE)</f>
        <v>#N/A</v>
      </c>
      <c r="N719" s="499" t="e">
        <f t="shared" si="263"/>
        <v>#N/A</v>
      </c>
      <c r="O719" s="537"/>
      <c r="P719" s="418"/>
      <c r="Q719" s="418"/>
      <c r="R719" s="418"/>
      <c r="S719" s="418"/>
      <c r="T719" s="418"/>
      <c r="U719" s="418"/>
      <c r="V719" s="418"/>
      <c r="W719" s="418"/>
    </row>
    <row r="720" spans="1:23" ht="11.25" x14ac:dyDescent="0.2">
      <c r="A720" s="167"/>
      <c r="B720" s="406" t="s">
        <v>483</v>
      </c>
      <c r="C720" s="406" t="s">
        <v>71</v>
      </c>
      <c r="D720" s="407" t="s">
        <v>78</v>
      </c>
      <c r="E720" s="501">
        <v>10</v>
      </c>
      <c r="F720" s="526">
        <f t="shared" si="264"/>
        <v>7440</v>
      </c>
      <c r="G720" s="525">
        <f>'[6]Contratos_Curto Prazo (Compra)'!L124/0.9075</f>
        <v>226.49334913945199</v>
      </c>
      <c r="H720" s="525">
        <f t="shared" si="265"/>
        <v>1685110.5175975228</v>
      </c>
      <c r="J720" s="9" t="e">
        <f>VLOOKUP($A720,[4]cliqccee!$A:$AK,26,FALSE)</f>
        <v>#N/A</v>
      </c>
      <c r="K720" s="9" t="e">
        <f>VLOOKUP($A720,[4]cliqccee!$A:$AK,10,FALSE)</f>
        <v>#N/A</v>
      </c>
      <c r="L720" s="9" t="e">
        <f>VLOOKUP($A720,[4]cliqccee!$A:$AK,32,FALSE)</f>
        <v>#N/A</v>
      </c>
      <c r="M720" s="9" t="e">
        <f>VLOOKUP($A720,[4]cliqccee!$A:$AK,33,FALSE)</f>
        <v>#N/A</v>
      </c>
      <c r="N720" s="499" t="e">
        <f t="shared" si="263"/>
        <v>#N/A</v>
      </c>
      <c r="O720" s="418"/>
      <c r="P720" s="418"/>
      <c r="Q720" s="418"/>
      <c r="R720" s="418"/>
      <c r="S720" s="418"/>
      <c r="T720" s="418"/>
      <c r="U720" s="418"/>
      <c r="V720" s="418"/>
      <c r="W720" s="418"/>
    </row>
    <row r="721" spans="1:23" ht="11.25" x14ac:dyDescent="0.2">
      <c r="A721" s="167"/>
      <c r="B721" s="406" t="s">
        <v>484</v>
      </c>
      <c r="C721" s="406" t="s">
        <v>71</v>
      </c>
      <c r="D721" s="407" t="s">
        <v>78</v>
      </c>
      <c r="E721" s="501">
        <v>2</v>
      </c>
      <c r="F721" s="526">
        <f t="shared" si="264"/>
        <v>1488</v>
      </c>
      <c r="G721" s="525">
        <f>'[6]Contratos_Curto Prazo (Compra)'!L125/0.9075</f>
        <v>210</v>
      </c>
      <c r="H721" s="525">
        <f t="shared" si="265"/>
        <v>312480</v>
      </c>
      <c r="J721" s="9" t="e">
        <f>VLOOKUP($A721,[4]cliqccee!$A:$AK,26,FALSE)</f>
        <v>#N/A</v>
      </c>
      <c r="K721" s="9" t="e">
        <f>VLOOKUP($A721,[4]cliqccee!$A:$AK,10,FALSE)</f>
        <v>#N/A</v>
      </c>
      <c r="L721" s="9" t="e">
        <f>VLOOKUP($A721,[4]cliqccee!$A:$AK,32,FALSE)</f>
        <v>#N/A</v>
      </c>
      <c r="M721" s="9" t="e">
        <f>VLOOKUP($A721,[4]cliqccee!$A:$AK,33,FALSE)</f>
        <v>#N/A</v>
      </c>
      <c r="N721" s="499" t="e">
        <f t="shared" si="263"/>
        <v>#N/A</v>
      </c>
      <c r="O721" s="418"/>
      <c r="P721" s="418"/>
      <c r="Q721" s="418"/>
      <c r="R721" s="418"/>
      <c r="S721" s="418"/>
      <c r="T721" s="418"/>
      <c r="U721" s="418"/>
      <c r="V721" s="418"/>
      <c r="W721" s="418"/>
    </row>
    <row r="722" spans="1:23" s="540" customFormat="1" ht="11.25" x14ac:dyDescent="0.2">
      <c r="A722" s="167"/>
      <c r="B722" s="406" t="s">
        <v>485</v>
      </c>
      <c r="C722" s="406" t="s">
        <v>71</v>
      </c>
      <c r="D722" s="407" t="s">
        <v>78</v>
      </c>
      <c r="E722" s="501">
        <v>5</v>
      </c>
      <c r="F722" s="526">
        <f t="shared" si="264"/>
        <v>3720</v>
      </c>
      <c r="G722" s="525">
        <f>'[6]Contratos_Curto Prazo (Compra)'!L126/0.9075</f>
        <v>200</v>
      </c>
      <c r="H722" s="525">
        <f t="shared" si="265"/>
        <v>744000</v>
      </c>
      <c r="J722" s="9"/>
      <c r="K722" s="9"/>
      <c r="L722" s="9"/>
      <c r="M722" s="9"/>
      <c r="N722" s="499"/>
      <c r="O722" s="418"/>
      <c r="P722" s="418"/>
      <c r="Q722" s="418"/>
      <c r="R722" s="418"/>
      <c r="S722" s="418"/>
      <c r="T722" s="418"/>
      <c r="U722" s="418"/>
      <c r="V722" s="418"/>
      <c r="W722" s="418"/>
    </row>
    <row r="723" spans="1:23" s="540" customFormat="1" ht="11.25" x14ac:dyDescent="0.2">
      <c r="A723" s="167"/>
      <c r="B723" s="406" t="s">
        <v>486</v>
      </c>
      <c r="C723" s="406" t="s">
        <v>71</v>
      </c>
      <c r="D723" s="407" t="s">
        <v>78</v>
      </c>
      <c r="E723" s="501">
        <v>7.5</v>
      </c>
      <c r="F723" s="526">
        <f t="shared" si="264"/>
        <v>5580</v>
      </c>
      <c r="G723" s="525">
        <f>'[6]Contratos_Curto Prazo (Compra)'!L127/0.9075</f>
        <v>190</v>
      </c>
      <c r="H723" s="525">
        <f t="shared" si="265"/>
        <v>1060200</v>
      </c>
      <c r="J723" s="9"/>
      <c r="K723" s="9"/>
      <c r="L723" s="9"/>
      <c r="M723" s="9"/>
      <c r="N723" s="499"/>
      <c r="O723" s="418"/>
      <c r="P723" s="418"/>
      <c r="Q723" s="418"/>
      <c r="R723" s="418"/>
      <c r="S723" s="418"/>
      <c r="T723" s="418"/>
      <c r="U723" s="418"/>
      <c r="V723" s="418"/>
      <c r="W723" s="418"/>
    </row>
    <row r="724" spans="1:23" s="540" customFormat="1" ht="11.25" x14ac:dyDescent="0.2">
      <c r="A724" s="167"/>
      <c r="B724" s="406" t="s">
        <v>487</v>
      </c>
      <c r="C724" s="406" t="s">
        <v>71</v>
      </c>
      <c r="D724" s="407" t="s">
        <v>78</v>
      </c>
      <c r="E724" s="501">
        <v>3</v>
      </c>
      <c r="F724" s="526">
        <f t="shared" si="264"/>
        <v>2232</v>
      </c>
      <c r="G724" s="525">
        <f>'[6]Contratos_Curto Prazo (Compra)'!L128/0.9075</f>
        <v>190</v>
      </c>
      <c r="H724" s="525">
        <f t="shared" si="265"/>
        <v>424080</v>
      </c>
      <c r="J724" s="9"/>
      <c r="K724" s="9"/>
      <c r="L724" s="9"/>
      <c r="M724" s="9"/>
      <c r="N724" s="499"/>
      <c r="O724" s="418"/>
      <c r="P724" s="418"/>
      <c r="Q724" s="418"/>
      <c r="R724" s="418"/>
      <c r="S724" s="418"/>
      <c r="T724" s="418"/>
      <c r="U724" s="418"/>
      <c r="V724" s="418"/>
      <c r="W724" s="418"/>
    </row>
    <row r="725" spans="1:23" s="540" customFormat="1" ht="11.25" x14ac:dyDescent="0.2">
      <c r="A725" s="167"/>
      <c r="B725" s="406" t="s">
        <v>488</v>
      </c>
      <c r="C725" s="406" t="s">
        <v>71</v>
      </c>
      <c r="D725" s="407" t="s">
        <v>78</v>
      </c>
      <c r="E725" s="501">
        <v>5</v>
      </c>
      <c r="F725" s="526">
        <f t="shared" si="264"/>
        <v>3720</v>
      </c>
      <c r="G725" s="525">
        <f>'[6]Contratos_Curto Prazo (Compra)'!L129/0.9075</f>
        <v>190</v>
      </c>
      <c r="H725" s="525">
        <f t="shared" si="265"/>
        <v>706800</v>
      </c>
      <c r="J725" s="9"/>
      <c r="K725" s="9"/>
      <c r="L725" s="9"/>
      <c r="M725" s="9"/>
      <c r="N725" s="499"/>
      <c r="O725" s="418"/>
      <c r="P725" s="418"/>
      <c r="Q725" s="418"/>
      <c r="R725" s="418"/>
      <c r="S725" s="418"/>
      <c r="T725" s="418"/>
      <c r="U725" s="418"/>
      <c r="V725" s="418"/>
      <c r="W725" s="418"/>
    </row>
    <row r="726" spans="1:23" s="540" customFormat="1" ht="11.25" x14ac:dyDescent="0.2">
      <c r="A726" s="167"/>
      <c r="B726" s="406" t="s">
        <v>489</v>
      </c>
      <c r="C726" s="406" t="s">
        <v>71</v>
      </c>
      <c r="D726" s="407" t="s">
        <v>232</v>
      </c>
      <c r="E726" s="501">
        <v>7</v>
      </c>
      <c r="F726" s="526">
        <f t="shared" si="264"/>
        <v>5208</v>
      </c>
      <c r="G726" s="525">
        <f>'[6]Contratos_Curto Prazo (Compra)'!L130/0.9075</f>
        <v>190</v>
      </c>
      <c r="H726" s="525">
        <f t="shared" si="265"/>
        <v>989520</v>
      </c>
      <c r="J726" s="9"/>
      <c r="K726" s="9"/>
      <c r="L726" s="9"/>
      <c r="M726" s="9"/>
      <c r="N726" s="499"/>
      <c r="O726" s="418"/>
      <c r="P726" s="418"/>
      <c r="Q726" s="418"/>
      <c r="R726" s="418"/>
      <c r="S726" s="418"/>
      <c r="T726" s="418"/>
      <c r="U726" s="418"/>
      <c r="V726" s="418"/>
      <c r="W726" s="418"/>
    </row>
    <row r="727" spans="1:23" s="540" customFormat="1" ht="11.25" x14ac:dyDescent="0.2">
      <c r="A727" s="167"/>
      <c r="B727" s="406" t="s">
        <v>490</v>
      </c>
      <c r="C727" s="406" t="s">
        <v>71</v>
      </c>
      <c r="D727" s="407" t="s">
        <v>232</v>
      </c>
      <c r="E727" s="501">
        <v>10</v>
      </c>
      <c r="F727" s="526">
        <f t="shared" si="264"/>
        <v>7440</v>
      </c>
      <c r="G727" s="525">
        <f>'[6]Contratos_Curto Prazo (Compra)'!L131/0.9075</f>
        <v>190</v>
      </c>
      <c r="H727" s="525">
        <f t="shared" si="265"/>
        <v>1413600</v>
      </c>
      <c r="J727" s="9"/>
      <c r="K727" s="9"/>
      <c r="L727" s="9"/>
      <c r="M727" s="9"/>
      <c r="N727" s="499"/>
      <c r="O727" s="418"/>
      <c r="P727" s="418"/>
      <c r="Q727" s="418"/>
      <c r="R727" s="418"/>
      <c r="S727" s="418"/>
      <c r="T727" s="418"/>
      <c r="U727" s="418"/>
      <c r="V727" s="418"/>
      <c r="W727" s="418"/>
    </row>
    <row r="728" spans="1:23" s="540" customFormat="1" ht="11.25" x14ac:dyDescent="0.2">
      <c r="A728" s="167"/>
      <c r="B728" s="406" t="s">
        <v>491</v>
      </c>
      <c r="C728" s="406" t="s">
        <v>71</v>
      </c>
      <c r="D728" s="407" t="s">
        <v>232</v>
      </c>
      <c r="E728" s="501">
        <v>20</v>
      </c>
      <c r="F728" s="526">
        <f t="shared" si="264"/>
        <v>14880</v>
      </c>
      <c r="G728" s="525">
        <f>'[6]Contratos_Curto Prazo (Compra)'!L132/0.9075</f>
        <v>180</v>
      </c>
      <c r="H728" s="525">
        <f t="shared" si="265"/>
        <v>2678400</v>
      </c>
      <c r="J728" s="9"/>
      <c r="K728" s="9"/>
      <c r="L728" s="9"/>
      <c r="M728" s="9"/>
      <c r="N728" s="499"/>
      <c r="O728" s="418"/>
      <c r="P728" s="418"/>
      <c r="Q728" s="418"/>
      <c r="R728" s="418"/>
      <c r="S728" s="418"/>
      <c r="T728" s="418"/>
      <c r="U728" s="418"/>
      <c r="V728" s="418"/>
      <c r="W728" s="418"/>
    </row>
    <row r="729" spans="1:23" s="540" customFormat="1" ht="11.25" x14ac:dyDescent="0.2">
      <c r="A729" s="167"/>
      <c r="B729" s="406" t="s">
        <v>492</v>
      </c>
      <c r="C729" s="406" t="s">
        <v>71</v>
      </c>
      <c r="D729" s="407" t="s">
        <v>232</v>
      </c>
      <c r="E729" s="501">
        <v>5</v>
      </c>
      <c r="F729" s="526">
        <f t="shared" si="264"/>
        <v>3720</v>
      </c>
      <c r="G729" s="525">
        <f>'[6]Contratos_Curto Prazo (Compra)'!L133/0.9075</f>
        <v>180</v>
      </c>
      <c r="H729" s="525">
        <f t="shared" si="265"/>
        <v>669600</v>
      </c>
      <c r="J729" s="9"/>
      <c r="K729" s="9"/>
      <c r="L729" s="9"/>
      <c r="M729" s="9"/>
      <c r="N729" s="499"/>
      <c r="O729" s="418"/>
      <c r="P729" s="418"/>
      <c r="Q729" s="418"/>
      <c r="R729" s="418"/>
      <c r="S729" s="418"/>
      <c r="T729" s="418"/>
      <c r="U729" s="418"/>
      <c r="V729" s="418"/>
      <c r="W729" s="418"/>
    </row>
    <row r="730" spans="1:23" s="540" customFormat="1" ht="11.25" x14ac:dyDescent="0.2">
      <c r="A730" s="167"/>
      <c r="B730" s="406" t="s">
        <v>486</v>
      </c>
      <c r="C730" s="406" t="s">
        <v>71</v>
      </c>
      <c r="D730" s="407" t="s">
        <v>232</v>
      </c>
      <c r="E730" s="501">
        <v>7.5</v>
      </c>
      <c r="F730" s="526">
        <f t="shared" si="264"/>
        <v>5580</v>
      </c>
      <c r="G730" s="525">
        <f>'[6]Contratos_Curto Prazo (Compra)'!L134/0.9075</f>
        <v>190</v>
      </c>
      <c r="H730" s="525">
        <f t="shared" si="265"/>
        <v>1060200</v>
      </c>
      <c r="J730" s="9"/>
      <c r="K730" s="9"/>
      <c r="L730" s="9"/>
      <c r="M730" s="9"/>
      <c r="N730" s="499"/>
      <c r="O730" s="418"/>
      <c r="P730" s="418"/>
      <c r="Q730" s="418"/>
      <c r="R730" s="418"/>
      <c r="S730" s="418"/>
      <c r="T730" s="418"/>
      <c r="U730" s="418"/>
      <c r="V730" s="418"/>
      <c r="W730" s="418"/>
    </row>
    <row r="731" spans="1:23" s="540" customFormat="1" ht="11.25" x14ac:dyDescent="0.2">
      <c r="A731" s="167"/>
      <c r="B731" s="406" t="s">
        <v>493</v>
      </c>
      <c r="C731" s="406" t="s">
        <v>71</v>
      </c>
      <c r="D731" s="407" t="s">
        <v>78</v>
      </c>
      <c r="E731" s="501">
        <v>3</v>
      </c>
      <c r="F731" s="526">
        <f t="shared" si="264"/>
        <v>2232</v>
      </c>
      <c r="G731" s="525">
        <f>'[6]Contratos_Curto Prazo (Compra)'!L135/0.9075</f>
        <v>165</v>
      </c>
      <c r="H731" s="525">
        <f t="shared" si="265"/>
        <v>368280</v>
      </c>
      <c r="J731" s="9"/>
      <c r="K731" s="9"/>
      <c r="L731" s="9"/>
      <c r="M731" s="9"/>
      <c r="N731" s="499"/>
      <c r="O731" s="418"/>
      <c r="P731" s="418"/>
      <c r="Q731" s="418"/>
      <c r="R731" s="418"/>
      <c r="S731" s="418"/>
      <c r="T731" s="418"/>
      <c r="U731" s="418"/>
      <c r="V731" s="418"/>
      <c r="W731" s="418"/>
    </row>
    <row r="732" spans="1:23" s="540" customFormat="1" ht="11.25" x14ac:dyDescent="0.2">
      <c r="A732" s="167"/>
      <c r="B732" s="406" t="s">
        <v>494</v>
      </c>
      <c r="C732" s="406" t="s">
        <v>71</v>
      </c>
      <c r="D732" s="407" t="s">
        <v>232</v>
      </c>
      <c r="E732" s="501">
        <v>7</v>
      </c>
      <c r="F732" s="526">
        <f t="shared" si="264"/>
        <v>5208</v>
      </c>
      <c r="G732" s="525">
        <f>'[6]Contratos_Curto Prazo (Compra)'!L136/0.9075</f>
        <v>162</v>
      </c>
      <c r="H732" s="525">
        <f t="shared" si="265"/>
        <v>843696</v>
      </c>
      <c r="J732" s="9"/>
      <c r="K732" s="9"/>
      <c r="L732" s="9"/>
      <c r="M732" s="9"/>
      <c r="N732" s="499"/>
      <c r="O732" s="418"/>
      <c r="P732" s="418"/>
      <c r="Q732" s="418"/>
      <c r="R732" s="418"/>
      <c r="S732" s="418"/>
      <c r="T732" s="418"/>
      <c r="U732" s="418"/>
      <c r="V732" s="418"/>
      <c r="W732" s="418"/>
    </row>
    <row r="733" spans="1:23" ht="11.25" x14ac:dyDescent="0.2">
      <c r="A733" s="167"/>
      <c r="B733" s="406"/>
      <c r="C733" s="167"/>
      <c r="D733" s="192"/>
      <c r="E733" s="79"/>
      <c r="F733" s="382"/>
      <c r="G733" s="193"/>
      <c r="H733" s="193">
        <f t="shared" ref="H733:H734" si="266">G733*F733</f>
        <v>0</v>
      </c>
      <c r="J733" s="9" t="e">
        <f>VLOOKUP($A733,[4]cliqccee!$A:$AK,26,FALSE)</f>
        <v>#N/A</v>
      </c>
      <c r="K733" s="9" t="e">
        <f>VLOOKUP($A733,[4]cliqccee!$A:$AK,10,FALSE)</f>
        <v>#N/A</v>
      </c>
      <c r="L733" s="9" t="e">
        <f>VLOOKUP($A733,[4]cliqccee!$A:$AK,32,FALSE)</f>
        <v>#N/A</v>
      </c>
      <c r="M733" s="9" t="e">
        <f>VLOOKUP($A733,[4]cliqccee!$A:$AK,33,FALSE)</f>
        <v>#N/A</v>
      </c>
      <c r="N733" s="499" t="e">
        <f t="shared" si="263"/>
        <v>#N/A</v>
      </c>
      <c r="O733" s="418"/>
      <c r="P733" s="418"/>
      <c r="Q733" s="418"/>
      <c r="R733" s="418"/>
      <c r="S733" s="418"/>
      <c r="T733" s="418"/>
      <c r="U733" s="418"/>
      <c r="V733" s="418"/>
      <c r="W733" s="418"/>
    </row>
    <row r="734" spans="1:23" ht="11.25" x14ac:dyDescent="0.2">
      <c r="A734" s="167"/>
      <c r="B734" s="406"/>
      <c r="C734" s="167"/>
      <c r="D734" s="192"/>
      <c r="E734" s="79"/>
      <c r="F734" s="382"/>
      <c r="G734" s="193"/>
      <c r="H734" s="193">
        <f t="shared" si="266"/>
        <v>0</v>
      </c>
      <c r="J734" s="9" t="e">
        <f>VLOOKUP($A734,[4]cliqccee!$A:$AK,26,FALSE)</f>
        <v>#N/A</v>
      </c>
      <c r="K734" s="9" t="e">
        <f>VLOOKUP($A734,[4]cliqccee!$A:$AK,10,FALSE)</f>
        <v>#N/A</v>
      </c>
      <c r="L734" s="9" t="e">
        <f>VLOOKUP($A734,[4]cliqccee!$A:$AK,32,FALSE)</f>
        <v>#N/A</v>
      </c>
      <c r="M734" s="9" t="e">
        <f>VLOOKUP($A734,[4]cliqccee!$A:$AK,33,FALSE)</f>
        <v>#N/A</v>
      </c>
      <c r="N734" s="499" t="e">
        <f t="shared" si="263"/>
        <v>#N/A</v>
      </c>
      <c r="O734" s="418"/>
      <c r="P734" s="418"/>
      <c r="Q734" s="418"/>
      <c r="R734" s="418"/>
      <c r="S734" s="418"/>
      <c r="T734" s="418"/>
      <c r="U734" s="418"/>
      <c r="V734" s="418"/>
      <c r="W734" s="418"/>
    </row>
    <row r="735" spans="1:23" ht="11.25" x14ac:dyDescent="0.2">
      <c r="A735" s="167"/>
      <c r="B735" s="406"/>
      <c r="C735" s="167"/>
      <c r="D735" s="192"/>
      <c r="E735" s="79"/>
      <c r="F735" s="382"/>
      <c r="G735" s="193"/>
      <c r="H735" s="193">
        <f t="shared" ref="H735:H736" si="267">G735*F735</f>
        <v>0</v>
      </c>
      <c r="J735" s="9" t="e">
        <f>VLOOKUP($A735,[4]cliqccee!$A:$AK,26,FALSE)</f>
        <v>#N/A</v>
      </c>
      <c r="K735" s="9" t="e">
        <f>VLOOKUP($A735,[4]cliqccee!$A:$AK,10,FALSE)</f>
        <v>#N/A</v>
      </c>
      <c r="L735" s="9" t="e">
        <f>VLOOKUP($A735,[4]cliqccee!$A:$AK,32,FALSE)</f>
        <v>#N/A</v>
      </c>
      <c r="M735" s="9" t="e">
        <f>VLOOKUP($A735,[4]cliqccee!$A:$AK,33,FALSE)</f>
        <v>#N/A</v>
      </c>
      <c r="N735" s="499" t="e">
        <f t="shared" si="263"/>
        <v>#N/A</v>
      </c>
      <c r="O735" s="418"/>
      <c r="P735" s="418"/>
      <c r="Q735" s="418"/>
      <c r="R735" s="418"/>
      <c r="S735" s="418"/>
      <c r="T735" s="418"/>
      <c r="U735" s="418"/>
      <c r="V735" s="418"/>
      <c r="W735" s="418"/>
    </row>
    <row r="736" spans="1:23" ht="11.25" x14ac:dyDescent="0.2">
      <c r="A736" s="167"/>
      <c r="B736" s="406"/>
      <c r="C736" s="167"/>
      <c r="D736" s="192"/>
      <c r="E736" s="79"/>
      <c r="F736" s="382"/>
      <c r="G736" s="193"/>
      <c r="H736" s="193">
        <f t="shared" si="267"/>
        <v>0</v>
      </c>
      <c r="J736" s="9" t="e">
        <f>VLOOKUP($A736,[4]cliqccee!$A:$AK,26,FALSE)</f>
        <v>#N/A</v>
      </c>
      <c r="K736" s="9" t="e">
        <f>VLOOKUP($A736,[4]cliqccee!$A:$AK,10,FALSE)</f>
        <v>#N/A</v>
      </c>
      <c r="L736" s="9" t="e">
        <f>VLOOKUP($A736,[4]cliqccee!$A:$AK,32,FALSE)</f>
        <v>#N/A</v>
      </c>
      <c r="M736" s="9" t="e">
        <f>VLOOKUP($A736,[4]cliqccee!$A:$AK,33,FALSE)</f>
        <v>#N/A</v>
      </c>
      <c r="N736" s="499" t="e">
        <f t="shared" si="263"/>
        <v>#N/A</v>
      </c>
      <c r="O736" s="418"/>
      <c r="P736" s="418"/>
      <c r="Q736" s="418"/>
      <c r="R736" s="418"/>
      <c r="S736" s="418"/>
      <c r="T736" s="418"/>
      <c r="U736" s="418"/>
      <c r="V736" s="418"/>
      <c r="W736" s="418"/>
    </row>
    <row r="737" spans="1:25" ht="11.25" x14ac:dyDescent="0.2">
      <c r="A737" s="253"/>
      <c r="B737" s="253"/>
      <c r="C737" s="253"/>
      <c r="D737" s="253"/>
      <c r="E737" s="203"/>
      <c r="F737" s="204"/>
      <c r="G737" s="205"/>
      <c r="H737" s="206"/>
      <c r="J737" s="393"/>
      <c r="K737" s="393"/>
      <c r="L737" s="393"/>
      <c r="M737" s="393"/>
      <c r="N737" s="418"/>
      <c r="O737" s="418"/>
      <c r="P737" s="418"/>
      <c r="Q737" s="418"/>
      <c r="R737" s="418"/>
      <c r="S737" s="418"/>
      <c r="T737" s="418"/>
      <c r="U737" s="418"/>
      <c r="V737" s="418"/>
      <c r="W737" s="418"/>
    </row>
    <row r="738" spans="1:25" ht="11.25" x14ac:dyDescent="0.2">
      <c r="A738" s="80" t="s">
        <v>32</v>
      </c>
      <c r="B738" s="421"/>
      <c r="C738" s="421"/>
      <c r="D738" s="422"/>
      <c r="E738" s="81">
        <f>SUM(E712:E737)</f>
        <v>296</v>
      </c>
      <c r="F738" s="84">
        <f>SUM(F712:F737)</f>
        <v>220224</v>
      </c>
      <c r="G738" s="82">
        <f>IFERROR(H738/F738,0)</f>
        <v>121.11000125800302</v>
      </c>
      <c r="H738" s="82">
        <f>SUM(H712:H737)</f>
        <v>26671328.917042457</v>
      </c>
      <c r="I738" s="228"/>
      <c r="N738" s="418"/>
      <c r="O738" s="472"/>
      <c r="P738" s="472"/>
      <c r="Q738" s="472"/>
      <c r="R738" s="472"/>
      <c r="S738" s="472"/>
      <c r="T738" s="473"/>
      <c r="U738" s="473"/>
      <c r="V738" s="472"/>
      <c r="W738" s="472"/>
    </row>
    <row r="739" spans="1:25" ht="11.25" x14ac:dyDescent="0.2">
      <c r="N739" s="418"/>
    </row>
    <row r="740" spans="1:25" ht="11.25" x14ac:dyDescent="0.2">
      <c r="A740" s="548" t="s">
        <v>76</v>
      </c>
      <c r="B740" s="548"/>
      <c r="C740" s="548"/>
      <c r="D740" s="548"/>
      <c r="E740" s="548"/>
      <c r="F740" s="548"/>
      <c r="G740" s="548"/>
      <c r="H740" s="548"/>
      <c r="I740" s="418"/>
      <c r="N740" s="418"/>
    </row>
    <row r="741" spans="1:25" ht="11.25" x14ac:dyDescent="0.2">
      <c r="A741" s="10" t="s">
        <v>252</v>
      </c>
      <c r="B741" s="10" t="s">
        <v>1</v>
      </c>
      <c r="C741" s="10" t="s">
        <v>2</v>
      </c>
      <c r="D741" s="10" t="s">
        <v>3</v>
      </c>
      <c r="E741" s="10" t="s">
        <v>137</v>
      </c>
      <c r="F741" s="10" t="s">
        <v>25</v>
      </c>
      <c r="G741" s="10" t="s">
        <v>253</v>
      </c>
      <c r="H741" s="10" t="s">
        <v>254</v>
      </c>
      <c r="I741" s="418"/>
      <c r="J741" s="10" t="s">
        <v>72</v>
      </c>
      <c r="K741" s="10" t="s">
        <v>73</v>
      </c>
      <c r="L741" s="10" t="s">
        <v>74</v>
      </c>
      <c r="M741" s="10" t="s">
        <v>75</v>
      </c>
      <c r="N741" s="10" t="s">
        <v>425</v>
      </c>
      <c r="O741" s="550" t="s">
        <v>384</v>
      </c>
      <c r="P741" s="551"/>
      <c r="Q741" s="551"/>
      <c r="R741" s="551"/>
      <c r="S741" s="551"/>
      <c r="T741" s="551"/>
      <c r="U741" s="551"/>
      <c r="V741" s="551"/>
      <c r="W741" s="552"/>
    </row>
    <row r="742" spans="1:25" ht="11.25" x14ac:dyDescent="0.2">
      <c r="A742" s="167">
        <v>947191</v>
      </c>
      <c r="B742" s="168" t="s">
        <v>238</v>
      </c>
      <c r="C742" s="167" t="s">
        <v>77</v>
      </c>
      <c r="D742" s="169" t="s">
        <v>232</v>
      </c>
      <c r="E742" s="79">
        <f t="shared" ref="E742:E760" si="268">ROUND(F742/$B$33,6)</f>
        <v>0</v>
      </c>
      <c r="F742" s="83"/>
      <c r="G742" s="170"/>
      <c r="H742" s="170">
        <f t="shared" ref="H742:H756" si="269">G742*F742</f>
        <v>0</v>
      </c>
      <c r="I742" s="418"/>
      <c r="J742" s="9" t="e">
        <f>VLOOKUP($A742,[4]cliqccee!$A:$AK,26,FALSE)</f>
        <v>#N/A</v>
      </c>
      <c r="K742" s="9" t="e">
        <f>VLOOKUP($A742,[4]cliqccee!$A:$AK,10,FALSE)</f>
        <v>#N/A</v>
      </c>
      <c r="L742" s="9" t="e">
        <f>VLOOKUP($A742,[4]cliqccee!$A:$AK,32,FALSE)</f>
        <v>#N/A</v>
      </c>
      <c r="M742" s="9" t="e">
        <f>VLOOKUP($A742,[4]cliqccee!$A:$AK,33,FALSE)</f>
        <v>#N/A</v>
      </c>
      <c r="N742" s="499" t="e">
        <f t="shared" ref="N742:N771" si="270">J742-E742</f>
        <v>#N/A</v>
      </c>
      <c r="O742" s="318" t="s">
        <v>3</v>
      </c>
      <c r="P742" s="319" t="s">
        <v>121</v>
      </c>
      <c r="Q742" s="319" t="s">
        <v>122</v>
      </c>
      <c r="R742" s="319" t="s">
        <v>130</v>
      </c>
      <c r="S742" s="319" t="s">
        <v>131</v>
      </c>
      <c r="T742" s="319" t="s">
        <v>25</v>
      </c>
      <c r="U742" s="319" t="s">
        <v>137</v>
      </c>
      <c r="V742" s="319" t="s">
        <v>124</v>
      </c>
      <c r="W742" s="320" t="s">
        <v>125</v>
      </c>
    </row>
    <row r="743" spans="1:25" ht="11.25" x14ac:dyDescent="0.2">
      <c r="A743" s="167">
        <v>839296</v>
      </c>
      <c r="B743" s="168" t="s">
        <v>300</v>
      </c>
      <c r="C743" s="167" t="s">
        <v>77</v>
      </c>
      <c r="D743" s="169" t="s">
        <v>232</v>
      </c>
      <c r="E743" s="79">
        <f t="shared" si="268"/>
        <v>0</v>
      </c>
      <c r="F743" s="83"/>
      <c r="G743" s="170"/>
      <c r="H743" s="170">
        <f t="shared" si="269"/>
        <v>0</v>
      </c>
      <c r="I743" s="418"/>
      <c r="J743" s="9" t="str">
        <f>VLOOKUP($A743,[4]cliqccee!$A:$AK,26,FALSE)</f>
        <v>0,000000</v>
      </c>
      <c r="K743" s="9" t="str">
        <f>VLOOKUP($A743,[4]cliqccee!$A:$AK,10,FALSE)</f>
        <v>Validado</v>
      </c>
      <c r="L743" s="9" t="str">
        <f>VLOOKUP($A743,[4]cliqccee!$A:$AK,32,FALSE)</f>
        <v>FLAT</v>
      </c>
      <c r="M743" s="9" t="str">
        <f>VLOOKUP($A743,[4]cliqccee!$A:$AK,33,FALSE)</f>
        <v>Validado</v>
      </c>
      <c r="N743" s="499">
        <f t="shared" si="270"/>
        <v>0</v>
      </c>
      <c r="O743" s="474" t="s">
        <v>20</v>
      </c>
      <c r="P743" s="474" t="s">
        <v>89</v>
      </c>
      <c r="Q743" s="474" t="str">
        <f t="shared" ref="Q743:Q752" si="271">P743</f>
        <v>SE</v>
      </c>
      <c r="R743" s="475" t="s">
        <v>415</v>
      </c>
      <c r="S743" s="474" t="s">
        <v>49</v>
      </c>
      <c r="T743" s="476">
        <f>F762</f>
        <v>13392</v>
      </c>
      <c r="U743" s="477">
        <f>T743/$B$33</f>
        <v>18</v>
      </c>
      <c r="V743" s="478">
        <f>G987</f>
        <v>197.96457790981177</v>
      </c>
      <c r="W743" s="479">
        <f t="shared" ref="W743:W756" si="272">V743*T743</f>
        <v>2651141.6273681992</v>
      </c>
      <c r="Y743" s="177"/>
    </row>
    <row r="744" spans="1:25" ht="11.25" x14ac:dyDescent="0.2">
      <c r="A744" s="167">
        <v>76527</v>
      </c>
      <c r="B744" s="168" t="s">
        <v>273</v>
      </c>
      <c r="C744" s="167" t="s">
        <v>77</v>
      </c>
      <c r="D744" s="169" t="s">
        <v>92</v>
      </c>
      <c r="E744" s="79">
        <f t="shared" si="268"/>
        <v>0</v>
      </c>
      <c r="F744" s="83"/>
      <c r="G744" s="170"/>
      <c r="H744" s="170">
        <f t="shared" si="269"/>
        <v>0</v>
      </c>
      <c r="I744" s="418"/>
      <c r="J744" s="9" t="str">
        <f>VLOOKUP($A744,[4]cliqccee!$A:$AK,26,FALSE)</f>
        <v>0,000000</v>
      </c>
      <c r="K744" s="9" t="str">
        <f>VLOOKUP($A744,[4]cliqccee!$A:$AK,10,FALSE)</f>
        <v>Validado</v>
      </c>
      <c r="L744" s="9" t="str">
        <f>VLOOKUP($A744,[4]cliqccee!$A:$AK,32,FALSE)</f>
        <v>FLAT</v>
      </c>
      <c r="M744" s="9" t="str">
        <f>VLOOKUP($A744,[4]cliqccee!$A:$AK,33,FALSE)</f>
        <v>Validado</v>
      </c>
      <c r="N744" s="499">
        <f t="shared" si="270"/>
        <v>0</v>
      </c>
      <c r="O744" s="474" t="s">
        <v>21</v>
      </c>
      <c r="P744" s="474" t="s">
        <v>128</v>
      </c>
      <c r="Q744" s="474" t="str">
        <f t="shared" si="271"/>
        <v>MG</v>
      </c>
      <c r="R744" s="475" t="str">
        <f>A968</f>
        <v>Fertilizantes - Araxá (CMA)</v>
      </c>
      <c r="S744" s="474" t="s">
        <v>49</v>
      </c>
      <c r="T744" s="476">
        <f>(F968-G968)/(SUM(F968:F973)-SUM(G968:G973))* F986</f>
        <v>9395.4803718805488</v>
      </c>
      <c r="U744" s="477">
        <f t="shared" ref="U744:U756" si="273">T744/$B$33</f>
        <v>12.62833383317278</v>
      </c>
      <c r="V744" s="478">
        <f>G986</f>
        <v>177.61002848961675</v>
      </c>
      <c r="W744" s="479">
        <f t="shared" si="272"/>
        <v>1668731.5365233393</v>
      </c>
      <c r="Y744" s="480"/>
    </row>
    <row r="745" spans="1:25" ht="11.25" x14ac:dyDescent="0.2">
      <c r="A745" s="167">
        <v>566787</v>
      </c>
      <c r="B745" s="168" t="s">
        <v>278</v>
      </c>
      <c r="C745" s="167" t="s">
        <v>77</v>
      </c>
      <c r="D745" s="169" t="s">
        <v>92</v>
      </c>
      <c r="E745" s="79">
        <f t="shared" si="268"/>
        <v>0</v>
      </c>
      <c r="F745" s="83"/>
      <c r="G745" s="170"/>
      <c r="H745" s="170">
        <f t="shared" si="269"/>
        <v>0</v>
      </c>
      <c r="I745" s="418"/>
      <c r="J745" s="9" t="str">
        <f>VLOOKUP($A745,[4]cliqccee!$A:$AK,26,FALSE)</f>
        <v>0,000000</v>
      </c>
      <c r="K745" s="9" t="str">
        <f>VLOOKUP($A745,[4]cliqccee!$A:$AK,10,FALSE)</f>
        <v>Validado</v>
      </c>
      <c r="L745" s="9" t="str">
        <f>VLOOKUP($A745,[4]cliqccee!$A:$AK,32,FALSE)</f>
        <v>FLAT</v>
      </c>
      <c r="M745" s="9" t="str">
        <f>VLOOKUP($A745,[4]cliqccee!$A:$AK,33,FALSE)</f>
        <v>Validado</v>
      </c>
      <c r="N745" s="499">
        <f t="shared" si="270"/>
        <v>0</v>
      </c>
      <c r="O745" s="474" t="s">
        <v>21</v>
      </c>
      <c r="P745" s="474" t="s">
        <v>382</v>
      </c>
      <c r="Q745" s="474" t="str">
        <f t="shared" si="271"/>
        <v>SP</v>
      </c>
      <c r="R745" s="475" t="str">
        <f t="shared" ref="R745:R748" si="274">A969</f>
        <v>Fertilizantes - Cajati (CAJ)</v>
      </c>
      <c r="S745" s="474" t="s">
        <v>49</v>
      </c>
      <c r="T745" s="476">
        <f>(F969-G969)/(SUM(F968:F973)-SUM(G968:G973))* F986</f>
        <v>8308.0406822253808</v>
      </c>
      <c r="U745" s="477">
        <f t="shared" si="273"/>
        <v>11.166721347077125</v>
      </c>
      <c r="V745" s="478">
        <v>0</v>
      </c>
      <c r="W745" s="479">
        <f t="shared" si="272"/>
        <v>0</v>
      </c>
      <c r="Y745" s="480"/>
    </row>
    <row r="746" spans="1:25" ht="11.25" x14ac:dyDescent="0.2">
      <c r="A746" s="167">
        <v>796225</v>
      </c>
      <c r="B746" s="168" t="s">
        <v>308</v>
      </c>
      <c r="C746" s="167" t="s">
        <v>77</v>
      </c>
      <c r="D746" s="169" t="s">
        <v>92</v>
      </c>
      <c r="E746" s="79">
        <f t="shared" si="268"/>
        <v>0</v>
      </c>
      <c r="F746" s="83"/>
      <c r="G746" s="170"/>
      <c r="H746" s="170">
        <f t="shared" si="269"/>
        <v>0</v>
      </c>
      <c r="I746" s="418"/>
      <c r="J746" s="9" t="str">
        <f>VLOOKUP($A746,[4]cliqccee!$A:$AK,26,FALSE)</f>
        <v>0,000000</v>
      </c>
      <c r="K746" s="9" t="str">
        <f>VLOOKUP($A746,[4]cliqccee!$A:$AK,10,FALSE)</f>
        <v>Validado</v>
      </c>
      <c r="L746" s="9" t="str">
        <f>VLOOKUP($A746,[4]cliqccee!$A:$AK,32,FALSE)</f>
        <v>FLAT</v>
      </c>
      <c r="M746" s="9" t="str">
        <f>VLOOKUP($A746,[4]cliqccee!$A:$AK,33,FALSE)</f>
        <v>Validado</v>
      </c>
      <c r="N746" s="499">
        <f t="shared" si="270"/>
        <v>0</v>
      </c>
      <c r="O746" s="474" t="s">
        <v>21</v>
      </c>
      <c r="P746" s="474" t="s">
        <v>416</v>
      </c>
      <c r="Q746" s="474" t="str">
        <f t="shared" si="271"/>
        <v>GO</v>
      </c>
      <c r="R746" s="475" t="str">
        <f t="shared" si="274"/>
        <v>Fertilizantes - Catalão (CMC)</v>
      </c>
      <c r="S746" s="474" t="s">
        <v>49</v>
      </c>
      <c r="T746" s="476">
        <f>(F970-G970)/(SUM(F968:F973)-SUM(G968:G973))* F986</f>
        <v>10263.389092854601</v>
      </c>
      <c r="U746" s="477">
        <f t="shared" si="273"/>
        <v>13.794877812976614</v>
      </c>
      <c r="V746" s="478">
        <f>G986</f>
        <v>177.61002848961675</v>
      </c>
      <c r="W746" s="479">
        <f t="shared" si="272"/>
        <v>1822880.8291819275</v>
      </c>
      <c r="Y746" s="480"/>
    </row>
    <row r="747" spans="1:25" ht="11.25" x14ac:dyDescent="0.2">
      <c r="A747" s="167">
        <v>566831</v>
      </c>
      <c r="B747" s="168" t="s">
        <v>248</v>
      </c>
      <c r="C747" s="167" t="s">
        <v>77</v>
      </c>
      <c r="D747" s="169" t="s">
        <v>78</v>
      </c>
      <c r="E747" s="79">
        <f t="shared" si="268"/>
        <v>0</v>
      </c>
      <c r="F747" s="83"/>
      <c r="G747" s="170"/>
      <c r="H747" s="170">
        <f t="shared" si="269"/>
        <v>0</v>
      </c>
      <c r="I747" s="418"/>
      <c r="J747" s="9" t="str">
        <f>VLOOKUP($A747,[4]cliqccee!$A:$AK,26,FALSE)</f>
        <v>0,000000</v>
      </c>
      <c r="K747" s="9" t="str">
        <f>VLOOKUP($A747,[4]cliqccee!$A:$AK,10,FALSE)</f>
        <v>Validado</v>
      </c>
      <c r="L747" s="9" t="str">
        <f>VLOOKUP($A747,[4]cliqccee!$A:$AK,32,FALSE)</f>
        <v>FLAT</v>
      </c>
      <c r="M747" s="9" t="str">
        <f>VLOOKUP($A747,[4]cliqccee!$A:$AK,33,FALSE)</f>
        <v>Validado</v>
      </c>
      <c r="N747" s="499">
        <f t="shared" si="270"/>
        <v>0</v>
      </c>
      <c r="O747" s="474" t="s">
        <v>21</v>
      </c>
      <c r="P747" s="474" t="s">
        <v>128</v>
      </c>
      <c r="Q747" s="474" t="str">
        <f t="shared" si="271"/>
        <v>MG</v>
      </c>
      <c r="R747" s="475" t="str">
        <f t="shared" si="274"/>
        <v>Fertilizantes - Tapira (CMT)</v>
      </c>
      <c r="S747" s="474" t="s">
        <v>49</v>
      </c>
      <c r="T747" s="476">
        <f>(F971-G971)/(SUM(F968:F973)-SUM(G968:G973))* F986</f>
        <v>24025.196162815508</v>
      </c>
      <c r="U747" s="477">
        <f t="shared" si="273"/>
        <v>32.291930326364927</v>
      </c>
      <c r="V747" s="478">
        <f>G986</f>
        <v>177.61002848961675</v>
      </c>
      <c r="W747" s="479">
        <f t="shared" si="272"/>
        <v>4267115.7749462938</v>
      </c>
      <c r="Y747" s="480"/>
    </row>
    <row r="748" spans="1:25" ht="11.25" x14ac:dyDescent="0.2">
      <c r="A748" s="167">
        <v>886329</v>
      </c>
      <c r="B748" s="168" t="s">
        <v>316</v>
      </c>
      <c r="C748" s="167" t="s">
        <v>77</v>
      </c>
      <c r="D748" s="169" t="s">
        <v>78</v>
      </c>
      <c r="E748" s="79">
        <f t="shared" si="268"/>
        <v>0</v>
      </c>
      <c r="F748" s="83"/>
      <c r="G748" s="170"/>
      <c r="H748" s="170">
        <f t="shared" si="269"/>
        <v>0</v>
      </c>
      <c r="I748" s="418"/>
      <c r="J748" s="9" t="e">
        <f>VLOOKUP($A748,[4]cliqccee!$A:$AK,26,FALSE)</f>
        <v>#N/A</v>
      </c>
      <c r="K748" s="9" t="e">
        <f>VLOOKUP($A748,[4]cliqccee!$A:$AK,10,FALSE)</f>
        <v>#N/A</v>
      </c>
      <c r="L748" s="9" t="e">
        <f>VLOOKUP($A748,[4]cliqccee!$A:$AK,32,FALSE)</f>
        <v>#N/A</v>
      </c>
      <c r="M748" s="9" t="e">
        <f>VLOOKUP($A748,[4]cliqccee!$A:$AK,33,FALSE)</f>
        <v>#N/A</v>
      </c>
      <c r="N748" s="499" t="e">
        <f t="shared" si="270"/>
        <v>#N/A</v>
      </c>
      <c r="O748" s="474" t="s">
        <v>21</v>
      </c>
      <c r="P748" s="474" t="s">
        <v>128</v>
      </c>
      <c r="Q748" s="474" t="str">
        <f t="shared" si="271"/>
        <v>MG</v>
      </c>
      <c r="R748" s="475" t="str">
        <f t="shared" si="274"/>
        <v>Fertilizantes - Uberaba (CIU)</v>
      </c>
      <c r="S748" s="474" t="s">
        <v>49</v>
      </c>
      <c r="T748" s="476">
        <f>(F972-G972)/(SUM(F968:F973)-SUM(G968:G973))* F986</f>
        <v>14434.493567010313</v>
      </c>
      <c r="U748" s="477">
        <f t="shared" si="273"/>
        <v>19.40120103092784</v>
      </c>
      <c r="V748" s="478">
        <f>G986</f>
        <v>177.61002848961675</v>
      </c>
      <c r="W748" s="479">
        <f t="shared" si="272"/>
        <v>2563710.8136698916</v>
      </c>
      <c r="Y748" s="480"/>
    </row>
    <row r="749" spans="1:25" ht="11.25" x14ac:dyDescent="0.2">
      <c r="A749" s="167">
        <v>566830</v>
      </c>
      <c r="B749" s="168" t="s">
        <v>259</v>
      </c>
      <c r="C749" s="167" t="s">
        <v>77</v>
      </c>
      <c r="D749" s="169" t="s">
        <v>78</v>
      </c>
      <c r="E749" s="79">
        <f t="shared" si="268"/>
        <v>0</v>
      </c>
      <c r="F749" s="394"/>
      <c r="G749" s="520"/>
      <c r="H749" s="170">
        <f t="shared" si="269"/>
        <v>0</v>
      </c>
      <c r="I749" s="418"/>
      <c r="J749" s="9" t="str">
        <f>VLOOKUP($A749,[4]cliqccee!$A:$AK,26,FALSE)</f>
        <v>0,000000</v>
      </c>
      <c r="K749" s="9" t="str">
        <f>VLOOKUP($A749,[4]cliqccee!$A:$AK,10,FALSE)</f>
        <v>Validado</v>
      </c>
      <c r="L749" s="9" t="str">
        <f>VLOOKUP($A749,[4]cliqccee!$A:$AK,32,FALSE)</f>
        <v>FLAT</v>
      </c>
      <c r="M749" s="9" t="str">
        <f>VLOOKUP($A749,[4]cliqccee!$A:$AK,33,FALSE)</f>
        <v>Validado</v>
      </c>
      <c r="N749" s="499">
        <f t="shared" si="270"/>
        <v>0</v>
      </c>
      <c r="O749" s="474" t="s">
        <v>21</v>
      </c>
      <c r="P749" s="474" t="s">
        <v>382</v>
      </c>
      <c r="Q749" s="474" t="str">
        <f t="shared" si="271"/>
        <v>SP</v>
      </c>
      <c r="R749" s="475" t="str">
        <f>A896</f>
        <v>Fertilizantes - Cubatão (CUB1)</v>
      </c>
      <c r="S749" s="474" t="s">
        <v>49</v>
      </c>
      <c r="T749" s="476">
        <f xml:space="preserve"> ( (F896-G896) / (SUM(F896:F898)-SUM(G896:G898)) ) * F906</f>
        <v>5278.884804123717</v>
      </c>
      <c r="U749" s="477">
        <f t="shared" si="273"/>
        <v>7.0952752743598344</v>
      </c>
      <c r="V749" s="478">
        <f>G906</f>
        <v>174.27200874507366</v>
      </c>
      <c r="W749" s="479">
        <f t="shared" si="272"/>
        <v>919961.85874848487</v>
      </c>
      <c r="Y749" s="480"/>
    </row>
    <row r="750" spans="1:25" ht="11.25" x14ac:dyDescent="0.2">
      <c r="A750" s="167">
        <v>558730</v>
      </c>
      <c r="B750" s="168" t="s">
        <v>279</v>
      </c>
      <c r="C750" s="167" t="s">
        <v>77</v>
      </c>
      <c r="D750" s="169" t="s">
        <v>78</v>
      </c>
      <c r="E750" s="79">
        <f t="shared" si="268"/>
        <v>0</v>
      </c>
      <c r="F750" s="394"/>
      <c r="G750" s="520"/>
      <c r="H750" s="170">
        <f t="shared" si="269"/>
        <v>0</v>
      </c>
      <c r="I750" s="418"/>
      <c r="J750" s="9" t="str">
        <f>VLOOKUP($A750,[4]cliqccee!$A:$AK,26,FALSE)</f>
        <v>17,971679</v>
      </c>
      <c r="K750" s="9" t="str">
        <f>VLOOKUP($A750,[4]cliqccee!$A:$AK,10,FALSE)</f>
        <v>Validado</v>
      </c>
      <c r="L750" s="9" t="str">
        <f>VLOOKUP($A750,[4]cliqccee!$A:$AK,32,FALSE)</f>
        <v>FLAT</v>
      </c>
      <c r="M750" s="9" t="str">
        <f>VLOOKUP($A750,[4]cliqccee!$A:$AK,33,FALSE)</f>
        <v>Ajustado Validado</v>
      </c>
      <c r="N750" s="499">
        <f t="shared" si="270"/>
        <v>17.971679000000002</v>
      </c>
      <c r="O750" s="474" t="s">
        <v>21</v>
      </c>
      <c r="P750" s="474" t="s">
        <v>382</v>
      </c>
      <c r="Q750" s="474" t="str">
        <f t="shared" si="271"/>
        <v>SP</v>
      </c>
      <c r="R750" s="475" t="str">
        <f>A897</f>
        <v>Fertilizantes - Piaçaguera (CUB2)</v>
      </c>
      <c r="S750" s="474" t="s">
        <v>49</v>
      </c>
      <c r="T750" s="476">
        <f xml:space="preserve"> ( (F897-G897) / (SUM(F896:F898)-SUM(G896:G898)) ) * F906</f>
        <v>15490.477261030916</v>
      </c>
      <c r="U750" s="477">
        <f t="shared" si="273"/>
        <v>20.820533952998542</v>
      </c>
      <c r="V750" s="478">
        <f>G906</f>
        <v>174.27200874507366</v>
      </c>
      <c r="W750" s="479">
        <f t="shared" si="272"/>
        <v>2699556.5886997445</v>
      </c>
      <c r="Y750" s="480"/>
    </row>
    <row r="751" spans="1:25" ht="11.25" x14ac:dyDescent="0.2">
      <c r="A751" s="167">
        <v>843741</v>
      </c>
      <c r="B751" s="167" t="s">
        <v>361</v>
      </c>
      <c r="C751" s="167" t="s">
        <v>77</v>
      </c>
      <c r="D751" s="192" t="s">
        <v>78</v>
      </c>
      <c r="E751" s="79">
        <f t="shared" si="268"/>
        <v>0</v>
      </c>
      <c r="F751" s="83"/>
      <c r="G751" s="193"/>
      <c r="H751" s="193">
        <f t="shared" si="269"/>
        <v>0</v>
      </c>
      <c r="I751" s="418"/>
      <c r="J751" s="9" t="str">
        <f>VLOOKUP($A751,[4]cliqccee!$A:$AK,26,FALSE)</f>
        <v>0,000000</v>
      </c>
      <c r="K751" s="9" t="str">
        <f>VLOOKUP($A751,[4]cliqccee!$A:$AK,10,FALSE)</f>
        <v>Validado</v>
      </c>
      <c r="L751" s="9" t="str">
        <f>VLOOKUP($A751,[4]cliqccee!$A:$AK,32,FALSE)</f>
        <v>FLAT</v>
      </c>
      <c r="M751" s="9" t="str">
        <f>VLOOKUP($A751,[4]cliqccee!$A:$AK,33,FALSE)</f>
        <v>Validado</v>
      </c>
      <c r="N751" s="499">
        <f t="shared" si="270"/>
        <v>0</v>
      </c>
      <c r="O751" s="474" t="s">
        <v>21</v>
      </c>
      <c r="P751" s="474" t="s">
        <v>382</v>
      </c>
      <c r="Q751" s="474" t="str">
        <f t="shared" si="271"/>
        <v>SP</v>
      </c>
      <c r="R751" s="475" t="str">
        <f>A898</f>
        <v>Fertilizantes - Cubatão (CUB3)</v>
      </c>
      <c r="S751" s="474" t="s">
        <v>49</v>
      </c>
      <c r="T751" s="476">
        <f xml:space="preserve"> ( (F898-G898) / (SUM(F896:F898)-SUM(G896:G898)) ) * F906</f>
        <v>3421.1910366157131</v>
      </c>
      <c r="U751" s="477">
        <f t="shared" si="273"/>
        <v>4.5983750492146678</v>
      </c>
      <c r="V751" s="478">
        <f>G906</f>
        <v>174.27200874507366</v>
      </c>
      <c r="W751" s="479">
        <f t="shared" si="272"/>
        <v>596217.8342516612</v>
      </c>
      <c r="Y751" s="177"/>
    </row>
    <row r="752" spans="1:25" ht="11.25" x14ac:dyDescent="0.2">
      <c r="A752" s="167">
        <v>566824</v>
      </c>
      <c r="B752" s="168" t="s">
        <v>268</v>
      </c>
      <c r="C752" s="167" t="s">
        <v>77</v>
      </c>
      <c r="D752" s="169" t="s">
        <v>78</v>
      </c>
      <c r="E752" s="79">
        <f t="shared" si="268"/>
        <v>0</v>
      </c>
      <c r="F752" s="394"/>
      <c r="G752" s="520"/>
      <c r="H752" s="170">
        <f t="shared" si="269"/>
        <v>0</v>
      </c>
      <c r="I752" s="418"/>
      <c r="J752" s="9" t="str">
        <f>VLOOKUP($A752,[4]cliqccee!$A:$AK,26,FALSE)</f>
        <v>0,000000</v>
      </c>
      <c r="K752" s="9" t="str">
        <f>VLOOKUP($A752,[4]cliqccee!$A:$AK,10,FALSE)</f>
        <v>Validado</v>
      </c>
      <c r="L752" s="9" t="str">
        <f>VLOOKUP($A752,[4]cliqccee!$A:$AK,32,FALSE)</f>
        <v>FLAT</v>
      </c>
      <c r="M752" s="9" t="str">
        <f>VLOOKUP($A752,[4]cliqccee!$A:$AK,33,FALSE)</f>
        <v>Validado</v>
      </c>
      <c r="N752" s="499">
        <f t="shared" si="270"/>
        <v>0</v>
      </c>
      <c r="O752" s="474" t="s">
        <v>21</v>
      </c>
      <c r="P752" s="474" t="s">
        <v>508</v>
      </c>
      <c r="Q752" s="474" t="str">
        <f t="shared" si="271"/>
        <v>PR</v>
      </c>
      <c r="R752" s="475" t="s">
        <v>509</v>
      </c>
      <c r="S752" s="474" t="s">
        <v>49</v>
      </c>
      <c r="T752" s="476">
        <f>(F973-G973)/(SUM(F968:F973)-SUM(G968:G973))* F986</f>
        <v>2453.3594329896919</v>
      </c>
      <c r="U752" s="477">
        <f t="shared" si="273"/>
        <v>3.2975261196098007</v>
      </c>
      <c r="V752" s="478">
        <f>G986</f>
        <v>177.61002848961675</v>
      </c>
      <c r="W752" s="479">
        <f t="shared" si="272"/>
        <v>435741.23878856917</v>
      </c>
      <c r="Y752" s="177"/>
    </row>
    <row r="753" spans="1:25" ht="11.25" x14ac:dyDescent="0.2">
      <c r="A753" s="167">
        <v>558737</v>
      </c>
      <c r="B753" s="168" t="s">
        <v>278</v>
      </c>
      <c r="C753" s="167" t="s">
        <v>77</v>
      </c>
      <c r="D753" s="169" t="s">
        <v>78</v>
      </c>
      <c r="E753" s="79">
        <f t="shared" si="268"/>
        <v>0</v>
      </c>
      <c r="F753" s="394"/>
      <c r="G753" s="520"/>
      <c r="H753" s="170">
        <f t="shared" si="269"/>
        <v>0</v>
      </c>
      <c r="I753" s="418"/>
      <c r="J753" s="9" t="str">
        <f>VLOOKUP($A753,[4]cliqccee!$A:$AK,26,FALSE)</f>
        <v>0,000000</v>
      </c>
      <c r="K753" s="9" t="str">
        <f>VLOOKUP($A753,[4]cliqccee!$A:$AK,10,FALSE)</f>
        <v>Validado</v>
      </c>
      <c r="L753" s="9" t="str">
        <f>VLOOKUP($A753,[4]cliqccee!$A:$AK,32,FALSE)</f>
        <v>FLAT</v>
      </c>
      <c r="M753" s="9" t="str">
        <f>VLOOKUP($A753,[4]cliqccee!$A:$AK,33,FALSE)</f>
        <v>Validado</v>
      </c>
      <c r="N753" s="499">
        <f t="shared" si="270"/>
        <v>0</v>
      </c>
      <c r="O753" s="474" t="s">
        <v>21</v>
      </c>
      <c r="P753" s="474"/>
      <c r="Q753" s="474"/>
      <c r="R753" s="475"/>
      <c r="S753" s="474" t="s">
        <v>49</v>
      </c>
      <c r="T753" s="476"/>
      <c r="U753" s="477">
        <f t="shared" si="273"/>
        <v>0</v>
      </c>
      <c r="V753" s="478"/>
      <c r="W753" s="479">
        <f t="shared" si="272"/>
        <v>0</v>
      </c>
      <c r="Y753" s="177"/>
    </row>
    <row r="754" spans="1:25" ht="11.25" x14ac:dyDescent="0.2">
      <c r="A754" s="167">
        <v>835503</v>
      </c>
      <c r="B754" s="168" t="s">
        <v>362</v>
      </c>
      <c r="C754" s="167" t="s">
        <v>77</v>
      </c>
      <c r="D754" s="169" t="s">
        <v>78</v>
      </c>
      <c r="E754" s="79">
        <f t="shared" si="268"/>
        <v>0</v>
      </c>
      <c r="F754" s="83"/>
      <c r="G754" s="170"/>
      <c r="H754" s="170">
        <f t="shared" si="269"/>
        <v>0</v>
      </c>
      <c r="I754" s="418"/>
      <c r="J754" s="9" t="str">
        <f>VLOOKUP($A754,[4]cliqccee!$A:$AK,26,FALSE)</f>
        <v>0,000000</v>
      </c>
      <c r="K754" s="9" t="str">
        <f>VLOOKUP($A754,[4]cliqccee!$A:$AK,10,FALSE)</f>
        <v>Validado</v>
      </c>
      <c r="L754" s="9" t="str">
        <f>VLOOKUP($A754,[4]cliqccee!$A:$AK,32,FALSE)</f>
        <v>FLAT</v>
      </c>
      <c r="M754" s="9" t="str">
        <f>VLOOKUP($A754,[4]cliqccee!$A:$AK,33,FALSE)</f>
        <v>Validado</v>
      </c>
      <c r="N754" s="499">
        <f t="shared" si="270"/>
        <v>0</v>
      </c>
      <c r="O754" s="474" t="s">
        <v>21</v>
      </c>
      <c r="P754" s="474"/>
      <c r="Q754" s="474"/>
      <c r="R754" s="475"/>
      <c r="S754" s="474" t="s">
        <v>49</v>
      </c>
      <c r="T754" s="476"/>
      <c r="U754" s="477">
        <f t="shared" si="273"/>
        <v>0</v>
      </c>
      <c r="V754" s="478"/>
      <c r="W754" s="479">
        <f t="shared" si="272"/>
        <v>0</v>
      </c>
    </row>
    <row r="755" spans="1:25" ht="11.25" x14ac:dyDescent="0.2">
      <c r="A755" s="167">
        <v>557818</v>
      </c>
      <c r="B755" s="168" t="s">
        <v>315</v>
      </c>
      <c r="C755" s="167" t="s">
        <v>77</v>
      </c>
      <c r="D755" s="169" t="s">
        <v>78</v>
      </c>
      <c r="E755" s="79">
        <f t="shared" si="268"/>
        <v>0</v>
      </c>
      <c r="F755" s="83"/>
      <c r="G755" s="170"/>
      <c r="H755" s="170">
        <f t="shared" si="269"/>
        <v>0</v>
      </c>
      <c r="I755" s="418"/>
      <c r="J755" s="9" t="str">
        <f>VLOOKUP($A755,[4]cliqccee!$A:$AK,26,FALSE)</f>
        <v>0,000000</v>
      </c>
      <c r="K755" s="9" t="str">
        <f>VLOOKUP($A755,[4]cliqccee!$A:$AK,10,FALSE)</f>
        <v>Validado</v>
      </c>
      <c r="L755" s="9" t="str">
        <f>VLOOKUP($A755,[4]cliqccee!$A:$AK,32,FALSE)</f>
        <v>FLAT</v>
      </c>
      <c r="M755" s="9" t="str">
        <f>VLOOKUP($A755,[4]cliqccee!$A:$AK,33,FALSE)</f>
        <v>Validado</v>
      </c>
      <c r="N755" s="499">
        <f t="shared" si="270"/>
        <v>0</v>
      </c>
      <c r="O755" s="474" t="s">
        <v>21</v>
      </c>
      <c r="P755" s="474"/>
      <c r="Q755" s="474"/>
      <c r="R755" s="475"/>
      <c r="S755" s="474" t="s">
        <v>49</v>
      </c>
      <c r="T755" s="476"/>
      <c r="U755" s="477">
        <f t="shared" si="273"/>
        <v>0</v>
      </c>
      <c r="V755" s="478"/>
      <c r="W755" s="479">
        <f t="shared" si="272"/>
        <v>0</v>
      </c>
    </row>
    <row r="756" spans="1:25" ht="11.25" x14ac:dyDescent="0.2">
      <c r="A756" s="167">
        <v>876844</v>
      </c>
      <c r="B756" s="167" t="s">
        <v>310</v>
      </c>
      <c r="C756" s="167" t="s">
        <v>77</v>
      </c>
      <c r="D756" s="192" t="s">
        <v>78</v>
      </c>
      <c r="E756" s="79">
        <f t="shared" si="268"/>
        <v>0</v>
      </c>
      <c r="F756" s="83"/>
      <c r="G756" s="193"/>
      <c r="H756" s="193">
        <f t="shared" si="269"/>
        <v>0</v>
      </c>
      <c r="I756" s="418"/>
      <c r="J756" s="9" t="str">
        <f>VLOOKUP($A756,[4]cliqccee!$A:$AK,26,FALSE)</f>
        <v>0,000000</v>
      </c>
      <c r="K756" s="9" t="str">
        <f>VLOOKUP($A756,[4]cliqccee!$A:$AK,10,FALSE)</f>
        <v>Validado</v>
      </c>
      <c r="L756" s="9" t="str">
        <f>VLOOKUP($A756,[4]cliqccee!$A:$AK,32,FALSE)</f>
        <v>FLAT</v>
      </c>
      <c r="M756" s="9" t="str">
        <f>VLOOKUP($A756,[4]cliqccee!$A:$AK,33,FALSE)</f>
        <v>Validado</v>
      </c>
      <c r="N756" s="499">
        <f t="shared" si="270"/>
        <v>0</v>
      </c>
      <c r="O756" s="474" t="s">
        <v>21</v>
      </c>
      <c r="P756" s="474"/>
      <c r="Q756" s="474"/>
      <c r="R756" s="475"/>
      <c r="S756" s="474" t="s">
        <v>49</v>
      </c>
      <c r="T756" s="476"/>
      <c r="U756" s="477">
        <f t="shared" si="273"/>
        <v>0</v>
      </c>
      <c r="V756" s="478"/>
      <c r="W756" s="479">
        <f t="shared" si="272"/>
        <v>0</v>
      </c>
    </row>
    <row r="757" spans="1:25" ht="11.25" x14ac:dyDescent="0.2">
      <c r="A757" s="248">
        <v>1097627</v>
      </c>
      <c r="B757" s="248" t="s">
        <v>403</v>
      </c>
      <c r="C757" s="248" t="s">
        <v>77</v>
      </c>
      <c r="D757" s="249" t="s">
        <v>92</v>
      </c>
      <c r="E757" s="250">
        <f t="shared" si="268"/>
        <v>10.7</v>
      </c>
      <c r="F757" s="521">
        <f>[5]LP_TIMELINE_MWh!$AY$68</f>
        <v>7960.7999999999993</v>
      </c>
      <c r="G757" s="252">
        <v>229.17</v>
      </c>
      <c r="H757" s="252">
        <f t="shared" ref="H757:H760" si="275">G757*F757</f>
        <v>1824376.5359999998</v>
      </c>
      <c r="I757" s="418"/>
      <c r="J757" s="9" t="str">
        <f>VLOOKUP($A757,[4]cliqccee!$A:$AK,26,FALSE)</f>
        <v>10,700000</v>
      </c>
      <c r="K757" s="9" t="str">
        <f>VLOOKUP($A757,[4]cliqccee!$A:$AK,10,FALSE)</f>
        <v>Validado</v>
      </c>
      <c r="L757" s="9" t="str">
        <f>VLOOKUP($A757,[4]cliqccee!$A:$AK,32,FALSE)</f>
        <v>FLAT</v>
      </c>
      <c r="M757" s="9" t="str">
        <f>VLOOKUP($A757,[4]cliqccee!$A:$AK,33,FALSE)</f>
        <v>Validado</v>
      </c>
      <c r="N757" s="499">
        <f t="shared" si="270"/>
        <v>0</v>
      </c>
      <c r="O757" s="418"/>
      <c r="P757" s="418"/>
      <c r="Q757" s="418"/>
      <c r="R757" s="418"/>
      <c r="S757" s="418"/>
      <c r="T757" s="418"/>
      <c r="U757" s="418"/>
      <c r="V757" s="418"/>
      <c r="W757" s="418"/>
    </row>
    <row r="758" spans="1:25" ht="11.25" x14ac:dyDescent="0.2">
      <c r="A758" s="167">
        <v>924757</v>
      </c>
      <c r="B758" s="167" t="s">
        <v>338</v>
      </c>
      <c r="C758" s="167" t="s">
        <v>77</v>
      </c>
      <c r="D758" s="192" t="s">
        <v>78</v>
      </c>
      <c r="E758" s="79">
        <f t="shared" si="268"/>
        <v>20</v>
      </c>
      <c r="F758" s="382">
        <f>[5]LP_TIMELINE_MWh!$AY$60</f>
        <v>14880</v>
      </c>
      <c r="G758" s="193">
        <f>[5]LONGO_PRAZO!$AQ$60</f>
        <v>166.01893451852104</v>
      </c>
      <c r="H758" s="193">
        <f t="shared" si="275"/>
        <v>2470361.7456355928</v>
      </c>
      <c r="I758" s="502">
        <f>IF((F95+SUM(F99:F108)-F170) &gt;= 0, 0,
IF(-(F95+SUM(F99:F108)-F170) &lt;= [5]LP_TIMELINE_MWh!$AM$67, -(F95+SUM(F99:F108)-F170),
[5]LP_TIMELINE_MWh!$AM$67))</f>
        <v>0</v>
      </c>
      <c r="J758" s="9" t="str">
        <f>VLOOKUP($A758,[4]cliqccee!$A:$AK,26,FALSE)</f>
        <v>20,000000</v>
      </c>
      <c r="K758" s="9" t="str">
        <f>VLOOKUP($A758,[4]cliqccee!$A:$AK,10,FALSE)</f>
        <v>Validado</v>
      </c>
      <c r="L758" s="9" t="str">
        <f>VLOOKUP($A758,[4]cliqccee!$A:$AK,32,FALSE)</f>
        <v>FLAT</v>
      </c>
      <c r="M758" s="9" t="str">
        <f>VLOOKUP($A758,[4]cliqccee!$A:$AK,33,FALSE)</f>
        <v>Validado</v>
      </c>
      <c r="N758" s="499">
        <f t="shared" si="270"/>
        <v>0</v>
      </c>
      <c r="O758" s="418"/>
      <c r="P758" s="418"/>
      <c r="Q758" s="418"/>
      <c r="R758" s="418"/>
      <c r="S758" s="418"/>
      <c r="T758" s="481"/>
      <c r="U758" s="418"/>
      <c r="V758" s="418"/>
      <c r="W758" s="418"/>
    </row>
    <row r="759" spans="1:25" ht="11.25" x14ac:dyDescent="0.2">
      <c r="A759" s="167">
        <v>1097141</v>
      </c>
      <c r="B759" s="167" t="s">
        <v>408</v>
      </c>
      <c r="C759" s="167" t="s">
        <v>77</v>
      </c>
      <c r="D759" s="192" t="s">
        <v>78</v>
      </c>
      <c r="E759" s="79">
        <f t="shared" si="268"/>
        <v>106.7</v>
      </c>
      <c r="F759" s="543">
        <f>IF(F738-SUM(F742:F758,F760:F772)&gt;97*1.1*$B$33,97*1.1*$B$33,(F738-SUM(F742:F758,F760:F772)))</f>
        <v>79384.800000000003</v>
      </c>
      <c r="G759" s="193">
        <v>196.99</v>
      </c>
      <c r="H759" s="193">
        <f t="shared" si="275"/>
        <v>15638011.752000002</v>
      </c>
      <c r="I759" s="503">
        <f>IF(F738-SUM(F742:F758,F760:F772)&gt;97*1.1*$B$33,97*1.1*$B$33,(F738-SUM(F742:F758,F760:F772)))</f>
        <v>79384.800000000003</v>
      </c>
      <c r="J759" s="9" t="str">
        <f>VLOOKUP($A759,[4]cliqccee!$A:$AK,26,FALSE)</f>
        <v>15,028321</v>
      </c>
      <c r="K759" s="9" t="str">
        <f>VLOOKUP($A759,[4]cliqccee!$A:$AK,10,FALSE)</f>
        <v>Validado</v>
      </c>
      <c r="L759" s="9" t="str">
        <f>VLOOKUP($A759,[4]cliqccee!$A:$AK,32,FALSE)</f>
        <v>FLAT</v>
      </c>
      <c r="M759" s="9" t="str">
        <f>VLOOKUP($A759,[4]cliqccee!$A:$AK,33,FALSE)</f>
        <v>Ajustado Validado</v>
      </c>
      <c r="N759" s="499">
        <f t="shared" si="270"/>
        <v>-91.671678999999997</v>
      </c>
      <c r="O759" s="418"/>
      <c r="P759" s="418"/>
      <c r="Q759" s="418"/>
      <c r="R759" s="418"/>
      <c r="S759" s="418"/>
      <c r="T759" s="481"/>
      <c r="U759" s="418"/>
      <c r="V759" s="418"/>
      <c r="W759" s="418"/>
    </row>
    <row r="760" spans="1:25" ht="11.25" x14ac:dyDescent="0.2">
      <c r="A760" s="167">
        <v>1097176</v>
      </c>
      <c r="B760" s="167" t="s">
        <v>405</v>
      </c>
      <c r="C760" s="167" t="s">
        <v>77</v>
      </c>
      <c r="D760" s="192" t="s">
        <v>78</v>
      </c>
      <c r="E760" s="79">
        <f t="shared" si="268"/>
        <v>32.514184</v>
      </c>
      <c r="F760" s="382">
        <f>IF(SUM(F896:F898)-SUM(G896:G898) &lt; 90%*[5]LP_TIMELINE_MWh!$AY$91, 90%*[5]LP_TIMELINE_MWh!$AY$91,
IF(SUM(F896:F898)-SUM(G896:G898) &gt; 110%*[5]LP_TIMELINE_MWh!$AY$91, 110%*[5]LP_TIMELINE_MWh!$AY$91,
SUM(F896:F898)-SUM(G896:G898)))</f>
        <v>24190.553101770351</v>
      </c>
      <c r="G760" s="193">
        <f>[5]LONGO_PRAZO!$AQ$91</f>
        <v>174.27200874507366</v>
      </c>
      <c r="H760" s="193">
        <f t="shared" si="275"/>
        <v>4215736.2816998912</v>
      </c>
      <c r="J760" s="9" t="str">
        <f>VLOOKUP($A760,[4]cliqccee!$A:$AK,26,FALSE)</f>
        <v>26,756599</v>
      </c>
      <c r="K760" s="9" t="str">
        <f>VLOOKUP($A760,[4]cliqccee!$A:$AK,10,FALSE)</f>
        <v>Validado</v>
      </c>
      <c r="L760" s="9" t="str">
        <f>VLOOKUP($A760,[4]cliqccee!$A:$AK,32,FALSE)</f>
        <v>FLAT</v>
      </c>
      <c r="M760" s="9" t="str">
        <f>VLOOKUP($A760,[4]cliqccee!$A:$AK,33,FALSE)</f>
        <v>Ajustado Validado</v>
      </c>
      <c r="N760" s="499">
        <f t="shared" si="270"/>
        <v>-5.7575849999999988</v>
      </c>
      <c r="O760" s="418"/>
      <c r="P760" s="418"/>
      <c r="Q760" s="418"/>
      <c r="R760" s="418"/>
      <c r="S760" s="418"/>
      <c r="T760" s="418"/>
      <c r="U760" s="418"/>
      <c r="V760" s="418"/>
      <c r="W760" s="418"/>
    </row>
    <row r="761" spans="1:25" ht="11.25" x14ac:dyDescent="0.2">
      <c r="A761" s="167">
        <v>1106200</v>
      </c>
      <c r="B761" s="167" t="s">
        <v>406</v>
      </c>
      <c r="C761" s="167" t="s">
        <v>77</v>
      </c>
      <c r="D761" s="192" t="s">
        <v>78</v>
      </c>
      <c r="E761" s="79">
        <f t="shared" ref="E761:E763" si="276">ROUND(F761/$B$33,6)</f>
        <v>92.580590000000001</v>
      </c>
      <c r="F761" s="545">
        <f>IF(SUM(F968:F973)-SUM(G968:G973)&lt;90%*[5]LP_TIMELINE_MWh!$AY$89,90%*[5]LP_TIMELINE_MWh!$AY$89,
IF(SUM(F968:F973)-SUM(G968:G973)&gt;110%*[5]LP_TIMELINE_MWh!$AY$89,110%*[5]LP_TIMELINE_MWh!$AY$89,
SUM(F968:F973)-SUM(G968:G973)))</f>
        <v>68879.959309776052</v>
      </c>
      <c r="G761" s="193">
        <f>[5]LONGO_PRAZO!$AQ$89</f>
        <v>177.61002848961675</v>
      </c>
      <c r="H761" s="193">
        <f t="shared" ref="H761:H763" si="277">G761*F761</f>
        <v>12233771.535372967</v>
      </c>
      <c r="I761" s="394"/>
      <c r="J761" s="9" t="str">
        <f>VLOOKUP($A761,[4]cliqccee!$A:$AK,26,FALSE)</f>
        <v>91,800000</v>
      </c>
      <c r="K761" s="9" t="str">
        <f>VLOOKUP($A761,[4]cliqccee!$A:$AK,10,FALSE)</f>
        <v>Validado</v>
      </c>
      <c r="L761" s="9" t="str">
        <f>VLOOKUP($A761,[4]cliqccee!$A:$AK,32,FALSE)</f>
        <v>CARGA</v>
      </c>
      <c r="M761" s="9" t="str">
        <f>VLOOKUP($A761,[4]cliqccee!$A:$AK,33,FALSE)</f>
        <v>Ajustado Validado</v>
      </c>
      <c r="N761" s="499">
        <f t="shared" si="270"/>
        <v>-0.78059000000000367</v>
      </c>
      <c r="O761" s="418"/>
      <c r="P761" s="418"/>
      <c r="Q761" s="418"/>
      <c r="R761" s="418"/>
      <c r="S761" s="418"/>
      <c r="T761" s="418"/>
      <c r="U761" s="418"/>
      <c r="V761" s="418"/>
      <c r="W761" s="418"/>
    </row>
    <row r="762" spans="1:25" ht="11.25" x14ac:dyDescent="0.2">
      <c r="A762" s="167">
        <v>1129937</v>
      </c>
      <c r="B762" s="167" t="s">
        <v>407</v>
      </c>
      <c r="C762" s="167" t="s">
        <v>77</v>
      </c>
      <c r="D762" s="192" t="s">
        <v>232</v>
      </c>
      <c r="E762" s="79">
        <f t="shared" si="276"/>
        <v>18</v>
      </c>
      <c r="F762" s="382">
        <f>IF(F967-G967 &lt; 90%*[5]LP_TIMELINE_MWh!$AY$90, 90%*[5]LP_TIMELINE_MWh!$AY$90,
IF(F967-G967 &gt; 110%*[5]LP_TIMELINE_MWh!$AY$90, 110%*[5]LP_TIMELINE_MWh!$AY$90,
F967-G967))</f>
        <v>13392</v>
      </c>
      <c r="G762" s="193">
        <f>[5]LONGO_PRAZO!$AQ$90</f>
        <v>197.96457790981177</v>
      </c>
      <c r="H762" s="193">
        <f t="shared" si="277"/>
        <v>2651141.6273681992</v>
      </c>
      <c r="I762" s="418"/>
      <c r="J762" s="9" t="str">
        <f>VLOOKUP($A762,[4]cliqccee!$A:$AK,26,FALSE)</f>
        <v>18,000000</v>
      </c>
      <c r="K762" s="9" t="str">
        <f>VLOOKUP($A762,[4]cliqccee!$A:$AK,10,FALSE)</f>
        <v>Validado</v>
      </c>
      <c r="L762" s="9" t="str">
        <f>VLOOKUP($A762,[4]cliqccee!$A:$AK,32,FALSE)</f>
        <v>CARGA</v>
      </c>
      <c r="M762" s="9" t="str">
        <f>VLOOKUP($A762,[4]cliqccee!$A:$AK,33,FALSE)</f>
        <v>Ajustado Validado</v>
      </c>
      <c r="N762" s="499">
        <f t="shared" si="270"/>
        <v>0</v>
      </c>
      <c r="T762" s="409"/>
    </row>
    <row r="763" spans="1:25" ht="11.25" x14ac:dyDescent="0.2">
      <c r="A763" s="167">
        <f>A492</f>
        <v>1167492</v>
      </c>
      <c r="B763" s="167" t="s">
        <v>424</v>
      </c>
      <c r="C763" s="167" t="s">
        <v>77</v>
      </c>
      <c r="D763" s="192" t="s">
        <v>78</v>
      </c>
      <c r="E763" s="79">
        <f t="shared" si="276"/>
        <v>0</v>
      </c>
      <c r="F763" s="382"/>
      <c r="G763" s="193"/>
      <c r="H763" s="193">
        <f t="shared" si="277"/>
        <v>0</v>
      </c>
      <c r="I763" s="418"/>
      <c r="J763" s="9" t="str">
        <f>VLOOKUP($A763,[4]cliqccee!$A:$AK,26,FALSE)</f>
        <v>0,000000</v>
      </c>
      <c r="K763" s="9" t="str">
        <f>VLOOKUP($A763,[4]cliqccee!$A:$AK,10,FALSE)</f>
        <v>Validado</v>
      </c>
      <c r="L763" s="9" t="str">
        <f>VLOOKUP($A763,[4]cliqccee!$A:$AK,32,FALSE)</f>
        <v>FLAT</v>
      </c>
      <c r="M763" s="9" t="str">
        <f>VLOOKUP($A763,[4]cliqccee!$A:$AK,33,FALSE)</f>
        <v>Validado</v>
      </c>
      <c r="N763" s="499">
        <f t="shared" si="270"/>
        <v>0</v>
      </c>
      <c r="T763" s="409"/>
    </row>
    <row r="764" spans="1:25" ht="11.25" x14ac:dyDescent="0.2">
      <c r="A764" s="167"/>
      <c r="B764" s="406"/>
      <c r="C764" s="406"/>
      <c r="D764" s="407"/>
      <c r="E764" s="79"/>
      <c r="F764" s="382"/>
      <c r="G764" s="193"/>
      <c r="H764" s="193"/>
      <c r="I764" s="418"/>
      <c r="J764" s="9" t="e">
        <f>VLOOKUP($A764,[4]cliqccee!$A:$AK,26,FALSE)</f>
        <v>#N/A</v>
      </c>
      <c r="K764" s="9" t="e">
        <f>VLOOKUP($A764,[4]cliqccee!$A:$AK,10,FALSE)</f>
        <v>#N/A</v>
      </c>
      <c r="L764" s="9" t="e">
        <f>VLOOKUP($A764,[4]cliqccee!$A:$AK,32,FALSE)</f>
        <v>#N/A</v>
      </c>
      <c r="M764" s="9" t="e">
        <f>VLOOKUP($A764,[4]cliqccee!$A:$AK,33,FALSE)</f>
        <v>#N/A</v>
      </c>
      <c r="N764" s="499" t="e">
        <f t="shared" si="270"/>
        <v>#N/A</v>
      </c>
      <c r="O764" s="536"/>
    </row>
    <row r="765" spans="1:25" ht="11.25" x14ac:dyDescent="0.2">
      <c r="A765" s="167"/>
      <c r="B765" s="406"/>
      <c r="C765" s="406"/>
      <c r="D765" s="407"/>
      <c r="E765" s="501"/>
      <c r="F765" s="382"/>
      <c r="G765" s="525"/>
      <c r="H765" s="193"/>
      <c r="I765" s="418"/>
      <c r="J765" s="9" t="e">
        <f>VLOOKUP($A765,[4]cliqccee!$A:$AK,26,FALSE)</f>
        <v>#N/A</v>
      </c>
      <c r="K765" s="9" t="e">
        <f>VLOOKUP($A765,[4]cliqccee!$A:$AK,10,FALSE)</f>
        <v>#N/A</v>
      </c>
      <c r="L765" s="9" t="e">
        <f>VLOOKUP($A765,[4]cliqccee!$A:$AK,32,FALSE)</f>
        <v>#N/A</v>
      </c>
      <c r="M765" s="9" t="e">
        <f>VLOOKUP($A765,[4]cliqccee!$A:$AK,33,FALSE)</f>
        <v>#N/A</v>
      </c>
      <c r="N765" s="499" t="e">
        <f t="shared" si="270"/>
        <v>#N/A</v>
      </c>
    </row>
    <row r="766" spans="1:25" ht="11.25" x14ac:dyDescent="0.2">
      <c r="A766" s="167"/>
      <c r="B766" s="406"/>
      <c r="C766" s="406"/>
      <c r="D766" s="407"/>
      <c r="E766" s="501"/>
      <c r="F766" s="382"/>
      <c r="G766" s="525"/>
      <c r="H766" s="193"/>
      <c r="I766" s="418"/>
      <c r="J766" s="9" t="e">
        <f>VLOOKUP($A766,[4]cliqccee!$A:$AK,26,FALSE)</f>
        <v>#N/A</v>
      </c>
      <c r="K766" s="9" t="e">
        <f>VLOOKUP($A766,[4]cliqccee!$A:$AK,10,FALSE)</f>
        <v>#N/A</v>
      </c>
      <c r="L766" s="9" t="e">
        <f>VLOOKUP($A766,[4]cliqccee!$A:$AK,32,FALSE)</f>
        <v>#N/A</v>
      </c>
      <c r="M766" s="9" t="e">
        <f>VLOOKUP($A766,[4]cliqccee!$A:$AK,33,FALSE)</f>
        <v>#N/A</v>
      </c>
      <c r="N766" s="499" t="e">
        <f t="shared" si="270"/>
        <v>#N/A</v>
      </c>
    </row>
    <row r="767" spans="1:25" ht="11.25" x14ac:dyDescent="0.2">
      <c r="A767" s="167"/>
      <c r="B767" s="406"/>
      <c r="C767" s="406"/>
      <c r="D767" s="407"/>
      <c r="E767" s="79"/>
      <c r="F767" s="382"/>
      <c r="G767" s="525"/>
      <c r="H767" s="193"/>
      <c r="I767" s="418"/>
      <c r="J767" s="9" t="e">
        <f>VLOOKUP($A767,[4]cliqccee!$A:$AK,26,FALSE)</f>
        <v>#N/A</v>
      </c>
      <c r="K767" s="9" t="e">
        <f>VLOOKUP($A767,[4]cliqccee!$A:$AK,10,FALSE)</f>
        <v>#N/A</v>
      </c>
      <c r="L767" s="9" t="e">
        <f>VLOOKUP($A767,[4]cliqccee!$A:$AK,32,FALSE)</f>
        <v>#N/A</v>
      </c>
      <c r="M767" s="9" t="e">
        <f>VLOOKUP($A767,[4]cliqccee!$A:$AK,33,FALSE)</f>
        <v>#N/A</v>
      </c>
      <c r="N767" s="499" t="e">
        <f t="shared" si="270"/>
        <v>#N/A</v>
      </c>
    </row>
    <row r="768" spans="1:25" ht="11.25" x14ac:dyDescent="0.2">
      <c r="A768" s="167"/>
      <c r="B768" s="167"/>
      <c r="C768" s="167"/>
      <c r="D768" s="192"/>
      <c r="E768" s="79"/>
      <c r="F768" s="382"/>
      <c r="G768" s="193"/>
      <c r="H768" s="193"/>
      <c r="I768" s="481"/>
      <c r="J768" s="9" t="e">
        <f>VLOOKUP($A768,[4]cliqccee!$A:$AK,26,FALSE)</f>
        <v>#N/A</v>
      </c>
      <c r="K768" s="9" t="e">
        <f>VLOOKUP($A768,[4]cliqccee!$A:$AK,10,FALSE)</f>
        <v>#N/A</v>
      </c>
      <c r="L768" s="9" t="e">
        <f>VLOOKUP($A768,[4]cliqccee!$A:$AK,32,FALSE)</f>
        <v>#N/A</v>
      </c>
      <c r="M768" s="9" t="e">
        <f>VLOOKUP($A768,[4]cliqccee!$A:$AK,33,FALSE)</f>
        <v>#N/A</v>
      </c>
      <c r="N768" s="499" t="e">
        <f t="shared" si="270"/>
        <v>#N/A</v>
      </c>
    </row>
    <row r="769" spans="1:14" ht="11.25" x14ac:dyDescent="0.2">
      <c r="A769" s="167"/>
      <c r="B769" s="167"/>
      <c r="C769" s="167"/>
      <c r="D769" s="192"/>
      <c r="E769" s="79"/>
      <c r="F769" s="382"/>
      <c r="G769" s="193"/>
      <c r="H769" s="193"/>
      <c r="I769" s="418"/>
      <c r="J769" s="9" t="e">
        <f>VLOOKUP($A769,[4]cliqccee!$A:$AK,26,FALSE)</f>
        <v>#N/A</v>
      </c>
      <c r="K769" s="9" t="e">
        <f>VLOOKUP($A769,[4]cliqccee!$A:$AK,10,FALSE)</f>
        <v>#N/A</v>
      </c>
      <c r="L769" s="9" t="e">
        <f>VLOOKUP($A769,[4]cliqccee!$A:$AK,32,FALSE)</f>
        <v>#N/A</v>
      </c>
      <c r="M769" s="9" t="e">
        <f>VLOOKUP($A769,[4]cliqccee!$A:$AK,33,FALSE)</f>
        <v>#N/A</v>
      </c>
      <c r="N769" s="499" t="e">
        <f t="shared" si="270"/>
        <v>#N/A</v>
      </c>
    </row>
    <row r="770" spans="1:14" ht="11.25" x14ac:dyDescent="0.2">
      <c r="A770" s="167"/>
      <c r="B770" s="167"/>
      <c r="C770" s="167"/>
      <c r="D770" s="192"/>
      <c r="E770" s="79"/>
      <c r="F770" s="382"/>
      <c r="G770" s="193"/>
      <c r="H770" s="193"/>
      <c r="I770" s="418"/>
      <c r="J770" s="9" t="e">
        <f>VLOOKUP($A770,[4]cliqccee!$A:$AK,26,FALSE)</f>
        <v>#N/A</v>
      </c>
      <c r="K770" s="9" t="e">
        <f>VLOOKUP($A770,[4]cliqccee!$A:$AK,10,FALSE)</f>
        <v>#N/A</v>
      </c>
      <c r="L770" s="9" t="e">
        <f>VLOOKUP($A770,[4]cliqccee!$A:$AK,32,FALSE)</f>
        <v>#N/A</v>
      </c>
      <c r="M770" s="9" t="e">
        <f>VLOOKUP($A770,[4]cliqccee!$A:$AK,33,FALSE)</f>
        <v>#N/A</v>
      </c>
      <c r="N770" s="499" t="e">
        <f t="shared" si="270"/>
        <v>#N/A</v>
      </c>
    </row>
    <row r="771" spans="1:14" ht="11.25" x14ac:dyDescent="0.2">
      <c r="A771" s="167"/>
      <c r="B771" s="167"/>
      <c r="C771" s="167"/>
      <c r="D771" s="192"/>
      <c r="E771" s="79"/>
      <c r="F771" s="382"/>
      <c r="G771" s="193"/>
      <c r="H771" s="193"/>
      <c r="I771" s="418"/>
      <c r="J771" s="9" t="e">
        <f>VLOOKUP($A771,[4]cliqccee!$A:$AK,26,FALSE)</f>
        <v>#N/A</v>
      </c>
      <c r="K771" s="9" t="e">
        <f>VLOOKUP($A771,[4]cliqccee!$A:$AK,10,FALSE)</f>
        <v>#N/A</v>
      </c>
      <c r="L771" s="9" t="e">
        <f>VLOOKUP($A771,[4]cliqccee!$A:$AK,32,FALSE)</f>
        <v>#N/A</v>
      </c>
      <c r="M771" s="9" t="e">
        <f>VLOOKUP($A771,[4]cliqccee!$A:$AK,33,FALSE)</f>
        <v>#N/A</v>
      </c>
      <c r="N771" s="499" t="e">
        <f t="shared" si="270"/>
        <v>#N/A</v>
      </c>
    </row>
    <row r="772" spans="1:14" ht="11.25" x14ac:dyDescent="0.2">
      <c r="A772" s="215"/>
      <c r="B772" s="215"/>
      <c r="C772" s="215"/>
      <c r="D772" s="216"/>
      <c r="E772" s="174"/>
      <c r="F772" s="391"/>
      <c r="G772" s="222"/>
      <c r="H772" s="222"/>
      <c r="I772" s="418"/>
      <c r="J772" s="393"/>
      <c r="K772" s="393"/>
      <c r="L772" s="393"/>
      <c r="M772" s="393"/>
      <c r="N772" s="418"/>
    </row>
    <row r="773" spans="1:14" ht="11.25" x14ac:dyDescent="0.2">
      <c r="A773" s="15" t="s">
        <v>32</v>
      </c>
      <c r="B773" s="421"/>
      <c r="C773" s="421"/>
      <c r="D773" s="422"/>
      <c r="E773" s="18">
        <f>SUM(E742:E772)</f>
        <v>280.49477400000001</v>
      </c>
      <c r="F773" s="21">
        <f>SUM(F742:F772)</f>
        <v>208688.1124115464</v>
      </c>
      <c r="G773" s="82">
        <f>IFERROR(H773/F773,0)</f>
        <v>187.04179661705058</v>
      </c>
      <c r="H773" s="21">
        <f>SUM(H742:H772)</f>
        <v>39033399.478076652</v>
      </c>
      <c r="I773" s="418"/>
      <c r="N773" s="418"/>
    </row>
    <row r="774" spans="1:14" ht="11.25" x14ac:dyDescent="0.2">
      <c r="F774" s="410">
        <f>SUM(F758:F762,F838,F840:F842,F846:F847,F849:F861)/744</f>
        <v>384.78482211556502</v>
      </c>
      <c r="N774" s="418"/>
    </row>
    <row r="775" spans="1:14" ht="11.25" x14ac:dyDescent="0.2">
      <c r="A775" s="548" t="s">
        <v>233</v>
      </c>
      <c r="B775" s="548"/>
      <c r="C775" s="548"/>
      <c r="E775" s="423" t="s">
        <v>19</v>
      </c>
      <c r="F775" s="423"/>
      <c r="G775" s="424" t="s">
        <v>20</v>
      </c>
      <c r="H775" s="424"/>
      <c r="I775" s="425" t="s">
        <v>21</v>
      </c>
      <c r="J775" s="425"/>
      <c r="K775" s="426" t="s">
        <v>22</v>
      </c>
      <c r="L775" s="426"/>
      <c r="N775" s="418"/>
    </row>
    <row r="776" spans="1:14" ht="11.25" x14ac:dyDescent="0.2">
      <c r="A776" s="10" t="s">
        <v>2</v>
      </c>
      <c r="B776" s="10" t="s">
        <v>137</v>
      </c>
      <c r="C776" s="10" t="s">
        <v>25</v>
      </c>
      <c r="E776" s="427" t="s">
        <v>137</v>
      </c>
      <c r="F776" s="428" t="s">
        <v>25</v>
      </c>
      <c r="G776" s="429" t="s">
        <v>137</v>
      </c>
      <c r="H776" s="430" t="s">
        <v>25</v>
      </c>
      <c r="I776" s="431" t="s">
        <v>137</v>
      </c>
      <c r="J776" s="432" t="s">
        <v>25</v>
      </c>
      <c r="K776" s="433" t="s">
        <v>137</v>
      </c>
      <c r="L776" s="434" t="s">
        <v>25</v>
      </c>
      <c r="N776" s="418"/>
    </row>
    <row r="777" spans="1:14" ht="11.25" x14ac:dyDescent="0.2">
      <c r="A777" s="29" t="s">
        <v>69</v>
      </c>
      <c r="B777" s="70">
        <v>0</v>
      </c>
      <c r="C777" s="83">
        <v>0</v>
      </c>
      <c r="E777" s="435">
        <f t="shared" ref="E777:E783" si="278">SUMIFS($E$712:$E$772,$C$712:$C$772,$A777,$D$712:$D$772,$E$775)</f>
        <v>0</v>
      </c>
      <c r="F777" s="436">
        <f t="shared" ref="F777:F783" si="279">SUMIFS($F$712:$F$772,$C$712:$C$772,$A777,$D$712:$D$772,$E$775)</f>
        <v>0</v>
      </c>
      <c r="G777" s="437">
        <f t="shared" ref="G777:G783" si="280">SUMIFS($E$712:$E$772,$C$712:$C$772,$A777,$D$712:$D$772,$G$775)</f>
        <v>0</v>
      </c>
      <c r="H777" s="438">
        <f t="shared" ref="H777:H783" si="281">SUMIFS($F$712:$F$772,$C$712:$C$772,$A777,$D$712:$D$772,$G$775)</f>
        <v>0</v>
      </c>
      <c r="I777" s="439">
        <f t="shared" ref="I777:I783" si="282">SUMIFS($E$712:$E$772,$C$712:$C$772,$A777,$D$712:$D$772,$I$775)</f>
        <v>0</v>
      </c>
      <c r="J777" s="440">
        <f t="shared" ref="J777:J783" si="283">SUMIFS($F$712:$F$772,$C$712:$C$772,$A777,$D$712:$D$772,$I$775)</f>
        <v>0</v>
      </c>
      <c r="K777" s="441">
        <f t="shared" ref="K777:K783" si="284">SUMIFS($E$712:$E$772,$C$712:$C$772,$A777,$D$712:$D$772,$K$775)</f>
        <v>0</v>
      </c>
      <c r="L777" s="442">
        <f t="shared" ref="L777:L783" si="285">SUMIFS($F$712:$F$772,$C$712:$C$772,$A777,$D$712:$D$772,$K$775)</f>
        <v>0</v>
      </c>
      <c r="N777" s="418"/>
    </row>
    <row r="778" spans="1:14" ht="11.25" x14ac:dyDescent="0.2">
      <c r="A778" s="29" t="s">
        <v>47</v>
      </c>
      <c r="B778" s="70">
        <v>0</v>
      </c>
      <c r="C778" s="83">
        <v>0</v>
      </c>
      <c r="E778" s="435">
        <f t="shared" si="278"/>
        <v>0</v>
      </c>
      <c r="F778" s="436">
        <f t="shared" si="279"/>
        <v>0</v>
      </c>
      <c r="G778" s="437">
        <f t="shared" si="280"/>
        <v>0</v>
      </c>
      <c r="H778" s="438">
        <f t="shared" si="281"/>
        <v>0</v>
      </c>
      <c r="I778" s="439">
        <f t="shared" si="282"/>
        <v>0</v>
      </c>
      <c r="J778" s="440">
        <f t="shared" si="283"/>
        <v>0</v>
      </c>
      <c r="K778" s="441">
        <f t="shared" si="284"/>
        <v>0</v>
      </c>
      <c r="L778" s="442">
        <f t="shared" si="285"/>
        <v>0</v>
      </c>
      <c r="N778" s="418"/>
    </row>
    <row r="779" spans="1:14" ht="11.25" x14ac:dyDescent="0.2">
      <c r="A779" s="29" t="s">
        <v>79</v>
      </c>
      <c r="B779" s="70">
        <v>0</v>
      </c>
      <c r="C779" s="83">
        <v>0</v>
      </c>
      <c r="E779" s="435">
        <f t="shared" si="278"/>
        <v>0</v>
      </c>
      <c r="F779" s="436">
        <f t="shared" si="279"/>
        <v>0</v>
      </c>
      <c r="G779" s="437">
        <f t="shared" si="280"/>
        <v>0</v>
      </c>
      <c r="H779" s="438">
        <f t="shared" si="281"/>
        <v>0</v>
      </c>
      <c r="I779" s="439">
        <f t="shared" si="282"/>
        <v>0</v>
      </c>
      <c r="J779" s="440">
        <f t="shared" si="283"/>
        <v>0</v>
      </c>
      <c r="K779" s="441">
        <f t="shared" si="284"/>
        <v>0</v>
      </c>
      <c r="L779" s="442">
        <f t="shared" si="285"/>
        <v>0</v>
      </c>
      <c r="N779" s="418"/>
    </row>
    <row r="780" spans="1:14" ht="11.25" x14ac:dyDescent="0.2">
      <c r="A780" s="29" t="s">
        <v>71</v>
      </c>
      <c r="B780" s="70">
        <f>E738</f>
        <v>296</v>
      </c>
      <c r="C780" s="83">
        <f>F738</f>
        <v>220224</v>
      </c>
      <c r="E780" s="435">
        <f t="shared" si="278"/>
        <v>0</v>
      </c>
      <c r="F780" s="436">
        <f t="shared" si="279"/>
        <v>0</v>
      </c>
      <c r="G780" s="437">
        <f t="shared" si="280"/>
        <v>56.5</v>
      </c>
      <c r="H780" s="438">
        <f t="shared" si="281"/>
        <v>42036</v>
      </c>
      <c r="I780" s="439">
        <f t="shared" si="282"/>
        <v>239.5</v>
      </c>
      <c r="J780" s="440">
        <f t="shared" si="283"/>
        <v>178188</v>
      </c>
      <c r="K780" s="441">
        <f t="shared" si="284"/>
        <v>0</v>
      </c>
      <c r="L780" s="442">
        <f t="shared" si="285"/>
        <v>0</v>
      </c>
      <c r="N780" s="418"/>
    </row>
    <row r="781" spans="1:14" ht="11.25" x14ac:dyDescent="0.2">
      <c r="A781" s="29" t="s">
        <v>9</v>
      </c>
      <c r="B781" s="70">
        <f>0</f>
        <v>0</v>
      </c>
      <c r="C781" s="83">
        <f>0</f>
        <v>0</v>
      </c>
      <c r="E781" s="435">
        <f t="shared" si="278"/>
        <v>0</v>
      </c>
      <c r="F781" s="436">
        <f t="shared" si="279"/>
        <v>0</v>
      </c>
      <c r="G781" s="437">
        <f t="shared" si="280"/>
        <v>0</v>
      </c>
      <c r="H781" s="438">
        <f t="shared" si="281"/>
        <v>0</v>
      </c>
      <c r="I781" s="439">
        <f t="shared" si="282"/>
        <v>0</v>
      </c>
      <c r="J781" s="440">
        <f t="shared" si="283"/>
        <v>0</v>
      </c>
      <c r="K781" s="441">
        <f t="shared" si="284"/>
        <v>0</v>
      </c>
      <c r="L781" s="442">
        <f t="shared" si="285"/>
        <v>0</v>
      </c>
      <c r="N781" s="418"/>
    </row>
    <row r="782" spans="1:14" ht="11.25" x14ac:dyDescent="0.2">
      <c r="A782" s="29" t="s">
        <v>80</v>
      </c>
      <c r="B782" s="70">
        <v>0</v>
      </c>
      <c r="C782" s="83">
        <v>0</v>
      </c>
      <c r="E782" s="435">
        <f t="shared" si="278"/>
        <v>0</v>
      </c>
      <c r="F782" s="436">
        <f t="shared" si="279"/>
        <v>0</v>
      </c>
      <c r="G782" s="437">
        <f t="shared" si="280"/>
        <v>0</v>
      </c>
      <c r="H782" s="438">
        <f t="shared" si="281"/>
        <v>0</v>
      </c>
      <c r="I782" s="439">
        <f t="shared" si="282"/>
        <v>0</v>
      </c>
      <c r="J782" s="440">
        <f t="shared" si="283"/>
        <v>0</v>
      </c>
      <c r="K782" s="441">
        <f t="shared" si="284"/>
        <v>0</v>
      </c>
      <c r="L782" s="442">
        <f t="shared" si="285"/>
        <v>0</v>
      </c>
      <c r="N782" s="418"/>
    </row>
    <row r="783" spans="1:14" ht="11.25" x14ac:dyDescent="0.2">
      <c r="A783" s="29" t="s">
        <v>77</v>
      </c>
      <c r="B783" s="70">
        <f>E773</f>
        <v>280.49477400000001</v>
      </c>
      <c r="C783" s="83">
        <f>F773</f>
        <v>208688.1124115464</v>
      </c>
      <c r="E783" s="435">
        <f t="shared" si="278"/>
        <v>10.7</v>
      </c>
      <c r="F783" s="436">
        <f t="shared" si="279"/>
        <v>7960.7999999999993</v>
      </c>
      <c r="G783" s="437">
        <f t="shared" si="280"/>
        <v>18</v>
      </c>
      <c r="H783" s="438">
        <f t="shared" si="281"/>
        <v>13392</v>
      </c>
      <c r="I783" s="439">
        <f t="shared" si="282"/>
        <v>251.79477399999999</v>
      </c>
      <c r="J783" s="440">
        <f t="shared" si="283"/>
        <v>187335.31241154642</v>
      </c>
      <c r="K783" s="441">
        <f t="shared" si="284"/>
        <v>0</v>
      </c>
      <c r="L783" s="442">
        <f t="shared" si="285"/>
        <v>0</v>
      </c>
      <c r="N783" s="418"/>
    </row>
    <row r="784" spans="1:14" ht="11.25" x14ac:dyDescent="0.2">
      <c r="A784" s="11" t="s">
        <v>81</v>
      </c>
      <c r="B784" s="12">
        <f>SUM(B777:B780)-SUM(B781:B783)</f>
        <v>15.505225999999993</v>
      </c>
      <c r="C784" s="12">
        <f>SUM(C777:C780)-SUM(C781:C783)</f>
        <v>11535.887588453596</v>
      </c>
      <c r="E784" s="443">
        <f>SUM(E777:E780)-SUM(E781:E783)</f>
        <v>-10.7</v>
      </c>
      <c r="F784" s="444">
        <f>SUM(F777:F780)-SUM(F781:F783)</f>
        <v>-7960.7999999999993</v>
      </c>
      <c r="G784" s="445">
        <f t="shared" ref="G784:L784" si="286">SUM(G777:G780)-SUM(G781:G783)</f>
        <v>38.5</v>
      </c>
      <c r="H784" s="446">
        <f>SUM(H777:H780)-SUM(H781:H783)</f>
        <v>28644</v>
      </c>
      <c r="I784" s="447">
        <f t="shared" si="286"/>
        <v>-12.29477399999999</v>
      </c>
      <c r="J784" s="448">
        <f t="shared" si="286"/>
        <v>-9147.3124115464161</v>
      </c>
      <c r="K784" s="449">
        <f t="shared" si="286"/>
        <v>0</v>
      </c>
      <c r="L784" s="450">
        <f t="shared" si="286"/>
        <v>0</v>
      </c>
      <c r="N784" s="418"/>
    </row>
    <row r="785" spans="1:14" ht="11.25" x14ac:dyDescent="0.2">
      <c r="A785" s="11" t="s">
        <v>82</v>
      </c>
      <c r="B785" s="12">
        <f>SUM(B777:B780)-SUM(B781:B784)</f>
        <v>0</v>
      </c>
      <c r="C785" s="12">
        <f>SUM(C777:C780)-SUM(C781:C784)</f>
        <v>0</v>
      </c>
      <c r="E785" s="443">
        <f>SUM(E777:E780)-SUM(E781:E784)</f>
        <v>0</v>
      </c>
      <c r="F785" s="444">
        <f t="shared" ref="F785:L785" si="287">SUM(F777:F780)-SUM(F781:F784)</f>
        <v>0</v>
      </c>
      <c r="G785" s="445">
        <f t="shared" si="287"/>
        <v>0</v>
      </c>
      <c r="H785" s="446">
        <f t="shared" si="287"/>
        <v>0</v>
      </c>
      <c r="I785" s="447">
        <f t="shared" si="287"/>
        <v>0</v>
      </c>
      <c r="J785" s="448">
        <f t="shared" si="287"/>
        <v>0</v>
      </c>
      <c r="K785" s="449">
        <f t="shared" si="287"/>
        <v>0</v>
      </c>
      <c r="L785" s="450">
        <f t="shared" si="287"/>
        <v>0</v>
      </c>
      <c r="N785" s="418"/>
    </row>
    <row r="786" spans="1:14" ht="11.25" x14ac:dyDescent="0.2">
      <c r="N786" s="418"/>
    </row>
    <row r="787" spans="1:14" ht="11.25" x14ac:dyDescent="0.2">
      <c r="E787" s="451">
        <f>(F784*$H$5)+(H784*$J$5)+(J784*$L$5)+(L784*$N$5)</f>
        <v>211705.68088076531</v>
      </c>
      <c r="N787" s="418"/>
    </row>
    <row r="788" spans="1:14" ht="11.25" x14ac:dyDescent="0.2">
      <c r="N788" s="418"/>
    </row>
    <row r="789" spans="1:14" ht="11.25" x14ac:dyDescent="0.2">
      <c r="N789" s="418"/>
    </row>
    <row r="790" spans="1:14" ht="11.25" x14ac:dyDescent="0.2">
      <c r="A790" s="548" t="s">
        <v>294</v>
      </c>
      <c r="B790" s="548"/>
      <c r="C790" s="548"/>
      <c r="D790" s="548"/>
      <c r="E790" s="548"/>
      <c r="F790" s="548"/>
      <c r="G790" s="548"/>
      <c r="H790" s="548"/>
      <c r="N790" s="418"/>
    </row>
    <row r="791" spans="1:14" ht="14.25" customHeight="1" x14ac:dyDescent="0.2">
      <c r="A791" s="548"/>
      <c r="B791" s="548"/>
      <c r="C791" s="548"/>
      <c r="D791" s="548"/>
      <c r="E791" s="548"/>
      <c r="F791" s="548"/>
      <c r="G791" s="548"/>
      <c r="H791" s="548"/>
      <c r="N791" s="418"/>
    </row>
    <row r="792" spans="1:14" ht="4.5" customHeight="1" x14ac:dyDescent="0.2">
      <c r="N792" s="418"/>
    </row>
    <row r="793" spans="1:14" ht="11.25" x14ac:dyDescent="0.2">
      <c r="A793" s="548" t="s">
        <v>70</v>
      </c>
      <c r="B793" s="548"/>
      <c r="C793" s="548"/>
      <c r="D793" s="548"/>
      <c r="E793" s="548"/>
      <c r="F793" s="548"/>
      <c r="G793" s="548"/>
      <c r="H793" s="548"/>
      <c r="N793" s="418"/>
    </row>
    <row r="794" spans="1:14" ht="11.25" x14ac:dyDescent="0.2">
      <c r="A794" s="10" t="s">
        <v>252</v>
      </c>
      <c r="B794" s="10" t="s">
        <v>1</v>
      </c>
      <c r="C794" s="10" t="s">
        <v>2</v>
      </c>
      <c r="D794" s="10" t="s">
        <v>3</v>
      </c>
      <c r="E794" s="10" t="s">
        <v>137</v>
      </c>
      <c r="F794" s="10" t="s">
        <v>25</v>
      </c>
      <c r="G794" s="10" t="s">
        <v>253</v>
      </c>
      <c r="H794" s="10" t="s">
        <v>254</v>
      </c>
      <c r="J794" s="10" t="s">
        <v>72</v>
      </c>
      <c r="K794" s="10" t="s">
        <v>73</v>
      </c>
      <c r="L794" s="10" t="s">
        <v>74</v>
      </c>
      <c r="M794" s="10" t="s">
        <v>75</v>
      </c>
      <c r="N794" s="418"/>
    </row>
    <row r="795" spans="1:14" ht="11.25" x14ac:dyDescent="0.2">
      <c r="A795" s="167">
        <v>71556</v>
      </c>
      <c r="B795" s="168" t="s">
        <v>105</v>
      </c>
      <c r="C795" s="167" t="s">
        <v>71</v>
      </c>
      <c r="D795" s="169" t="s">
        <v>78</v>
      </c>
      <c r="E795" s="79">
        <f t="shared" ref="E795:E811" si="288">ROUND(F795/$B$33,6)</f>
        <v>1.97</v>
      </c>
      <c r="F795" s="83">
        <f>[5]LP_TIMELINE_MWh!$AY$21</f>
        <v>1465.68</v>
      </c>
      <c r="G795" s="83">
        <f>[5]LONGO_PRAZO!$AQ$21</f>
        <v>267.50983374416529</v>
      </c>
      <c r="H795" s="170">
        <f t="shared" ref="H795:H812" si="289">F795*G795</f>
        <v>392083.81312214822</v>
      </c>
      <c r="J795" s="9" t="str">
        <f>VLOOKUP($A795,[4]cliqccee!$A:$AK,26,FALSE)</f>
        <v>1,970000</v>
      </c>
      <c r="K795" s="9" t="str">
        <f>VLOOKUP($A795,[4]cliqccee!$A:$AK,10,FALSE)</f>
        <v>Validado</v>
      </c>
      <c r="L795" s="9" t="str">
        <f>VLOOKUP($A795,[4]cliqccee!$A:$AK,32,FALSE)</f>
        <v>FLAT</v>
      </c>
      <c r="M795" s="9" t="str">
        <f>VLOOKUP($A795,[4]cliqccee!$A:$AK,33,FALSE)</f>
        <v>Validado</v>
      </c>
      <c r="N795" s="499">
        <f t="shared" ref="N795:N817" si="290">J795-E795</f>
        <v>0</v>
      </c>
    </row>
    <row r="796" spans="1:14" ht="11.25" x14ac:dyDescent="0.2">
      <c r="A796" s="167">
        <v>75923</v>
      </c>
      <c r="B796" s="168" t="s">
        <v>102</v>
      </c>
      <c r="C796" s="167" t="s">
        <v>71</v>
      </c>
      <c r="D796" s="169" t="s">
        <v>232</v>
      </c>
      <c r="E796" s="79">
        <f t="shared" si="288"/>
        <v>19</v>
      </c>
      <c r="F796" s="83">
        <f>[5]LP_TIMELINE_MWh!$AY$11</f>
        <v>14136</v>
      </c>
      <c r="G796" s="83">
        <f>[5]LONGO_PRAZO!$AQ$11</f>
        <v>267.31993245268171</v>
      </c>
      <c r="H796" s="170">
        <f t="shared" si="289"/>
        <v>3778834.5651511089</v>
      </c>
      <c r="J796" s="9" t="str">
        <f>VLOOKUP($A796,[4]cliqccee!$A:$AK,26,FALSE)</f>
        <v>19,000000</v>
      </c>
      <c r="K796" s="9" t="str">
        <f>VLOOKUP($A796,[4]cliqccee!$A:$AK,10,FALSE)</f>
        <v>Validado</v>
      </c>
      <c r="L796" s="9" t="str">
        <f>VLOOKUP($A796,[4]cliqccee!$A:$AK,32,FALSE)</f>
        <v>FLAT</v>
      </c>
      <c r="M796" s="9" t="str">
        <f>VLOOKUP($A796,[4]cliqccee!$A:$AK,33,FALSE)</f>
        <v>Validado</v>
      </c>
      <c r="N796" s="499">
        <f t="shared" si="290"/>
        <v>0</v>
      </c>
    </row>
    <row r="797" spans="1:14" ht="11.25" x14ac:dyDescent="0.2">
      <c r="A797" s="167">
        <v>84972</v>
      </c>
      <c r="B797" s="168" t="s">
        <v>104</v>
      </c>
      <c r="C797" s="167" t="s">
        <v>71</v>
      </c>
      <c r="D797" s="169" t="s">
        <v>78</v>
      </c>
      <c r="E797" s="79">
        <f t="shared" si="288"/>
        <v>1.67</v>
      </c>
      <c r="F797" s="83">
        <f>[5]LP_TIMELINE_MWh!$AY$23</f>
        <v>1242.48</v>
      </c>
      <c r="G797" s="83">
        <f>[5]LONGO_PRAZO!$AQ$23</f>
        <v>267.50983374416529</v>
      </c>
      <c r="H797" s="170">
        <f t="shared" si="289"/>
        <v>332375.61823045049</v>
      </c>
      <c r="J797" s="9" t="str">
        <f>VLOOKUP($A797,[4]cliqccee!$A:$AK,26,FALSE)</f>
        <v>1,670000</v>
      </c>
      <c r="K797" s="9" t="str">
        <f>VLOOKUP($A797,[4]cliqccee!$A:$AK,10,FALSE)</f>
        <v>Validado</v>
      </c>
      <c r="L797" s="9" t="str">
        <f>VLOOKUP($A797,[4]cliqccee!$A:$AK,32,FALSE)</f>
        <v>FLAT</v>
      </c>
      <c r="M797" s="9" t="str">
        <f>VLOOKUP($A797,[4]cliqccee!$A:$AK,33,FALSE)</f>
        <v>Validado</v>
      </c>
      <c r="N797" s="499">
        <f t="shared" si="290"/>
        <v>0</v>
      </c>
    </row>
    <row r="798" spans="1:14" ht="11.25" x14ac:dyDescent="0.2">
      <c r="A798" s="167">
        <v>90498</v>
      </c>
      <c r="B798" s="168" t="s">
        <v>106</v>
      </c>
      <c r="C798" s="167" t="s">
        <v>71</v>
      </c>
      <c r="D798" s="169" t="s">
        <v>78</v>
      </c>
      <c r="E798" s="79">
        <f t="shared" si="288"/>
        <v>3.38</v>
      </c>
      <c r="F798" s="83">
        <f>[5]LP_TIMELINE_MWh!$AY$22</f>
        <v>2514.7199999999998</v>
      </c>
      <c r="G798" s="83">
        <f>[5]LONGO_PRAZO!$AQ$22</f>
        <v>267.50983374416529</v>
      </c>
      <c r="H798" s="170">
        <f t="shared" si="289"/>
        <v>672712.32911312731</v>
      </c>
      <c r="J798" s="9" t="str">
        <f>VLOOKUP($A798,[4]cliqccee!$A:$AK,26,FALSE)</f>
        <v>3,380000</v>
      </c>
      <c r="K798" s="9" t="str">
        <f>VLOOKUP($A798,[4]cliqccee!$A:$AK,10,FALSE)</f>
        <v>Validado</v>
      </c>
      <c r="L798" s="9" t="str">
        <f>VLOOKUP($A798,[4]cliqccee!$A:$AK,32,FALSE)</f>
        <v>FLAT</v>
      </c>
      <c r="M798" s="9" t="str">
        <f>VLOOKUP($A798,[4]cliqccee!$A:$AK,33,FALSE)</f>
        <v>Validado</v>
      </c>
      <c r="N798" s="499">
        <f t="shared" si="290"/>
        <v>0</v>
      </c>
    </row>
    <row r="799" spans="1:14" ht="11.25" x14ac:dyDescent="0.2">
      <c r="A799" s="167">
        <v>94575</v>
      </c>
      <c r="B799" s="168" t="s">
        <v>103</v>
      </c>
      <c r="C799" s="167" t="s">
        <v>71</v>
      </c>
      <c r="D799" s="169" t="s">
        <v>78</v>
      </c>
      <c r="E799" s="79">
        <f t="shared" si="288"/>
        <v>1.64</v>
      </c>
      <c r="F799" s="83">
        <f>[5]LP_TIMELINE_MWh!$AY$24</f>
        <v>1220.1599999999999</v>
      </c>
      <c r="G799" s="83">
        <f>[5]LONGO_PRAZO!$AQ$24</f>
        <v>267.50983374416529</v>
      </c>
      <c r="H799" s="170">
        <f t="shared" si="289"/>
        <v>326404.79874128068</v>
      </c>
      <c r="J799" s="9" t="str">
        <f>VLOOKUP($A799,[4]cliqccee!$A:$AK,26,FALSE)</f>
        <v>1,640000</v>
      </c>
      <c r="K799" s="9" t="str">
        <f>VLOOKUP($A799,[4]cliqccee!$A:$AK,10,FALSE)</f>
        <v>Validado</v>
      </c>
      <c r="L799" s="9" t="str">
        <f>VLOOKUP($A799,[4]cliqccee!$A:$AK,32,FALSE)</f>
        <v>FLAT</v>
      </c>
      <c r="M799" s="9" t="str">
        <f>VLOOKUP($A799,[4]cliqccee!$A:$AK,33,FALSE)</f>
        <v>Validado</v>
      </c>
      <c r="N799" s="499">
        <f t="shared" si="290"/>
        <v>0</v>
      </c>
    </row>
    <row r="800" spans="1:14" ht="11.25" x14ac:dyDescent="0.2">
      <c r="A800" s="167">
        <v>103851</v>
      </c>
      <c r="B800" s="168" t="s">
        <v>109</v>
      </c>
      <c r="C800" s="167" t="s">
        <v>71</v>
      </c>
      <c r="D800" s="169" t="s">
        <v>78</v>
      </c>
      <c r="E800" s="79">
        <f t="shared" si="288"/>
        <v>5.67</v>
      </c>
      <c r="F800" s="83">
        <f>[5]LP_TIMELINE_MWh!$AY$25</f>
        <v>4218.4799999999996</v>
      </c>
      <c r="G800" s="83">
        <f>[5]LONGO_PRAZO!$AQ$25</f>
        <v>267.50983374416529</v>
      </c>
      <c r="H800" s="170">
        <f t="shared" si="289"/>
        <v>1128484.8834530863</v>
      </c>
      <c r="J800" s="9" t="str">
        <f>VLOOKUP($A800,[4]cliqccee!$A:$AK,26,FALSE)</f>
        <v>5,670000</v>
      </c>
      <c r="K800" s="9" t="str">
        <f>VLOOKUP($A800,[4]cliqccee!$A:$AK,10,FALSE)</f>
        <v>Validado</v>
      </c>
      <c r="L800" s="9" t="str">
        <f>VLOOKUP($A800,[4]cliqccee!$A:$AK,32,FALSE)</f>
        <v>FLAT</v>
      </c>
      <c r="M800" s="9" t="str">
        <f>VLOOKUP($A800,[4]cliqccee!$A:$AK,33,FALSE)</f>
        <v>Validado</v>
      </c>
      <c r="N800" s="499">
        <f t="shared" si="290"/>
        <v>0</v>
      </c>
    </row>
    <row r="801" spans="1:14" ht="11.25" x14ac:dyDescent="0.2">
      <c r="A801" s="167">
        <v>114877</v>
      </c>
      <c r="B801" s="168" t="s">
        <v>107</v>
      </c>
      <c r="C801" s="167" t="s">
        <v>71</v>
      </c>
      <c r="D801" s="169" t="s">
        <v>78</v>
      </c>
      <c r="E801" s="79">
        <f t="shared" si="288"/>
        <v>1.86</v>
      </c>
      <c r="F801" s="83">
        <f>[5]LP_TIMELINE_MWh!$AY$26</f>
        <v>1383.8400000000001</v>
      </c>
      <c r="G801" s="83">
        <f>[5]LONGO_PRAZO!$AQ$26</f>
        <v>267.50983374416529</v>
      </c>
      <c r="H801" s="170">
        <f t="shared" si="289"/>
        <v>370190.80832852575</v>
      </c>
      <c r="J801" s="9" t="str">
        <f>VLOOKUP($A801,[4]cliqccee!$A:$AK,26,FALSE)</f>
        <v>1,860000</v>
      </c>
      <c r="K801" s="9" t="str">
        <f>VLOOKUP($A801,[4]cliqccee!$A:$AK,10,FALSE)</f>
        <v>Validado</v>
      </c>
      <c r="L801" s="9" t="str">
        <f>VLOOKUP($A801,[4]cliqccee!$A:$AK,32,FALSE)</f>
        <v>FLAT</v>
      </c>
      <c r="M801" s="9" t="str">
        <f>VLOOKUP($A801,[4]cliqccee!$A:$AK,33,FALSE)</f>
        <v>Validado</v>
      </c>
      <c r="N801" s="499">
        <f t="shared" si="290"/>
        <v>0</v>
      </c>
    </row>
    <row r="802" spans="1:14" ht="11.25" x14ac:dyDescent="0.2">
      <c r="A802" s="167">
        <v>114886</v>
      </c>
      <c r="B802" s="168" t="s">
        <v>108</v>
      </c>
      <c r="C802" s="167" t="s">
        <v>71</v>
      </c>
      <c r="D802" s="169" t="s">
        <v>78</v>
      </c>
      <c r="E802" s="79">
        <f t="shared" si="288"/>
        <v>1.98</v>
      </c>
      <c r="F802" s="83">
        <f>[5]LP_TIMELINE_MWh!$AY$27</f>
        <v>1473.12</v>
      </c>
      <c r="G802" s="83">
        <f>[5]LONGO_PRAZO!$AQ$27</f>
        <v>267.50983374416529</v>
      </c>
      <c r="H802" s="170">
        <f t="shared" si="289"/>
        <v>394074.08628520474</v>
      </c>
      <c r="J802" s="9" t="str">
        <f>VLOOKUP($A802,[4]cliqccee!$A:$AK,26,FALSE)</f>
        <v>1,980000</v>
      </c>
      <c r="K802" s="9" t="str">
        <f>VLOOKUP($A802,[4]cliqccee!$A:$AK,10,FALSE)</f>
        <v>Validado</v>
      </c>
      <c r="L802" s="9" t="str">
        <f>VLOOKUP($A802,[4]cliqccee!$A:$AK,32,FALSE)</f>
        <v>FLAT</v>
      </c>
      <c r="M802" s="9" t="str">
        <f>VLOOKUP($A802,[4]cliqccee!$A:$AK,33,FALSE)</f>
        <v>Validado</v>
      </c>
      <c r="N802" s="499">
        <f t="shared" si="290"/>
        <v>0</v>
      </c>
    </row>
    <row r="803" spans="1:14" ht="11.25" x14ac:dyDescent="0.2">
      <c r="A803" s="167">
        <v>134245</v>
      </c>
      <c r="B803" s="168" t="s">
        <v>245</v>
      </c>
      <c r="C803" s="167" t="s">
        <v>71</v>
      </c>
      <c r="D803" s="169" t="s">
        <v>78</v>
      </c>
      <c r="E803" s="79">
        <f t="shared" si="288"/>
        <v>0</v>
      </c>
      <c r="F803" s="83">
        <f>VLOOKUP(A803,$A$56:$H$69,6,FALSE)</f>
        <v>0</v>
      </c>
      <c r="G803" s="83">
        <f>VLOOKUP(A803,$A$56:$H$69,7,FALSE)</f>
        <v>0</v>
      </c>
      <c r="H803" s="170">
        <f t="shared" si="289"/>
        <v>0</v>
      </c>
      <c r="J803" s="9" t="str">
        <f>VLOOKUP($A803,[4]cliqccee!$A:$AK,26,FALSE)</f>
        <v>0,000000</v>
      </c>
      <c r="K803" s="9" t="str">
        <f>VLOOKUP($A803,[4]cliqccee!$A:$AK,10,FALSE)</f>
        <v>Validado</v>
      </c>
      <c r="L803" s="9" t="str">
        <f>VLOOKUP($A803,[4]cliqccee!$A:$AK,32,FALSE)</f>
        <v>FLAT</v>
      </c>
      <c r="M803" s="9" t="str">
        <f>VLOOKUP($A803,[4]cliqccee!$A:$AK,33,FALSE)</f>
        <v>Validado</v>
      </c>
      <c r="N803" s="499">
        <f t="shared" si="290"/>
        <v>0</v>
      </c>
    </row>
    <row r="804" spans="1:14" ht="11.25" x14ac:dyDescent="0.2">
      <c r="A804" s="167">
        <v>566783</v>
      </c>
      <c r="B804" s="168" t="s">
        <v>246</v>
      </c>
      <c r="C804" s="167" t="s">
        <v>71</v>
      </c>
      <c r="D804" s="169" t="s">
        <v>78</v>
      </c>
      <c r="E804" s="79">
        <f t="shared" si="288"/>
        <v>0</v>
      </c>
      <c r="F804" s="83">
        <f>VLOOKUP(A804,$A$202:$H$215,6,FALSE)</f>
        <v>0</v>
      </c>
      <c r="G804" s="83">
        <f>VLOOKUP(A804,$A$202:$H$215,7,FALSE)</f>
        <v>0</v>
      </c>
      <c r="H804" s="170">
        <f t="shared" si="289"/>
        <v>0</v>
      </c>
      <c r="J804" s="9" t="str">
        <f>VLOOKUP($A804,[4]cliqccee!$A:$AK,26,FALSE)</f>
        <v>0,000000</v>
      </c>
      <c r="K804" s="9" t="str">
        <f>VLOOKUP($A804,[4]cliqccee!$A:$AK,10,FALSE)</f>
        <v>Validado</v>
      </c>
      <c r="L804" s="9" t="str">
        <f>VLOOKUP($A804,[4]cliqccee!$A:$AK,32,FALSE)</f>
        <v>FLAT</v>
      </c>
      <c r="M804" s="9" t="str">
        <f>VLOOKUP($A804,[4]cliqccee!$A:$AK,33,FALSE)</f>
        <v>Validado</v>
      </c>
      <c r="N804" s="499">
        <f t="shared" si="290"/>
        <v>0</v>
      </c>
    </row>
    <row r="805" spans="1:14" ht="11.25" x14ac:dyDescent="0.2">
      <c r="A805" s="167">
        <v>751962</v>
      </c>
      <c r="B805" s="168" t="s">
        <v>158</v>
      </c>
      <c r="C805" s="167" t="s">
        <v>71</v>
      </c>
      <c r="D805" s="169" t="s">
        <v>78</v>
      </c>
      <c r="E805" s="79">
        <f t="shared" si="288"/>
        <v>14.755000000000001</v>
      </c>
      <c r="F805" s="83">
        <f>[5]LP_TIMELINE_MWh!$AY$5</f>
        <v>10977.720000000001</v>
      </c>
      <c r="G805" s="83">
        <f>[5]LONGO_PRAZO!$AQ$5</f>
        <v>267.50983374416529</v>
      </c>
      <c r="H805" s="170">
        <f t="shared" si="289"/>
        <v>2936648.0520899985</v>
      </c>
      <c r="J805" s="9" t="str">
        <f>VLOOKUP($A805,[4]cliqccee!$A:$AK,26,FALSE)</f>
        <v>14,755000</v>
      </c>
      <c r="K805" s="9" t="str">
        <f>VLOOKUP($A805,[4]cliqccee!$A:$AK,10,FALSE)</f>
        <v>Validado</v>
      </c>
      <c r="L805" s="9" t="str">
        <f>VLOOKUP($A805,[4]cliqccee!$A:$AK,32,FALSE)</f>
        <v>FLAT</v>
      </c>
      <c r="M805" s="9" t="str">
        <f>VLOOKUP($A805,[4]cliqccee!$A:$AK,33,FALSE)</f>
        <v>Validado</v>
      </c>
      <c r="N805" s="499">
        <f t="shared" si="290"/>
        <v>0</v>
      </c>
    </row>
    <row r="806" spans="1:14" ht="11.25" x14ac:dyDescent="0.2">
      <c r="A806" s="167">
        <v>751963</v>
      </c>
      <c r="B806" s="168" t="s">
        <v>159</v>
      </c>
      <c r="C806" s="167" t="s">
        <v>71</v>
      </c>
      <c r="D806" s="169" t="s">
        <v>78</v>
      </c>
      <c r="E806" s="79">
        <f t="shared" si="288"/>
        <v>10.93</v>
      </c>
      <c r="F806" s="83">
        <f>[5]LP_TIMELINE_MWh!$AY$8</f>
        <v>8131.92</v>
      </c>
      <c r="G806" s="83">
        <f>[5]LONGO_PRAZO!$AQ$8</f>
        <v>267.47161805363038</v>
      </c>
      <c r="H806" s="170">
        <f t="shared" si="289"/>
        <v>2175057.8002826781</v>
      </c>
      <c r="J806" s="9" t="str">
        <f>VLOOKUP($A806,[4]cliqccee!$A:$AK,26,FALSE)</f>
        <v>10,930000</v>
      </c>
      <c r="K806" s="9" t="str">
        <f>VLOOKUP($A806,[4]cliqccee!$A:$AK,10,FALSE)</f>
        <v>Validado</v>
      </c>
      <c r="L806" s="9" t="str">
        <f>VLOOKUP($A806,[4]cliqccee!$A:$AK,32,FALSE)</f>
        <v>FLAT</v>
      </c>
      <c r="M806" s="9" t="str">
        <f>VLOOKUP($A806,[4]cliqccee!$A:$AK,33,FALSE)</f>
        <v>Validado</v>
      </c>
      <c r="N806" s="499">
        <f t="shared" si="290"/>
        <v>0</v>
      </c>
    </row>
    <row r="807" spans="1:14" ht="11.25" x14ac:dyDescent="0.2">
      <c r="A807" s="167">
        <v>751964</v>
      </c>
      <c r="B807" s="168" t="s">
        <v>160</v>
      </c>
      <c r="C807" s="167" t="s">
        <v>71</v>
      </c>
      <c r="D807" s="169" t="s">
        <v>78</v>
      </c>
      <c r="E807" s="79">
        <f t="shared" si="288"/>
        <v>8.4380000000000006</v>
      </c>
      <c r="F807" s="83">
        <f>[5]LP_TIMELINE_MWh!$AY$6</f>
        <v>6277.8720000000003</v>
      </c>
      <c r="G807" s="83">
        <f>[5]LONGO_PRAZO!$AQ$6</f>
        <v>267.50983374416529</v>
      </c>
      <c r="H807" s="170">
        <f t="shared" si="289"/>
        <v>1679392.4949871504</v>
      </c>
      <c r="J807" s="9" t="str">
        <f>VLOOKUP($A807,[4]cliqccee!$A:$AK,26,FALSE)</f>
        <v>8,438000</v>
      </c>
      <c r="K807" s="9" t="str">
        <f>VLOOKUP($A807,[4]cliqccee!$A:$AK,10,FALSE)</f>
        <v>Validado</v>
      </c>
      <c r="L807" s="9" t="str">
        <f>VLOOKUP($A807,[4]cliqccee!$A:$AK,32,FALSE)</f>
        <v>FLAT</v>
      </c>
      <c r="M807" s="9" t="str">
        <f>VLOOKUP($A807,[4]cliqccee!$A:$AK,33,FALSE)</f>
        <v>Validado</v>
      </c>
      <c r="N807" s="499">
        <f t="shared" si="290"/>
        <v>0</v>
      </c>
    </row>
    <row r="808" spans="1:14" ht="11.25" x14ac:dyDescent="0.2">
      <c r="A808" s="167">
        <v>751965</v>
      </c>
      <c r="B808" s="168" t="s">
        <v>161</v>
      </c>
      <c r="C808" s="167" t="s">
        <v>71</v>
      </c>
      <c r="D808" s="169" t="s">
        <v>78</v>
      </c>
      <c r="E808" s="79">
        <f t="shared" si="288"/>
        <v>6.44</v>
      </c>
      <c r="F808" s="83">
        <f>[5]LP_TIMELINE_MWh!$AY$9</f>
        <v>4791.3600000000006</v>
      </c>
      <c r="G808" s="83">
        <f>[5]LONGO_PRAZO!$AQ$9</f>
        <v>267.50983374416529</v>
      </c>
      <c r="H808" s="170">
        <f t="shared" si="289"/>
        <v>1281735.917008444</v>
      </c>
      <c r="J808" s="9" t="str">
        <f>VLOOKUP($A808,[4]cliqccee!$A:$AK,26,FALSE)</f>
        <v>6,440000</v>
      </c>
      <c r="K808" s="9" t="str">
        <f>VLOOKUP($A808,[4]cliqccee!$A:$AK,10,FALSE)</f>
        <v>Validado</v>
      </c>
      <c r="L808" s="9" t="str">
        <f>VLOOKUP($A808,[4]cliqccee!$A:$AK,32,FALSE)</f>
        <v>FLAT</v>
      </c>
      <c r="M808" s="9" t="str">
        <f>VLOOKUP($A808,[4]cliqccee!$A:$AK,33,FALSE)</f>
        <v>Validado</v>
      </c>
      <c r="N808" s="499">
        <f t="shared" si="290"/>
        <v>0</v>
      </c>
    </row>
    <row r="809" spans="1:14" ht="11.25" x14ac:dyDescent="0.2">
      <c r="A809" s="167">
        <v>751966</v>
      </c>
      <c r="B809" s="168" t="s">
        <v>162</v>
      </c>
      <c r="C809" s="167" t="s">
        <v>71</v>
      </c>
      <c r="D809" s="169" t="s">
        <v>78</v>
      </c>
      <c r="E809" s="79">
        <f t="shared" si="288"/>
        <v>4.16</v>
      </c>
      <c r="F809" s="83">
        <f>[5]LP_TIMELINE_MWh!$AY$7</f>
        <v>3095.04</v>
      </c>
      <c r="G809" s="83">
        <f>[5]LONGO_PRAZO!$AQ$7</f>
        <v>267.50983374416529</v>
      </c>
      <c r="H809" s="170">
        <f t="shared" si="289"/>
        <v>827953.63583154138</v>
      </c>
      <c r="J809" s="9" t="str">
        <f>VLOOKUP($A809,[4]cliqccee!$A:$AK,26,FALSE)</f>
        <v>4,160000</v>
      </c>
      <c r="K809" s="9" t="str">
        <f>VLOOKUP($A809,[4]cliqccee!$A:$AK,10,FALSE)</f>
        <v>Validado</v>
      </c>
      <c r="L809" s="9" t="str">
        <f>VLOOKUP($A809,[4]cliqccee!$A:$AK,32,FALSE)</f>
        <v>FLAT</v>
      </c>
      <c r="M809" s="9" t="str">
        <f>VLOOKUP($A809,[4]cliqccee!$A:$AK,33,FALSE)</f>
        <v>Validado</v>
      </c>
      <c r="N809" s="499">
        <f t="shared" si="290"/>
        <v>0</v>
      </c>
    </row>
    <row r="810" spans="1:14" ht="11.25" x14ac:dyDescent="0.2">
      <c r="A810" s="167">
        <v>751967</v>
      </c>
      <c r="B810" s="168" t="s">
        <v>163</v>
      </c>
      <c r="C810" s="167" t="s">
        <v>71</v>
      </c>
      <c r="D810" s="169" t="s">
        <v>78</v>
      </c>
      <c r="E810" s="79">
        <f t="shared" si="288"/>
        <v>4.7880000000000003</v>
      </c>
      <c r="F810" s="83">
        <f>[5]LP_TIMELINE_MWh!$AY$10</f>
        <v>3562.2720000000004</v>
      </c>
      <c r="G810" s="83">
        <f>[5]LONGO_PRAZO!$AQ$10</f>
        <v>267.50983374416529</v>
      </c>
      <c r="H810" s="170">
        <f t="shared" si="289"/>
        <v>952942.79047149525</v>
      </c>
      <c r="J810" s="9" t="str">
        <f>VLOOKUP($A810,[4]cliqccee!$A:$AK,26,FALSE)</f>
        <v>4,788000</v>
      </c>
      <c r="K810" s="9" t="str">
        <f>VLOOKUP($A810,[4]cliqccee!$A:$AK,10,FALSE)</f>
        <v>Validado</v>
      </c>
      <c r="L810" s="9" t="str">
        <f>VLOOKUP($A810,[4]cliqccee!$A:$AK,32,FALSE)</f>
        <v>FLAT</v>
      </c>
      <c r="M810" s="9" t="str">
        <f>VLOOKUP($A810,[4]cliqccee!$A:$AK,33,FALSE)</f>
        <v>Validado</v>
      </c>
      <c r="N810" s="499">
        <f t="shared" si="290"/>
        <v>0</v>
      </c>
    </row>
    <row r="811" spans="1:14" ht="11.25" x14ac:dyDescent="0.2">
      <c r="A811" s="167">
        <v>887537</v>
      </c>
      <c r="B811" s="168" t="s">
        <v>231</v>
      </c>
      <c r="C811" s="167" t="s">
        <v>71</v>
      </c>
      <c r="D811" s="169" t="s">
        <v>78</v>
      </c>
      <c r="E811" s="79">
        <f t="shared" si="288"/>
        <v>1.94</v>
      </c>
      <c r="F811" s="83">
        <f>[5]LP_TIMELINE_MWh!$AY$4</f>
        <v>1443.36</v>
      </c>
      <c r="G811" s="83">
        <f>[5]LONGO_PRAZO!$AQ$4</f>
        <v>268.25851919471961</v>
      </c>
      <c r="H811" s="170">
        <f t="shared" si="289"/>
        <v>387193.61626489047</v>
      </c>
      <c r="J811" s="9" t="str">
        <f>VLOOKUP($A811,[4]cliqccee!$A:$AK,26,FALSE)</f>
        <v>1,940000</v>
      </c>
      <c r="K811" s="9" t="str">
        <f>VLOOKUP($A811,[4]cliqccee!$A:$AK,10,FALSE)</f>
        <v>Validado</v>
      </c>
      <c r="L811" s="9" t="str">
        <f>VLOOKUP($A811,[4]cliqccee!$A:$AK,32,FALSE)</f>
        <v>FLAT</v>
      </c>
      <c r="M811" s="9" t="str">
        <f>VLOOKUP($A811,[4]cliqccee!$A:$AK,33,FALSE)</f>
        <v>Ajustado Validado</v>
      </c>
      <c r="N811" s="499">
        <f t="shared" si="290"/>
        <v>0</v>
      </c>
    </row>
    <row r="812" spans="1:14" ht="11.25" x14ac:dyDescent="0.2">
      <c r="A812" s="167">
        <v>1117355</v>
      </c>
      <c r="B812" s="168" t="s">
        <v>417</v>
      </c>
      <c r="C812" s="167" t="s">
        <v>71</v>
      </c>
      <c r="D812" s="169" t="s">
        <v>232</v>
      </c>
      <c r="E812" s="79">
        <f t="shared" ref="E812" si="291">ROUND(F812/$B$33,6)</f>
        <v>9.5444189999999995</v>
      </c>
      <c r="F812" s="262">
        <f xml:space="preserve"> 9.544419 * $B$33</f>
        <v>7101.0477359999995</v>
      </c>
      <c r="G812" s="83">
        <f>[5]LONGO_PRAZO!$AQ$58</f>
        <v>184.06291811706444</v>
      </c>
      <c r="H812" s="170">
        <f t="shared" si="289"/>
        <v>1307039.5679767337</v>
      </c>
      <c r="I812" s="262">
        <f xml:space="preserve"> 9.544419 * $B$33</f>
        <v>7101.0477359999995</v>
      </c>
      <c r="J812" s="9" t="str">
        <f>VLOOKUP($A812,[4]cliqccee!$A:$AK,26,FALSE)</f>
        <v>12,955904</v>
      </c>
      <c r="K812" s="9" t="str">
        <f>VLOOKUP($A812,[4]cliqccee!$A:$AK,10,FALSE)</f>
        <v>Validado</v>
      </c>
      <c r="L812" s="9" t="str">
        <f>VLOOKUP($A812,[4]cliqccee!$A:$AK,32,FALSE)</f>
        <v>FLAT</v>
      </c>
      <c r="M812" s="9" t="str">
        <f>VLOOKUP($A812,[4]cliqccee!$A:$AK,33,FALSE)</f>
        <v>Ajustado Validado</v>
      </c>
      <c r="N812" s="499">
        <f t="shared" si="290"/>
        <v>3.4114850000000008</v>
      </c>
    </row>
    <row r="813" spans="1:14" ht="11.25" x14ac:dyDescent="0.2">
      <c r="A813" s="167">
        <v>1117360</v>
      </c>
      <c r="B813" s="168" t="s">
        <v>418</v>
      </c>
      <c r="C813" s="167" t="s">
        <v>71</v>
      </c>
      <c r="D813" s="169" t="s">
        <v>232</v>
      </c>
      <c r="E813" s="79">
        <f t="shared" ref="E813" si="292">ROUND(F813/$B$33,6)</f>
        <v>14.162718999999999</v>
      </c>
      <c r="F813" s="262">
        <f xml:space="preserve"> 14.162719 * $B$33</f>
        <v>10537.062936</v>
      </c>
      <c r="G813" s="83">
        <f>[5]LONGO_PRAZO!$AQ$58</f>
        <v>184.06291811706444</v>
      </c>
      <c r="H813" s="170">
        <f t="shared" ref="H813" si="293">F813*G813</f>
        <v>1939482.5523833227</v>
      </c>
      <c r="I813" s="262">
        <f xml:space="preserve"> 14.162719 * $B$33</f>
        <v>10537.062936</v>
      </c>
      <c r="J813" s="9" t="str">
        <f>VLOOKUP($A813,[4]cliqccee!$A:$AK,26,FALSE)</f>
        <v>16,292456</v>
      </c>
      <c r="K813" s="9" t="str">
        <f>VLOOKUP($A813,[4]cliqccee!$A:$AK,10,FALSE)</f>
        <v>Validado</v>
      </c>
      <c r="L813" s="9" t="str">
        <f>VLOOKUP($A813,[4]cliqccee!$A:$AK,32,FALSE)</f>
        <v>FLAT</v>
      </c>
      <c r="M813" s="9" t="str">
        <f>VLOOKUP($A813,[4]cliqccee!$A:$AK,33,FALSE)</f>
        <v>Ajustado Validado</v>
      </c>
      <c r="N813" s="499">
        <f t="shared" si="290"/>
        <v>2.1297370000000022</v>
      </c>
    </row>
    <row r="814" spans="1:14" ht="11.25" x14ac:dyDescent="0.2">
      <c r="A814" s="167">
        <v>1117363</v>
      </c>
      <c r="B814" s="168" t="s">
        <v>419</v>
      </c>
      <c r="C814" s="167" t="s">
        <v>71</v>
      </c>
      <c r="D814" s="169" t="s">
        <v>232</v>
      </c>
      <c r="E814" s="79">
        <f>ROUND(F814/$B$33,6)</f>
        <v>9.8607189999999996</v>
      </c>
      <c r="F814" s="262">
        <f xml:space="preserve"> 9.860719* $B$33</f>
        <v>7336.3749359999993</v>
      </c>
      <c r="G814" s="83">
        <f>[5]LONGO_PRAZO!$AQ$58</f>
        <v>184.06291811706444</v>
      </c>
      <c r="H814" s="170">
        <f>F815*G814</f>
        <v>1319052.6021930254</v>
      </c>
      <c r="I814" s="262">
        <f xml:space="preserve"> 9.860719* $B$33</f>
        <v>7336.3749359999993</v>
      </c>
      <c r="J814" s="9" t="str">
        <f>VLOOKUP($A814,[4]cliqccee!$A:$AK,26,FALSE)</f>
        <v>7,945426</v>
      </c>
      <c r="K814" s="9" t="str">
        <f>VLOOKUP($A814,[4]cliqccee!$A:$AK,10,FALSE)</f>
        <v>Validado</v>
      </c>
      <c r="L814" s="9" t="str">
        <f>VLOOKUP($A814,[4]cliqccee!$A:$AK,32,FALSE)</f>
        <v>FLAT</v>
      </c>
      <c r="M814" s="9" t="str">
        <f>VLOOKUP($A814,[4]cliqccee!$A:$AK,33,FALSE)</f>
        <v>Ajustado Validado</v>
      </c>
      <c r="N814" s="499">
        <f t="shared" si="290"/>
        <v>-1.9152929999999992</v>
      </c>
    </row>
    <row r="815" spans="1:14" ht="11.25" x14ac:dyDescent="0.2">
      <c r="A815" s="167">
        <v>1117361</v>
      </c>
      <c r="B815" s="168" t="s">
        <v>420</v>
      </c>
      <c r="C815" s="167" t="s">
        <v>71</v>
      </c>
      <c r="D815" s="169" t="s">
        <v>232</v>
      </c>
      <c r="E815" s="79">
        <f>ROUND(F815/$B$33,6)</f>
        <v>9.632142</v>
      </c>
      <c r="F815" s="262">
        <f xml:space="preserve"> 9.632142* $B$33</f>
        <v>7166.3136480000003</v>
      </c>
      <c r="G815" s="83">
        <f>[5]LONGO_PRAZO!$AQ$58</f>
        <v>184.06291811706444</v>
      </c>
      <c r="H815" s="170">
        <f>F814*G815</f>
        <v>1350354.5791210518</v>
      </c>
      <c r="I815" s="262">
        <f xml:space="preserve"> 9.632142* $B$33</f>
        <v>7166.3136480000003</v>
      </c>
      <c r="J815" s="9" t="str">
        <f>VLOOKUP($A815,[4]cliqccee!$A:$AK,26,FALSE)</f>
        <v>11,723771</v>
      </c>
      <c r="K815" s="9" t="str">
        <f>VLOOKUP($A815,[4]cliqccee!$A:$AK,10,FALSE)</f>
        <v>Validado</v>
      </c>
      <c r="L815" s="9" t="str">
        <f>VLOOKUP($A815,[4]cliqccee!$A:$AK,32,FALSE)</f>
        <v>FLAT</v>
      </c>
      <c r="M815" s="9" t="str">
        <f>VLOOKUP($A815,[4]cliqccee!$A:$AK,33,FALSE)</f>
        <v>Ajustado Validado</v>
      </c>
      <c r="N815" s="499">
        <f t="shared" si="290"/>
        <v>2.0916289999999993</v>
      </c>
    </row>
    <row r="816" spans="1:14" ht="11.25" x14ac:dyDescent="0.2">
      <c r="A816" s="167"/>
      <c r="B816" s="504"/>
      <c r="C816" s="406"/>
      <c r="D816" s="505"/>
      <c r="E816" s="501"/>
      <c r="F816" s="262"/>
      <c r="G816" s="500"/>
      <c r="H816" s="506"/>
      <c r="J816" s="9" t="e">
        <f>VLOOKUP($A816,[4]cliqccee!$A:$AK,26,FALSE)</f>
        <v>#N/A</v>
      </c>
      <c r="K816" s="9" t="e">
        <f>VLOOKUP($A816,[4]cliqccee!$A:$AK,10,FALSE)</f>
        <v>#N/A</v>
      </c>
      <c r="L816" s="9" t="e">
        <f>VLOOKUP($A816,[4]cliqccee!$A:$AK,32,FALSE)</f>
        <v>#N/A</v>
      </c>
      <c r="M816" s="9" t="e">
        <f>VLOOKUP($A816,[4]cliqccee!$A:$AK,33,FALSE)</f>
        <v>#N/A</v>
      </c>
      <c r="N816" s="499" t="e">
        <f t="shared" si="290"/>
        <v>#N/A</v>
      </c>
    </row>
    <row r="817" spans="1:23" ht="11.25" x14ac:dyDescent="0.2">
      <c r="A817" s="167"/>
      <c r="B817" s="168"/>
      <c r="C817" s="167"/>
      <c r="D817" s="169"/>
      <c r="E817" s="79"/>
      <c r="G817" s="83"/>
      <c r="H817" s="170"/>
      <c r="J817" s="9" t="e">
        <f>VLOOKUP($A817,[4]cliqccee!$A:$AK,26,FALSE)</f>
        <v>#N/A</v>
      </c>
      <c r="K817" s="9" t="e">
        <f>VLOOKUP($A817,[4]cliqccee!$A:$AK,10,FALSE)</f>
        <v>#N/A</v>
      </c>
      <c r="L817" s="9" t="e">
        <f>VLOOKUP($A817,[4]cliqccee!$A:$AK,32,FALSE)</f>
        <v>#N/A</v>
      </c>
      <c r="M817" s="9" t="e">
        <f>VLOOKUP($A817,[4]cliqccee!$A:$AK,33,FALSE)</f>
        <v>#N/A</v>
      </c>
      <c r="N817" s="499" t="e">
        <f t="shared" si="290"/>
        <v>#N/A</v>
      </c>
    </row>
    <row r="818" spans="1:23" ht="11.25" x14ac:dyDescent="0.2">
      <c r="A818" s="217"/>
      <c r="B818" s="217"/>
      <c r="C818" s="217"/>
      <c r="D818" s="217"/>
      <c r="E818" s="218"/>
      <c r="F818" s="219"/>
      <c r="G818" s="220"/>
      <c r="H818" s="221"/>
      <c r="J818" s="393"/>
      <c r="K818" s="393"/>
      <c r="L818" s="393"/>
      <c r="M818" s="393"/>
      <c r="N818" s="418"/>
    </row>
    <row r="819" spans="1:23" ht="11.25" x14ac:dyDescent="0.2">
      <c r="A819" s="80" t="s">
        <v>32</v>
      </c>
      <c r="B819" s="421"/>
      <c r="C819" s="421"/>
      <c r="D819" s="422"/>
      <c r="E819" s="81">
        <f>SUM(E795:E818)</f>
        <v>131.82099899999997</v>
      </c>
      <c r="F819" s="84">
        <f>SUM(F795:F818)</f>
        <v>98074.823255999974</v>
      </c>
      <c r="G819" s="82">
        <f>IFERROR(H819/F819,0)</f>
        <v>240.14332862531475</v>
      </c>
      <c r="H819" s="82">
        <f>SUM(H795:H818)</f>
        <v>23552014.511035264</v>
      </c>
      <c r="I819" s="228"/>
      <c r="N819" s="418"/>
    </row>
    <row r="820" spans="1:23" ht="11.25" x14ac:dyDescent="0.2">
      <c r="F820" s="482"/>
      <c r="N820" s="418"/>
    </row>
    <row r="821" spans="1:23" ht="11.25" x14ac:dyDescent="0.2">
      <c r="A821" s="548" t="s">
        <v>76</v>
      </c>
      <c r="B821" s="548"/>
      <c r="C821" s="548"/>
      <c r="D821" s="548"/>
      <c r="E821" s="548"/>
      <c r="F821" s="548"/>
      <c r="G821" s="548"/>
      <c r="H821" s="548"/>
      <c r="N821" s="418"/>
    </row>
    <row r="822" spans="1:23" ht="11.25" x14ac:dyDescent="0.2">
      <c r="A822" s="10" t="s">
        <v>252</v>
      </c>
      <c r="B822" s="10" t="s">
        <v>1</v>
      </c>
      <c r="C822" s="10" t="s">
        <v>2</v>
      </c>
      <c r="D822" s="10" t="s">
        <v>3</v>
      </c>
      <c r="E822" s="10" t="s">
        <v>137</v>
      </c>
      <c r="F822" s="10" t="s">
        <v>25</v>
      </c>
      <c r="G822" s="10" t="s">
        <v>253</v>
      </c>
      <c r="H822" s="10" t="s">
        <v>254</v>
      </c>
      <c r="J822" s="10" t="s">
        <v>72</v>
      </c>
      <c r="K822" s="10" t="s">
        <v>73</v>
      </c>
      <c r="L822" s="10" t="s">
        <v>74</v>
      </c>
      <c r="M822" s="10" t="s">
        <v>75</v>
      </c>
      <c r="N822" s="418"/>
      <c r="O822" s="550" t="s">
        <v>379</v>
      </c>
      <c r="P822" s="551"/>
      <c r="Q822" s="551"/>
      <c r="R822" s="551"/>
      <c r="S822" s="551"/>
      <c r="T822" s="551"/>
      <c r="U822" s="551"/>
      <c r="V822" s="551"/>
      <c r="W822" s="552"/>
    </row>
    <row r="823" spans="1:23" ht="11.25" x14ac:dyDescent="0.2">
      <c r="A823" s="167">
        <v>637036</v>
      </c>
      <c r="B823" s="168" t="s">
        <v>261</v>
      </c>
      <c r="C823" s="167" t="s">
        <v>77</v>
      </c>
      <c r="D823" s="169" t="s">
        <v>232</v>
      </c>
      <c r="E823" s="79">
        <f>ROUND(F823/$B$33,6)</f>
        <v>0</v>
      </c>
      <c r="F823" s="83"/>
      <c r="G823" s="170"/>
      <c r="H823" s="170">
        <f>F823*G823</f>
        <v>0</v>
      </c>
      <c r="I823" s="83"/>
      <c r="J823" s="9" t="str">
        <f>VLOOKUP($A823,[4]cliqccee!$A:$AK,26,FALSE)</f>
        <v>0,000000</v>
      </c>
      <c r="K823" s="9" t="str">
        <f>VLOOKUP($A823,[4]cliqccee!$A:$AK,10,FALSE)</f>
        <v>Validado</v>
      </c>
      <c r="L823" s="9" t="str">
        <f>VLOOKUP($A823,[4]cliqccee!$A:$AK,32,FALSE)</f>
        <v>FLAT</v>
      </c>
      <c r="M823" s="9" t="str">
        <f>VLOOKUP($A823,[4]cliqccee!$A:$AK,33,FALSE)</f>
        <v>Validado</v>
      </c>
      <c r="N823" s="499">
        <f t="shared" ref="N823:N872" si="294">J823-E823</f>
        <v>0</v>
      </c>
      <c r="O823" s="318" t="s">
        <v>3</v>
      </c>
      <c r="P823" s="319" t="s">
        <v>121</v>
      </c>
      <c r="Q823" s="319" t="s">
        <v>122</v>
      </c>
      <c r="R823" s="319" t="s">
        <v>130</v>
      </c>
      <c r="S823" s="319" t="s">
        <v>131</v>
      </c>
      <c r="T823" s="319" t="s">
        <v>25</v>
      </c>
      <c r="U823" s="319" t="s">
        <v>137</v>
      </c>
      <c r="V823" s="319" t="s">
        <v>124</v>
      </c>
      <c r="W823" s="320" t="s">
        <v>125</v>
      </c>
    </row>
    <row r="824" spans="1:23" ht="11.25" x14ac:dyDescent="0.2">
      <c r="A824" s="167">
        <v>637037</v>
      </c>
      <c r="B824" s="168" t="s">
        <v>266</v>
      </c>
      <c r="C824" s="167" t="s">
        <v>77</v>
      </c>
      <c r="D824" s="169" t="s">
        <v>232</v>
      </c>
      <c r="E824" s="79">
        <f>ROUND(F824/$B$33,6)</f>
        <v>0</v>
      </c>
      <c r="F824" s="83"/>
      <c r="G824" s="170"/>
      <c r="H824" s="170">
        <f>F824*G824</f>
        <v>0</v>
      </c>
      <c r="I824" s="83"/>
      <c r="J824" s="9" t="str">
        <f>VLOOKUP($A824,[4]cliqccee!$A:$AK,26,FALSE)</f>
        <v>0,000000</v>
      </c>
      <c r="K824" s="9" t="str">
        <f>VLOOKUP($A824,[4]cliqccee!$A:$AK,10,FALSE)</f>
        <v>Validado</v>
      </c>
      <c r="L824" s="9" t="str">
        <f>VLOOKUP($A824,[4]cliqccee!$A:$AK,32,FALSE)</f>
        <v>FLAT</v>
      </c>
      <c r="M824" s="9" t="str">
        <f>VLOOKUP($A824,[4]cliqccee!$A:$AK,33,FALSE)</f>
        <v>Validado</v>
      </c>
      <c r="N824" s="499">
        <f t="shared" si="294"/>
        <v>0</v>
      </c>
      <c r="O824" s="474" t="s">
        <v>381</v>
      </c>
      <c r="P824" s="474" t="s">
        <v>128</v>
      </c>
      <c r="Q824" s="474" t="s">
        <v>128</v>
      </c>
      <c r="R824" s="475" t="s">
        <v>367</v>
      </c>
      <c r="S824" s="474" t="s">
        <v>50</v>
      </c>
      <c r="T824" s="483">
        <f>F347 - G347</f>
        <v>276.03327518900369</v>
      </c>
      <c r="U824" s="484">
        <f>ROUND(T824/$B$33,6)</f>
        <v>0.37101200000000001</v>
      </c>
      <c r="V824" s="478">
        <f>G356</f>
        <v>246.72</v>
      </c>
      <c r="W824" s="485">
        <f>V824*T824</f>
        <v>68102.929654630992</v>
      </c>
    </row>
    <row r="825" spans="1:23" ht="11.25" x14ac:dyDescent="0.2">
      <c r="A825" s="167">
        <v>558735</v>
      </c>
      <c r="B825" s="168" t="s">
        <v>246</v>
      </c>
      <c r="C825" s="167" t="s">
        <v>77</v>
      </c>
      <c r="D825" s="169" t="s">
        <v>232</v>
      </c>
      <c r="E825" s="79">
        <f>ROUND(F825/$B$33,6)</f>
        <v>0</v>
      </c>
      <c r="F825" s="83"/>
      <c r="G825" s="170"/>
      <c r="H825" s="170">
        <f>F825*G825</f>
        <v>0</v>
      </c>
      <c r="I825" s="83"/>
      <c r="J825" s="9" t="str">
        <f>VLOOKUP($A825,[4]cliqccee!$A:$AK,26,FALSE)</f>
        <v>0,000000</v>
      </c>
      <c r="K825" s="9" t="str">
        <f>VLOOKUP($A825,[4]cliqccee!$A:$AK,10,FALSE)</f>
        <v>Validado</v>
      </c>
      <c r="L825" s="9" t="str">
        <f>VLOOKUP($A825,[4]cliqccee!$A:$AK,32,FALSE)</f>
        <v>FLAT</v>
      </c>
      <c r="M825" s="9" t="str">
        <f>VLOOKUP($A825,[4]cliqccee!$A:$AK,33,FALSE)</f>
        <v>Validado</v>
      </c>
      <c r="N825" s="499">
        <f t="shared" si="294"/>
        <v>0</v>
      </c>
      <c r="O825" s="474" t="s">
        <v>381</v>
      </c>
      <c r="P825" s="474" t="s">
        <v>128</v>
      </c>
      <c r="Q825" s="474" t="s">
        <v>128</v>
      </c>
      <c r="R825" s="475" t="s">
        <v>398</v>
      </c>
      <c r="S825" s="474" t="s">
        <v>50</v>
      </c>
      <c r="T825" s="483">
        <f>F348 - G348</f>
        <v>393.95319340206186</v>
      </c>
      <c r="U825" s="474">
        <f>ROUND(T825/$B$33,6)</f>
        <v>0.52950699999999995</v>
      </c>
      <c r="V825" s="478">
        <f>G356</f>
        <v>246.72</v>
      </c>
      <c r="W825" s="485">
        <f>V825*T825</f>
        <v>97196.131876156694</v>
      </c>
    </row>
    <row r="826" spans="1:23" ht="11.25" x14ac:dyDescent="0.2">
      <c r="A826" s="167">
        <v>569433</v>
      </c>
      <c r="B826" s="168" t="s">
        <v>317</v>
      </c>
      <c r="C826" s="167" t="s">
        <v>77</v>
      </c>
      <c r="D826" s="169" t="s">
        <v>232</v>
      </c>
      <c r="E826" s="79">
        <f>ROUND(F826/$B$33,6)</f>
        <v>0</v>
      </c>
      <c r="F826" s="83"/>
      <c r="G826" s="170"/>
      <c r="H826" s="170">
        <f>F826*G826</f>
        <v>0</v>
      </c>
      <c r="I826" s="83"/>
      <c r="J826" s="9" t="str">
        <f>VLOOKUP($A826,[4]cliqccee!$A:$AK,26,FALSE)</f>
        <v>0,000000</v>
      </c>
      <c r="K826" s="9" t="str">
        <f>VLOOKUP($A826,[4]cliqccee!$A:$AK,10,FALSE)</f>
        <v>Validado</v>
      </c>
      <c r="L826" s="9" t="str">
        <f>VLOOKUP($A826,[4]cliqccee!$A:$AK,32,FALSE)</f>
        <v>FLAT</v>
      </c>
      <c r="M826" s="9" t="str">
        <f>VLOOKUP($A826,[4]cliqccee!$A:$AK,33,FALSE)</f>
        <v>Validado</v>
      </c>
      <c r="N826" s="499">
        <f t="shared" si="294"/>
        <v>0</v>
      </c>
      <c r="O826" s="474" t="s">
        <v>381</v>
      </c>
      <c r="P826" s="474" t="s">
        <v>128</v>
      </c>
      <c r="Q826" s="474" t="s">
        <v>399</v>
      </c>
      <c r="R826" s="475" t="s">
        <v>388</v>
      </c>
      <c r="S826" s="474" t="s">
        <v>50</v>
      </c>
      <c r="T826" s="483">
        <f>F520 - 0</f>
        <v>92.33232854603628</v>
      </c>
      <c r="U826" s="474">
        <f t="shared" ref="U826:U828" si="295">ROUND(T826/$B$33,6)</f>
        <v>0.124103</v>
      </c>
      <c r="V826" s="478">
        <f>G530</f>
        <v>219.51</v>
      </c>
      <c r="W826" s="485">
        <f t="shared" ref="W826:W828" si="296">V826*T826</f>
        <v>20267.869439140424</v>
      </c>
    </row>
    <row r="827" spans="1:23" ht="11.25" x14ac:dyDescent="0.2">
      <c r="A827" s="167">
        <v>768173</v>
      </c>
      <c r="B827" s="168" t="s">
        <v>298</v>
      </c>
      <c r="C827" s="167" t="s">
        <v>77</v>
      </c>
      <c r="D827" s="169" t="s">
        <v>232</v>
      </c>
      <c r="E827" s="79">
        <f>ROUND(F827/$B$33,6)</f>
        <v>0</v>
      </c>
      <c r="F827" s="83"/>
      <c r="G827" s="170"/>
      <c r="H827" s="170">
        <f>F827*G827</f>
        <v>0</v>
      </c>
      <c r="I827" s="83"/>
      <c r="J827" s="9" t="e">
        <f>VLOOKUP($A827,[4]cliqccee!$A:$AK,26,FALSE)</f>
        <v>#N/A</v>
      </c>
      <c r="K827" s="9" t="e">
        <f>VLOOKUP($A827,[4]cliqccee!$A:$AK,10,FALSE)</f>
        <v>#N/A</v>
      </c>
      <c r="L827" s="9" t="e">
        <f>VLOOKUP($A827,[4]cliqccee!$A:$AK,32,FALSE)</f>
        <v>#N/A</v>
      </c>
      <c r="M827" s="9" t="e">
        <f>VLOOKUP($A827,[4]cliqccee!$A:$AK,33,FALSE)</f>
        <v>#N/A</v>
      </c>
      <c r="N827" s="499" t="e">
        <f t="shared" si="294"/>
        <v>#N/A</v>
      </c>
      <c r="O827" s="474" t="s">
        <v>381</v>
      </c>
      <c r="P827" s="474" t="s">
        <v>128</v>
      </c>
      <c r="Q827" s="474" t="s">
        <v>399</v>
      </c>
      <c r="R827" s="475" t="s">
        <v>375</v>
      </c>
      <c r="S827" s="474" t="s">
        <v>50</v>
      </c>
      <c r="T827" s="483">
        <f>F521 - 0</f>
        <v>793.8746480981157</v>
      </c>
      <c r="U827" s="474">
        <f t="shared" si="295"/>
        <v>1.0670360000000001</v>
      </c>
      <c r="V827" s="478">
        <f>G530</f>
        <v>219.51</v>
      </c>
      <c r="W827" s="485">
        <f t="shared" si="296"/>
        <v>174263.42400401738</v>
      </c>
    </row>
    <row r="828" spans="1:23" ht="11.25" x14ac:dyDescent="0.2">
      <c r="A828" s="167">
        <v>880826</v>
      </c>
      <c r="B828" s="168" t="s">
        <v>318</v>
      </c>
      <c r="C828" s="167" t="s">
        <v>77</v>
      </c>
      <c r="D828" s="169" t="s">
        <v>92</v>
      </c>
      <c r="E828" s="79">
        <f t="shared" ref="E828:E829" si="297">ROUND(F828/$B$33,6)</f>
        <v>0</v>
      </c>
      <c r="F828" s="83"/>
      <c r="G828" s="170"/>
      <c r="H828" s="170">
        <f t="shared" ref="H828:H829" si="298">F828*G828</f>
        <v>0</v>
      </c>
      <c r="I828" s="301">
        <f>SUMIFS(F387:F388,D387:D388,D828) -SUMIFS(G387:G388,D387:D388,D828) -SUMIFS(F395,D395,D828) -SUMIFS(F397:F408,D397:D408,D828)</f>
        <v>-23492.756218247436</v>
      </c>
      <c r="J828" s="9" t="str">
        <f>VLOOKUP($A828,[4]cliqccee!$A:$AK,26,FALSE)</f>
        <v>0,000000</v>
      </c>
      <c r="K828" s="9" t="str">
        <f>VLOOKUP($A828,[4]cliqccee!$A:$AK,10,FALSE)</f>
        <v>Validado</v>
      </c>
      <c r="L828" s="9" t="str">
        <f>VLOOKUP($A828,[4]cliqccee!$A:$AK,32,FALSE)</f>
        <v>FLAT</v>
      </c>
      <c r="M828" s="9" t="str">
        <f>VLOOKUP($A828,[4]cliqccee!$A:$AK,33,FALSE)</f>
        <v>Validado</v>
      </c>
      <c r="N828" s="499">
        <f t="shared" si="294"/>
        <v>0</v>
      </c>
      <c r="O828" s="474" t="s">
        <v>381</v>
      </c>
      <c r="P828" s="474" t="s">
        <v>128</v>
      </c>
      <c r="Q828" s="474" t="s">
        <v>399</v>
      </c>
      <c r="R828" s="475" t="s">
        <v>389</v>
      </c>
      <c r="S828" s="474" t="s">
        <v>50</v>
      </c>
      <c r="T828" s="483">
        <f>F522 - 0</f>
        <v>548.15936132243132</v>
      </c>
      <c r="U828" s="474">
        <f t="shared" si="295"/>
        <v>0.73677300000000001</v>
      </c>
      <c r="V828" s="478">
        <f>G530</f>
        <v>219.51</v>
      </c>
      <c r="W828" s="485">
        <f t="shared" si="296"/>
        <v>120326.46140388689</v>
      </c>
    </row>
    <row r="829" spans="1:23" ht="11.25" x14ac:dyDescent="0.2">
      <c r="A829" s="167">
        <v>584517</v>
      </c>
      <c r="B829" s="168" t="s">
        <v>246</v>
      </c>
      <c r="C829" s="167" t="s">
        <v>77</v>
      </c>
      <c r="D829" s="169" t="s">
        <v>92</v>
      </c>
      <c r="E829" s="79">
        <f t="shared" si="297"/>
        <v>0</v>
      </c>
      <c r="F829" s="83"/>
      <c r="G829" s="170"/>
      <c r="H829" s="170">
        <f t="shared" si="298"/>
        <v>0</v>
      </c>
      <c r="I829" s="83"/>
      <c r="J829" s="9" t="str">
        <f>VLOOKUP($A829,[4]cliqccee!$A:$AK,26,FALSE)</f>
        <v>0,000000</v>
      </c>
      <c r="K829" s="9" t="str">
        <f>VLOOKUP($A829,[4]cliqccee!$A:$AK,10,FALSE)</f>
        <v>Validado</v>
      </c>
      <c r="L829" s="9" t="str">
        <f>VLOOKUP($A829,[4]cliqccee!$A:$AK,32,FALSE)</f>
        <v>FLAT</v>
      </c>
      <c r="M829" s="9" t="str">
        <f>VLOOKUP($A829,[4]cliqccee!$A:$AK,33,FALSE)</f>
        <v>Validado</v>
      </c>
      <c r="N829" s="499">
        <f t="shared" si="294"/>
        <v>0</v>
      </c>
      <c r="O829" s="474" t="s">
        <v>381</v>
      </c>
      <c r="P829" s="474" t="s">
        <v>128</v>
      </c>
      <c r="Q829" s="474" t="s">
        <v>382</v>
      </c>
      <c r="R829" s="475" t="s">
        <v>383</v>
      </c>
      <c r="S829" s="474" t="s">
        <v>50</v>
      </c>
      <c r="T829" s="483">
        <f>F933 - 0</f>
        <v>46.228904467353942</v>
      </c>
      <c r="U829" s="474">
        <f>ROUND(T829/$B$33,6)</f>
        <v>6.2135999999999997E-2</v>
      </c>
      <c r="V829" s="478">
        <f>G943</f>
        <v>105.86455645161291</v>
      </c>
      <c r="W829" s="485">
        <f>V829*T829</f>
        <v>4894.002466680412</v>
      </c>
    </row>
    <row r="830" spans="1:23" ht="11.25" x14ac:dyDescent="0.2">
      <c r="A830" s="167">
        <v>566834</v>
      </c>
      <c r="B830" s="168" t="s">
        <v>248</v>
      </c>
      <c r="C830" s="167" t="s">
        <v>77</v>
      </c>
      <c r="D830" s="169" t="s">
        <v>78</v>
      </c>
      <c r="E830" s="79">
        <f t="shared" ref="E830:E845" si="299">ROUND(F830/$B$33,6)</f>
        <v>0</v>
      </c>
      <c r="F830" s="83"/>
      <c r="G830" s="170"/>
      <c r="H830" s="170">
        <f t="shared" ref="H830:H845" si="300">F830*G830</f>
        <v>0</v>
      </c>
      <c r="I830" s="83"/>
      <c r="J830" s="9" t="str">
        <f>VLOOKUP($A830,[4]cliqccee!$A:$AK,26,FALSE)</f>
        <v>0,000000</v>
      </c>
      <c r="K830" s="9" t="str">
        <f>VLOOKUP($A830,[4]cliqccee!$A:$AK,10,FALSE)</f>
        <v>Validado</v>
      </c>
      <c r="L830" s="9" t="str">
        <f>VLOOKUP($A830,[4]cliqccee!$A:$AK,32,FALSE)</f>
        <v>FLAT</v>
      </c>
      <c r="M830" s="9" t="str">
        <f>VLOOKUP($A830,[4]cliqccee!$A:$AK,33,FALSE)</f>
        <v>Validado</v>
      </c>
      <c r="N830" s="499">
        <f t="shared" si="294"/>
        <v>0</v>
      </c>
      <c r="O830" s="418"/>
      <c r="P830" s="418"/>
      <c r="Q830" s="418"/>
      <c r="R830" s="418"/>
      <c r="S830" s="418"/>
      <c r="T830" s="418" t="s">
        <v>16</v>
      </c>
      <c r="U830" s="418"/>
      <c r="V830" s="418"/>
      <c r="W830" s="418"/>
    </row>
    <row r="831" spans="1:23" ht="11.25" x14ac:dyDescent="0.2">
      <c r="A831" s="167">
        <v>947189</v>
      </c>
      <c r="B831" s="168" t="s">
        <v>328</v>
      </c>
      <c r="C831" s="167" t="s">
        <v>77</v>
      </c>
      <c r="D831" s="169" t="s">
        <v>78</v>
      </c>
      <c r="E831" s="79">
        <f t="shared" si="299"/>
        <v>0</v>
      </c>
      <c r="F831" s="83"/>
      <c r="G831" s="170"/>
      <c r="H831" s="170">
        <f t="shared" si="300"/>
        <v>0</v>
      </c>
      <c r="I831" s="83"/>
      <c r="J831" s="9" t="e">
        <f>VLOOKUP($A831,[4]cliqccee!$A:$AK,26,FALSE)</f>
        <v>#N/A</v>
      </c>
      <c r="K831" s="9" t="e">
        <f>VLOOKUP($A831,[4]cliqccee!$A:$AK,10,FALSE)</f>
        <v>#N/A</v>
      </c>
      <c r="L831" s="9" t="e">
        <f>VLOOKUP($A831,[4]cliqccee!$A:$AK,32,FALSE)</f>
        <v>#N/A</v>
      </c>
      <c r="M831" s="9" t="e">
        <f>VLOOKUP($A831,[4]cliqccee!$A:$AK,33,FALSE)</f>
        <v>#N/A</v>
      </c>
      <c r="N831" s="499" t="e">
        <f t="shared" si="294"/>
        <v>#N/A</v>
      </c>
      <c r="O831" s="418"/>
      <c r="P831" s="418"/>
      <c r="Q831" s="418"/>
      <c r="R831" s="418"/>
      <c r="S831" s="418"/>
      <c r="T831" s="418"/>
      <c r="U831" s="418"/>
      <c r="V831" s="418"/>
      <c r="W831" s="418"/>
    </row>
    <row r="832" spans="1:23" ht="11.25" x14ac:dyDescent="0.2">
      <c r="A832" s="167">
        <v>558731</v>
      </c>
      <c r="B832" s="168" t="s">
        <v>279</v>
      </c>
      <c r="C832" s="167" t="s">
        <v>77</v>
      </c>
      <c r="D832" s="169" t="s">
        <v>78</v>
      </c>
      <c r="E832" s="79">
        <f t="shared" si="299"/>
        <v>0</v>
      </c>
      <c r="F832" s="83"/>
      <c r="G832" s="170"/>
      <c r="H832" s="170">
        <f t="shared" si="300"/>
        <v>0</v>
      </c>
      <c r="I832" s="83"/>
      <c r="J832" s="9" t="str">
        <f>VLOOKUP($A832,[4]cliqccee!$A:$AK,26,FALSE)</f>
        <v>0,000000</v>
      </c>
      <c r="K832" s="9" t="str">
        <f>VLOOKUP($A832,[4]cliqccee!$A:$AK,10,FALSE)</f>
        <v>Validado</v>
      </c>
      <c r="L832" s="9" t="str">
        <f>VLOOKUP($A832,[4]cliqccee!$A:$AK,32,FALSE)</f>
        <v>FLAT</v>
      </c>
      <c r="M832" s="9" t="str">
        <f>VLOOKUP($A832,[4]cliqccee!$A:$AK,33,FALSE)</f>
        <v>Validado</v>
      </c>
      <c r="N832" s="499">
        <f t="shared" si="294"/>
        <v>0</v>
      </c>
      <c r="O832" s="418"/>
      <c r="P832" s="418"/>
      <c r="Q832" s="418"/>
      <c r="R832" s="418"/>
      <c r="S832" s="418"/>
      <c r="T832" s="418"/>
      <c r="U832" s="418"/>
      <c r="V832" s="418"/>
      <c r="W832" s="418"/>
    </row>
    <row r="833" spans="1:23" ht="11.25" x14ac:dyDescent="0.2">
      <c r="A833" s="167">
        <v>566833</v>
      </c>
      <c r="B833" s="168" t="s">
        <v>242</v>
      </c>
      <c r="C833" s="167" t="s">
        <v>77</v>
      </c>
      <c r="D833" s="169" t="s">
        <v>78</v>
      </c>
      <c r="E833" s="79">
        <f t="shared" si="299"/>
        <v>0</v>
      </c>
      <c r="F833" s="83"/>
      <c r="G833" s="170"/>
      <c r="H833" s="170">
        <f t="shared" si="300"/>
        <v>0</v>
      </c>
      <c r="I833" s="83"/>
      <c r="J833" s="9" t="str">
        <f>VLOOKUP($A833,[4]cliqccee!$A:$AK,26,FALSE)</f>
        <v>0,000000</v>
      </c>
      <c r="K833" s="9" t="str">
        <f>VLOOKUP($A833,[4]cliqccee!$A:$AK,10,FALSE)</f>
        <v>Validado</v>
      </c>
      <c r="L833" s="9" t="str">
        <f>VLOOKUP($A833,[4]cliqccee!$A:$AK,32,FALSE)</f>
        <v>FLAT</v>
      </c>
      <c r="M833" s="9" t="str">
        <f>VLOOKUP($A833,[4]cliqccee!$A:$AK,33,FALSE)</f>
        <v>Validado</v>
      </c>
      <c r="N833" s="499">
        <f t="shared" si="294"/>
        <v>0</v>
      </c>
      <c r="O833" s="418"/>
      <c r="P833" s="418"/>
      <c r="Q833" s="418"/>
      <c r="R833" s="418"/>
      <c r="S833" s="418"/>
      <c r="T833" s="418"/>
      <c r="U833" s="418"/>
      <c r="V833" s="418"/>
      <c r="W833" s="418"/>
    </row>
    <row r="834" spans="1:23" ht="11.25" x14ac:dyDescent="0.2">
      <c r="A834" s="167">
        <v>1119574</v>
      </c>
      <c r="B834" s="168" t="s">
        <v>237</v>
      </c>
      <c r="C834" s="167" t="s">
        <v>77</v>
      </c>
      <c r="D834" s="169" t="s">
        <v>78</v>
      </c>
      <c r="E834" s="79">
        <f t="shared" si="299"/>
        <v>0.90051899999999996</v>
      </c>
      <c r="F834" s="83">
        <f>SUMIFS(F347:F349,D347:D349,D834) -SUMIFS(G347:G349,D347:D349,D834) -SUMIFS(F355,D355,D834) -SUMIFS(F357:F360,D357:D360,D834)</f>
        <v>669.98646859106555</v>
      </c>
      <c r="G834" s="170">
        <f xml:space="preserve"> 246.72</f>
        <v>246.72</v>
      </c>
      <c r="H834" s="170">
        <f t="shared" si="300"/>
        <v>165299.0615307877</v>
      </c>
      <c r="I834" s="83"/>
      <c r="J834" s="9" t="str">
        <f>VLOOKUP($A834,[4]cliqccee!$A:$AK,26,FALSE)</f>
        <v>0,636955</v>
      </c>
      <c r="K834" s="9" t="str">
        <f>VLOOKUP($A834,[4]cliqccee!$A:$AK,10,FALSE)</f>
        <v>Validado</v>
      </c>
      <c r="L834" s="9" t="str">
        <f>VLOOKUP($A834,[4]cliqccee!$A:$AK,32,FALSE)</f>
        <v>FLAT</v>
      </c>
      <c r="M834" s="9" t="str">
        <f>VLOOKUP($A834,[4]cliqccee!$A:$AK,33,FALSE)</f>
        <v>Ajustado Validado</v>
      </c>
      <c r="N834" s="499">
        <f t="shared" si="294"/>
        <v>-0.26356399999999991</v>
      </c>
      <c r="O834" s="418"/>
      <c r="P834" s="418"/>
      <c r="Q834" s="418"/>
      <c r="R834" s="418"/>
      <c r="S834" s="418"/>
      <c r="T834" s="418"/>
      <c r="U834" s="418"/>
      <c r="V834" s="418"/>
      <c r="W834" s="418"/>
    </row>
    <row r="835" spans="1:23" ht="11.25" x14ac:dyDescent="0.2">
      <c r="A835" s="167">
        <v>73396</v>
      </c>
      <c r="B835" s="168" t="s">
        <v>257</v>
      </c>
      <c r="C835" s="167" t="s">
        <v>77</v>
      </c>
      <c r="D835" s="169" t="s">
        <v>78</v>
      </c>
      <c r="E835" s="79">
        <f t="shared" si="299"/>
        <v>0</v>
      </c>
      <c r="F835" s="83"/>
      <c r="G835" s="177"/>
      <c r="H835" s="170">
        <f t="shared" si="300"/>
        <v>0</v>
      </c>
      <c r="I835" s="301">
        <f>SUMIFS(F387:F388,D387:D388,D835) -SUMIFS(G387:G388,D387:D388,D835) -SUMIFS(F395:F399,D395:D399,D835) -SUMIFS(F405:F408,D405:D408,D835)</f>
        <v>10880.129268831624</v>
      </c>
      <c r="J835" s="9" t="str">
        <f>VLOOKUP($A835,[4]cliqccee!$A:$AK,26,FALSE)</f>
        <v>0,000000</v>
      </c>
      <c r="K835" s="9" t="str">
        <f>VLOOKUP($A835,[4]cliqccee!$A:$AK,10,FALSE)</f>
        <v>Validado</v>
      </c>
      <c r="L835" s="9" t="str">
        <f>VLOOKUP($A835,[4]cliqccee!$A:$AK,32,FALSE)</f>
        <v>FLAT</v>
      </c>
      <c r="M835" s="9" t="str">
        <f>VLOOKUP($A835,[4]cliqccee!$A:$AK,33,FALSE)</f>
        <v>Validado</v>
      </c>
      <c r="N835" s="499">
        <f t="shared" si="294"/>
        <v>0</v>
      </c>
      <c r="O835" s="418"/>
      <c r="P835" s="418"/>
      <c r="Q835" s="418"/>
      <c r="R835" s="418"/>
      <c r="S835" s="418"/>
      <c r="T835" s="418"/>
      <c r="U835" s="418"/>
      <c r="V835" s="418"/>
      <c r="W835" s="418"/>
    </row>
    <row r="836" spans="1:23" ht="11.25" x14ac:dyDescent="0.2">
      <c r="A836" s="167">
        <v>395160</v>
      </c>
      <c r="B836" s="168" t="s">
        <v>267</v>
      </c>
      <c r="C836" s="167" t="s">
        <v>77</v>
      </c>
      <c r="D836" s="169" t="s">
        <v>78</v>
      </c>
      <c r="E836" s="79">
        <f t="shared" si="299"/>
        <v>0</v>
      </c>
      <c r="F836" s="83"/>
      <c r="G836" s="170"/>
      <c r="H836" s="170">
        <f t="shared" si="300"/>
        <v>0</v>
      </c>
      <c r="I836" s="83"/>
      <c r="J836" s="9" t="str">
        <f>VLOOKUP($A836,[4]cliqccee!$A:$AK,26,FALSE)</f>
        <v>0,000000</v>
      </c>
      <c r="K836" s="9" t="str">
        <f>VLOOKUP($A836,[4]cliqccee!$A:$AK,10,FALSE)</f>
        <v>Validado</v>
      </c>
      <c r="L836" s="9" t="str">
        <f>VLOOKUP($A836,[4]cliqccee!$A:$AK,32,FALSE)</f>
        <v>FLAT</v>
      </c>
      <c r="M836" s="9" t="str">
        <f>VLOOKUP($A836,[4]cliqccee!$A:$AK,33,FALSE)</f>
        <v>Validado</v>
      </c>
      <c r="N836" s="499">
        <f t="shared" si="294"/>
        <v>0</v>
      </c>
      <c r="O836" s="418"/>
      <c r="P836" s="418"/>
      <c r="Q836" s="418"/>
      <c r="R836" s="418"/>
      <c r="S836" s="418"/>
      <c r="T836" s="418"/>
      <c r="U836" s="418"/>
      <c r="V836" s="418"/>
      <c r="W836" s="418"/>
    </row>
    <row r="837" spans="1:23" ht="11.25" x14ac:dyDescent="0.2">
      <c r="A837" s="167">
        <v>558733</v>
      </c>
      <c r="B837" s="168" t="s">
        <v>246</v>
      </c>
      <c r="C837" s="167" t="s">
        <v>77</v>
      </c>
      <c r="D837" s="169" t="s">
        <v>78</v>
      </c>
      <c r="E837" s="79">
        <f t="shared" si="299"/>
        <v>0</v>
      </c>
      <c r="F837" s="83"/>
      <c r="G837" s="170"/>
      <c r="H837" s="170">
        <f t="shared" si="300"/>
        <v>0</v>
      </c>
      <c r="I837" s="83"/>
      <c r="J837" s="9" t="str">
        <f>VLOOKUP($A837,[4]cliqccee!$A:$AK,26,FALSE)</f>
        <v>0,000000</v>
      </c>
      <c r="K837" s="9" t="str">
        <f>VLOOKUP($A837,[4]cliqccee!$A:$AK,10,FALSE)</f>
        <v>Validado</v>
      </c>
      <c r="L837" s="9" t="str">
        <f>VLOOKUP($A837,[4]cliqccee!$A:$AK,32,FALSE)</f>
        <v>FLAT</v>
      </c>
      <c r="M837" s="9" t="str">
        <f>VLOOKUP($A837,[4]cliqccee!$A:$AK,33,FALSE)</f>
        <v>Validado</v>
      </c>
      <c r="N837" s="499">
        <f t="shared" si="294"/>
        <v>0</v>
      </c>
      <c r="O837" s="418"/>
      <c r="P837" s="418"/>
      <c r="Q837" s="418"/>
      <c r="R837" s="418"/>
      <c r="S837" s="418"/>
      <c r="T837" s="418"/>
      <c r="U837" s="418"/>
      <c r="V837" s="418"/>
      <c r="W837" s="418"/>
    </row>
    <row r="838" spans="1:23" ht="11.25" x14ac:dyDescent="0.2">
      <c r="A838" s="167">
        <v>996724</v>
      </c>
      <c r="B838" s="168" t="s">
        <v>152</v>
      </c>
      <c r="C838" s="167" t="s">
        <v>77</v>
      </c>
      <c r="D838" s="169" t="s">
        <v>78</v>
      </c>
      <c r="E838" s="79">
        <f t="shared" si="299"/>
        <v>6.2135999999999997E-2</v>
      </c>
      <c r="F838" s="83">
        <f>F933</f>
        <v>46.228904467353942</v>
      </c>
      <c r="G838" s="544">
        <f>$L$5+19.18</f>
        <v>105.86455645161291</v>
      </c>
      <c r="H838" s="170">
        <f t="shared" si="300"/>
        <v>4894.002466680412</v>
      </c>
      <c r="I838" s="83"/>
      <c r="J838" s="9" t="str">
        <f>VLOOKUP($A838,[4]cliqccee!$A:$AK,26,FALSE)</f>
        <v>0,059227</v>
      </c>
      <c r="K838" s="9" t="str">
        <f>VLOOKUP($A838,[4]cliqccee!$A:$AK,10,FALSE)</f>
        <v>Validado</v>
      </c>
      <c r="L838" s="9" t="str">
        <f>VLOOKUP($A838,[4]cliqccee!$A:$AK,32,FALSE)</f>
        <v>FLAT</v>
      </c>
      <c r="M838" s="9" t="str">
        <f>VLOOKUP($A838,[4]cliqccee!$A:$AK,33,FALSE)</f>
        <v>Ajustado Validado</v>
      </c>
      <c r="N838" s="499">
        <f t="shared" si="294"/>
        <v>-2.9089999999999949E-3</v>
      </c>
      <c r="O838" s="418"/>
      <c r="P838" s="418"/>
      <c r="Q838" s="418"/>
      <c r="R838" s="418"/>
      <c r="S838" s="418"/>
      <c r="T838" s="418"/>
      <c r="U838" s="418"/>
      <c r="V838" s="418"/>
      <c r="W838" s="418"/>
    </row>
    <row r="839" spans="1:23" ht="11.25" x14ac:dyDescent="0.2">
      <c r="A839" s="167">
        <v>835504</v>
      </c>
      <c r="B839" s="168" t="s">
        <v>362</v>
      </c>
      <c r="C839" s="167" t="s">
        <v>77</v>
      </c>
      <c r="D839" s="169" t="s">
        <v>78</v>
      </c>
      <c r="E839" s="79">
        <f t="shared" si="299"/>
        <v>0</v>
      </c>
      <c r="F839" s="83"/>
      <c r="G839" s="170"/>
      <c r="H839" s="170">
        <f t="shared" si="300"/>
        <v>0</v>
      </c>
      <c r="I839" s="83"/>
      <c r="J839" s="9" t="str">
        <f>VLOOKUP($A839,[4]cliqccee!$A:$AK,26,FALSE)</f>
        <v>0,000000</v>
      </c>
      <c r="K839" s="9" t="str">
        <f>VLOOKUP($A839,[4]cliqccee!$A:$AK,10,FALSE)</f>
        <v>Validado</v>
      </c>
      <c r="L839" s="9" t="str">
        <f>VLOOKUP($A839,[4]cliqccee!$A:$AK,32,FALSE)</f>
        <v>FLAT</v>
      </c>
      <c r="M839" s="9" t="str">
        <f>VLOOKUP($A839,[4]cliqccee!$A:$AK,33,FALSE)</f>
        <v>Validado</v>
      </c>
      <c r="N839" s="499">
        <f t="shared" si="294"/>
        <v>0</v>
      </c>
      <c r="O839" s="486"/>
      <c r="P839" s="486"/>
      <c r="Q839" s="472"/>
      <c r="R839" s="487"/>
      <c r="S839" s="488"/>
      <c r="T839" s="489"/>
      <c r="U839" s="489"/>
      <c r="V839" s="489"/>
      <c r="W839" s="490"/>
    </row>
    <row r="840" spans="1:23" ht="11.25" x14ac:dyDescent="0.2">
      <c r="A840" s="167">
        <v>1097147</v>
      </c>
      <c r="B840" s="168" t="s">
        <v>413</v>
      </c>
      <c r="C840" s="167" t="s">
        <v>77</v>
      </c>
      <c r="D840" s="169" t="s">
        <v>78</v>
      </c>
      <c r="E840" s="79">
        <f t="shared" si="299"/>
        <v>0.124103</v>
      </c>
      <c r="F840" s="83">
        <f>IF(F520&gt;=0.1647*$B$33*1.3,0.1647*$B$33*1.3,F520)</f>
        <v>92.33232854603628</v>
      </c>
      <c r="G840" s="170">
        <v>219.51</v>
      </c>
      <c r="H840" s="170">
        <f t="shared" si="300"/>
        <v>20267.869439140424</v>
      </c>
      <c r="I840" s="83"/>
      <c r="J840" s="9" t="str">
        <f>VLOOKUP($A840,[4]cliqccee!$A:$AK,26,FALSE)</f>
        <v>0,162550</v>
      </c>
      <c r="K840" s="9" t="str">
        <f>VLOOKUP($A840,[4]cliqccee!$A:$AK,10,FALSE)</f>
        <v>Validado</v>
      </c>
      <c r="L840" s="9" t="str">
        <f>VLOOKUP($A840,[4]cliqccee!$A:$AK,32,FALSE)</f>
        <v>FLAT</v>
      </c>
      <c r="M840" s="9" t="str">
        <f>VLOOKUP($A840,[4]cliqccee!$A:$AK,33,FALSE)</f>
        <v>Ajustado Validado</v>
      </c>
      <c r="N840" s="499">
        <f t="shared" si="294"/>
        <v>3.8446999999999995E-2</v>
      </c>
      <c r="O840" s="486"/>
      <c r="P840" s="486"/>
      <c r="Q840" s="472"/>
      <c r="R840" s="487"/>
      <c r="S840" s="488"/>
      <c r="T840" s="489"/>
      <c r="U840" s="489"/>
      <c r="V840" s="489"/>
      <c r="W840" s="490"/>
    </row>
    <row r="841" spans="1:23" ht="11.25" x14ac:dyDescent="0.2">
      <c r="A841" s="167">
        <v>1097148</v>
      </c>
      <c r="B841" s="168" t="s">
        <v>414</v>
      </c>
      <c r="C841" s="167" t="s">
        <v>77</v>
      </c>
      <c r="D841" s="169" t="s">
        <v>78</v>
      </c>
      <c r="E841" s="79">
        <f t="shared" ref="E841:E842" si="301">ROUND(F841/$B$33,6)</f>
        <v>1.0670360000000001</v>
      </c>
      <c r="F841" s="83">
        <f>IF(F521&gt;=1.3445*$B$33*1.3,1.3445*$B$33*1.3,F521)</f>
        <v>793.8746480981157</v>
      </c>
      <c r="G841" s="170">
        <v>219.51</v>
      </c>
      <c r="H841" s="170">
        <f>F841*G841</f>
        <v>174263.42400401738</v>
      </c>
      <c r="I841" s="83"/>
      <c r="J841" s="9" t="str">
        <f>VLOOKUP($A841,[4]cliqccee!$A:$AK,26,FALSE)</f>
        <v>0,996301</v>
      </c>
      <c r="K841" s="9" t="str">
        <f>VLOOKUP($A841,[4]cliqccee!$A:$AK,10,FALSE)</f>
        <v>Validado</v>
      </c>
      <c r="L841" s="9" t="str">
        <f>VLOOKUP($A841,[4]cliqccee!$A:$AK,32,FALSE)</f>
        <v>FLAT</v>
      </c>
      <c r="M841" s="9" t="str">
        <f>VLOOKUP($A841,[4]cliqccee!$A:$AK,33,FALSE)</f>
        <v>Ajustado Validado</v>
      </c>
      <c r="N841" s="499">
        <f t="shared" si="294"/>
        <v>-7.0735000000000103E-2</v>
      </c>
      <c r="O841" s="486"/>
      <c r="P841" s="486"/>
      <c r="Q841" s="472"/>
      <c r="R841" s="487"/>
      <c r="S841" s="488"/>
      <c r="T841" s="489"/>
      <c r="U841" s="489"/>
      <c r="V841" s="489"/>
      <c r="W841" s="490"/>
    </row>
    <row r="842" spans="1:23" ht="11.25" x14ac:dyDescent="0.2">
      <c r="A842" s="167">
        <v>1097157</v>
      </c>
      <c r="B842" s="168" t="s">
        <v>412</v>
      </c>
      <c r="C842" s="167" t="s">
        <v>77</v>
      </c>
      <c r="D842" s="169" t="s">
        <v>78</v>
      </c>
      <c r="E842" s="79">
        <f t="shared" si="301"/>
        <v>0.73677300000000001</v>
      </c>
      <c r="F842" s="83">
        <f>IF(F522&gt;=0.7892*$B$33*1.3,0.7892*$B$33*1.3,F522)</f>
        <v>548.15936132243132</v>
      </c>
      <c r="G842" s="170">
        <v>219.51</v>
      </c>
      <c r="H842" s="170">
        <f t="shared" si="300"/>
        <v>120326.46140388689</v>
      </c>
      <c r="I842" s="83"/>
      <c r="J842" s="9" t="str">
        <f>VLOOKUP($A842,[4]cliqccee!$A:$AK,26,FALSE)</f>
        <v>0,718770</v>
      </c>
      <c r="K842" s="9" t="str">
        <f>VLOOKUP($A842,[4]cliqccee!$A:$AK,10,FALSE)</f>
        <v>Validado</v>
      </c>
      <c r="L842" s="9" t="str">
        <f>VLOOKUP($A842,[4]cliqccee!$A:$AK,32,FALSE)</f>
        <v>FLAT</v>
      </c>
      <c r="M842" s="9" t="str">
        <f>VLOOKUP($A842,[4]cliqccee!$A:$AK,33,FALSE)</f>
        <v>Ajustado Validado</v>
      </c>
      <c r="N842" s="499">
        <f t="shared" si="294"/>
        <v>-1.8002999999999991E-2</v>
      </c>
      <c r="O842" s="486"/>
      <c r="P842" s="486"/>
      <c r="Q842" s="472"/>
      <c r="R842" s="487"/>
      <c r="S842" s="488"/>
      <c r="T842" s="489"/>
      <c r="U842" s="489"/>
      <c r="V842" s="489"/>
      <c r="W842" s="490"/>
    </row>
    <row r="843" spans="1:23" ht="11.25" x14ac:dyDescent="0.2">
      <c r="A843" s="167">
        <v>832615</v>
      </c>
      <c r="B843" s="168" t="s">
        <v>306</v>
      </c>
      <c r="C843" s="167" t="s">
        <v>77</v>
      </c>
      <c r="D843" s="169" t="s">
        <v>78</v>
      </c>
      <c r="E843" s="79">
        <f t="shared" si="299"/>
        <v>0</v>
      </c>
      <c r="F843" s="83"/>
      <c r="G843" s="170"/>
      <c r="H843" s="170">
        <f t="shared" si="300"/>
        <v>0</v>
      </c>
      <c r="I843" s="83"/>
      <c r="J843" s="9" t="str">
        <f>VLOOKUP($A843,[4]cliqccee!$A:$AK,26,FALSE)</f>
        <v>0,000000</v>
      </c>
      <c r="K843" s="9" t="str">
        <f>VLOOKUP($A843,[4]cliqccee!$A:$AK,10,FALSE)</f>
        <v>Validado</v>
      </c>
      <c r="L843" s="9" t="str">
        <f>VLOOKUP($A843,[4]cliqccee!$A:$AK,32,FALSE)</f>
        <v>FLAT</v>
      </c>
      <c r="M843" s="9" t="str">
        <f>VLOOKUP($A843,[4]cliqccee!$A:$AK,33,FALSE)</f>
        <v>Validado</v>
      </c>
      <c r="N843" s="499">
        <f t="shared" si="294"/>
        <v>0</v>
      </c>
    </row>
    <row r="844" spans="1:23" ht="11.25" x14ac:dyDescent="0.2">
      <c r="A844" s="167">
        <v>747536</v>
      </c>
      <c r="B844" s="168" t="s">
        <v>303</v>
      </c>
      <c r="C844" s="167" t="s">
        <v>77</v>
      </c>
      <c r="D844" s="169" t="s">
        <v>78</v>
      </c>
      <c r="E844" s="79">
        <f t="shared" si="299"/>
        <v>0</v>
      </c>
      <c r="F844" s="83"/>
      <c r="G844" s="170"/>
      <c r="H844" s="170">
        <f t="shared" si="300"/>
        <v>0</v>
      </c>
      <c r="I844" s="83"/>
      <c r="J844" s="9" t="str">
        <f>VLOOKUP($A844,[4]cliqccee!$A:$AK,26,FALSE)</f>
        <v>0,000000</v>
      </c>
      <c r="K844" s="9" t="str">
        <f>VLOOKUP($A844,[4]cliqccee!$A:$AK,10,FALSE)</f>
        <v>Validado</v>
      </c>
      <c r="L844" s="9" t="str">
        <f>VLOOKUP($A844,[4]cliqccee!$A:$AK,32,FALSE)</f>
        <v>FLAT</v>
      </c>
      <c r="M844" s="9" t="str">
        <f>VLOOKUP($A844,[4]cliqccee!$A:$AK,33,FALSE)</f>
        <v>Validado</v>
      </c>
      <c r="N844" s="499">
        <f t="shared" si="294"/>
        <v>0</v>
      </c>
    </row>
    <row r="845" spans="1:23" ht="11.25" x14ac:dyDescent="0.2">
      <c r="A845" s="167">
        <v>876788</v>
      </c>
      <c r="B845" s="168" t="s">
        <v>310</v>
      </c>
      <c r="C845" s="167" t="s">
        <v>77</v>
      </c>
      <c r="D845" s="169" t="s">
        <v>78</v>
      </c>
      <c r="E845" s="79">
        <f t="shared" si="299"/>
        <v>0</v>
      </c>
      <c r="F845" s="83"/>
      <c r="G845" s="170"/>
      <c r="H845" s="170">
        <f t="shared" si="300"/>
        <v>0</v>
      </c>
      <c r="I845" s="83"/>
      <c r="J845" s="9" t="str">
        <f>VLOOKUP($A845,[4]cliqccee!$A:$AK,26,FALSE)</f>
        <v>0,000000</v>
      </c>
      <c r="K845" s="9" t="str">
        <f>VLOOKUP($A845,[4]cliqccee!$A:$AK,10,FALSE)</f>
        <v>Validado</v>
      </c>
      <c r="L845" s="9" t="str">
        <f>VLOOKUP($A845,[4]cliqccee!$A:$AK,32,FALSE)</f>
        <v>FLAT</v>
      </c>
      <c r="M845" s="9" t="str">
        <f>VLOOKUP($A845,[4]cliqccee!$A:$AK,33,FALSE)</f>
        <v>Validado</v>
      </c>
      <c r="N845" s="499">
        <f t="shared" si="294"/>
        <v>0</v>
      </c>
    </row>
    <row r="846" spans="1:23" ht="11.25" x14ac:dyDescent="0.2">
      <c r="A846" s="167">
        <v>924758</v>
      </c>
      <c r="B846" s="167" t="s">
        <v>337</v>
      </c>
      <c r="C846" s="167" t="s">
        <v>77</v>
      </c>
      <c r="D846" s="192" t="s">
        <v>78</v>
      </c>
      <c r="E846" s="79">
        <f t="shared" ref="E846" si="302">ROUND(F846/$B$33,6)</f>
        <v>20</v>
      </c>
      <c r="F846" s="83">
        <f>[5]LP_TIMELINE_MWh!$AX$61</f>
        <v>14880</v>
      </c>
      <c r="G846" s="193">
        <f>[5]LONGO_PRAZO!$AP$61</f>
        <v>201.73</v>
      </c>
      <c r="H846" s="193">
        <f t="shared" ref="H846" si="303">F846*G846</f>
        <v>3001742.4</v>
      </c>
      <c r="J846" s="9" t="str">
        <f>VLOOKUP($A846,[4]cliqccee!$A:$AK,26,FALSE)</f>
        <v>20,000000</v>
      </c>
      <c r="K846" s="9" t="str">
        <f>VLOOKUP($A846,[4]cliqccee!$A:$AK,10,FALSE)</f>
        <v>Validado</v>
      </c>
      <c r="L846" s="9" t="str">
        <f>VLOOKUP($A846,[4]cliqccee!$A:$AK,32,FALSE)</f>
        <v>FLAT</v>
      </c>
      <c r="M846" s="9" t="str">
        <f>VLOOKUP($A846,[4]cliqccee!$A:$AK,33,FALSE)</f>
        <v>Validado</v>
      </c>
      <c r="N846" s="499">
        <f t="shared" si="294"/>
        <v>0</v>
      </c>
    </row>
    <row r="847" spans="1:23" ht="11.25" x14ac:dyDescent="0.2">
      <c r="A847" s="167">
        <v>916171</v>
      </c>
      <c r="B847" s="167" t="s">
        <v>404</v>
      </c>
      <c r="C847" s="167" t="s">
        <v>77</v>
      </c>
      <c r="D847" s="192" t="s">
        <v>78</v>
      </c>
      <c r="E847" s="79">
        <f>ROUND(F847/$B$33,6)</f>
        <v>3</v>
      </c>
      <c r="F847" s="83">
        <f>[5]LP_TIMELINE_MWh!$AX$43</f>
        <v>2232</v>
      </c>
      <c r="G847" s="193">
        <f>[5]LONGO_PRAZO!$AP$43</f>
        <v>212.67</v>
      </c>
      <c r="H847" s="193">
        <f>F847*G847</f>
        <v>474679.43999999994</v>
      </c>
      <c r="J847" s="9" t="str">
        <f>VLOOKUP($A847,[4]cliqccee!$A:$AK,26,FALSE)</f>
        <v>3,000000</v>
      </c>
      <c r="K847" s="9" t="str">
        <f>VLOOKUP($A847,[4]cliqccee!$A:$AK,10,FALSE)</f>
        <v>Validado</v>
      </c>
      <c r="L847" s="9" t="str">
        <f>VLOOKUP($A847,[4]cliqccee!$A:$AK,32,FALSE)</f>
        <v>FLAT</v>
      </c>
      <c r="M847" s="9" t="str">
        <f>VLOOKUP($A847,[4]cliqccee!$A:$AK,33,FALSE)</f>
        <v>Ajustado Não Validado</v>
      </c>
      <c r="N847" s="499">
        <f t="shared" si="294"/>
        <v>0</v>
      </c>
    </row>
    <row r="848" spans="1:23" ht="11.25" x14ac:dyDescent="0.2">
      <c r="A848" s="167">
        <f>A491</f>
        <v>1167530</v>
      </c>
      <c r="B848" s="167" t="s">
        <v>424</v>
      </c>
      <c r="C848" s="167" t="s">
        <v>77</v>
      </c>
      <c r="D848" s="192" t="s">
        <v>78</v>
      </c>
      <c r="E848" s="79">
        <f t="shared" ref="E848" si="304">ROUND(F848/$B$33,6)</f>
        <v>0</v>
      </c>
      <c r="F848" s="382"/>
      <c r="G848" s="193"/>
      <c r="H848" s="193">
        <f t="shared" ref="H848" si="305">G848*F848</f>
        <v>0</v>
      </c>
      <c r="J848" s="9" t="str">
        <f>VLOOKUP($A848,[4]cliqccee!$A:$AK,26,FALSE)</f>
        <v>0,000000</v>
      </c>
      <c r="K848" s="9" t="str">
        <f>VLOOKUP($A848,[4]cliqccee!$A:$AK,10,FALSE)</f>
        <v>Validado</v>
      </c>
      <c r="L848" s="9" t="str">
        <f>VLOOKUP($A848,[4]cliqccee!$A:$AK,32,FALSE)</f>
        <v>FLAT</v>
      </c>
      <c r="M848" s="9" t="str">
        <f>VLOOKUP($A848,[4]cliqccee!$A:$AK,33,FALSE)</f>
        <v>Validado</v>
      </c>
      <c r="N848" s="499">
        <f t="shared" si="294"/>
        <v>0</v>
      </c>
    </row>
    <row r="849" spans="1:15" ht="11.25" x14ac:dyDescent="0.2">
      <c r="A849" s="542">
        <f>[5]LONGO_PRAZO!$M106</f>
        <v>1182243</v>
      </c>
      <c r="B849" s="406" t="s">
        <v>495</v>
      </c>
      <c r="C849" s="406" t="s">
        <v>77</v>
      </c>
      <c r="D849" s="407" t="str">
        <f>D718</f>
        <v>SUDESTE</v>
      </c>
      <c r="E849" s="501">
        <f t="shared" ref="E849:F849" si="306">E718</f>
        <v>3</v>
      </c>
      <c r="F849" s="526">
        <f t="shared" si="306"/>
        <v>2232</v>
      </c>
      <c r="G849" s="525">
        <f>'[6]Contratos_Curto Prazo (Venda)'!$L57/0.9075</f>
        <v>256.82727982777146</v>
      </c>
      <c r="H849" s="525">
        <f>F849*G849</f>
        <v>573238.48857558588</v>
      </c>
      <c r="J849" s="9" t="e">
        <f>VLOOKUP($A849,[4]cliqccee!$A:$AK,26,FALSE)</f>
        <v>#N/A</v>
      </c>
      <c r="K849" s="9" t="e">
        <f>VLOOKUP($A849,[4]cliqccee!$A:$AK,10,FALSE)</f>
        <v>#N/A</v>
      </c>
      <c r="L849" s="9" t="e">
        <f>VLOOKUP($A849,[4]cliqccee!$A:$AK,32,FALSE)</f>
        <v>#N/A</v>
      </c>
      <c r="M849" s="9" t="e">
        <f>VLOOKUP($A849,[4]cliqccee!$A:$AK,33,FALSE)</f>
        <v>#N/A</v>
      </c>
      <c r="N849" s="499" t="e">
        <f t="shared" si="294"/>
        <v>#N/A</v>
      </c>
    </row>
    <row r="850" spans="1:15" ht="11.25" x14ac:dyDescent="0.2">
      <c r="A850" s="542">
        <f>[5]LONGO_PRAZO!$M$108</f>
        <v>1182244</v>
      </c>
      <c r="B850" s="406" t="s">
        <v>496</v>
      </c>
      <c r="C850" s="406" t="s">
        <v>77</v>
      </c>
      <c r="D850" s="407" t="str">
        <f t="shared" ref="D850:F861" si="307">D719</f>
        <v>SUDESTE</v>
      </c>
      <c r="E850" s="501">
        <f t="shared" si="307"/>
        <v>5</v>
      </c>
      <c r="F850" s="526">
        <f t="shared" si="307"/>
        <v>3720</v>
      </c>
      <c r="G850" s="525">
        <f>'[6]Contratos_Curto Prazo (Venda)'!$L58/0.9075</f>
        <v>208.45477169013134</v>
      </c>
      <c r="H850" s="525">
        <f t="shared" ref="H850:H861" si="308">F850*G850</f>
        <v>775451.75068728859</v>
      </c>
      <c r="J850" s="9" t="e">
        <f>VLOOKUP($A850,[4]cliqccee!$A:$AK,26,FALSE)</f>
        <v>#N/A</v>
      </c>
      <c r="K850" s="9" t="e">
        <f>VLOOKUP($A850,[4]cliqccee!$A:$AK,10,FALSE)</f>
        <v>#N/A</v>
      </c>
      <c r="L850" s="9" t="e">
        <f>VLOOKUP($A850,[4]cliqccee!$A:$AK,32,FALSE)</f>
        <v>#N/A</v>
      </c>
      <c r="M850" s="9" t="e">
        <f>VLOOKUP($A850,[4]cliqccee!$A:$AK,33,FALSE)</f>
        <v>#N/A</v>
      </c>
      <c r="N850" s="499" t="e">
        <f t="shared" si="294"/>
        <v>#N/A</v>
      </c>
    </row>
    <row r="851" spans="1:15" ht="11.25" x14ac:dyDescent="0.2">
      <c r="A851" s="542">
        <f>[5]LONGO_PRAZO!$M$110</f>
        <v>1182245</v>
      </c>
      <c r="B851" s="406" t="s">
        <v>497</v>
      </c>
      <c r="C851" s="406" t="s">
        <v>77</v>
      </c>
      <c r="D851" s="407" t="str">
        <f t="shared" si="307"/>
        <v>SUDESTE</v>
      </c>
      <c r="E851" s="501">
        <f t="shared" si="307"/>
        <v>10</v>
      </c>
      <c r="F851" s="526">
        <f t="shared" si="307"/>
        <v>7440</v>
      </c>
      <c r="G851" s="525">
        <f>'[6]Contratos_Curto Prazo (Venda)'!$L59/0.9075</f>
        <v>283.11668642431499</v>
      </c>
      <c r="H851" s="525">
        <f t="shared" si="308"/>
        <v>2106388.1469969037</v>
      </c>
      <c r="J851" s="9" t="e">
        <f>VLOOKUP($A851,[4]cliqccee!$A:$AK,26,FALSE)</f>
        <v>#N/A</v>
      </c>
      <c r="K851" s="9" t="e">
        <f>VLOOKUP($A851,[4]cliqccee!$A:$AK,10,FALSE)</f>
        <v>#N/A</v>
      </c>
      <c r="L851" s="9" t="e">
        <f>VLOOKUP($A851,[4]cliqccee!$A:$AK,32,FALSE)</f>
        <v>#N/A</v>
      </c>
      <c r="M851" s="9" t="e">
        <f>VLOOKUP($A851,[4]cliqccee!$A:$AK,33,FALSE)</f>
        <v>#N/A</v>
      </c>
      <c r="N851" s="499" t="e">
        <f t="shared" si="294"/>
        <v>#N/A</v>
      </c>
    </row>
    <row r="852" spans="1:15" ht="11.25" x14ac:dyDescent="0.2">
      <c r="A852" s="542">
        <f>[5]LONGO_PRAZO!$M$112</f>
        <v>1182246</v>
      </c>
      <c r="B852" s="406" t="s">
        <v>498</v>
      </c>
      <c r="C852" s="406" t="s">
        <v>77</v>
      </c>
      <c r="D852" s="407" t="str">
        <f t="shared" si="307"/>
        <v>SUDESTE</v>
      </c>
      <c r="E852" s="501">
        <f t="shared" si="307"/>
        <v>2</v>
      </c>
      <c r="F852" s="526">
        <f t="shared" si="307"/>
        <v>1488</v>
      </c>
      <c r="G852" s="525">
        <f>'[6]Contratos_Curto Prazo (Venda)'!$L60/0.9075</f>
        <v>270</v>
      </c>
      <c r="H852" s="525">
        <f t="shared" si="308"/>
        <v>401760</v>
      </c>
      <c r="J852" s="9" t="e">
        <f>VLOOKUP($A852,[4]cliqccee!$A:$AK,26,FALSE)</f>
        <v>#N/A</v>
      </c>
      <c r="K852" s="9" t="e">
        <f>VLOOKUP($A852,[4]cliqccee!$A:$AK,10,FALSE)</f>
        <v>#N/A</v>
      </c>
      <c r="L852" s="9" t="e">
        <f>VLOOKUP($A852,[4]cliqccee!$A:$AK,32,FALSE)</f>
        <v>#N/A</v>
      </c>
      <c r="M852" s="9" t="e">
        <f>VLOOKUP($A852,[4]cliqccee!$A:$AK,33,FALSE)</f>
        <v>#N/A</v>
      </c>
      <c r="N852" s="499" t="e">
        <f t="shared" si="294"/>
        <v>#N/A</v>
      </c>
      <c r="O852" s="536"/>
    </row>
    <row r="853" spans="1:15" ht="11.25" x14ac:dyDescent="0.2">
      <c r="A853" s="542">
        <f>[5]LONGO_PRAZO!$M$114</f>
        <v>1182247</v>
      </c>
      <c r="B853" s="406" t="s">
        <v>499</v>
      </c>
      <c r="C853" s="406" t="s">
        <v>77</v>
      </c>
      <c r="D853" s="407" t="str">
        <f t="shared" si="307"/>
        <v>SUDESTE</v>
      </c>
      <c r="E853" s="501">
        <f t="shared" si="307"/>
        <v>5</v>
      </c>
      <c r="F853" s="526">
        <f t="shared" si="307"/>
        <v>3720</v>
      </c>
      <c r="G853" s="525">
        <f>'[6]Contratos_Curto Prazo (Venda)'!$L61/0.9075</f>
        <v>260</v>
      </c>
      <c r="H853" s="525">
        <f t="shared" si="308"/>
        <v>967200</v>
      </c>
      <c r="J853" s="9" t="e">
        <f>VLOOKUP($A853,[4]cliqccee!$A:$AK,26,FALSE)</f>
        <v>#N/A</v>
      </c>
      <c r="K853" s="9" t="e">
        <f>VLOOKUP($A853,[4]cliqccee!$A:$AK,10,FALSE)</f>
        <v>#N/A</v>
      </c>
      <c r="L853" s="9" t="e">
        <f>VLOOKUP($A853,[4]cliqccee!$A:$AK,32,FALSE)</f>
        <v>#N/A</v>
      </c>
      <c r="M853" s="9" t="e">
        <f>VLOOKUP($A853,[4]cliqccee!$A:$AK,33,FALSE)</f>
        <v>#N/A</v>
      </c>
      <c r="N853" s="499" t="e">
        <f t="shared" si="294"/>
        <v>#N/A</v>
      </c>
      <c r="O853" s="536"/>
    </row>
    <row r="854" spans="1:15" ht="11.25" x14ac:dyDescent="0.2">
      <c r="A854" s="542">
        <f>[5]LONGO_PRAZO!$M$122</f>
        <v>1196348</v>
      </c>
      <c r="B854" s="406" t="s">
        <v>500</v>
      </c>
      <c r="C854" s="406" t="s">
        <v>77</v>
      </c>
      <c r="D854" s="407" t="str">
        <f t="shared" si="307"/>
        <v>SUDESTE</v>
      </c>
      <c r="E854" s="501">
        <f t="shared" si="307"/>
        <v>7.5</v>
      </c>
      <c r="F854" s="526">
        <f t="shared" si="307"/>
        <v>5580</v>
      </c>
      <c r="G854" s="525">
        <f>'[6]Contratos_Curto Prazo (Venda)'!$L64/0.9075</f>
        <v>241.1</v>
      </c>
      <c r="H854" s="525">
        <f t="shared" si="308"/>
        <v>1345338</v>
      </c>
      <c r="J854" s="9" t="e">
        <f>VLOOKUP($A854,[4]cliqccee!$A:$AK,26,FALSE)</f>
        <v>#N/A</v>
      </c>
      <c r="K854" s="9" t="e">
        <f>VLOOKUP($A854,[4]cliqccee!$A:$AK,10,FALSE)</f>
        <v>#N/A</v>
      </c>
      <c r="L854" s="9" t="e">
        <f>VLOOKUP($A854,[4]cliqccee!$A:$AK,32,FALSE)</f>
        <v>#N/A</v>
      </c>
      <c r="M854" s="9" t="e">
        <f>VLOOKUP($A854,[4]cliqccee!$A:$AK,33,FALSE)</f>
        <v>#N/A</v>
      </c>
      <c r="N854" s="499" t="e">
        <f t="shared" si="294"/>
        <v>#N/A</v>
      </c>
    </row>
    <row r="855" spans="1:15" ht="11.25" x14ac:dyDescent="0.2">
      <c r="A855" s="542">
        <f>[5]LONGO_PRAZO!$M$124</f>
        <v>1196349</v>
      </c>
      <c r="B855" s="406" t="s">
        <v>501</v>
      </c>
      <c r="C855" s="406" t="s">
        <v>77</v>
      </c>
      <c r="D855" s="407" t="str">
        <f t="shared" si="307"/>
        <v>SUDESTE</v>
      </c>
      <c r="E855" s="501">
        <f t="shared" si="307"/>
        <v>3</v>
      </c>
      <c r="F855" s="526">
        <f t="shared" si="307"/>
        <v>2232</v>
      </c>
      <c r="G855" s="525">
        <f>'[6]Contratos_Curto Prazo (Venda)'!$L65/0.9075</f>
        <v>240.5</v>
      </c>
      <c r="H855" s="525">
        <f t="shared" si="308"/>
        <v>536796</v>
      </c>
      <c r="I855" s="409"/>
      <c r="J855" s="9" t="e">
        <f>VLOOKUP($A855,[4]cliqccee!$A:$AK,26,FALSE)</f>
        <v>#N/A</v>
      </c>
      <c r="K855" s="9" t="e">
        <f>VLOOKUP($A855,[4]cliqccee!$A:$AK,10,FALSE)</f>
        <v>#N/A</v>
      </c>
      <c r="L855" s="9" t="e">
        <f>VLOOKUP($A855,[4]cliqccee!$A:$AK,32,FALSE)</f>
        <v>#N/A</v>
      </c>
      <c r="M855" s="9" t="e">
        <f>VLOOKUP($A855,[4]cliqccee!$A:$AK,33,FALSE)</f>
        <v>#N/A</v>
      </c>
      <c r="N855" s="499" t="e">
        <f t="shared" si="294"/>
        <v>#N/A</v>
      </c>
      <c r="O855" s="536"/>
    </row>
    <row r="856" spans="1:15" ht="11.25" x14ac:dyDescent="0.2">
      <c r="A856" s="542">
        <f>[5]LONGO_PRAZO!$M$126</f>
        <v>1196350</v>
      </c>
      <c r="B856" s="406" t="s">
        <v>502</v>
      </c>
      <c r="C856" s="406" t="s">
        <v>77</v>
      </c>
      <c r="D856" s="407" t="str">
        <f t="shared" si="307"/>
        <v>SUDESTE</v>
      </c>
      <c r="E856" s="501">
        <f t="shared" si="307"/>
        <v>5</v>
      </c>
      <c r="F856" s="526">
        <f t="shared" si="307"/>
        <v>3720</v>
      </c>
      <c r="G856" s="525">
        <f>'[6]Contratos_Curto Prazo (Venda)'!$L66/0.9075</f>
        <v>240.04999999999998</v>
      </c>
      <c r="H856" s="525">
        <f t="shared" si="308"/>
        <v>892985.99999999988</v>
      </c>
      <c r="I856" s="491"/>
      <c r="J856" s="9" t="e">
        <f>VLOOKUP($A856,[4]cliqccee!$A:$AK,26,FALSE)</f>
        <v>#N/A</v>
      </c>
      <c r="K856" s="9" t="e">
        <f>VLOOKUP($A856,[4]cliqccee!$A:$AK,10,FALSE)</f>
        <v>#N/A</v>
      </c>
      <c r="L856" s="9" t="e">
        <f>VLOOKUP($A856,[4]cliqccee!$A:$AK,32,FALSE)</f>
        <v>#N/A</v>
      </c>
      <c r="M856" s="9" t="e">
        <f>VLOOKUP($A856,[4]cliqccee!$A:$AK,33,FALSE)</f>
        <v>#N/A</v>
      </c>
      <c r="N856" s="499" t="e">
        <f t="shared" si="294"/>
        <v>#N/A</v>
      </c>
    </row>
    <row r="857" spans="1:15" ht="11.25" x14ac:dyDescent="0.2">
      <c r="A857" s="542">
        <f>[5]LONGO_PRAZO!$M$128</f>
        <v>1196351</v>
      </c>
      <c r="B857" s="406" t="s">
        <v>503</v>
      </c>
      <c r="C857" s="406" t="s">
        <v>77</v>
      </c>
      <c r="D857" s="407" t="str">
        <f t="shared" si="307"/>
        <v>NORDESTE</v>
      </c>
      <c r="E857" s="501">
        <f t="shared" si="307"/>
        <v>7</v>
      </c>
      <c r="F857" s="526">
        <f t="shared" si="307"/>
        <v>5208</v>
      </c>
      <c r="G857" s="525">
        <f>'[6]Contratos_Curto Prazo (Venda)'!$L67/0.9075</f>
        <v>242</v>
      </c>
      <c r="H857" s="525">
        <f t="shared" si="308"/>
        <v>1260336</v>
      </c>
      <c r="J857" s="9" t="e">
        <f>VLOOKUP($A857,[4]cliqccee!$A:$AK,26,FALSE)</f>
        <v>#N/A</v>
      </c>
      <c r="K857" s="9" t="e">
        <f>VLOOKUP($A857,[4]cliqccee!$A:$AK,10,FALSE)</f>
        <v>#N/A</v>
      </c>
      <c r="L857" s="9" t="e">
        <f>VLOOKUP($A857,[4]cliqccee!$A:$AK,32,FALSE)</f>
        <v>#N/A</v>
      </c>
      <c r="M857" s="9" t="e">
        <f>VLOOKUP($A857,[4]cliqccee!$A:$AK,33,FALSE)</f>
        <v>#N/A</v>
      </c>
      <c r="N857" s="499" t="e">
        <f t="shared" si="294"/>
        <v>#N/A</v>
      </c>
      <c r="O857" s="536"/>
    </row>
    <row r="858" spans="1:15" ht="11.25" x14ac:dyDescent="0.2">
      <c r="A858" s="542">
        <f>[5]LONGO_PRAZO!$M$130</f>
        <v>1196352</v>
      </c>
      <c r="B858" s="406" t="s">
        <v>504</v>
      </c>
      <c r="C858" s="406" t="s">
        <v>77</v>
      </c>
      <c r="D858" s="407" t="str">
        <f t="shared" si="307"/>
        <v>NORDESTE</v>
      </c>
      <c r="E858" s="501">
        <f t="shared" si="307"/>
        <v>10</v>
      </c>
      <c r="F858" s="526">
        <f t="shared" si="307"/>
        <v>7440</v>
      </c>
      <c r="G858" s="525">
        <f>'[6]Contratos_Curto Prazo (Venda)'!$L68/0.9075</f>
        <v>240.08</v>
      </c>
      <c r="H858" s="525">
        <f t="shared" si="308"/>
        <v>1786195.2000000002</v>
      </c>
      <c r="J858" s="9" t="e">
        <f>VLOOKUP($A858,[4]cliqccee!$A:$AK,26,FALSE)</f>
        <v>#N/A</v>
      </c>
      <c r="K858" s="9" t="e">
        <f>VLOOKUP($A858,[4]cliqccee!$A:$AK,10,FALSE)</f>
        <v>#N/A</v>
      </c>
      <c r="L858" s="9" t="e">
        <f>VLOOKUP($A858,[4]cliqccee!$A:$AK,32,FALSE)</f>
        <v>#N/A</v>
      </c>
      <c r="M858" s="9" t="e">
        <f>VLOOKUP($A858,[4]cliqccee!$A:$AK,33,FALSE)</f>
        <v>#N/A</v>
      </c>
      <c r="N858" s="499" t="e">
        <f t="shared" si="294"/>
        <v>#N/A</v>
      </c>
      <c r="O858" s="536"/>
    </row>
    <row r="859" spans="1:15" ht="11.25" x14ac:dyDescent="0.2">
      <c r="A859" s="542">
        <f>[5]LONGO_PRAZO!$M$137</f>
        <v>1197054</v>
      </c>
      <c r="B859" s="406" t="s">
        <v>505</v>
      </c>
      <c r="C859" s="406" t="s">
        <v>77</v>
      </c>
      <c r="D859" s="407" t="str">
        <f t="shared" si="307"/>
        <v>NORDESTE</v>
      </c>
      <c r="E859" s="501">
        <f t="shared" si="307"/>
        <v>20</v>
      </c>
      <c r="F859" s="526">
        <f t="shared" si="307"/>
        <v>14880</v>
      </c>
      <c r="G859" s="525">
        <f>'[6]Contratos_Curto Prazo (Venda)'!$L69/0.9075</f>
        <v>233.77</v>
      </c>
      <c r="H859" s="525">
        <f t="shared" si="308"/>
        <v>3478497.6</v>
      </c>
      <c r="I859" s="415"/>
      <c r="J859" s="9" t="e">
        <f>VLOOKUP($A859,[4]cliqccee!$A:$AK,26,FALSE)</f>
        <v>#N/A</v>
      </c>
      <c r="K859" s="9" t="e">
        <f>VLOOKUP($A859,[4]cliqccee!$A:$AK,10,FALSE)</f>
        <v>#N/A</v>
      </c>
      <c r="L859" s="9" t="e">
        <f>VLOOKUP($A859,[4]cliqccee!$A:$AK,32,FALSE)</f>
        <v>#N/A</v>
      </c>
      <c r="M859" s="9" t="e">
        <f>VLOOKUP($A859,[4]cliqccee!$A:$AK,33,FALSE)</f>
        <v>#N/A</v>
      </c>
      <c r="N859" s="499" t="e">
        <f t="shared" si="294"/>
        <v>#N/A</v>
      </c>
      <c r="O859" s="536"/>
    </row>
    <row r="860" spans="1:15" ht="11.25" x14ac:dyDescent="0.2">
      <c r="A860" s="542">
        <f>[5]LONGO_PRAZO!$M$139</f>
        <v>1197055</v>
      </c>
      <c r="B860" s="406" t="s">
        <v>506</v>
      </c>
      <c r="C860" s="406" t="s">
        <v>77</v>
      </c>
      <c r="D860" s="407" t="str">
        <f t="shared" si="307"/>
        <v>NORDESTE</v>
      </c>
      <c r="E860" s="501">
        <f t="shared" si="307"/>
        <v>5</v>
      </c>
      <c r="F860" s="526">
        <f t="shared" si="307"/>
        <v>3720</v>
      </c>
      <c r="G860" s="525">
        <f>'[6]Contratos_Curto Prazo (Venda)'!$L70/0.9075</f>
        <v>231.50000000000003</v>
      </c>
      <c r="H860" s="525">
        <f t="shared" si="308"/>
        <v>861180.00000000012</v>
      </c>
      <c r="J860" s="9" t="e">
        <f>VLOOKUP($A860,[4]cliqccee!$A:$AK,26,FALSE)</f>
        <v>#N/A</v>
      </c>
      <c r="K860" s="9" t="e">
        <f>VLOOKUP($A860,[4]cliqccee!$A:$AK,10,FALSE)</f>
        <v>#N/A</v>
      </c>
      <c r="L860" s="9" t="e">
        <f>VLOOKUP($A860,[4]cliqccee!$A:$AK,32,FALSE)</f>
        <v>#N/A</v>
      </c>
      <c r="M860" s="9" t="e">
        <f>VLOOKUP($A860,[4]cliqccee!$A:$AK,33,FALSE)</f>
        <v>#N/A</v>
      </c>
      <c r="N860" s="499" t="e">
        <f t="shared" si="294"/>
        <v>#N/A</v>
      </c>
      <c r="O860" s="536"/>
    </row>
    <row r="861" spans="1:15" ht="11.25" x14ac:dyDescent="0.2">
      <c r="A861" s="542">
        <f>[5]LONGO_PRAZO!$M$141</f>
        <v>1197056</v>
      </c>
      <c r="B861" s="406" t="s">
        <v>500</v>
      </c>
      <c r="C861" s="406" t="s">
        <v>77</v>
      </c>
      <c r="D861" s="407" t="str">
        <f t="shared" si="307"/>
        <v>NORDESTE</v>
      </c>
      <c r="E861" s="501">
        <f t="shared" si="307"/>
        <v>7.5</v>
      </c>
      <c r="F861" s="526">
        <f t="shared" si="307"/>
        <v>5580</v>
      </c>
      <c r="G861" s="525">
        <f>'[6]Contratos_Curto Prazo (Venda)'!$L71/0.9075</f>
        <v>241.1</v>
      </c>
      <c r="H861" s="525">
        <f t="shared" si="308"/>
        <v>1345338</v>
      </c>
      <c r="I861" s="409"/>
      <c r="J861" s="9" t="e">
        <f>VLOOKUP($A861,[4]cliqccee!$A:$AK,26,FALSE)</f>
        <v>#N/A</v>
      </c>
      <c r="K861" s="9" t="e">
        <f>VLOOKUP($A861,[4]cliqccee!$A:$AK,10,FALSE)</f>
        <v>#N/A</v>
      </c>
      <c r="L861" s="9" t="e">
        <f>VLOOKUP($A861,[4]cliqccee!$A:$AK,32,FALSE)</f>
        <v>#N/A</v>
      </c>
      <c r="M861" s="9" t="e">
        <f>VLOOKUP($A861,[4]cliqccee!$A:$AK,33,FALSE)</f>
        <v>#N/A</v>
      </c>
      <c r="N861" s="499" t="e">
        <f t="shared" si="294"/>
        <v>#N/A</v>
      </c>
      <c r="O861" s="536"/>
    </row>
    <row r="862" spans="1:15" ht="11.25" x14ac:dyDescent="0.2">
      <c r="A862" s="406"/>
      <c r="B862" s="406"/>
      <c r="C862" s="406"/>
      <c r="D862" s="407"/>
      <c r="E862" s="501"/>
      <c r="F862" s="526"/>
      <c r="G862" s="525"/>
      <c r="H862" s="193"/>
      <c r="J862" s="9" t="e">
        <f>VLOOKUP($A862,[4]cliqccee!$A:$AK,26,FALSE)</f>
        <v>#N/A</v>
      </c>
      <c r="K862" s="9" t="e">
        <f>VLOOKUP($A862,[4]cliqccee!$A:$AK,10,FALSE)</f>
        <v>#N/A</v>
      </c>
      <c r="L862" s="9" t="e">
        <f>VLOOKUP($A862,[4]cliqccee!$A:$AK,32,FALSE)</f>
        <v>#N/A</v>
      </c>
      <c r="M862" s="9" t="e">
        <f>VLOOKUP($A862,[4]cliqccee!$A:$AK,33,FALSE)</f>
        <v>#N/A</v>
      </c>
      <c r="N862" s="499" t="e">
        <f t="shared" si="294"/>
        <v>#N/A</v>
      </c>
      <c r="O862" s="536"/>
    </row>
    <row r="863" spans="1:15" ht="11.25" x14ac:dyDescent="0.2">
      <c r="A863" s="406"/>
      <c r="B863" s="406"/>
      <c r="C863" s="406"/>
      <c r="D863" s="407"/>
      <c r="E863" s="501"/>
      <c r="F863" s="526"/>
      <c r="G863" s="525"/>
      <c r="H863" s="193"/>
      <c r="J863" s="9" t="e">
        <f>VLOOKUP($A863,[4]cliqccee!$A:$AK,26,FALSE)</f>
        <v>#N/A</v>
      </c>
      <c r="K863" s="9" t="e">
        <f>VLOOKUP($A863,[4]cliqccee!$A:$AK,10,FALSE)</f>
        <v>#N/A</v>
      </c>
      <c r="L863" s="9" t="e">
        <f>VLOOKUP($A863,[4]cliqccee!$A:$AK,32,FALSE)</f>
        <v>#N/A</v>
      </c>
      <c r="M863" s="9" t="e">
        <f>VLOOKUP($A863,[4]cliqccee!$A:$AK,33,FALSE)</f>
        <v>#N/A</v>
      </c>
      <c r="N863" s="499" t="e">
        <f t="shared" si="294"/>
        <v>#N/A</v>
      </c>
      <c r="O863" s="536"/>
    </row>
    <row r="864" spans="1:15" s="533" customFormat="1" ht="11.25" x14ac:dyDescent="0.2">
      <c r="A864" s="167"/>
      <c r="B864" s="406"/>
      <c r="C864" s="406"/>
      <c r="D864" s="407"/>
      <c r="E864" s="79"/>
      <c r="F864" s="526"/>
      <c r="G864" s="525"/>
      <c r="H864" s="193"/>
      <c r="J864" s="9" t="e">
        <f>VLOOKUP($A864,[4]cliqccee!$A:$AK,26,FALSE)</f>
        <v>#N/A</v>
      </c>
      <c r="K864" s="9" t="e">
        <f>VLOOKUP($A864,[4]cliqccee!$A:$AK,10,FALSE)</f>
        <v>#N/A</v>
      </c>
      <c r="L864" s="9" t="e">
        <f>VLOOKUP($A864,[4]cliqccee!$A:$AK,32,FALSE)</f>
        <v>#N/A</v>
      </c>
      <c r="M864" s="9" t="e">
        <f>VLOOKUP($A864,[4]cliqccee!$A:$AK,33,FALSE)</f>
        <v>#N/A</v>
      </c>
      <c r="N864" s="499" t="e">
        <f t="shared" si="294"/>
        <v>#N/A</v>
      </c>
    </row>
    <row r="865" spans="1:14" s="533" customFormat="1" ht="11.25" x14ac:dyDescent="0.2">
      <c r="A865" s="167"/>
      <c r="B865" s="406"/>
      <c r="C865" s="406"/>
      <c r="D865" s="407"/>
      <c r="E865" s="79"/>
      <c r="F865" s="526"/>
      <c r="G865" s="525"/>
      <c r="H865" s="193"/>
      <c r="J865" s="9" t="e">
        <f>VLOOKUP($A865,[4]cliqccee!$A:$AK,26,FALSE)</f>
        <v>#N/A</v>
      </c>
      <c r="K865" s="9" t="e">
        <f>VLOOKUP($A865,[4]cliqccee!$A:$AK,10,FALSE)</f>
        <v>#N/A</v>
      </c>
      <c r="L865" s="9" t="e">
        <f>VLOOKUP($A865,[4]cliqccee!$A:$AK,32,FALSE)</f>
        <v>#N/A</v>
      </c>
      <c r="M865" s="9" t="e">
        <f>VLOOKUP($A865,[4]cliqccee!$A:$AK,33,FALSE)</f>
        <v>#N/A</v>
      </c>
      <c r="N865" s="499" t="e">
        <f t="shared" si="294"/>
        <v>#N/A</v>
      </c>
    </row>
    <row r="866" spans="1:14" s="533" customFormat="1" ht="11.25" x14ac:dyDescent="0.2">
      <c r="A866" s="167"/>
      <c r="B866" s="406"/>
      <c r="C866" s="406"/>
      <c r="D866" s="407"/>
      <c r="E866" s="79"/>
      <c r="F866" s="526"/>
      <c r="G866" s="525"/>
      <c r="H866" s="193"/>
      <c r="J866" s="9" t="e">
        <f>VLOOKUP($A866,[4]cliqccee!$A:$AK,26,FALSE)</f>
        <v>#N/A</v>
      </c>
      <c r="K866" s="9" t="e">
        <f>VLOOKUP($A866,[4]cliqccee!$A:$AK,10,FALSE)</f>
        <v>#N/A</v>
      </c>
      <c r="L866" s="9" t="e">
        <f>VLOOKUP($A866,[4]cliqccee!$A:$AK,32,FALSE)</f>
        <v>#N/A</v>
      </c>
      <c r="M866" s="9" t="e">
        <f>VLOOKUP($A866,[4]cliqccee!$A:$AK,33,FALSE)</f>
        <v>#N/A</v>
      </c>
      <c r="N866" s="499" t="e">
        <f t="shared" si="294"/>
        <v>#N/A</v>
      </c>
    </row>
    <row r="867" spans="1:14" s="533" customFormat="1" ht="11.25" x14ac:dyDescent="0.2">
      <c r="A867" s="167"/>
      <c r="B867" s="406"/>
      <c r="C867" s="406"/>
      <c r="D867" s="407"/>
      <c r="E867" s="79"/>
      <c r="F867" s="526"/>
      <c r="G867" s="525"/>
      <c r="H867" s="193"/>
      <c r="J867" s="9" t="e">
        <f>VLOOKUP($A867,[4]cliqccee!$A:$AK,26,FALSE)</f>
        <v>#N/A</v>
      </c>
      <c r="K867" s="9" t="e">
        <f>VLOOKUP($A867,[4]cliqccee!$A:$AK,10,FALSE)</f>
        <v>#N/A</v>
      </c>
      <c r="L867" s="9" t="e">
        <f>VLOOKUP($A867,[4]cliqccee!$A:$AK,32,FALSE)</f>
        <v>#N/A</v>
      </c>
      <c r="M867" s="9" t="e">
        <f>VLOOKUP($A867,[4]cliqccee!$A:$AK,33,FALSE)</f>
        <v>#N/A</v>
      </c>
      <c r="N867" s="499" t="e">
        <f t="shared" si="294"/>
        <v>#N/A</v>
      </c>
    </row>
    <row r="868" spans="1:14" s="533" customFormat="1" ht="11.25" x14ac:dyDescent="0.2">
      <c r="A868" s="167"/>
      <c r="B868" s="406"/>
      <c r="C868" s="406"/>
      <c r="D868" s="407"/>
      <c r="E868" s="79"/>
      <c r="F868" s="526"/>
      <c r="G868" s="525"/>
      <c r="H868" s="193"/>
      <c r="J868" s="9" t="e">
        <f>VLOOKUP($A868,[4]cliqccee!$A:$AK,26,FALSE)</f>
        <v>#N/A</v>
      </c>
      <c r="K868" s="9" t="e">
        <f>VLOOKUP($A868,[4]cliqccee!$A:$AK,10,FALSE)</f>
        <v>#N/A</v>
      </c>
      <c r="L868" s="9" t="e">
        <f>VLOOKUP($A868,[4]cliqccee!$A:$AK,32,FALSE)</f>
        <v>#N/A</v>
      </c>
      <c r="M868" s="9" t="e">
        <f>VLOOKUP($A868,[4]cliqccee!$A:$AK,33,FALSE)</f>
        <v>#N/A</v>
      </c>
      <c r="N868" s="499" t="e">
        <f t="shared" si="294"/>
        <v>#N/A</v>
      </c>
    </row>
    <row r="869" spans="1:14" s="533" customFormat="1" ht="11.25" x14ac:dyDescent="0.2">
      <c r="A869" s="167"/>
      <c r="B869" s="406"/>
      <c r="C869" s="406"/>
      <c r="D869" s="407"/>
      <c r="E869" s="79"/>
      <c r="F869" s="526"/>
      <c r="G869" s="525"/>
      <c r="H869" s="193"/>
      <c r="J869" s="9" t="e">
        <f>VLOOKUP($A869,[4]cliqccee!$A:$AK,26,FALSE)</f>
        <v>#N/A</v>
      </c>
      <c r="K869" s="9" t="e">
        <f>VLOOKUP($A869,[4]cliqccee!$A:$AK,10,FALSE)</f>
        <v>#N/A</v>
      </c>
      <c r="L869" s="9" t="e">
        <f>VLOOKUP($A869,[4]cliqccee!$A:$AK,32,FALSE)</f>
        <v>#N/A</v>
      </c>
      <c r="M869" s="9" t="e">
        <f>VLOOKUP($A869,[4]cliqccee!$A:$AK,33,FALSE)</f>
        <v>#N/A</v>
      </c>
      <c r="N869" s="499" t="e">
        <f t="shared" si="294"/>
        <v>#N/A</v>
      </c>
    </row>
    <row r="870" spans="1:14" ht="11.25" x14ac:dyDescent="0.2">
      <c r="A870" s="167"/>
      <c r="B870" s="406"/>
      <c r="C870" s="406"/>
      <c r="D870" s="407"/>
      <c r="E870" s="79"/>
      <c r="F870" s="382"/>
      <c r="G870" s="193"/>
      <c r="H870" s="193"/>
      <c r="I870" s="409"/>
      <c r="J870" s="9" t="e">
        <f>VLOOKUP($A870,[4]cliqccee!$A:$AK,26,FALSE)</f>
        <v>#N/A</v>
      </c>
      <c r="K870" s="9" t="e">
        <f>VLOOKUP($A870,[4]cliqccee!$A:$AK,10,FALSE)</f>
        <v>#N/A</v>
      </c>
      <c r="L870" s="9" t="e">
        <f>VLOOKUP($A870,[4]cliqccee!$A:$AK,32,FALSE)</f>
        <v>#N/A</v>
      </c>
      <c r="M870" s="9" t="e">
        <f>VLOOKUP($A870,[4]cliqccee!$A:$AK,33,FALSE)</f>
        <v>#N/A</v>
      </c>
      <c r="N870" s="499" t="e">
        <f t="shared" si="294"/>
        <v>#N/A</v>
      </c>
    </row>
    <row r="871" spans="1:14" ht="11.25" x14ac:dyDescent="0.2">
      <c r="A871" s="167" t="s">
        <v>16</v>
      </c>
      <c r="B871" s="406"/>
      <c r="C871" s="406"/>
      <c r="D871" s="407"/>
      <c r="E871" s="79"/>
      <c r="F871" s="83"/>
      <c r="G871" s="193"/>
      <c r="H871" s="193"/>
      <c r="I871" s="491"/>
      <c r="J871" s="9" t="e">
        <f>VLOOKUP($A871,[4]cliqccee!$A:$AK,26,FALSE)</f>
        <v>#N/A</v>
      </c>
      <c r="K871" s="9" t="e">
        <f>VLOOKUP($A871,[4]cliqccee!$A:$AK,10,FALSE)</f>
        <v>#N/A</v>
      </c>
      <c r="L871" s="9" t="e">
        <f>VLOOKUP($A871,[4]cliqccee!$A:$AK,32,FALSE)</f>
        <v>#N/A</v>
      </c>
      <c r="M871" s="9" t="e">
        <f>VLOOKUP($A871,[4]cliqccee!$A:$AK,33,FALSE)</f>
        <v>#N/A</v>
      </c>
      <c r="N871" s="499" t="e">
        <f t="shared" si="294"/>
        <v>#N/A</v>
      </c>
    </row>
    <row r="872" spans="1:14" ht="11.25" x14ac:dyDescent="0.2">
      <c r="A872" s="167"/>
      <c r="B872" s="406"/>
      <c r="C872" s="406"/>
      <c r="D872" s="192"/>
      <c r="E872" s="79"/>
      <c r="F872" s="83"/>
      <c r="G872" s="193"/>
      <c r="H872" s="193"/>
      <c r="J872" s="9" t="e">
        <f>VLOOKUP($A872,[4]cliqccee!$A:$AK,26,FALSE)</f>
        <v>#N/A</v>
      </c>
      <c r="K872" s="9" t="e">
        <f>VLOOKUP($A872,[4]cliqccee!$A:$AK,10,FALSE)</f>
        <v>#N/A</v>
      </c>
      <c r="L872" s="9" t="e">
        <f>VLOOKUP($A872,[4]cliqccee!$A:$AK,32,FALSE)</f>
        <v>#N/A</v>
      </c>
      <c r="M872" s="9" t="e">
        <f>VLOOKUP($A872,[4]cliqccee!$A:$AK,33,FALSE)</f>
        <v>#N/A</v>
      </c>
      <c r="N872" s="499" t="e">
        <f t="shared" si="294"/>
        <v>#N/A</v>
      </c>
    </row>
    <row r="873" spans="1:14" ht="11.25" x14ac:dyDescent="0.2">
      <c r="A873" s="198"/>
      <c r="B873" s="198"/>
      <c r="C873" s="198"/>
      <c r="D873" s="261"/>
      <c r="E873" s="85"/>
      <c r="F873" s="86"/>
      <c r="G873" s="317"/>
      <c r="H873" s="317"/>
      <c r="J873" s="393"/>
      <c r="K873" s="393"/>
      <c r="L873" s="393"/>
      <c r="M873" s="393"/>
      <c r="N873" s="418"/>
    </row>
    <row r="874" spans="1:14" ht="11.25" x14ac:dyDescent="0.2">
      <c r="A874" s="15" t="s">
        <v>32</v>
      </c>
      <c r="B874" s="421"/>
      <c r="C874" s="421"/>
      <c r="D874" s="422"/>
      <c r="E874" s="18">
        <f>SUM(E823:E873)</f>
        <v>115.890567</v>
      </c>
      <c r="F874" s="21">
        <f>SUM(F823:F873)</f>
        <v>86222.581711025006</v>
      </c>
      <c r="G874" s="19">
        <f>IFERROR(H874/F874,0)</f>
        <v>235.34644222453844</v>
      </c>
      <c r="H874" s="27">
        <f>SUM(H823:H873)</f>
        <v>20292177.845104292</v>
      </c>
      <c r="N874" s="418"/>
    </row>
    <row r="875" spans="1:14" ht="11.25" x14ac:dyDescent="0.2">
      <c r="B875" s="410"/>
      <c r="E875" s="492"/>
      <c r="F875" s="228"/>
      <c r="N875" s="418"/>
    </row>
    <row r="876" spans="1:14" ht="11.25" x14ac:dyDescent="0.2">
      <c r="A876" s="548" t="s">
        <v>233</v>
      </c>
      <c r="B876" s="548"/>
      <c r="C876" s="548"/>
      <c r="E876" s="423" t="s">
        <v>19</v>
      </c>
      <c r="F876" s="423"/>
      <c r="G876" s="424" t="s">
        <v>20</v>
      </c>
      <c r="H876" s="424"/>
      <c r="I876" s="425" t="s">
        <v>21</v>
      </c>
      <c r="J876" s="425"/>
      <c r="K876" s="426" t="s">
        <v>22</v>
      </c>
      <c r="L876" s="426"/>
      <c r="N876" s="418"/>
    </row>
    <row r="877" spans="1:14" ht="11.25" x14ac:dyDescent="0.2">
      <c r="A877" s="10" t="s">
        <v>2</v>
      </c>
      <c r="B877" s="10" t="s">
        <v>137</v>
      </c>
      <c r="C877" s="10" t="s">
        <v>25</v>
      </c>
      <c r="E877" s="427" t="s">
        <v>137</v>
      </c>
      <c r="F877" s="428" t="s">
        <v>25</v>
      </c>
      <c r="G877" s="429" t="s">
        <v>137</v>
      </c>
      <c r="H877" s="430" t="s">
        <v>25</v>
      </c>
      <c r="I877" s="431" t="s">
        <v>137</v>
      </c>
      <c r="J877" s="432" t="s">
        <v>25</v>
      </c>
      <c r="K877" s="433" t="s">
        <v>137</v>
      </c>
      <c r="L877" s="434" t="s">
        <v>25</v>
      </c>
      <c r="N877" s="418"/>
    </row>
    <row r="878" spans="1:14" ht="11.25" x14ac:dyDescent="0.2">
      <c r="A878" s="29" t="s">
        <v>69</v>
      </c>
      <c r="B878" s="70">
        <v>0</v>
      </c>
      <c r="C878" s="83">
        <v>0</v>
      </c>
      <c r="E878" s="435">
        <f t="shared" ref="E878:E884" si="309">SUMIFS($E$795:$E$873,$C$795:$C$873,$A878,$D$795:$D$873,$E$876)</f>
        <v>0</v>
      </c>
      <c r="F878" s="436">
        <f t="shared" ref="F878:F884" si="310">SUMIFS($F$795:$F$873,$C$795:$C$873,$A878,$D$795:$D$873,$E$876)</f>
        <v>0</v>
      </c>
      <c r="G878" s="437">
        <f t="shared" ref="G878:G884" si="311">SUMIFS($E$795:$E$873,$C$795:$C$873,$A878,$D$795:$D$873,$G$876)</f>
        <v>0</v>
      </c>
      <c r="H878" s="438">
        <f t="shared" ref="H878:H884" si="312">SUMIFS($F$795:$F$873,$C$795:$C$873,$A878,$D$795:$D$873,$G$876)</f>
        <v>0</v>
      </c>
      <c r="I878" s="439">
        <f t="shared" ref="I878:I884" si="313">SUMIFS($E$795:$E$873,$C$795:$C$873,$A878,$D$795:$D$873,$I$876)</f>
        <v>0</v>
      </c>
      <c r="J878" s="440">
        <f t="shared" ref="J878:J884" si="314">SUMIFS($F$795:$F$873,$C$795:$C$873,$A878,$D$795:$D$873,$I$876)</f>
        <v>0</v>
      </c>
      <c r="K878" s="441">
        <f t="shared" ref="K878:K884" si="315">SUMIFS($E$795:$E$873,$C$795:$C$873,$A878,$D$795:$D$873,$K$876)</f>
        <v>0</v>
      </c>
      <c r="L878" s="442">
        <f t="shared" ref="L878:L884" si="316">SUMIFS($F$795:$F$873,$C$795:$C$873,$A878,$D$795:$D$873,$K$876)</f>
        <v>0</v>
      </c>
      <c r="N878" s="418"/>
    </row>
    <row r="879" spans="1:14" ht="11.25" x14ac:dyDescent="0.2">
      <c r="A879" s="29" t="s">
        <v>47</v>
      </c>
      <c r="B879" s="70">
        <v>0</v>
      </c>
      <c r="C879" s="83">
        <v>0</v>
      </c>
      <c r="E879" s="435">
        <f t="shared" si="309"/>
        <v>0</v>
      </c>
      <c r="F879" s="436">
        <f t="shared" si="310"/>
        <v>0</v>
      </c>
      <c r="G879" s="437">
        <f t="shared" si="311"/>
        <v>0</v>
      </c>
      <c r="H879" s="438">
        <f t="shared" si="312"/>
        <v>0</v>
      </c>
      <c r="I879" s="439">
        <f t="shared" si="313"/>
        <v>0</v>
      </c>
      <c r="J879" s="440">
        <f t="shared" si="314"/>
        <v>0</v>
      </c>
      <c r="K879" s="441">
        <f t="shared" si="315"/>
        <v>0</v>
      </c>
      <c r="L879" s="442">
        <f t="shared" si="316"/>
        <v>0</v>
      </c>
      <c r="N879" s="418"/>
    </row>
    <row r="880" spans="1:14" ht="11.25" x14ac:dyDescent="0.2">
      <c r="A880" s="29" t="s">
        <v>79</v>
      </c>
      <c r="B880" s="70">
        <v>0</v>
      </c>
      <c r="C880" s="83">
        <v>0</v>
      </c>
      <c r="E880" s="435">
        <f t="shared" si="309"/>
        <v>0</v>
      </c>
      <c r="F880" s="436">
        <f t="shared" si="310"/>
        <v>0</v>
      </c>
      <c r="G880" s="437">
        <f t="shared" si="311"/>
        <v>0</v>
      </c>
      <c r="H880" s="438">
        <f t="shared" si="312"/>
        <v>0</v>
      </c>
      <c r="I880" s="439">
        <f t="shared" si="313"/>
        <v>0</v>
      </c>
      <c r="J880" s="440">
        <f t="shared" si="314"/>
        <v>0</v>
      </c>
      <c r="K880" s="441">
        <f t="shared" si="315"/>
        <v>0</v>
      </c>
      <c r="L880" s="442">
        <f t="shared" si="316"/>
        <v>0</v>
      </c>
      <c r="N880" s="418"/>
    </row>
    <row r="881" spans="1:17" ht="11.25" x14ac:dyDescent="0.2">
      <c r="A881" s="29" t="s">
        <v>71</v>
      </c>
      <c r="B881" s="70">
        <f>E819</f>
        <v>131.82099899999997</v>
      </c>
      <c r="C881" s="83">
        <f>F819</f>
        <v>98074.823255999974</v>
      </c>
      <c r="E881" s="435">
        <f t="shared" si="309"/>
        <v>0</v>
      </c>
      <c r="F881" s="436">
        <f t="shared" si="310"/>
        <v>0</v>
      </c>
      <c r="G881" s="437">
        <f t="shared" si="311"/>
        <v>62.199999000000005</v>
      </c>
      <c r="H881" s="438">
        <f t="shared" si="312"/>
        <v>46276.799256000006</v>
      </c>
      <c r="I881" s="439">
        <f t="shared" si="313"/>
        <v>69.620999999999995</v>
      </c>
      <c r="J881" s="440">
        <f t="shared" si="314"/>
        <v>51798.024000000005</v>
      </c>
      <c r="K881" s="441">
        <f t="shared" si="315"/>
        <v>0</v>
      </c>
      <c r="L881" s="442">
        <f t="shared" si="316"/>
        <v>0</v>
      </c>
      <c r="N881" s="418"/>
    </row>
    <row r="882" spans="1:17" ht="11.25" x14ac:dyDescent="0.2">
      <c r="A882" s="29" t="s">
        <v>9</v>
      </c>
      <c r="B882" s="70">
        <f>0</f>
        <v>0</v>
      </c>
      <c r="C882" s="83">
        <f>0</f>
        <v>0</v>
      </c>
      <c r="E882" s="435">
        <f t="shared" si="309"/>
        <v>0</v>
      </c>
      <c r="F882" s="436">
        <f t="shared" si="310"/>
        <v>0</v>
      </c>
      <c r="G882" s="437">
        <f t="shared" si="311"/>
        <v>0</v>
      </c>
      <c r="H882" s="438">
        <f t="shared" si="312"/>
        <v>0</v>
      </c>
      <c r="I882" s="439">
        <f t="shared" si="313"/>
        <v>0</v>
      </c>
      <c r="J882" s="440">
        <f t="shared" si="314"/>
        <v>0</v>
      </c>
      <c r="K882" s="441">
        <f t="shared" si="315"/>
        <v>0</v>
      </c>
      <c r="L882" s="442">
        <f t="shared" si="316"/>
        <v>0</v>
      </c>
      <c r="N882" s="418"/>
    </row>
    <row r="883" spans="1:17" ht="11.25" x14ac:dyDescent="0.2">
      <c r="A883" s="29" t="s">
        <v>80</v>
      </c>
      <c r="B883" s="70">
        <v>0</v>
      </c>
      <c r="C883" s="83">
        <v>0</v>
      </c>
      <c r="E883" s="435">
        <f t="shared" si="309"/>
        <v>0</v>
      </c>
      <c r="F883" s="436">
        <f t="shared" si="310"/>
        <v>0</v>
      </c>
      <c r="G883" s="437">
        <f t="shared" si="311"/>
        <v>0</v>
      </c>
      <c r="H883" s="438">
        <f t="shared" si="312"/>
        <v>0</v>
      </c>
      <c r="I883" s="439">
        <f t="shared" si="313"/>
        <v>0</v>
      </c>
      <c r="J883" s="440">
        <f t="shared" si="314"/>
        <v>0</v>
      </c>
      <c r="K883" s="441">
        <f t="shared" si="315"/>
        <v>0</v>
      </c>
      <c r="L883" s="442">
        <f t="shared" si="316"/>
        <v>0</v>
      </c>
      <c r="N883" s="418"/>
    </row>
    <row r="884" spans="1:17" ht="11.25" x14ac:dyDescent="0.2">
      <c r="A884" s="29" t="s">
        <v>77</v>
      </c>
      <c r="B884" s="70">
        <f>E874</f>
        <v>115.890567</v>
      </c>
      <c r="C884" s="83">
        <f>F874</f>
        <v>86222.581711025006</v>
      </c>
      <c r="E884" s="435">
        <f t="shared" si="309"/>
        <v>0</v>
      </c>
      <c r="F884" s="436">
        <f t="shared" si="310"/>
        <v>0</v>
      </c>
      <c r="G884" s="437">
        <f t="shared" si="311"/>
        <v>49.5</v>
      </c>
      <c r="H884" s="438">
        <f t="shared" si="312"/>
        <v>36828</v>
      </c>
      <c r="I884" s="439">
        <f t="shared" si="313"/>
        <v>66.390567000000004</v>
      </c>
      <c r="J884" s="440">
        <f t="shared" si="314"/>
        <v>49394.581711025006</v>
      </c>
      <c r="K884" s="441">
        <f t="shared" si="315"/>
        <v>0</v>
      </c>
      <c r="L884" s="442">
        <f t="shared" si="316"/>
        <v>0</v>
      </c>
      <c r="N884" s="418"/>
    </row>
    <row r="885" spans="1:17" ht="11.25" x14ac:dyDescent="0.2">
      <c r="A885" s="11" t="s">
        <v>81</v>
      </c>
      <c r="B885" s="12">
        <f>SUM(B878:B881)-SUM(B882:B884)</f>
        <v>15.930431999999968</v>
      </c>
      <c r="C885" s="12">
        <f>SUM(C878:C881)-SUM(C882:C884)</f>
        <v>11852.241544974968</v>
      </c>
      <c r="E885" s="443">
        <f>SUM(E878:E881)-SUM(E882:E884)</f>
        <v>0</v>
      </c>
      <c r="F885" s="444">
        <f>SUM(F878:F881)-SUM(F882:F884)</f>
        <v>0</v>
      </c>
      <c r="G885" s="445">
        <f t="shared" ref="G885:L885" si="317">SUM(G878:G881)-SUM(G882:G884)</f>
        <v>12.699999000000005</v>
      </c>
      <c r="H885" s="446">
        <f t="shared" si="317"/>
        <v>9448.7992560000057</v>
      </c>
      <c r="I885" s="447">
        <f t="shared" si="317"/>
        <v>3.2304329999999908</v>
      </c>
      <c r="J885" s="448">
        <f t="shared" si="317"/>
        <v>2403.4422889749985</v>
      </c>
      <c r="K885" s="449">
        <f t="shared" si="317"/>
        <v>0</v>
      </c>
      <c r="L885" s="450">
        <f t="shared" si="317"/>
        <v>0</v>
      </c>
      <c r="N885" s="418"/>
    </row>
    <row r="886" spans="1:17" ht="11.25" x14ac:dyDescent="0.2">
      <c r="A886" s="11" t="s">
        <v>82</v>
      </c>
      <c r="B886" s="12">
        <f>SUM(B878:B881)-SUM(B882:B885)</f>
        <v>0</v>
      </c>
      <c r="C886" s="12">
        <f>SUM(C878:C881)-SUM(C882:C885)</f>
        <v>0</v>
      </c>
      <c r="E886" s="443">
        <f>SUM(E878:E881)-SUM(E882:E885)</f>
        <v>0</v>
      </c>
      <c r="F886" s="444">
        <f t="shared" ref="F886:L886" si="318">SUM(F878:F881)-SUM(F882:F885)</f>
        <v>0</v>
      </c>
      <c r="G886" s="445">
        <f t="shared" si="318"/>
        <v>0</v>
      </c>
      <c r="H886" s="446">
        <f t="shared" si="318"/>
        <v>0</v>
      </c>
      <c r="I886" s="447">
        <f t="shared" si="318"/>
        <v>0</v>
      </c>
      <c r="J886" s="448">
        <f t="shared" si="318"/>
        <v>0</v>
      </c>
      <c r="K886" s="449">
        <f t="shared" si="318"/>
        <v>0</v>
      </c>
      <c r="L886" s="450">
        <f t="shared" si="318"/>
        <v>0</v>
      </c>
      <c r="N886" s="418"/>
    </row>
    <row r="887" spans="1:17" ht="11.25" x14ac:dyDescent="0.2">
      <c r="N887" s="418"/>
    </row>
    <row r="888" spans="1:17" ht="11.25" x14ac:dyDescent="0.2">
      <c r="E888" s="451">
        <f>(F885*$H$5)+(H885*$J$5)+(J885*$L$5)+(L885*$N$5)</f>
        <v>667293.89263884723</v>
      </c>
      <c r="N888" s="418"/>
    </row>
    <row r="889" spans="1:17" ht="11.25" x14ac:dyDescent="0.2">
      <c r="N889" s="418"/>
    </row>
    <row r="890" spans="1:17" ht="11.25" x14ac:dyDescent="0.2">
      <c r="N890" s="418"/>
    </row>
    <row r="891" spans="1:17" ht="11.25" x14ac:dyDescent="0.2">
      <c r="A891" s="548" t="s">
        <v>392</v>
      </c>
      <c r="B891" s="548"/>
      <c r="C891" s="548"/>
      <c r="D891" s="548"/>
      <c r="E891" s="548"/>
      <c r="F891" s="548"/>
      <c r="G891" s="548"/>
      <c r="H891" s="548"/>
      <c r="N891" s="418"/>
    </row>
    <row r="892" spans="1:17" ht="11.25" x14ac:dyDescent="0.2">
      <c r="A892" s="548"/>
      <c r="B892" s="548"/>
      <c r="C892" s="548"/>
      <c r="D892" s="548"/>
      <c r="E892" s="548"/>
      <c r="F892" s="548"/>
      <c r="G892" s="548"/>
      <c r="H892" s="548"/>
      <c r="N892" s="418"/>
    </row>
    <row r="893" spans="1:17" ht="3.75" customHeight="1" x14ac:dyDescent="0.15"/>
    <row r="894" spans="1:17" x14ac:dyDescent="0.15">
      <c r="A894" s="548" t="s">
        <v>85</v>
      </c>
      <c r="B894" s="548"/>
      <c r="C894" s="548"/>
      <c r="D894" s="548"/>
      <c r="E894" s="548"/>
      <c r="F894" s="548"/>
      <c r="G894" s="548"/>
      <c r="H894" s="548"/>
    </row>
    <row r="895" spans="1:17" x14ac:dyDescent="0.15">
      <c r="A895" s="10" t="s">
        <v>8</v>
      </c>
      <c r="B895" s="10"/>
      <c r="C895" s="10" t="s">
        <v>2</v>
      </c>
      <c r="D895" s="10" t="s">
        <v>3</v>
      </c>
      <c r="E895" s="10" t="s">
        <v>137</v>
      </c>
      <c r="F895" s="10" t="s">
        <v>25</v>
      </c>
      <c r="G895" s="10" t="s">
        <v>95</v>
      </c>
      <c r="H895" s="10" t="s">
        <v>240</v>
      </c>
      <c r="J895" s="514" t="s">
        <v>114</v>
      </c>
      <c r="K895" s="514" t="s">
        <v>117</v>
      </c>
      <c r="L895" s="514" t="s">
        <v>150</v>
      </c>
      <c r="M895" s="514" t="s">
        <v>115</v>
      </c>
      <c r="N895" s="514" t="s">
        <v>116</v>
      </c>
      <c r="O895" s="514" t="s">
        <v>151</v>
      </c>
    </row>
    <row r="896" spans="1:17" ht="11.25" x14ac:dyDescent="0.2">
      <c r="A896" s="101" t="s">
        <v>322</v>
      </c>
      <c r="B896" s="77"/>
      <c r="C896" s="31" t="s">
        <v>9</v>
      </c>
      <c r="D896" s="78" t="s">
        <v>78</v>
      </c>
      <c r="E896" s="79">
        <f>ROUND(F896/$B$33,6)</f>
        <v>7.241079</v>
      </c>
      <c r="F896" s="83">
        <f>[7]Consolidação!$G$58</f>
        <v>5387.3628041237171</v>
      </c>
      <c r="G896" s="83">
        <f>'[8]2019'!$F$38</f>
        <v>108.47799999999999</v>
      </c>
      <c r="H896" s="103">
        <f>[7]Consolidação!$F$58</f>
        <v>0.03</v>
      </c>
      <c r="I896" s="455"/>
      <c r="J896" s="418"/>
      <c r="K896" s="418"/>
      <c r="L896" s="418"/>
      <c r="M896" s="418"/>
      <c r="N896" s="418"/>
      <c r="O896" s="418"/>
      <c r="P896" s="418"/>
      <c r="Q896" s="418"/>
    </row>
    <row r="897" spans="1:23" ht="11.25" x14ac:dyDescent="0.2">
      <c r="A897" s="101" t="s">
        <v>324</v>
      </c>
      <c r="B897" s="77"/>
      <c r="C897" s="31" t="s">
        <v>9</v>
      </c>
      <c r="D897" s="78" t="s">
        <v>78</v>
      </c>
      <c r="E897" s="79">
        <f>ROUND(F897/$B$33,6)</f>
        <v>21.297051</v>
      </c>
      <c r="F897" s="83">
        <f>[7]Consolidação!$G$59</f>
        <v>15845.006261030916</v>
      </c>
      <c r="G897" s="83">
        <f>'[8]2019'!$F$37</f>
        <v>354.529</v>
      </c>
      <c r="H897" s="103">
        <f>[7]Consolidação!$F$59</f>
        <v>0.03</v>
      </c>
      <c r="I897" s="455"/>
      <c r="J897" s="418"/>
      <c r="K897" s="493"/>
      <c r="L897" s="493"/>
      <c r="M897" s="493"/>
      <c r="N897" s="493"/>
      <c r="O897" s="418"/>
      <c r="P897" s="418"/>
      <c r="Q897" s="418"/>
    </row>
    <row r="898" spans="1:23" x14ac:dyDescent="0.15">
      <c r="A898" s="101" t="s">
        <v>327</v>
      </c>
      <c r="B898" s="77"/>
      <c r="C898" s="31" t="s">
        <v>9</v>
      </c>
      <c r="D898" s="78" t="s">
        <v>78</v>
      </c>
      <c r="E898" s="79">
        <f>ROUND(F898/$B$33,6)</f>
        <v>4.6775120000000001</v>
      </c>
      <c r="F898" s="83">
        <f>[7]Consolidação!$G$60</f>
        <v>3480.0690366157132</v>
      </c>
      <c r="G898" s="83">
        <f>'[8]2019'!$F$42</f>
        <v>58.878</v>
      </c>
      <c r="H898" s="103">
        <v>0.03</v>
      </c>
      <c r="I898" s="455"/>
      <c r="J898" s="151" t="s">
        <v>112</v>
      </c>
      <c r="K898" s="95">
        <f>6.3*$B$33</f>
        <v>4687.2</v>
      </c>
      <c r="L898" s="43">
        <f>( 3850.088
 *1.0252)-G898</f>
        <v>3888.2322175999998</v>
      </c>
      <c r="M898" s="96">
        <f>K898*1.1</f>
        <v>5155.92</v>
      </c>
      <c r="N898" s="228">
        <f>IF((F898-G898)&gt;M898,(M898-G898),(F898-G898))</f>
        <v>3421.1910366157131</v>
      </c>
      <c r="O898" s="229">
        <f>IF(L898&lt;=0,N898,IF((L898)&gt;M898,(M898-G898),(L898)))</f>
        <v>3888.2322175999998</v>
      </c>
      <c r="P898" s="228">
        <f>F898-G898</f>
        <v>3421.1910366157131</v>
      </c>
      <c r="Q898" s="228">
        <f t="shared" ref="Q898" si="319">P898-O898</f>
        <v>-467.04118098428671</v>
      </c>
    </row>
    <row r="899" spans="1:23" ht="11.25" x14ac:dyDescent="0.2">
      <c r="A899" s="171"/>
      <c r="B899" s="172"/>
      <c r="C899" s="171"/>
      <c r="D899" s="173"/>
      <c r="E899" s="174"/>
      <c r="F899" s="175"/>
      <c r="G899" s="175"/>
      <c r="H899" s="175"/>
      <c r="J899" s="418"/>
      <c r="K899" s="418"/>
      <c r="L899" s="418"/>
      <c r="M899" s="418"/>
      <c r="N899" s="418"/>
      <c r="O899" s="418"/>
      <c r="P899" s="228"/>
    </row>
    <row r="900" spans="1:23" ht="11.25" x14ac:dyDescent="0.2">
      <c r="A900" s="80" t="s">
        <v>32</v>
      </c>
      <c r="B900" s="421"/>
      <c r="C900" s="421"/>
      <c r="D900" s="422"/>
      <c r="E900" s="81">
        <f>SUM(E896:E899)</f>
        <v>33.215642000000003</v>
      </c>
      <c r="F900" s="84">
        <f>SUM(F896:F899)</f>
        <v>24712.438101770349</v>
      </c>
      <c r="G900" s="84">
        <f>SUM(G896:G899)</f>
        <v>521.88499999999999</v>
      </c>
      <c r="H900" s="84"/>
      <c r="I900" s="228"/>
      <c r="J900" s="455"/>
      <c r="K900" s="228"/>
      <c r="L900" s="228"/>
      <c r="M900" s="228"/>
      <c r="N900" s="418"/>
      <c r="O900" s="228"/>
    </row>
    <row r="901" spans="1:23" ht="11.25" x14ac:dyDescent="0.2">
      <c r="F901" s="228"/>
      <c r="G901" s="410"/>
      <c r="N901" s="418"/>
    </row>
    <row r="902" spans="1:23" ht="11.25" x14ac:dyDescent="0.2">
      <c r="A902" s="548" t="s">
        <v>70</v>
      </c>
      <c r="B902" s="548"/>
      <c r="C902" s="548"/>
      <c r="D902" s="548"/>
      <c r="E902" s="548"/>
      <c r="F902" s="548"/>
      <c r="G902" s="548"/>
      <c r="H902" s="548"/>
      <c r="N902" s="418"/>
    </row>
    <row r="903" spans="1:23" ht="11.25" x14ac:dyDescent="0.2">
      <c r="A903" s="10" t="s">
        <v>252</v>
      </c>
      <c r="B903" s="10" t="s">
        <v>1</v>
      </c>
      <c r="C903" s="10" t="s">
        <v>2</v>
      </c>
      <c r="D903" s="10" t="s">
        <v>3</v>
      </c>
      <c r="E903" s="10" t="s">
        <v>137</v>
      </c>
      <c r="F903" s="10" t="s">
        <v>25</v>
      </c>
      <c r="G903" s="10" t="s">
        <v>253</v>
      </c>
      <c r="H903" s="10" t="s">
        <v>254</v>
      </c>
      <c r="J903" s="10" t="s">
        <v>72</v>
      </c>
      <c r="K903" s="10" t="s">
        <v>73</v>
      </c>
      <c r="L903" s="10" t="s">
        <v>74</v>
      </c>
      <c r="M903" s="10" t="s">
        <v>75</v>
      </c>
      <c r="N903" s="418"/>
      <c r="O903" s="418"/>
      <c r="P903" s="418"/>
      <c r="Q903" s="418"/>
      <c r="R903" s="418"/>
      <c r="S903" s="418"/>
      <c r="T903" s="418"/>
      <c r="U903" s="418"/>
      <c r="V903" s="418"/>
      <c r="W903" s="418"/>
    </row>
    <row r="904" spans="1:23" ht="11.25" x14ac:dyDescent="0.2">
      <c r="A904" s="268"/>
      <c r="B904" s="268" t="s">
        <v>346</v>
      </c>
      <c r="C904" s="268" t="s">
        <v>71</v>
      </c>
      <c r="D904" s="269" t="s">
        <v>78</v>
      </c>
      <c r="E904" s="270">
        <f>ROUND(F904/$B$33,6)</f>
        <v>0.70145800000000003</v>
      </c>
      <c r="F904" s="271">
        <f>SUMIFS(G896:G899,D896:D899,D904)</f>
        <v>521.88499999999999</v>
      </c>
      <c r="G904" s="271">
        <v>0</v>
      </c>
      <c r="H904" s="271">
        <f t="shared" ref="H904:H905" si="320">F904*G904</f>
        <v>0</v>
      </c>
      <c r="I904" s="494"/>
      <c r="J904" s="418"/>
      <c r="K904" s="418"/>
      <c r="L904" s="418"/>
      <c r="M904" s="418"/>
      <c r="N904" s="418"/>
      <c r="O904" s="418"/>
      <c r="P904" s="418"/>
      <c r="Q904" s="418"/>
      <c r="R904" s="418"/>
      <c r="S904" s="418"/>
      <c r="T904" s="418"/>
      <c r="U904" s="418"/>
      <c r="V904" s="418"/>
      <c r="W904" s="418"/>
    </row>
    <row r="905" spans="1:23" ht="11.25" x14ac:dyDescent="0.2">
      <c r="A905" s="356">
        <v>996722</v>
      </c>
      <c r="B905" s="356" t="s">
        <v>394</v>
      </c>
      <c r="C905" s="356" t="s">
        <v>71</v>
      </c>
      <c r="D905" s="357" t="s">
        <v>78</v>
      </c>
      <c r="E905" s="358">
        <f t="shared" ref="E905" si="321">ROUND(F905/$B$33,6)</f>
        <v>0</v>
      </c>
      <c r="F905" s="359"/>
      <c r="G905" s="359"/>
      <c r="H905" s="359">
        <f t="shared" si="320"/>
        <v>0</v>
      </c>
      <c r="J905" s="9" t="str">
        <f>VLOOKUP($A905,[4]cliqccee!$A:$AK,26,FALSE)</f>
        <v>0,000000</v>
      </c>
      <c r="K905" s="9" t="str">
        <f>VLOOKUP($A905,[4]cliqccee!$A:$AK,10,FALSE)</f>
        <v>Validado</v>
      </c>
      <c r="L905" s="9" t="str">
        <f>VLOOKUP($A905,[4]cliqccee!$A:$AK,32,FALSE)</f>
        <v>FLAT</v>
      </c>
      <c r="M905" s="9" t="str">
        <f>VLOOKUP($A905,[4]cliqccee!$A:$AK,33,FALSE)</f>
        <v>Validado</v>
      </c>
      <c r="N905" s="499">
        <f t="shared" ref="N905:N908" si="322">J905-E905</f>
        <v>0</v>
      </c>
      <c r="O905" s="418"/>
      <c r="P905" s="418"/>
      <c r="Q905" s="418"/>
      <c r="R905" s="418"/>
      <c r="S905" s="418"/>
      <c r="T905" s="418"/>
      <c r="U905" s="418"/>
      <c r="V905" s="418"/>
      <c r="W905" s="418"/>
    </row>
    <row r="906" spans="1:23" ht="11.25" x14ac:dyDescent="0.2">
      <c r="A906" s="195">
        <v>1097176</v>
      </c>
      <c r="B906" s="195" t="s">
        <v>405</v>
      </c>
      <c r="C906" s="195" t="s">
        <v>71</v>
      </c>
      <c r="D906" s="196" t="s">
        <v>78</v>
      </c>
      <c r="E906" s="97">
        <f>ROUND(F906/$B$33,6)</f>
        <v>32.514184</v>
      </c>
      <c r="F906" s="98">
        <f>VLOOKUP(A906,$A$742:$H$772,6,FALSE)</f>
        <v>24190.553101770351</v>
      </c>
      <c r="G906" s="98">
        <f>VLOOKUP(A906,$A$742:$H$772,7,FALSE)</f>
        <v>174.27200874507366</v>
      </c>
      <c r="H906" s="98">
        <f>F906*G906</f>
        <v>4215736.2816998912</v>
      </c>
      <c r="J906" s="9" t="str">
        <f>VLOOKUP($A906,[4]cliqccee!$A:$AK,26,FALSE)</f>
        <v>26,756599</v>
      </c>
      <c r="K906" s="9" t="str">
        <f>VLOOKUP($A906,[4]cliqccee!$A:$AK,10,FALSE)</f>
        <v>Validado</v>
      </c>
      <c r="L906" s="9" t="str">
        <f>VLOOKUP($A906,[4]cliqccee!$A:$AK,32,FALSE)</f>
        <v>FLAT</v>
      </c>
      <c r="M906" s="9" t="str">
        <f>VLOOKUP($A906,[4]cliqccee!$A:$AK,33,FALSE)</f>
        <v>Ajustado Validado</v>
      </c>
      <c r="N906" s="499">
        <f t="shared" si="322"/>
        <v>-5.7575849999999988</v>
      </c>
      <c r="O906" s="418"/>
      <c r="P906" s="418"/>
      <c r="Q906" s="418"/>
      <c r="R906" s="418"/>
      <c r="S906" s="418"/>
      <c r="T906" s="418"/>
      <c r="U906" s="418"/>
      <c r="V906" s="418"/>
      <c r="W906" s="418"/>
    </row>
    <row r="907" spans="1:23" ht="11.25" x14ac:dyDescent="0.2">
      <c r="A907" s="167"/>
      <c r="B907" s="168"/>
      <c r="C907" s="167"/>
      <c r="D907" s="169"/>
      <c r="E907" s="79"/>
      <c r="F907" s="83"/>
      <c r="G907" s="83"/>
      <c r="H907" s="83"/>
      <c r="I907" s="228"/>
      <c r="J907" s="9" t="e">
        <f>VLOOKUP($A907,[4]cliqccee!$A:$AK,26,FALSE)</f>
        <v>#N/A</v>
      </c>
      <c r="K907" s="9" t="e">
        <f>VLOOKUP($A907,[4]cliqccee!$A:$AK,10,FALSE)</f>
        <v>#N/A</v>
      </c>
      <c r="L907" s="9" t="e">
        <f>VLOOKUP($A907,[4]cliqccee!$A:$AK,32,FALSE)</f>
        <v>#N/A</v>
      </c>
      <c r="M907" s="9" t="e">
        <f>VLOOKUP($A907,[4]cliqccee!$A:$AK,33,FALSE)</f>
        <v>#N/A</v>
      </c>
      <c r="N907" s="499" t="e">
        <f t="shared" si="322"/>
        <v>#N/A</v>
      </c>
      <c r="O907" s="418"/>
      <c r="P907" s="418"/>
      <c r="Q907" s="418"/>
      <c r="R907" s="418"/>
      <c r="S907" s="418"/>
      <c r="T907" s="418"/>
      <c r="U907" s="418"/>
      <c r="V907" s="418"/>
      <c r="W907" s="418"/>
    </row>
    <row r="908" spans="1:23" ht="11.25" x14ac:dyDescent="0.2">
      <c r="A908" s="167"/>
      <c r="B908" s="168"/>
      <c r="C908" s="167"/>
      <c r="D908" s="169"/>
      <c r="E908" s="79"/>
      <c r="F908" s="83"/>
      <c r="G908" s="83"/>
      <c r="H908" s="83">
        <f>F908*G908</f>
        <v>0</v>
      </c>
      <c r="I908" s="494"/>
      <c r="J908" s="9" t="e">
        <f>VLOOKUP($A908,[4]cliqccee!$A:$AK,26,FALSE)</f>
        <v>#N/A</v>
      </c>
      <c r="K908" s="9" t="e">
        <f>VLOOKUP($A908,[4]cliqccee!$A:$AK,10,FALSE)</f>
        <v>#N/A</v>
      </c>
      <c r="L908" s="9" t="e">
        <f>VLOOKUP($A908,[4]cliqccee!$A:$AK,32,FALSE)</f>
        <v>#N/A</v>
      </c>
      <c r="M908" s="9" t="e">
        <f>VLOOKUP($A908,[4]cliqccee!$A:$AK,33,FALSE)</f>
        <v>#N/A</v>
      </c>
      <c r="N908" s="499" t="e">
        <f t="shared" si="322"/>
        <v>#N/A</v>
      </c>
      <c r="O908" s="418"/>
      <c r="P908" s="418"/>
      <c r="Q908" s="418"/>
      <c r="R908" s="418"/>
      <c r="S908" s="418"/>
      <c r="T908" s="418"/>
      <c r="U908" s="418"/>
      <c r="V908" s="418"/>
      <c r="W908" s="418"/>
    </row>
    <row r="909" spans="1:23" ht="11.25" x14ac:dyDescent="0.2">
      <c r="A909" s="167"/>
      <c r="B909" s="167"/>
      <c r="C909" s="167"/>
      <c r="D909" s="192"/>
      <c r="E909" s="79"/>
      <c r="F909" s="83"/>
      <c r="G909" s="83"/>
      <c r="H909" s="83"/>
      <c r="J909" s="418"/>
      <c r="K909" s="418"/>
      <c r="L909" s="418"/>
      <c r="M909" s="418"/>
      <c r="N909" s="418"/>
      <c r="O909" s="418"/>
      <c r="P909" s="418"/>
      <c r="Q909" s="418"/>
      <c r="R909" s="418"/>
      <c r="S909" s="418"/>
      <c r="T909" s="418"/>
      <c r="U909" s="418"/>
      <c r="V909" s="418"/>
      <c r="W909" s="418"/>
    </row>
    <row r="910" spans="1:23" ht="11.25" x14ac:dyDescent="0.2">
      <c r="A910" s="198"/>
      <c r="B910" s="198"/>
      <c r="C910" s="198"/>
      <c r="D910" s="261"/>
      <c r="E910" s="85"/>
      <c r="F910" s="86"/>
      <c r="G910" s="86"/>
      <c r="H910" s="86"/>
      <c r="J910" s="393"/>
      <c r="K910" s="393"/>
      <c r="L910" s="393"/>
      <c r="M910" s="393"/>
      <c r="N910" s="418"/>
      <c r="O910" s="418"/>
    </row>
    <row r="911" spans="1:23" ht="11.25" x14ac:dyDescent="0.2">
      <c r="A911" s="80" t="s">
        <v>32</v>
      </c>
      <c r="B911" s="421"/>
      <c r="C911" s="421"/>
      <c r="D911" s="422"/>
      <c r="E911" s="81">
        <f>SUM(E904:E910)</f>
        <v>33.215642000000003</v>
      </c>
      <c r="F911" s="84">
        <f>SUM(F904:F910)</f>
        <v>24712.438101770349</v>
      </c>
      <c r="G911" s="82">
        <f>IFERROR(H911/F911,0)</f>
        <v>170.5916779371876</v>
      </c>
      <c r="H911" s="82">
        <f>SUM(H904:H910)</f>
        <v>4215736.2816998912</v>
      </c>
      <c r="I911" s="228"/>
      <c r="N911" s="418"/>
    </row>
    <row r="912" spans="1:23" ht="11.25" x14ac:dyDescent="0.2">
      <c r="N912" s="418"/>
    </row>
    <row r="913" spans="1:14" ht="11.25" x14ac:dyDescent="0.2">
      <c r="A913" s="548" t="s">
        <v>233</v>
      </c>
      <c r="B913" s="548"/>
      <c r="C913" s="548"/>
      <c r="E913" s="423" t="s">
        <v>19</v>
      </c>
      <c r="F913" s="423"/>
      <c r="G913" s="424" t="s">
        <v>20</v>
      </c>
      <c r="H913" s="424"/>
      <c r="I913" s="425" t="s">
        <v>21</v>
      </c>
      <c r="J913" s="425"/>
      <c r="K913" s="426" t="s">
        <v>22</v>
      </c>
      <c r="L913" s="426"/>
      <c r="N913" s="418"/>
    </row>
    <row r="914" spans="1:14" ht="11.25" x14ac:dyDescent="0.2">
      <c r="A914" s="10" t="s">
        <v>2</v>
      </c>
      <c r="B914" s="10" t="s">
        <v>137</v>
      </c>
      <c r="C914" s="10" t="s">
        <v>25</v>
      </c>
      <c r="E914" s="427" t="s">
        <v>137</v>
      </c>
      <c r="F914" s="428" t="s">
        <v>25</v>
      </c>
      <c r="G914" s="429" t="s">
        <v>137</v>
      </c>
      <c r="H914" s="430" t="s">
        <v>25</v>
      </c>
      <c r="I914" s="431" t="s">
        <v>137</v>
      </c>
      <c r="J914" s="432" t="s">
        <v>25</v>
      </c>
      <c r="K914" s="433" t="s">
        <v>137</v>
      </c>
      <c r="L914" s="434" t="s">
        <v>25</v>
      </c>
      <c r="N914" s="418"/>
    </row>
    <row r="915" spans="1:14" ht="11.25" x14ac:dyDescent="0.2">
      <c r="A915" s="29" t="s">
        <v>69</v>
      </c>
      <c r="B915" s="70">
        <v>0</v>
      </c>
      <c r="C915" s="83">
        <v>0</v>
      </c>
      <c r="E915" s="435">
        <f>SUMIFS($E$896:$E$910,$C$896:$C$910,$A915,$D$896:$D$910,$E$913)</f>
        <v>0</v>
      </c>
      <c r="F915" s="436">
        <f>SUMIFS($F$896:$F$910,$C$896:$C$910,$A915,$D$896:$D$910,$E$913)</f>
        <v>0</v>
      </c>
      <c r="G915" s="437">
        <f>SUMIFS($E$896:$E$910,$C$896:$C$910,$A915,$D$896:$D$910,$G$913)</f>
        <v>0</v>
      </c>
      <c r="H915" s="438">
        <f>SUMIFS($F$896:$F$910,$C$896:$C$910,$A915,$D$896:$D$910,$G$913)</f>
        <v>0</v>
      </c>
      <c r="I915" s="439">
        <f>SUMIFS($E$896:$E$910,$C$896:$C$910,$A915,$D$896:$D$910,$I$913)</f>
        <v>0</v>
      </c>
      <c r="J915" s="440">
        <f>SUMIFS($F$896:$F$910,$C$896:$C$910,$A915,$D$896:$D$910,$I$913)</f>
        <v>0</v>
      </c>
      <c r="K915" s="441">
        <f>SUMIFS($E$896:$E$910,$C$896:$C$910,$A915,$D$896:$D$910,$K$913)</f>
        <v>0</v>
      </c>
      <c r="L915" s="442">
        <f>SUMIFS($F$896:$F$910,$C$896:$C$910,$A915,$D$896:$D$910,$K$913)</f>
        <v>0</v>
      </c>
      <c r="N915" s="418"/>
    </row>
    <row r="916" spans="1:14" ht="11.25" x14ac:dyDescent="0.2">
      <c r="A916" s="29" t="s">
        <v>47</v>
      </c>
      <c r="B916" s="70">
        <v>0</v>
      </c>
      <c r="C916" s="83">
        <v>0</v>
      </c>
      <c r="E916" s="435">
        <f t="shared" ref="E916:E921" si="323">SUMIFS($E$896:$E$910,$C$896:$C$910,$A916,$D$896:$D$910,$E$913)</f>
        <v>0</v>
      </c>
      <c r="F916" s="436">
        <f t="shared" ref="F916:F921" si="324">SUMIFS($F$896:$F$910,$C$896:$C$910,$A916,$D$896:$D$910,$E$913)</f>
        <v>0</v>
      </c>
      <c r="G916" s="437">
        <f t="shared" ref="G916:G921" si="325">SUMIFS($E$896:$E$910,$C$896:$C$910,$A916,$D$896:$D$910,$G$913)</f>
        <v>0</v>
      </c>
      <c r="H916" s="438">
        <f t="shared" ref="H916:H921" si="326">SUMIFS($F$896:$F$910,$C$896:$C$910,$A916,$D$896:$D$910,$G$913)</f>
        <v>0</v>
      </c>
      <c r="I916" s="439">
        <f t="shared" ref="I916:I921" si="327">SUMIFS($E$896:$E$910,$C$896:$C$910,$A916,$D$896:$D$910,$I$913)</f>
        <v>0</v>
      </c>
      <c r="J916" s="440">
        <f t="shared" ref="J916:J921" si="328">SUMIFS($F$896:$F$910,$C$896:$C$910,$A916,$D$896:$D$910,$I$913)</f>
        <v>0</v>
      </c>
      <c r="K916" s="441">
        <f t="shared" ref="K916:K921" si="329">SUMIFS($E$896:$E$910,$C$896:$C$910,$A916,$D$896:$D$910,$K$913)</f>
        <v>0</v>
      </c>
      <c r="L916" s="442">
        <f t="shared" ref="L916:L921" si="330">SUMIFS($F$896:$F$910,$C$896:$C$910,$A916,$D$896:$D$910,$K$913)</f>
        <v>0</v>
      </c>
      <c r="N916" s="418"/>
    </row>
    <row r="917" spans="1:14" ht="11.25" x14ac:dyDescent="0.2">
      <c r="A917" s="29" t="s">
        <v>79</v>
      </c>
      <c r="B917" s="70">
        <v>0</v>
      </c>
      <c r="C917" s="83">
        <v>0</v>
      </c>
      <c r="E917" s="435">
        <f t="shared" si="323"/>
        <v>0</v>
      </c>
      <c r="F917" s="436">
        <f t="shared" si="324"/>
        <v>0</v>
      </c>
      <c r="G917" s="437">
        <f t="shared" si="325"/>
        <v>0</v>
      </c>
      <c r="H917" s="438">
        <f t="shared" si="326"/>
        <v>0</v>
      </c>
      <c r="I917" s="439">
        <f t="shared" si="327"/>
        <v>0</v>
      </c>
      <c r="J917" s="440">
        <f t="shared" si="328"/>
        <v>0</v>
      </c>
      <c r="K917" s="441">
        <f t="shared" si="329"/>
        <v>0</v>
      </c>
      <c r="L917" s="442">
        <f t="shared" si="330"/>
        <v>0</v>
      </c>
      <c r="N917" s="418"/>
    </row>
    <row r="918" spans="1:14" ht="11.25" x14ac:dyDescent="0.2">
      <c r="A918" s="29" t="s">
        <v>71</v>
      </c>
      <c r="B918" s="70">
        <f>E911</f>
        <v>33.215642000000003</v>
      </c>
      <c r="C918" s="83">
        <f>F911</f>
        <v>24712.438101770349</v>
      </c>
      <c r="E918" s="435">
        <f t="shared" si="323"/>
        <v>0</v>
      </c>
      <c r="F918" s="436">
        <f t="shared" si="324"/>
        <v>0</v>
      </c>
      <c r="G918" s="437">
        <f t="shared" si="325"/>
        <v>0</v>
      </c>
      <c r="H918" s="438">
        <f t="shared" si="326"/>
        <v>0</v>
      </c>
      <c r="I918" s="439">
        <f t="shared" si="327"/>
        <v>33.215642000000003</v>
      </c>
      <c r="J918" s="440">
        <f t="shared" si="328"/>
        <v>24712.438101770349</v>
      </c>
      <c r="K918" s="441">
        <f t="shared" si="329"/>
        <v>0</v>
      </c>
      <c r="L918" s="442">
        <f t="shared" si="330"/>
        <v>0</v>
      </c>
      <c r="N918" s="418"/>
    </row>
    <row r="919" spans="1:14" ht="11.25" x14ac:dyDescent="0.2">
      <c r="A919" s="29" t="s">
        <v>9</v>
      </c>
      <c r="B919" s="70">
        <f>E900</f>
        <v>33.215642000000003</v>
      </c>
      <c r="C919" s="83">
        <f>F900</f>
        <v>24712.438101770349</v>
      </c>
      <c r="E919" s="435">
        <f t="shared" si="323"/>
        <v>0</v>
      </c>
      <c r="F919" s="436">
        <f t="shared" si="324"/>
        <v>0</v>
      </c>
      <c r="G919" s="437">
        <f t="shared" si="325"/>
        <v>0</v>
      </c>
      <c r="H919" s="438">
        <f t="shared" si="326"/>
        <v>0</v>
      </c>
      <c r="I919" s="439">
        <f t="shared" si="327"/>
        <v>33.215642000000003</v>
      </c>
      <c r="J919" s="440">
        <f t="shared" si="328"/>
        <v>24712.438101770349</v>
      </c>
      <c r="K919" s="441">
        <f t="shared" si="329"/>
        <v>0</v>
      </c>
      <c r="L919" s="442">
        <f t="shared" si="330"/>
        <v>0</v>
      </c>
      <c r="N919" s="418"/>
    </row>
    <row r="920" spans="1:14" ht="11.25" x14ac:dyDescent="0.2">
      <c r="A920" s="29" t="s">
        <v>80</v>
      </c>
      <c r="B920" s="70">
        <v>0</v>
      </c>
      <c r="C920" s="83">
        <v>0</v>
      </c>
      <c r="E920" s="435">
        <f t="shared" si="323"/>
        <v>0</v>
      </c>
      <c r="F920" s="436">
        <f t="shared" si="324"/>
        <v>0</v>
      </c>
      <c r="G920" s="437">
        <f t="shared" si="325"/>
        <v>0</v>
      </c>
      <c r="H920" s="438">
        <f t="shared" si="326"/>
        <v>0</v>
      </c>
      <c r="I920" s="439">
        <f t="shared" si="327"/>
        <v>0</v>
      </c>
      <c r="J920" s="440">
        <f t="shared" si="328"/>
        <v>0</v>
      </c>
      <c r="K920" s="441">
        <f t="shared" si="329"/>
        <v>0</v>
      </c>
      <c r="L920" s="442">
        <f t="shared" si="330"/>
        <v>0</v>
      </c>
      <c r="N920" s="418"/>
    </row>
    <row r="921" spans="1:14" ht="11.25" x14ac:dyDescent="0.2">
      <c r="A921" s="29" t="s">
        <v>77</v>
      </c>
      <c r="B921" s="70">
        <v>0</v>
      </c>
      <c r="C921" s="83">
        <v>0</v>
      </c>
      <c r="E921" s="435">
        <f t="shared" si="323"/>
        <v>0</v>
      </c>
      <c r="F921" s="436">
        <f t="shared" si="324"/>
        <v>0</v>
      </c>
      <c r="G921" s="437">
        <f t="shared" si="325"/>
        <v>0</v>
      </c>
      <c r="H921" s="438">
        <f t="shared" si="326"/>
        <v>0</v>
      </c>
      <c r="I921" s="439">
        <f t="shared" si="327"/>
        <v>0</v>
      </c>
      <c r="J921" s="440">
        <f t="shared" si="328"/>
        <v>0</v>
      </c>
      <c r="K921" s="441">
        <f t="shared" si="329"/>
        <v>0</v>
      </c>
      <c r="L921" s="442">
        <f t="shared" si="330"/>
        <v>0</v>
      </c>
      <c r="N921" s="418"/>
    </row>
    <row r="922" spans="1:14" ht="11.25" x14ac:dyDescent="0.2">
      <c r="A922" s="11" t="s">
        <v>81</v>
      </c>
      <c r="B922" s="12">
        <f>SUM(B915:B918)-SUM(B919:B921)</f>
        <v>0</v>
      </c>
      <c r="C922" s="12">
        <f>SUM(C915:C918)-SUM(C919:C921)</f>
        <v>0</v>
      </c>
      <c r="E922" s="443">
        <f>SUM(E915:E918)-SUM(E919:E921)</f>
        <v>0</v>
      </c>
      <c r="F922" s="444">
        <f>SUM(F915:F918)-SUM(F919:F921)</f>
        <v>0</v>
      </c>
      <c r="G922" s="445">
        <f t="shared" ref="G922:L922" si="331">SUM(G915:G918)-SUM(G919:G921)</f>
        <v>0</v>
      </c>
      <c r="H922" s="446">
        <f t="shared" si="331"/>
        <v>0</v>
      </c>
      <c r="I922" s="447">
        <f t="shared" si="331"/>
        <v>0</v>
      </c>
      <c r="J922" s="448">
        <f t="shared" si="331"/>
        <v>0</v>
      </c>
      <c r="K922" s="449">
        <f t="shared" si="331"/>
        <v>0</v>
      </c>
      <c r="L922" s="450">
        <f t="shared" si="331"/>
        <v>0</v>
      </c>
      <c r="N922" s="418"/>
    </row>
    <row r="923" spans="1:14" ht="11.25" x14ac:dyDescent="0.2">
      <c r="A923" s="11" t="s">
        <v>82</v>
      </c>
      <c r="B923" s="12">
        <f>SUM(B915:B918)-SUM(B919:B922)</f>
        <v>0</v>
      </c>
      <c r="C923" s="12">
        <f>SUM(C915:C918)-SUM(C919:C922)</f>
        <v>0</v>
      </c>
      <c r="E923" s="443">
        <f>SUM(E915:E918)-SUM(E919:E922)</f>
        <v>0</v>
      </c>
      <c r="F923" s="444">
        <f t="shared" ref="F923:L923" si="332">SUM(F915:F918)-SUM(F919:F922)</f>
        <v>0</v>
      </c>
      <c r="G923" s="445">
        <f t="shared" si="332"/>
        <v>0</v>
      </c>
      <c r="H923" s="446">
        <f t="shared" si="332"/>
        <v>0</v>
      </c>
      <c r="I923" s="447">
        <f t="shared" si="332"/>
        <v>0</v>
      </c>
      <c r="J923" s="448">
        <f t="shared" si="332"/>
        <v>0</v>
      </c>
      <c r="K923" s="449">
        <f t="shared" si="332"/>
        <v>0</v>
      </c>
      <c r="L923" s="450">
        <f t="shared" si="332"/>
        <v>0</v>
      </c>
      <c r="N923" s="418"/>
    </row>
    <row r="924" spans="1:14" ht="11.25" x14ac:dyDescent="0.2">
      <c r="N924" s="418"/>
    </row>
    <row r="925" spans="1:14" ht="11.25" x14ac:dyDescent="0.2">
      <c r="E925" s="451">
        <f>(F922*$H$5)+(H922*$J$5)+(J922*$L$5)+(L922*$N$5)</f>
        <v>0</v>
      </c>
      <c r="N925" s="418"/>
    </row>
    <row r="926" spans="1:14" ht="11.25" x14ac:dyDescent="0.2">
      <c r="N926" s="418"/>
    </row>
    <row r="927" spans="1:14" ht="11.25" x14ac:dyDescent="0.2">
      <c r="N927" s="418"/>
    </row>
    <row r="928" spans="1:14" ht="11.25" x14ac:dyDescent="0.2">
      <c r="A928" s="548" t="s">
        <v>393</v>
      </c>
      <c r="B928" s="548"/>
      <c r="C928" s="548"/>
      <c r="D928" s="548"/>
      <c r="E928" s="548"/>
      <c r="F928" s="548"/>
      <c r="G928" s="548"/>
      <c r="H928" s="548"/>
      <c r="I928" s="418"/>
      <c r="J928" s="418"/>
      <c r="K928" s="418"/>
      <c r="L928" s="418"/>
      <c r="N928" s="418"/>
    </row>
    <row r="929" spans="1:14" ht="11.25" x14ac:dyDescent="0.2">
      <c r="A929" s="548"/>
      <c r="B929" s="548"/>
      <c r="C929" s="548"/>
      <c r="D929" s="548"/>
      <c r="E929" s="548"/>
      <c r="F929" s="548"/>
      <c r="G929" s="548"/>
      <c r="H929" s="548"/>
      <c r="I929" s="418"/>
      <c r="J929" s="418"/>
      <c r="K929" s="418"/>
      <c r="L929" s="418"/>
      <c r="N929" s="418"/>
    </row>
    <row r="930" spans="1:14" ht="3.75" customHeight="1" x14ac:dyDescent="0.2">
      <c r="I930" s="418"/>
      <c r="J930" s="418"/>
      <c r="K930" s="418"/>
      <c r="L930" s="418"/>
      <c r="N930" s="418"/>
    </row>
    <row r="931" spans="1:14" ht="11.25" x14ac:dyDescent="0.2">
      <c r="A931" s="548" t="s">
        <v>85</v>
      </c>
      <c r="B931" s="548"/>
      <c r="C931" s="548"/>
      <c r="D931" s="548"/>
      <c r="E931" s="548"/>
      <c r="F931" s="548"/>
      <c r="G931" s="548"/>
      <c r="H931" s="548"/>
      <c r="I931" s="418"/>
      <c r="J931" s="418"/>
      <c r="K931" s="418"/>
      <c r="L931" s="418"/>
      <c r="N931" s="418"/>
    </row>
    <row r="932" spans="1:14" ht="11.25" x14ac:dyDescent="0.2">
      <c r="A932" s="10" t="s">
        <v>8</v>
      </c>
      <c r="B932" s="10"/>
      <c r="C932" s="10" t="s">
        <v>2</v>
      </c>
      <c r="D932" s="10" t="s">
        <v>3</v>
      </c>
      <c r="E932" s="10" t="s">
        <v>137</v>
      </c>
      <c r="F932" s="10" t="s">
        <v>25</v>
      </c>
      <c r="G932" s="10" t="s">
        <v>95</v>
      </c>
      <c r="H932" s="10" t="s">
        <v>240</v>
      </c>
      <c r="I932" s="418"/>
      <c r="J932" s="418"/>
      <c r="K932" s="418"/>
      <c r="L932" s="418"/>
      <c r="N932" s="418"/>
    </row>
    <row r="933" spans="1:14" ht="11.25" x14ac:dyDescent="0.2">
      <c r="A933" s="194" t="s">
        <v>326</v>
      </c>
      <c r="B933" s="195"/>
      <c r="C933" s="195" t="s">
        <v>9</v>
      </c>
      <c r="D933" s="196" t="s">
        <v>78</v>
      </c>
      <c r="E933" s="97">
        <f>ROUND(F933/$B$33,6)</f>
        <v>6.2135999999999997E-2</v>
      </c>
      <c r="F933" s="98">
        <f>[7]Consolidação!$G$61</f>
        <v>46.228904467353942</v>
      </c>
      <c r="G933" s="98">
        <f>'[8]2019'!$F$46</f>
        <v>1.218</v>
      </c>
      <c r="H933" s="103">
        <v>0.03</v>
      </c>
      <c r="I933" s="418"/>
      <c r="J933" s="418"/>
      <c r="K933" s="418"/>
      <c r="L933" s="418"/>
      <c r="N933" s="418"/>
    </row>
    <row r="934" spans="1:14" ht="11.25" x14ac:dyDescent="0.2">
      <c r="A934" s="215"/>
      <c r="B934" s="215"/>
      <c r="C934" s="215"/>
      <c r="D934" s="216"/>
      <c r="E934" s="174"/>
      <c r="F934" s="175"/>
      <c r="G934" s="175"/>
      <c r="H934" s="175"/>
      <c r="I934" s="418"/>
      <c r="J934" s="418"/>
      <c r="K934" s="418"/>
      <c r="L934" s="418"/>
      <c r="N934" s="418"/>
    </row>
    <row r="935" spans="1:14" ht="11.25" x14ac:dyDescent="0.2">
      <c r="A935" s="80" t="s">
        <v>32</v>
      </c>
      <c r="B935" s="421"/>
      <c r="C935" s="421"/>
      <c r="D935" s="422"/>
      <c r="E935" s="81">
        <f>SUM(E933:E934)</f>
        <v>6.2135999999999997E-2</v>
      </c>
      <c r="F935" s="84">
        <f>SUM(F933:F934)</f>
        <v>46.228904467353942</v>
      </c>
      <c r="G935" s="84">
        <f>SUM(G933:G934)</f>
        <v>1.218</v>
      </c>
      <c r="H935" s="84"/>
      <c r="I935" s="418"/>
      <c r="J935" s="418"/>
      <c r="K935" s="418"/>
      <c r="L935" s="418"/>
      <c r="N935" s="418"/>
    </row>
    <row r="936" spans="1:14" ht="11.25" x14ac:dyDescent="0.2">
      <c r="I936" s="418"/>
      <c r="J936" s="418"/>
      <c r="K936" s="418"/>
      <c r="L936" s="418"/>
      <c r="N936" s="418"/>
    </row>
    <row r="937" spans="1:14" ht="11.25" x14ac:dyDescent="0.2">
      <c r="A937" s="548" t="s">
        <v>70</v>
      </c>
      <c r="B937" s="548"/>
      <c r="C937" s="548"/>
      <c r="D937" s="548"/>
      <c r="E937" s="548"/>
      <c r="F937" s="548"/>
      <c r="G937" s="548"/>
      <c r="H937" s="548"/>
      <c r="N937" s="418"/>
    </row>
    <row r="938" spans="1:14" ht="11.25" x14ac:dyDescent="0.2">
      <c r="A938" s="10" t="s">
        <v>252</v>
      </c>
      <c r="B938" s="10" t="s">
        <v>1</v>
      </c>
      <c r="C938" s="10" t="s">
        <v>2</v>
      </c>
      <c r="D938" s="10" t="s">
        <v>3</v>
      </c>
      <c r="E938" s="10" t="s">
        <v>137</v>
      </c>
      <c r="F938" s="10" t="s">
        <v>25</v>
      </c>
      <c r="G938" s="10" t="s">
        <v>253</v>
      </c>
      <c r="H938" s="10" t="s">
        <v>254</v>
      </c>
      <c r="J938" s="10" t="s">
        <v>72</v>
      </c>
      <c r="K938" s="10" t="s">
        <v>73</v>
      </c>
      <c r="L938" s="10" t="s">
        <v>74</v>
      </c>
      <c r="M938" s="10" t="s">
        <v>75</v>
      </c>
      <c r="N938" s="418"/>
    </row>
    <row r="939" spans="1:14" ht="11.25" x14ac:dyDescent="0.2">
      <c r="A939" s="268">
        <v>27503</v>
      </c>
      <c r="B939" s="268" t="s">
        <v>347</v>
      </c>
      <c r="C939" s="268" t="s">
        <v>71</v>
      </c>
      <c r="D939" s="269" t="s">
        <v>78</v>
      </c>
      <c r="E939" s="270">
        <f>ROUND(F939/$B$33,6)</f>
        <v>1.637E-3</v>
      </c>
      <c r="F939" s="271">
        <f>G933</f>
        <v>1.218</v>
      </c>
      <c r="G939" s="271">
        <v>0</v>
      </c>
      <c r="H939" s="271">
        <f>F939*G939</f>
        <v>0</v>
      </c>
      <c r="J939" s="418"/>
      <c r="K939" s="418"/>
      <c r="L939" s="418"/>
      <c r="M939" s="418"/>
      <c r="N939" s="418"/>
    </row>
    <row r="940" spans="1:14" ht="11.25" x14ac:dyDescent="0.2">
      <c r="A940" s="167">
        <v>566601</v>
      </c>
      <c r="B940" s="167" t="s">
        <v>166</v>
      </c>
      <c r="C940" s="167" t="s">
        <v>71</v>
      </c>
      <c r="D940" s="192" t="s">
        <v>78</v>
      </c>
      <c r="E940" s="79">
        <f>ROUND(F940/$B$33,6)</f>
        <v>0</v>
      </c>
      <c r="F940" s="83">
        <f>VLOOKUP(A940,$A$56:$H$69,6,FALSE)</f>
        <v>0</v>
      </c>
      <c r="G940" s="83">
        <f>VLOOKUP(A940,$A$56:$H$69,7,FALSE)</f>
        <v>0</v>
      </c>
      <c r="H940" s="83">
        <f>F940*G940</f>
        <v>0</v>
      </c>
      <c r="J940" s="9" t="str">
        <f>VLOOKUP($A940,[4]cliqccee!$A:$AK,26,FALSE)</f>
        <v>0,000000</v>
      </c>
      <c r="K940" s="9" t="str">
        <f>VLOOKUP($A940,[4]cliqccee!$A:$AK,10,FALSE)</f>
        <v>Validado</v>
      </c>
      <c r="L940" s="9" t="str">
        <f>VLOOKUP($A940,[4]cliqccee!$A:$AK,32,FALSE)</f>
        <v>FLAT</v>
      </c>
      <c r="M940" s="9" t="str">
        <f>VLOOKUP($A940,[4]cliqccee!$A:$AK,33,FALSE)</f>
        <v>Validado</v>
      </c>
      <c r="N940" s="499">
        <f t="shared" ref="N940:N943" si="333">J940-E940</f>
        <v>0</v>
      </c>
    </row>
    <row r="941" spans="1:14" ht="11.25" x14ac:dyDescent="0.2">
      <c r="A941" s="167">
        <v>746825</v>
      </c>
      <c r="B941" s="167" t="s">
        <v>295</v>
      </c>
      <c r="C941" s="167" t="s">
        <v>71</v>
      </c>
      <c r="D941" s="192" t="s">
        <v>78</v>
      </c>
      <c r="E941" s="79">
        <f>ROUND(F941/$B$33,6)</f>
        <v>0</v>
      </c>
      <c r="F941" s="83">
        <f>VLOOKUP(A941,$A$202:$H$215,6,FALSE)</f>
        <v>0</v>
      </c>
      <c r="G941" s="83">
        <f>VLOOKUP(A941,$A$202:$H$215,7,FALSE)</f>
        <v>0</v>
      </c>
      <c r="H941" s="83">
        <f>F941*G941</f>
        <v>0</v>
      </c>
      <c r="J941" s="9" t="e">
        <f>VLOOKUP($A941,[4]cliqccee!$A:$AK,26,FALSE)</f>
        <v>#N/A</v>
      </c>
      <c r="K941" s="9" t="e">
        <f>VLOOKUP($A941,[4]cliqccee!$A:$AK,10,FALSE)</f>
        <v>#N/A</v>
      </c>
      <c r="L941" s="9" t="e">
        <f>VLOOKUP($A941,[4]cliqccee!$A:$AK,32,FALSE)</f>
        <v>#N/A</v>
      </c>
      <c r="M941" s="9" t="e">
        <f>VLOOKUP($A941,[4]cliqccee!$A:$AK,33,FALSE)</f>
        <v>#N/A</v>
      </c>
      <c r="N941" s="499" t="e">
        <f t="shared" si="333"/>
        <v>#N/A</v>
      </c>
    </row>
    <row r="942" spans="1:14" ht="11.25" x14ac:dyDescent="0.2">
      <c r="A942" s="167">
        <v>558736</v>
      </c>
      <c r="B942" s="167" t="s">
        <v>246</v>
      </c>
      <c r="C942" s="167" t="s">
        <v>71</v>
      </c>
      <c r="D942" s="192" t="s">
        <v>78</v>
      </c>
      <c r="E942" s="79">
        <f>ROUND(F942/$B$33,6)</f>
        <v>0</v>
      </c>
      <c r="F942" s="83">
        <f>VLOOKUP(A942,$A$202:$H$215,6,FALSE)</f>
        <v>0</v>
      </c>
      <c r="G942" s="83">
        <f>VLOOKUP(A942,$A$202:$H$215,7,FALSE)</f>
        <v>0</v>
      </c>
      <c r="H942" s="83">
        <f>F942*G942</f>
        <v>0</v>
      </c>
      <c r="J942" s="9" t="str">
        <f>VLOOKUP($A942,[4]cliqccee!$A:$AK,26,FALSE)</f>
        <v>0,000000</v>
      </c>
      <c r="K942" s="9" t="str">
        <f>VLOOKUP($A942,[4]cliqccee!$A:$AK,10,FALSE)</f>
        <v>Validado</v>
      </c>
      <c r="L942" s="9" t="str">
        <f>VLOOKUP($A942,[4]cliqccee!$A:$AK,32,FALSE)</f>
        <v>FLAT</v>
      </c>
      <c r="M942" s="9" t="str">
        <f>VLOOKUP($A942,[4]cliqccee!$A:$AK,33,FALSE)</f>
        <v>Validado</v>
      </c>
      <c r="N942" s="499">
        <f t="shared" si="333"/>
        <v>0</v>
      </c>
    </row>
    <row r="943" spans="1:14" ht="11.25" x14ac:dyDescent="0.2">
      <c r="A943" s="195">
        <v>996724</v>
      </c>
      <c r="B943" s="195" t="s">
        <v>244</v>
      </c>
      <c r="C943" s="195" t="s">
        <v>71</v>
      </c>
      <c r="D943" s="196" t="s">
        <v>78</v>
      </c>
      <c r="E943" s="97">
        <f>ROUND(F943/$B$33,6)</f>
        <v>6.2135999999999997E-2</v>
      </c>
      <c r="F943" s="98">
        <f>VLOOKUP(A943,$A$823:$H$873,6,FALSE)</f>
        <v>46.228904467353942</v>
      </c>
      <c r="G943" s="98">
        <f>VLOOKUP(A943,$A$823:$H$873,7,FALSE)</f>
        <v>105.86455645161291</v>
      </c>
      <c r="H943" s="98">
        <f>F943*G943</f>
        <v>4894.002466680412</v>
      </c>
      <c r="J943" s="9" t="str">
        <f>VLOOKUP($A943,[4]cliqccee!$A:$AK,26,FALSE)</f>
        <v>0,059227</v>
      </c>
      <c r="K943" s="9" t="str">
        <f>VLOOKUP($A943,[4]cliqccee!$A:$AK,10,FALSE)</f>
        <v>Validado</v>
      </c>
      <c r="L943" s="9" t="str">
        <f>VLOOKUP($A943,[4]cliqccee!$A:$AK,32,FALSE)</f>
        <v>FLAT</v>
      </c>
      <c r="M943" s="9" t="str">
        <f>VLOOKUP($A943,[4]cliqccee!$A:$AK,33,FALSE)</f>
        <v>Ajustado Validado</v>
      </c>
      <c r="N943" s="499">
        <f t="shared" si="333"/>
        <v>-2.9089999999999949E-3</v>
      </c>
    </row>
    <row r="944" spans="1:14" ht="11.25" x14ac:dyDescent="0.2">
      <c r="A944" s="215"/>
      <c r="B944" s="215"/>
      <c r="C944" s="215"/>
      <c r="D944" s="216"/>
      <c r="E944" s="174"/>
      <c r="F944" s="175"/>
      <c r="G944" s="175"/>
      <c r="H944" s="175"/>
      <c r="J944" s="393"/>
      <c r="K944" s="393"/>
      <c r="L944" s="393"/>
      <c r="M944" s="393"/>
      <c r="N944" s="418"/>
    </row>
    <row r="945" spans="1:14" ht="11.25" x14ac:dyDescent="0.2">
      <c r="A945" s="80" t="s">
        <v>32</v>
      </c>
      <c r="B945" s="421"/>
      <c r="C945" s="421"/>
      <c r="D945" s="422"/>
      <c r="E945" s="81">
        <f>SUM(E939:E944)</f>
        <v>6.3772999999999996E-2</v>
      </c>
      <c r="F945" s="84">
        <f>SUM(F939:F944)</f>
        <v>47.446904467353946</v>
      </c>
      <c r="G945" s="82">
        <f>IFERROR(H945/F945,0)</f>
        <v>103.14692858514621</v>
      </c>
      <c r="H945" s="82">
        <f>SUM(H939:H944)</f>
        <v>4894.002466680412</v>
      </c>
      <c r="I945" s="228"/>
      <c r="N945" s="418"/>
    </row>
    <row r="946" spans="1:14" ht="11.25" x14ac:dyDescent="0.2">
      <c r="N946" s="418"/>
    </row>
    <row r="947" spans="1:14" ht="11.25" x14ac:dyDescent="0.2">
      <c r="A947" s="548" t="s">
        <v>233</v>
      </c>
      <c r="B947" s="548"/>
      <c r="C947" s="548"/>
      <c r="E947" s="423" t="s">
        <v>19</v>
      </c>
      <c r="F947" s="423"/>
      <c r="G947" s="424" t="s">
        <v>20</v>
      </c>
      <c r="H947" s="424"/>
      <c r="I947" s="425" t="s">
        <v>21</v>
      </c>
      <c r="J947" s="425"/>
      <c r="K947" s="426" t="s">
        <v>22</v>
      </c>
      <c r="L947" s="426"/>
      <c r="N947" s="418"/>
    </row>
    <row r="948" spans="1:14" ht="11.25" x14ac:dyDescent="0.2">
      <c r="A948" s="10" t="s">
        <v>2</v>
      </c>
      <c r="B948" s="10" t="s">
        <v>137</v>
      </c>
      <c r="C948" s="10" t="s">
        <v>25</v>
      </c>
      <c r="E948" s="427" t="s">
        <v>137</v>
      </c>
      <c r="F948" s="428" t="s">
        <v>25</v>
      </c>
      <c r="G948" s="429" t="s">
        <v>137</v>
      </c>
      <c r="H948" s="430" t="s">
        <v>25</v>
      </c>
      <c r="I948" s="431" t="s">
        <v>137</v>
      </c>
      <c r="J948" s="432" t="s">
        <v>25</v>
      </c>
      <c r="K948" s="433" t="s">
        <v>137</v>
      </c>
      <c r="L948" s="434" t="s">
        <v>25</v>
      </c>
      <c r="N948" s="418"/>
    </row>
    <row r="949" spans="1:14" ht="11.25" x14ac:dyDescent="0.2">
      <c r="A949" s="29" t="s">
        <v>69</v>
      </c>
      <c r="B949" s="70">
        <v>0</v>
      </c>
      <c r="C949" s="83">
        <v>0</v>
      </c>
      <c r="E949" s="435">
        <f>SUMIFS($E$933:$E$944,$C$933:$C$944,$A949,$D$933:$D$944,$E$947)</f>
        <v>0</v>
      </c>
      <c r="F949" s="436">
        <f>SUMIFS($F$933:$F$944,$C$933:$C$944,$A949,$D$933:$D$944,$E$947)</f>
        <v>0</v>
      </c>
      <c r="G949" s="437">
        <f>SUMIFS($E$933:$E$944,$C$933:$C$944,$A949,$D$933:$D$944,$G$947)</f>
        <v>0</v>
      </c>
      <c r="H949" s="438">
        <f>SUMIFS($F$933:$F$944,$C$933:$C$944,$A949,$D$933:$D$944,$G$947)</f>
        <v>0</v>
      </c>
      <c r="I949" s="439">
        <f>SUMIFS($E$933:$E$944,$C$933:$C$944,$A949,$D$933:$D$944,$I$947)</f>
        <v>0</v>
      </c>
      <c r="J949" s="440">
        <f>SUMIFS($F$933:$F$944,$C$933:$C$944,$A949,$D$933:$D$944,$I$947)</f>
        <v>0</v>
      </c>
      <c r="K949" s="441">
        <f>SUMIFS($E$933:$E$944,$C$933:$C$944,$A949,$D$933:$D$944,$K$947)</f>
        <v>0</v>
      </c>
      <c r="L949" s="442">
        <f>SUMIFS($F$933:$F$944,$C$933:$C$944,$A949,$D$933:$D$944,$K$947)</f>
        <v>0</v>
      </c>
      <c r="N949" s="418"/>
    </row>
    <row r="950" spans="1:14" ht="11.25" x14ac:dyDescent="0.2">
      <c r="A950" s="29" t="s">
        <v>47</v>
      </c>
      <c r="B950" s="70">
        <v>0</v>
      </c>
      <c r="C950" s="83">
        <v>0</v>
      </c>
      <c r="E950" s="435">
        <f t="shared" ref="E950:E955" si="334">SUMIFS($E$933:$E$944,$C$933:$C$944,$A950,$D$933:$D$944,$E$947)</f>
        <v>0</v>
      </c>
      <c r="F950" s="436">
        <f t="shared" ref="F950:F955" si="335">SUMIFS($F$933:$F$944,$C$933:$C$944,$A950,$D$933:$D$944,$E$947)</f>
        <v>0</v>
      </c>
      <c r="G950" s="437">
        <f t="shared" ref="G950:G955" si="336">SUMIFS($E$933:$E$944,$C$933:$C$944,$A950,$D$933:$D$944,$G$947)</f>
        <v>0</v>
      </c>
      <c r="H950" s="438">
        <f t="shared" ref="H950:H955" si="337">SUMIFS($F$933:$F$944,$C$933:$C$944,$A950,$D$933:$D$944,$G$947)</f>
        <v>0</v>
      </c>
      <c r="I950" s="439">
        <f t="shared" ref="I950:I955" si="338">SUMIFS($E$933:$E$944,$C$933:$C$944,$A950,$D$933:$D$944,$I$947)</f>
        <v>0</v>
      </c>
      <c r="J950" s="440">
        <f t="shared" ref="J950:J955" si="339">SUMIFS($F$933:$F$944,$C$933:$C$944,$A950,$D$933:$D$944,$I$947)</f>
        <v>0</v>
      </c>
      <c r="K950" s="441">
        <f t="shared" ref="K950:K955" si="340">SUMIFS($E$933:$E$944,$C$933:$C$944,$A950,$D$933:$D$944,$K$947)</f>
        <v>0</v>
      </c>
      <c r="L950" s="442">
        <f t="shared" ref="L950:L955" si="341">SUMIFS($F$933:$F$944,$C$933:$C$944,$A950,$D$933:$D$944,$K$947)</f>
        <v>0</v>
      </c>
      <c r="N950" s="418"/>
    </row>
    <row r="951" spans="1:14" ht="11.25" x14ac:dyDescent="0.2">
      <c r="A951" s="29" t="s">
        <v>79</v>
      </c>
      <c r="B951" s="70">
        <v>0</v>
      </c>
      <c r="C951" s="83">
        <v>0</v>
      </c>
      <c r="E951" s="435">
        <f t="shared" si="334"/>
        <v>0</v>
      </c>
      <c r="F951" s="436">
        <f t="shared" si="335"/>
        <v>0</v>
      </c>
      <c r="G951" s="437">
        <f t="shared" si="336"/>
        <v>0</v>
      </c>
      <c r="H951" s="438">
        <f t="shared" si="337"/>
        <v>0</v>
      </c>
      <c r="I951" s="439">
        <f t="shared" si="338"/>
        <v>0</v>
      </c>
      <c r="J951" s="440">
        <f t="shared" si="339"/>
        <v>0</v>
      </c>
      <c r="K951" s="441">
        <f t="shared" si="340"/>
        <v>0</v>
      </c>
      <c r="L951" s="442">
        <f t="shared" si="341"/>
        <v>0</v>
      </c>
      <c r="N951" s="418"/>
    </row>
    <row r="952" spans="1:14" ht="11.25" x14ac:dyDescent="0.2">
      <c r="A952" s="29" t="s">
        <v>71</v>
      </c>
      <c r="B952" s="70">
        <f>E945</f>
        <v>6.3772999999999996E-2</v>
      </c>
      <c r="C952" s="83">
        <f>F945</f>
        <v>47.446904467353946</v>
      </c>
      <c r="E952" s="435">
        <f t="shared" si="334"/>
        <v>0</v>
      </c>
      <c r="F952" s="436">
        <f t="shared" si="335"/>
        <v>0</v>
      </c>
      <c r="G952" s="437">
        <f t="shared" si="336"/>
        <v>0</v>
      </c>
      <c r="H952" s="438">
        <f t="shared" si="337"/>
        <v>0</v>
      </c>
      <c r="I952" s="439">
        <f t="shared" si="338"/>
        <v>6.3772999999999996E-2</v>
      </c>
      <c r="J952" s="440">
        <f t="shared" si="339"/>
        <v>47.446904467353946</v>
      </c>
      <c r="K952" s="441">
        <f t="shared" si="340"/>
        <v>0</v>
      </c>
      <c r="L952" s="442">
        <f t="shared" si="341"/>
        <v>0</v>
      </c>
      <c r="N952" s="418"/>
    </row>
    <row r="953" spans="1:14" ht="11.25" x14ac:dyDescent="0.2">
      <c r="A953" s="29" t="s">
        <v>9</v>
      </c>
      <c r="B953" s="70">
        <f>E935</f>
        <v>6.2135999999999997E-2</v>
      </c>
      <c r="C953" s="83">
        <f>F935</f>
        <v>46.228904467353942</v>
      </c>
      <c r="E953" s="435">
        <f t="shared" si="334"/>
        <v>0</v>
      </c>
      <c r="F953" s="436">
        <f t="shared" si="335"/>
        <v>0</v>
      </c>
      <c r="G953" s="437">
        <f t="shared" si="336"/>
        <v>0</v>
      </c>
      <c r="H953" s="438">
        <f t="shared" si="337"/>
        <v>0</v>
      </c>
      <c r="I953" s="439">
        <f t="shared" si="338"/>
        <v>6.2135999999999997E-2</v>
      </c>
      <c r="J953" s="440">
        <f t="shared" si="339"/>
        <v>46.228904467353942</v>
      </c>
      <c r="K953" s="441">
        <f t="shared" si="340"/>
        <v>0</v>
      </c>
      <c r="L953" s="442">
        <f t="shared" si="341"/>
        <v>0</v>
      </c>
      <c r="N953" s="418"/>
    </row>
    <row r="954" spans="1:14" ht="11.25" x14ac:dyDescent="0.2">
      <c r="A954" s="29" t="s">
        <v>80</v>
      </c>
      <c r="B954" s="70">
        <v>0</v>
      </c>
      <c r="C954" s="83">
        <v>0</v>
      </c>
      <c r="E954" s="435">
        <f t="shared" si="334"/>
        <v>0</v>
      </c>
      <c r="F954" s="436">
        <f t="shared" si="335"/>
        <v>0</v>
      </c>
      <c r="G954" s="437">
        <f t="shared" si="336"/>
        <v>0</v>
      </c>
      <c r="H954" s="438">
        <f t="shared" si="337"/>
        <v>0</v>
      </c>
      <c r="I954" s="439">
        <f t="shared" si="338"/>
        <v>0</v>
      </c>
      <c r="J954" s="440">
        <f t="shared" si="339"/>
        <v>0</v>
      </c>
      <c r="K954" s="441">
        <f t="shared" si="340"/>
        <v>0</v>
      </c>
      <c r="L954" s="442">
        <f t="shared" si="341"/>
        <v>0</v>
      </c>
      <c r="N954" s="418"/>
    </row>
    <row r="955" spans="1:14" ht="11.25" x14ac:dyDescent="0.2">
      <c r="A955" s="29" t="s">
        <v>77</v>
      </c>
      <c r="B955" s="70">
        <v>0</v>
      </c>
      <c r="C955" s="83">
        <v>0</v>
      </c>
      <c r="E955" s="435">
        <f t="shared" si="334"/>
        <v>0</v>
      </c>
      <c r="F955" s="436">
        <f t="shared" si="335"/>
        <v>0</v>
      </c>
      <c r="G955" s="437">
        <f t="shared" si="336"/>
        <v>0</v>
      </c>
      <c r="H955" s="438">
        <f t="shared" si="337"/>
        <v>0</v>
      </c>
      <c r="I955" s="439">
        <f t="shared" si="338"/>
        <v>0</v>
      </c>
      <c r="J955" s="440">
        <f t="shared" si="339"/>
        <v>0</v>
      </c>
      <c r="K955" s="441">
        <f t="shared" si="340"/>
        <v>0</v>
      </c>
      <c r="L955" s="442">
        <f t="shared" si="341"/>
        <v>0</v>
      </c>
      <c r="N955" s="418"/>
    </row>
    <row r="956" spans="1:14" ht="11.25" x14ac:dyDescent="0.2">
      <c r="A956" s="11" t="s">
        <v>81</v>
      </c>
      <c r="B956" s="12">
        <f>SUM(B949:B952)-SUM(B953:B955)</f>
        <v>1.6369999999999996E-3</v>
      </c>
      <c r="C956" s="12">
        <f>SUM(C949:C952)-SUM(C953:C955)</f>
        <v>1.2180000000000035</v>
      </c>
      <c r="E956" s="443">
        <f>SUM(E949:E952)-SUM(E953:E955)</f>
        <v>0</v>
      </c>
      <c r="F956" s="444">
        <f>SUM(F949:F952)-SUM(F953:F955)</f>
        <v>0</v>
      </c>
      <c r="G956" s="445">
        <f t="shared" ref="G956:L956" si="342">SUM(G949:G952)-SUM(G953:G955)</f>
        <v>0</v>
      </c>
      <c r="H956" s="446">
        <f t="shared" si="342"/>
        <v>0</v>
      </c>
      <c r="I956" s="447">
        <f>SUM(I949:I952)-SUM(I953:I955)</f>
        <v>1.6369999999999996E-3</v>
      </c>
      <c r="J956" s="448">
        <f t="shared" si="342"/>
        <v>1.2180000000000035</v>
      </c>
      <c r="K956" s="449">
        <f t="shared" si="342"/>
        <v>0</v>
      </c>
      <c r="L956" s="450">
        <f t="shared" si="342"/>
        <v>0</v>
      </c>
      <c r="N956" s="418"/>
    </row>
    <row r="957" spans="1:14" ht="11.25" x14ac:dyDescent="0.2">
      <c r="A957" s="11" t="s">
        <v>82</v>
      </c>
      <c r="B957" s="12">
        <f>SUM(B949:B952)-SUM(B953:B956)</f>
        <v>0</v>
      </c>
      <c r="C957" s="12">
        <f>SUM(C949:C952)-SUM(C953:C956)</f>
        <v>0</v>
      </c>
      <c r="E957" s="443">
        <f>SUM(E949:E952)-SUM(E953:E956)</f>
        <v>0</v>
      </c>
      <c r="F957" s="444">
        <f t="shared" ref="F957:L957" si="343">SUM(F949:F952)-SUM(F953:F956)</f>
        <v>0</v>
      </c>
      <c r="G957" s="445">
        <f t="shared" si="343"/>
        <v>0</v>
      </c>
      <c r="H957" s="446">
        <f t="shared" si="343"/>
        <v>0</v>
      </c>
      <c r="I957" s="447">
        <f t="shared" si="343"/>
        <v>0</v>
      </c>
      <c r="J957" s="448">
        <f t="shared" si="343"/>
        <v>0</v>
      </c>
      <c r="K957" s="449">
        <f t="shared" si="343"/>
        <v>0</v>
      </c>
      <c r="L957" s="450">
        <f t="shared" si="343"/>
        <v>0</v>
      </c>
      <c r="N957" s="418"/>
    </row>
    <row r="958" spans="1:14" ht="11.25" x14ac:dyDescent="0.2">
      <c r="N958" s="418"/>
    </row>
    <row r="959" spans="1:14" ht="11.25" x14ac:dyDescent="0.2">
      <c r="E959" s="451">
        <f>(F956*$H$5)+(H956*$J$5)+(J956*$L$5)+(L956*$N$5)</f>
        <v>105.58178975806483</v>
      </c>
      <c r="N959" s="418"/>
    </row>
    <row r="960" spans="1:14" ht="11.25" x14ac:dyDescent="0.2">
      <c r="N960" s="418"/>
    </row>
    <row r="961" spans="1:18" ht="11.25" x14ac:dyDescent="0.2">
      <c r="F961" s="410"/>
      <c r="N961" s="418"/>
    </row>
    <row r="962" spans="1:18" ht="11.25" x14ac:dyDescent="0.2">
      <c r="A962" s="548" t="s">
        <v>434</v>
      </c>
      <c r="B962" s="548"/>
      <c r="C962" s="548"/>
      <c r="D962" s="548"/>
      <c r="E962" s="548"/>
      <c r="F962" s="548"/>
      <c r="G962" s="548"/>
      <c r="H962" s="548"/>
      <c r="N962" s="418"/>
    </row>
    <row r="963" spans="1:18" ht="11.25" x14ac:dyDescent="0.2">
      <c r="A963" s="548"/>
      <c r="B963" s="548"/>
      <c r="C963" s="548"/>
      <c r="D963" s="548"/>
      <c r="E963" s="548"/>
      <c r="F963" s="548"/>
      <c r="G963" s="548"/>
      <c r="H963" s="548"/>
      <c r="N963" s="418"/>
    </row>
    <row r="964" spans="1:18" ht="3.75" customHeight="1" x14ac:dyDescent="0.15"/>
    <row r="965" spans="1:18" x14ac:dyDescent="0.15">
      <c r="A965" s="548" t="s">
        <v>85</v>
      </c>
      <c r="B965" s="548"/>
      <c r="C965" s="548"/>
      <c r="D965" s="548"/>
      <c r="E965" s="548"/>
      <c r="F965" s="548"/>
      <c r="G965" s="548"/>
      <c r="H965" s="548"/>
    </row>
    <row r="966" spans="1:18" ht="15" customHeight="1" x14ac:dyDescent="0.15">
      <c r="A966" s="10" t="s">
        <v>8</v>
      </c>
      <c r="B966" s="10"/>
      <c r="C966" s="10" t="s">
        <v>2</v>
      </c>
      <c r="D966" s="10" t="s">
        <v>3</v>
      </c>
      <c r="E966" s="10" t="s">
        <v>137</v>
      </c>
      <c r="F966" s="10" t="s">
        <v>25</v>
      </c>
      <c r="G966" s="10" t="s">
        <v>95</v>
      </c>
      <c r="H966" s="10" t="s">
        <v>240</v>
      </c>
      <c r="J966" s="514" t="s">
        <v>114</v>
      </c>
      <c r="K966" s="514" t="s">
        <v>117</v>
      </c>
      <c r="L966" s="548" t="s">
        <v>397</v>
      </c>
      <c r="M966" s="548"/>
      <c r="N966" s="514" t="s">
        <v>115</v>
      </c>
      <c r="O966" s="514" t="s">
        <v>116</v>
      </c>
      <c r="P966" s="514" t="s">
        <v>151</v>
      </c>
    </row>
    <row r="967" spans="1:18" ht="11.25" x14ac:dyDescent="0.2">
      <c r="A967" s="101" t="s">
        <v>110</v>
      </c>
      <c r="B967" s="99"/>
      <c r="C967" s="31" t="s">
        <v>9</v>
      </c>
      <c r="D967" s="100" t="s">
        <v>232</v>
      </c>
      <c r="E967" s="79">
        <f t="shared" ref="E967:E973" si="344">ROUND(F967/$B$33,6)</f>
        <v>17.992032999999999</v>
      </c>
      <c r="F967" s="83">
        <f>[7]Consolidação!$G$53</f>
        <v>13386.07237131176</v>
      </c>
      <c r="G967" s="83">
        <f>'[8]2019'!$F$45</f>
        <v>277.52199999999999</v>
      </c>
      <c r="H967" s="103">
        <v>0.03</v>
      </c>
      <c r="I967" s="455"/>
      <c r="J967" s="418"/>
      <c r="K967" s="418"/>
      <c r="L967" s="418"/>
      <c r="M967" s="418"/>
      <c r="N967" s="418"/>
      <c r="O967" s="418"/>
      <c r="P967" s="418"/>
      <c r="Q967" s="186"/>
    </row>
    <row r="968" spans="1:18" s="418" customFormat="1" ht="14.25" customHeight="1" x14ac:dyDescent="0.2">
      <c r="A968" s="101" t="s">
        <v>325</v>
      </c>
      <c r="B968" s="99"/>
      <c r="C968" s="31" t="s">
        <v>9</v>
      </c>
      <c r="D968" s="100" t="s">
        <v>78</v>
      </c>
      <c r="E968" s="79">
        <f t="shared" si="344"/>
        <v>13.047775</v>
      </c>
      <c r="F968" s="83">
        <f>[7]Consolidação!$G$55</f>
        <v>9707.5443718805491</v>
      </c>
      <c r="G968" s="83">
        <f>'[8]2019'!$F$40</f>
        <v>312.06400000000002</v>
      </c>
      <c r="H968" s="103">
        <f>[7]Consolidação!$F$55</f>
        <v>0.03</v>
      </c>
      <c r="I968" s="481">
        <f>SUM(F968:F973)-SUM(G968:G973)</f>
        <v>68879.959309776052</v>
      </c>
    </row>
    <row r="969" spans="1:18" x14ac:dyDescent="0.15">
      <c r="A969" s="101" t="s">
        <v>321</v>
      </c>
      <c r="B969" s="77"/>
      <c r="C969" s="31" t="s">
        <v>9</v>
      </c>
      <c r="D969" s="78" t="s">
        <v>78</v>
      </c>
      <c r="E969" s="79">
        <f t="shared" si="344"/>
        <v>11.429135</v>
      </c>
      <c r="F969" s="83">
        <f>[7]Consolidação!$G$56</f>
        <v>8503.2766822253816</v>
      </c>
      <c r="G969" s="83">
        <f>'[8]2019'!$F$41</f>
        <v>195.23599999999999</v>
      </c>
      <c r="H969" s="412">
        <v>0.03</v>
      </c>
      <c r="I969" s="455"/>
      <c r="J969" s="151"/>
      <c r="K969" s="95"/>
      <c r="L969" s="96"/>
      <c r="M969" s="43"/>
      <c r="N969" s="96"/>
      <c r="O969" s="96"/>
      <c r="P969" s="229"/>
    </row>
    <row r="970" spans="1:18" ht="11.25" x14ac:dyDescent="0.2">
      <c r="A970" s="101" t="s">
        <v>323</v>
      </c>
      <c r="B970" s="77"/>
      <c r="C970" s="31" t="s">
        <v>9</v>
      </c>
      <c r="D970" s="78" t="s">
        <v>78</v>
      </c>
      <c r="E970" s="79">
        <f t="shared" si="344"/>
        <v>14.160371</v>
      </c>
      <c r="F970" s="83">
        <f>[7]Consolidação!$G$57</f>
        <v>10535.3160928546</v>
      </c>
      <c r="G970" s="83">
        <f>'[8]2019'!$F$39</f>
        <v>271.92700000000002</v>
      </c>
      <c r="H970" s="103">
        <f>[7]Consolidação!$F$57</f>
        <v>0.03</v>
      </c>
      <c r="I970" s="455"/>
      <c r="J970" s="418"/>
      <c r="K970" s="418"/>
      <c r="L970" s="418"/>
      <c r="M970" s="418"/>
      <c r="N970" s="493"/>
      <c r="O970" s="418"/>
      <c r="P970" s="418"/>
    </row>
    <row r="971" spans="1:18" ht="11.25" x14ac:dyDescent="0.2">
      <c r="A971" s="101" t="s">
        <v>319</v>
      </c>
      <c r="B971" s="77"/>
      <c r="C971" s="31" t="s">
        <v>9</v>
      </c>
      <c r="D971" s="78" t="s">
        <v>78</v>
      </c>
      <c r="E971" s="79">
        <f t="shared" si="344"/>
        <v>33.094213000000003</v>
      </c>
      <c r="F971" s="83">
        <f>[7]Consolidação!$G$63</f>
        <v>24622.094162815512</v>
      </c>
      <c r="G971" s="83">
        <f>'[8]2019'!$F$43</f>
        <v>596.89800000000002</v>
      </c>
      <c r="H971" s="103">
        <f>[7]Consolidação!$F$63</f>
        <v>0.03</v>
      </c>
      <c r="I971" s="409"/>
      <c r="J971" s="418"/>
      <c r="K971" s="418"/>
      <c r="L971" s="418"/>
      <c r="M971" s="418"/>
      <c r="N971" s="418"/>
      <c r="O971" s="418"/>
      <c r="P971" s="418"/>
    </row>
    <row r="972" spans="1:18" ht="11.25" x14ac:dyDescent="0.2">
      <c r="A972" s="101" t="s">
        <v>320</v>
      </c>
      <c r="B972" s="77"/>
      <c r="C972" s="31" t="s">
        <v>9</v>
      </c>
      <c r="D972" s="78" t="s">
        <v>78</v>
      </c>
      <c r="E972" s="79">
        <f t="shared" si="344"/>
        <v>19.936700999999999</v>
      </c>
      <c r="F972" s="83">
        <f>[7]Consolidação!$G$64</f>
        <v>14832.905567010313</v>
      </c>
      <c r="G972" s="83">
        <f>'[8]2019'!$F$44</f>
        <v>398.41199999999998</v>
      </c>
      <c r="H972" s="103">
        <f>[7]Consolidação!$F$64</f>
        <v>0.03</v>
      </c>
      <c r="I972" s="409"/>
      <c r="J972" s="418"/>
      <c r="K972" s="418"/>
      <c r="L972" s="418"/>
      <c r="M972" s="418"/>
      <c r="N972" s="418"/>
      <c r="O972" s="418"/>
      <c r="P972" s="418"/>
    </row>
    <row r="973" spans="1:18" s="546" customFormat="1" ht="11.25" x14ac:dyDescent="0.2">
      <c r="A973" s="101" t="s">
        <v>509</v>
      </c>
      <c r="B973" s="77"/>
      <c r="C973" s="31" t="s">
        <v>9</v>
      </c>
      <c r="D973" s="78" t="s">
        <v>78</v>
      </c>
      <c r="E973" s="79">
        <f t="shared" si="344"/>
        <v>3.3682989999999999</v>
      </c>
      <c r="F973" s="83">
        <f>[7]Consolidação!$G$65</f>
        <v>2506.0144329896921</v>
      </c>
      <c r="G973" s="83">
        <v>52.655000000000001</v>
      </c>
      <c r="H973" s="103">
        <f>[7]Consolidação!$F$64</f>
        <v>0.03</v>
      </c>
      <c r="I973" s="409"/>
      <c r="J973" s="418"/>
      <c r="K973" s="418"/>
      <c r="L973" s="418"/>
      <c r="M973" s="418"/>
      <c r="N973" s="418"/>
      <c r="O973" s="418"/>
      <c r="P973" s="418"/>
    </row>
    <row r="974" spans="1:18" ht="11.25" x14ac:dyDescent="0.2">
      <c r="A974" s="171"/>
      <c r="B974" s="172"/>
      <c r="C974" s="171"/>
      <c r="D974" s="173"/>
      <c r="E974" s="174"/>
      <c r="F974" s="175"/>
      <c r="G974" s="175"/>
      <c r="H974" s="175"/>
      <c r="J974" s="418"/>
      <c r="K974" s="418"/>
      <c r="L974" s="418"/>
      <c r="M974" s="418"/>
      <c r="N974" s="418"/>
      <c r="O974" s="418"/>
      <c r="P974" s="418"/>
    </row>
    <row r="975" spans="1:18" ht="11.25" x14ac:dyDescent="0.2">
      <c r="A975" s="80" t="s">
        <v>32</v>
      </c>
      <c r="B975" s="421"/>
      <c r="C975" s="421"/>
      <c r="D975" s="422"/>
      <c r="E975" s="81">
        <f>SUM(E967:E974)</f>
        <v>113.028527</v>
      </c>
      <c r="F975" s="84">
        <f>SUM(F967:F974)</f>
        <v>84093.223681087795</v>
      </c>
      <c r="G975" s="84">
        <f>SUM(G967:G974)</f>
        <v>2104.7139999999999</v>
      </c>
      <c r="H975" s="84"/>
      <c r="I975" s="228"/>
      <c r="J975" s="455"/>
      <c r="K975" s="228"/>
      <c r="L975" s="228"/>
      <c r="M975" s="228"/>
      <c r="N975" s="228"/>
      <c r="O975" s="493"/>
      <c r="P975" s="228"/>
    </row>
    <row r="976" spans="1:18" ht="11.25" x14ac:dyDescent="0.2">
      <c r="F976" s="228"/>
      <c r="M976" s="231"/>
      <c r="N976" s="418"/>
      <c r="O976" s="495"/>
      <c r="P976" s="418"/>
      <c r="Q976" s="418"/>
      <c r="R976" s="418"/>
    </row>
    <row r="977" spans="1:18" ht="11.25" x14ac:dyDescent="0.2">
      <c r="A977" s="548" t="s">
        <v>70</v>
      </c>
      <c r="B977" s="548"/>
      <c r="C977" s="548"/>
      <c r="D977" s="548"/>
      <c r="E977" s="548"/>
      <c r="F977" s="548"/>
      <c r="G977" s="548"/>
      <c r="H977" s="548"/>
      <c r="M977" s="460"/>
      <c r="N977" s="481"/>
      <c r="O977" s="418"/>
      <c r="P977" s="418"/>
      <c r="Q977" s="418"/>
      <c r="R977" s="418"/>
    </row>
    <row r="978" spans="1:18" ht="11.25" x14ac:dyDescent="0.2">
      <c r="A978" s="10" t="s">
        <v>252</v>
      </c>
      <c r="B978" s="10" t="s">
        <v>1</v>
      </c>
      <c r="C978" s="10" t="s">
        <v>2</v>
      </c>
      <c r="D978" s="10" t="s">
        <v>3</v>
      </c>
      <c r="E978" s="10" t="s">
        <v>137</v>
      </c>
      <c r="F978" s="10" t="s">
        <v>25</v>
      </c>
      <c r="G978" s="10" t="s">
        <v>253</v>
      </c>
      <c r="H978" s="10" t="s">
        <v>254</v>
      </c>
      <c r="J978" s="10" t="s">
        <v>72</v>
      </c>
      <c r="K978" s="10" t="s">
        <v>73</v>
      </c>
      <c r="L978" s="10" t="s">
        <v>74</v>
      </c>
      <c r="M978" s="10" t="s">
        <v>75</v>
      </c>
      <c r="N978" s="418"/>
      <c r="P978" s="418"/>
      <c r="Q978" s="418"/>
      <c r="R978" s="418"/>
    </row>
    <row r="979" spans="1:18" ht="11.25" x14ac:dyDescent="0.2">
      <c r="A979" s="167"/>
      <c r="B979" s="167" t="s">
        <v>345</v>
      </c>
      <c r="C979" s="167" t="s">
        <v>71</v>
      </c>
      <c r="D979" s="192" t="s">
        <v>232</v>
      </c>
      <c r="E979" s="79">
        <f>ROUND(F979/$B$33,6)</f>
        <v>0.37301299999999998</v>
      </c>
      <c r="F979" s="83">
        <f>SUMIFS(G967:G974,D967:D974,D979)</f>
        <v>277.52199999999999</v>
      </c>
      <c r="G979" s="83">
        <v>0</v>
      </c>
      <c r="H979" s="83">
        <f t="shared" ref="H979:H990" si="345">F979*G979</f>
        <v>0</v>
      </c>
      <c r="I979" s="494"/>
      <c r="J979" s="418"/>
      <c r="K979" s="418"/>
      <c r="L979" s="418"/>
      <c r="M979" s="418"/>
      <c r="N979" s="418"/>
      <c r="O979" s="418"/>
      <c r="P979" s="418"/>
      <c r="Q979" s="418"/>
      <c r="R979" s="418"/>
    </row>
    <row r="980" spans="1:18" ht="11.25" x14ac:dyDescent="0.2">
      <c r="A980" s="268"/>
      <c r="B980" s="268" t="s">
        <v>346</v>
      </c>
      <c r="C980" s="268" t="s">
        <v>71</v>
      </c>
      <c r="D980" s="269" t="s">
        <v>78</v>
      </c>
      <c r="E980" s="270">
        <f>ROUND(F980/$B$33,6)</f>
        <v>2.4559030000000002</v>
      </c>
      <c r="F980" s="271">
        <f>SUMIFS(G967:G974,D967:D974,D980)</f>
        <v>1827.192</v>
      </c>
      <c r="G980" s="271">
        <v>0</v>
      </c>
      <c r="H980" s="271">
        <f t="shared" si="345"/>
        <v>0</v>
      </c>
      <c r="I980" s="494"/>
      <c r="J980" s="418"/>
      <c r="K980" s="418"/>
      <c r="L980" s="418"/>
      <c r="M980" s="418"/>
      <c r="N980" s="418"/>
      <c r="O980" s="418"/>
      <c r="P980" s="418"/>
      <c r="Q980" s="418"/>
      <c r="R980" s="418"/>
    </row>
    <row r="981" spans="1:18" ht="11.25" x14ac:dyDescent="0.2">
      <c r="A981" s="167">
        <v>80089</v>
      </c>
      <c r="B981" s="168" t="s">
        <v>118</v>
      </c>
      <c r="C981" s="167" t="s">
        <v>71</v>
      </c>
      <c r="D981" s="169" t="s">
        <v>232</v>
      </c>
      <c r="E981" s="79">
        <v>0</v>
      </c>
      <c r="F981" s="83">
        <f>E981*$B$33</f>
        <v>0</v>
      </c>
      <c r="G981" s="83">
        <v>0</v>
      </c>
      <c r="H981" s="83">
        <f t="shared" si="345"/>
        <v>0</v>
      </c>
      <c r="I981" s="410"/>
      <c r="J981" s="9" t="e">
        <f>VLOOKUP($A981,[4]cliqccee!$A:$AK,26,FALSE)</f>
        <v>#N/A</v>
      </c>
      <c r="K981" s="9" t="e">
        <f>VLOOKUP($A981,[4]cliqccee!$A:$AK,10,FALSE)</f>
        <v>#N/A</v>
      </c>
      <c r="L981" s="9" t="e">
        <f>VLOOKUP($A981,[4]cliqccee!$A:$AK,32,FALSE)</f>
        <v>#N/A</v>
      </c>
      <c r="M981" s="9" t="e">
        <f>VLOOKUP($A981,[4]cliqccee!$A:$AK,33,FALSE)</f>
        <v>#N/A</v>
      </c>
      <c r="N981" s="499" t="e">
        <f t="shared" ref="N981:N990" si="346">J981-E981</f>
        <v>#N/A</v>
      </c>
      <c r="O981" s="418"/>
    </row>
    <row r="982" spans="1:18" ht="11.25" x14ac:dyDescent="0.2">
      <c r="A982" s="167">
        <v>569436</v>
      </c>
      <c r="B982" s="168" t="s">
        <v>246</v>
      </c>
      <c r="C982" s="167" t="s">
        <v>71</v>
      </c>
      <c r="D982" s="169" t="s">
        <v>232</v>
      </c>
      <c r="E982" s="79">
        <f t="shared" ref="E982:E985" si="347">ROUND(F982/$B$33,6)</f>
        <v>0</v>
      </c>
      <c r="F982" s="83">
        <f>VLOOKUP(A982,$A$202:$H$215,6,FALSE)</f>
        <v>0</v>
      </c>
      <c r="G982" s="83">
        <f>VLOOKUP(A982,$A$202:$H$215,7,FALSE)</f>
        <v>0</v>
      </c>
      <c r="H982" s="83">
        <f t="shared" si="345"/>
        <v>0</v>
      </c>
      <c r="J982" s="9" t="str">
        <f>VLOOKUP($A982,[4]cliqccee!$A:$AK,26,FALSE)</f>
        <v>0,000000</v>
      </c>
      <c r="K982" s="9" t="str">
        <f>VLOOKUP($A982,[4]cliqccee!$A:$AK,10,FALSE)</f>
        <v>Validado</v>
      </c>
      <c r="L982" s="9" t="str">
        <f>VLOOKUP($A982,[4]cliqccee!$A:$AK,32,FALSE)</f>
        <v>FLAT</v>
      </c>
      <c r="M982" s="9" t="str">
        <f>VLOOKUP($A982,[4]cliqccee!$A:$AK,33,FALSE)</f>
        <v>Validado</v>
      </c>
      <c r="N982" s="499">
        <f t="shared" si="346"/>
        <v>0</v>
      </c>
      <c r="O982" s="418"/>
    </row>
    <row r="983" spans="1:18" ht="11.25" x14ac:dyDescent="0.2">
      <c r="A983" s="167">
        <v>569433</v>
      </c>
      <c r="B983" s="168" t="s">
        <v>244</v>
      </c>
      <c r="C983" s="167" t="s">
        <v>71</v>
      </c>
      <c r="D983" s="169" t="s">
        <v>232</v>
      </c>
      <c r="E983" s="79">
        <f t="shared" si="347"/>
        <v>0</v>
      </c>
      <c r="F983" s="83">
        <f>VLOOKUP(A983,$A$823:$H$873,6,FALSE)</f>
        <v>0</v>
      </c>
      <c r="G983" s="83">
        <f>VLOOKUP(A983,$A$823:$H$873,7,FALSE)</f>
        <v>0</v>
      </c>
      <c r="H983" s="83">
        <f t="shared" si="345"/>
        <v>0</v>
      </c>
      <c r="J983" s="9" t="str">
        <f>VLOOKUP($A983,[4]cliqccee!$A:$AK,26,FALSE)</f>
        <v>0,000000</v>
      </c>
      <c r="K983" s="9" t="str">
        <f>VLOOKUP($A983,[4]cliqccee!$A:$AK,10,FALSE)</f>
        <v>Validado</v>
      </c>
      <c r="L983" s="9" t="str">
        <f>VLOOKUP($A983,[4]cliqccee!$A:$AK,32,FALSE)</f>
        <v>FLAT</v>
      </c>
      <c r="M983" s="9" t="str">
        <f>VLOOKUP($A983,[4]cliqccee!$A:$AK,33,FALSE)</f>
        <v>Validado</v>
      </c>
      <c r="N983" s="499">
        <f t="shared" si="346"/>
        <v>0</v>
      </c>
      <c r="O983" s="418"/>
    </row>
    <row r="984" spans="1:18" ht="11.25" x14ac:dyDescent="0.2">
      <c r="A984" s="167">
        <v>947191</v>
      </c>
      <c r="B984" s="168" t="s">
        <v>236</v>
      </c>
      <c r="C984" s="167" t="s">
        <v>71</v>
      </c>
      <c r="D984" s="169" t="s">
        <v>232</v>
      </c>
      <c r="E984" s="79">
        <f t="shared" si="347"/>
        <v>0</v>
      </c>
      <c r="F984" s="83"/>
      <c r="G984" s="83"/>
      <c r="H984" s="83">
        <f t="shared" si="345"/>
        <v>0</v>
      </c>
      <c r="J984" s="9" t="e">
        <f>VLOOKUP($A984,[4]cliqccee!$A:$AK,26,FALSE)</f>
        <v>#N/A</v>
      </c>
      <c r="K984" s="9" t="e">
        <f>VLOOKUP($A984,[4]cliqccee!$A:$AK,10,FALSE)</f>
        <v>#N/A</v>
      </c>
      <c r="L984" s="9" t="e">
        <f>VLOOKUP($A984,[4]cliqccee!$A:$AK,32,FALSE)</f>
        <v>#N/A</v>
      </c>
      <c r="M984" s="9" t="e">
        <f>VLOOKUP($A984,[4]cliqccee!$A:$AK,33,FALSE)</f>
        <v>#N/A</v>
      </c>
      <c r="N984" s="499" t="e">
        <f t="shared" si="346"/>
        <v>#N/A</v>
      </c>
      <c r="O984" s="418"/>
    </row>
    <row r="985" spans="1:18" ht="11.25" x14ac:dyDescent="0.2">
      <c r="A985" s="167">
        <v>558732</v>
      </c>
      <c r="B985" s="168" t="s">
        <v>278</v>
      </c>
      <c r="C985" s="167" t="s">
        <v>71</v>
      </c>
      <c r="D985" s="169" t="s">
        <v>78</v>
      </c>
      <c r="E985" s="79">
        <f t="shared" si="347"/>
        <v>0</v>
      </c>
      <c r="F985" s="83">
        <f>VLOOKUP(A985,$A$147:$H$169,6,FALSE)</f>
        <v>0</v>
      </c>
      <c r="G985" s="83">
        <f>VLOOKUP(A985,$A$147:$H$169,7,FALSE)</f>
        <v>0</v>
      </c>
      <c r="H985" s="83">
        <f t="shared" si="345"/>
        <v>0</v>
      </c>
      <c r="J985" s="9" t="str">
        <f>VLOOKUP($A985,[4]cliqccee!$A:$AK,26,FALSE)</f>
        <v>0,000000</v>
      </c>
      <c r="K985" s="9" t="str">
        <f>VLOOKUP($A985,[4]cliqccee!$A:$AK,10,FALSE)</f>
        <v>Validado</v>
      </c>
      <c r="L985" s="9" t="str">
        <f>VLOOKUP($A985,[4]cliqccee!$A:$AK,32,FALSE)</f>
        <v>FLAT</v>
      </c>
      <c r="M985" s="9" t="str">
        <f>VLOOKUP($A985,[4]cliqccee!$A:$AK,33,FALSE)</f>
        <v>Validado</v>
      </c>
      <c r="N985" s="499">
        <f t="shared" si="346"/>
        <v>0</v>
      </c>
      <c r="O985" s="418"/>
    </row>
    <row r="986" spans="1:18" ht="11.25" x14ac:dyDescent="0.2">
      <c r="A986" s="167">
        <v>1106200</v>
      </c>
      <c r="B986" s="167" t="s">
        <v>406</v>
      </c>
      <c r="C986" s="167" t="s">
        <v>71</v>
      </c>
      <c r="D986" s="192" t="s">
        <v>78</v>
      </c>
      <c r="E986" s="79">
        <f>ROUND(F986/$B$33,6)</f>
        <v>92.580590000000001</v>
      </c>
      <c r="F986" s="83">
        <f>VLOOKUP(A986,$A$742:$H$772,6,FALSE)</f>
        <v>68879.959309776052</v>
      </c>
      <c r="G986" s="83">
        <f>VLOOKUP(A986,$A$742:$H$772,7,FALSE)</f>
        <v>177.61002848961675</v>
      </c>
      <c r="H986" s="83">
        <f>F986*G986</f>
        <v>12233771.535372967</v>
      </c>
      <c r="J986" s="9" t="str">
        <f>VLOOKUP($A986,[4]cliqccee!$A:$AK,26,FALSE)</f>
        <v>91,800000</v>
      </c>
      <c r="K986" s="9" t="str">
        <f>VLOOKUP($A986,[4]cliqccee!$A:$AK,10,FALSE)</f>
        <v>Validado</v>
      </c>
      <c r="L986" s="9" t="str">
        <f>VLOOKUP($A986,[4]cliqccee!$A:$AK,32,FALSE)</f>
        <v>CARGA</v>
      </c>
      <c r="M986" s="9" t="str">
        <f>VLOOKUP($A986,[4]cliqccee!$A:$AK,33,FALSE)</f>
        <v>Ajustado Validado</v>
      </c>
      <c r="N986" s="499">
        <f t="shared" si="346"/>
        <v>-0.78059000000000367</v>
      </c>
      <c r="O986" s="418"/>
    </row>
    <row r="987" spans="1:18" ht="11.25" x14ac:dyDescent="0.2">
      <c r="A987" s="195">
        <v>1129937</v>
      </c>
      <c r="B987" s="195" t="s">
        <v>407</v>
      </c>
      <c r="C987" s="195" t="s">
        <v>71</v>
      </c>
      <c r="D987" s="196" t="s">
        <v>232</v>
      </c>
      <c r="E987" s="97">
        <f>ROUND(F987/$B$33,6)</f>
        <v>18</v>
      </c>
      <c r="F987" s="98">
        <f>VLOOKUP(A987,$A$742:$H$772,6,FALSE)</f>
        <v>13392</v>
      </c>
      <c r="G987" s="98">
        <f>VLOOKUP(A987,$A$742:$H$772,7,FALSE)</f>
        <v>197.96457790981177</v>
      </c>
      <c r="H987" s="98">
        <f>F987*G987</f>
        <v>2651141.6273681992</v>
      </c>
      <c r="J987" s="9" t="str">
        <f>VLOOKUP($A987,[4]cliqccee!$A:$AK,26,FALSE)</f>
        <v>18,000000</v>
      </c>
      <c r="K987" s="9" t="str">
        <f>VLOOKUP($A987,[4]cliqccee!$A:$AK,10,FALSE)</f>
        <v>Validado</v>
      </c>
      <c r="L987" s="9" t="str">
        <f>VLOOKUP($A987,[4]cliqccee!$A:$AK,32,FALSE)</f>
        <v>CARGA</v>
      </c>
      <c r="M987" s="9" t="str">
        <f>VLOOKUP($A987,[4]cliqccee!$A:$AK,33,FALSE)</f>
        <v>Ajustado Validado</v>
      </c>
      <c r="N987" s="499">
        <f t="shared" si="346"/>
        <v>0</v>
      </c>
      <c r="O987" s="418"/>
    </row>
    <row r="988" spans="1:18" ht="11.25" x14ac:dyDescent="0.2">
      <c r="A988" s="167"/>
      <c r="B988" s="168"/>
      <c r="C988" s="167"/>
      <c r="D988" s="169"/>
      <c r="E988" s="79"/>
      <c r="F988" s="83"/>
      <c r="G988" s="83"/>
      <c r="H988" s="83"/>
      <c r="I988" s="496"/>
      <c r="J988" s="9" t="e">
        <f>VLOOKUP($A988,[4]cliqccee!$A:$AK,26,FALSE)</f>
        <v>#N/A</v>
      </c>
      <c r="K988" s="9" t="e">
        <f>VLOOKUP($A988,[4]cliqccee!$A:$AK,10,FALSE)</f>
        <v>#N/A</v>
      </c>
      <c r="L988" s="9" t="e">
        <f>VLOOKUP($A988,[4]cliqccee!$A:$AK,32,FALSE)</f>
        <v>#N/A</v>
      </c>
      <c r="M988" s="9" t="e">
        <f>VLOOKUP($A988,[4]cliqccee!$A:$AK,33,FALSE)</f>
        <v>#N/A</v>
      </c>
      <c r="N988" s="499" t="e">
        <f t="shared" si="346"/>
        <v>#N/A</v>
      </c>
      <c r="O988" s="538"/>
    </row>
    <row r="989" spans="1:18" ht="11.25" x14ac:dyDescent="0.2">
      <c r="A989" s="167"/>
      <c r="B989" s="168"/>
      <c r="C989" s="167"/>
      <c r="D989" s="169"/>
      <c r="E989" s="79"/>
      <c r="F989" s="326"/>
      <c r="G989" s="83"/>
      <c r="H989" s="193">
        <f t="shared" ref="H989" si="348">F989*G989</f>
        <v>0</v>
      </c>
      <c r="I989" s="494"/>
      <c r="J989" s="9" t="e">
        <f>VLOOKUP($A989,[4]cliqccee!$A:$AK,26,FALSE)</f>
        <v>#N/A</v>
      </c>
      <c r="K989" s="9" t="e">
        <f>VLOOKUP($A989,[4]cliqccee!$A:$AK,10,FALSE)</f>
        <v>#N/A</v>
      </c>
      <c r="L989" s="9" t="e">
        <f>VLOOKUP($A989,[4]cliqccee!$A:$AK,32,FALSE)</f>
        <v>#N/A</v>
      </c>
      <c r="M989" s="9" t="e">
        <f>VLOOKUP($A989,[4]cliqccee!$A:$AK,33,FALSE)</f>
        <v>#N/A</v>
      </c>
      <c r="N989" s="499" t="e">
        <f t="shared" si="346"/>
        <v>#N/A</v>
      </c>
      <c r="O989" s="418"/>
    </row>
    <row r="990" spans="1:18" ht="11.25" x14ac:dyDescent="0.2">
      <c r="A990" s="167"/>
      <c r="B990" s="168"/>
      <c r="C990" s="167"/>
      <c r="D990" s="169"/>
      <c r="E990" s="79"/>
      <c r="F990" s="326"/>
      <c r="G990" s="83"/>
      <c r="H990" s="193">
        <f t="shared" si="345"/>
        <v>0</v>
      </c>
      <c r="I990" s="494"/>
      <c r="J990" s="9" t="e">
        <f>VLOOKUP($A990,[4]cliqccee!$A:$AK,26,FALSE)</f>
        <v>#N/A</v>
      </c>
      <c r="K990" s="9" t="e">
        <f>VLOOKUP($A990,[4]cliqccee!$A:$AK,10,FALSE)</f>
        <v>#N/A</v>
      </c>
      <c r="L990" s="9" t="e">
        <f>VLOOKUP($A990,[4]cliqccee!$A:$AK,32,FALSE)</f>
        <v>#N/A</v>
      </c>
      <c r="M990" s="9" t="e">
        <f>VLOOKUP($A990,[4]cliqccee!$A:$AK,33,FALSE)</f>
        <v>#N/A</v>
      </c>
      <c r="N990" s="499" t="e">
        <f t="shared" si="346"/>
        <v>#N/A</v>
      </c>
      <c r="O990" s="418"/>
    </row>
    <row r="991" spans="1:18" ht="11.25" x14ac:dyDescent="0.2">
      <c r="A991" s="198"/>
      <c r="B991" s="198"/>
      <c r="C991" s="198"/>
      <c r="D991" s="261"/>
      <c r="E991" s="85"/>
      <c r="F991" s="86"/>
      <c r="G991" s="86"/>
      <c r="H991" s="86"/>
      <c r="J991" s="393"/>
      <c r="K991" s="393"/>
      <c r="L991" s="393"/>
      <c r="M991" s="393"/>
      <c r="N991" s="418"/>
      <c r="O991" s="418"/>
    </row>
    <row r="992" spans="1:18" ht="11.25" x14ac:dyDescent="0.2">
      <c r="A992" s="80" t="s">
        <v>32</v>
      </c>
      <c r="B992" s="421"/>
      <c r="C992" s="421"/>
      <c r="D992" s="422"/>
      <c r="E992" s="81">
        <f>SUM(E979:E991)</f>
        <v>113.40950600000001</v>
      </c>
      <c r="F992" s="84">
        <f>SUM(F979:F991)</f>
        <v>84376.673309776059</v>
      </c>
      <c r="G992" s="82">
        <f>IFERROR(H992/F992,0)</f>
        <v>176.41028709550426</v>
      </c>
      <c r="H992" s="82">
        <f>SUM(H979:H991)</f>
        <v>14884913.162741166</v>
      </c>
      <c r="I992" s="228"/>
      <c r="N992" s="418"/>
    </row>
    <row r="993" spans="1:18" s="418" customFormat="1" ht="11.25" x14ac:dyDescent="0.2"/>
    <row r="994" spans="1:18" ht="11.25" x14ac:dyDescent="0.2">
      <c r="A994" s="548" t="s">
        <v>76</v>
      </c>
      <c r="B994" s="548"/>
      <c r="C994" s="548"/>
      <c r="D994" s="548"/>
      <c r="E994" s="548"/>
      <c r="F994" s="548"/>
      <c r="G994" s="548"/>
      <c r="H994" s="548"/>
      <c r="M994" s="460"/>
      <c r="N994" s="481"/>
      <c r="O994" s="418"/>
      <c r="P994" s="418"/>
      <c r="Q994" s="418"/>
      <c r="R994" s="418"/>
    </row>
    <row r="995" spans="1:18" ht="11.25" x14ac:dyDescent="0.2">
      <c r="A995" s="10" t="s">
        <v>252</v>
      </c>
      <c r="B995" s="10" t="s">
        <v>1</v>
      </c>
      <c r="C995" s="10" t="s">
        <v>2</v>
      </c>
      <c r="D995" s="10" t="s">
        <v>3</v>
      </c>
      <c r="E995" s="10" t="s">
        <v>137</v>
      </c>
      <c r="F995" s="10" t="s">
        <v>25</v>
      </c>
      <c r="G995" s="10" t="s">
        <v>253</v>
      </c>
      <c r="H995" s="10" t="s">
        <v>254</v>
      </c>
      <c r="J995" s="10" t="s">
        <v>72</v>
      </c>
      <c r="K995" s="10" t="s">
        <v>73</v>
      </c>
      <c r="L995" s="10" t="s">
        <v>74</v>
      </c>
      <c r="M995" s="10" t="s">
        <v>75</v>
      </c>
      <c r="N995" s="418"/>
      <c r="P995" s="418"/>
      <c r="Q995" s="418"/>
      <c r="R995" s="418"/>
    </row>
    <row r="996" spans="1:18" ht="11.25" x14ac:dyDescent="0.2">
      <c r="A996" s="167"/>
      <c r="B996" s="406"/>
      <c r="C996" s="167"/>
      <c r="D996" s="192"/>
      <c r="E996" s="79"/>
      <c r="F996" s="83"/>
      <c r="G996" s="83"/>
      <c r="H996" s="83"/>
      <c r="I996" s="494"/>
      <c r="J996" s="9" t="e">
        <f>VLOOKUP($A996,[4]cliqccee!$A:$AK,26,FALSE)</f>
        <v>#N/A</v>
      </c>
      <c r="K996" s="9" t="e">
        <f>VLOOKUP($A996,[4]cliqccee!$A:$AK,10,FALSE)</f>
        <v>#N/A</v>
      </c>
      <c r="L996" s="9" t="e">
        <f>VLOOKUP($A996,[4]cliqccee!$A:$AK,32,FALSE)</f>
        <v>#N/A</v>
      </c>
      <c r="M996" s="9" t="e">
        <f>VLOOKUP($A996,[4]cliqccee!$A:$AK,33,FALSE)</f>
        <v>#N/A</v>
      </c>
      <c r="N996" s="499" t="e">
        <f t="shared" ref="N996:N998" si="349">J996-E996</f>
        <v>#N/A</v>
      </c>
      <c r="O996" s="418"/>
      <c r="P996" s="418"/>
      <c r="Q996" s="418"/>
      <c r="R996" s="418"/>
    </row>
    <row r="997" spans="1:18" ht="11.25" x14ac:dyDescent="0.2">
      <c r="A997" s="268"/>
      <c r="B997" s="406"/>
      <c r="C997" s="268"/>
      <c r="D997" s="269"/>
      <c r="E997" s="270"/>
      <c r="F997" s="271"/>
      <c r="G997" s="271"/>
      <c r="H997" s="83"/>
      <c r="I997" s="494"/>
      <c r="J997" s="9" t="e">
        <f>VLOOKUP($A997,[4]cliqccee!$A:$AK,26,FALSE)</f>
        <v>#N/A</v>
      </c>
      <c r="K997" s="9" t="e">
        <f>VLOOKUP($A997,[4]cliqccee!$A:$AK,10,FALSE)</f>
        <v>#N/A</v>
      </c>
      <c r="L997" s="9" t="e">
        <f>VLOOKUP($A997,[4]cliqccee!$A:$AK,32,FALSE)</f>
        <v>#N/A</v>
      </c>
      <c r="M997" s="9" t="e">
        <f>VLOOKUP($A997,[4]cliqccee!$A:$AK,33,FALSE)</f>
        <v>#N/A</v>
      </c>
      <c r="N997" s="499" t="e">
        <f t="shared" si="349"/>
        <v>#N/A</v>
      </c>
      <c r="O997" s="418"/>
      <c r="P997" s="418"/>
      <c r="Q997" s="418"/>
      <c r="R997" s="418"/>
    </row>
    <row r="998" spans="1:18" ht="11.25" x14ac:dyDescent="0.2">
      <c r="A998" s="167"/>
      <c r="B998" s="168"/>
      <c r="C998" s="167"/>
      <c r="D998" s="169"/>
      <c r="E998" s="79"/>
      <c r="F998" s="83"/>
      <c r="G998" s="83"/>
      <c r="H998" s="83"/>
      <c r="I998" s="410"/>
      <c r="J998" s="9" t="e">
        <f>VLOOKUP($A998,[4]cliqccee!$A:$AK,26,FALSE)</f>
        <v>#N/A</v>
      </c>
      <c r="K998" s="9" t="e">
        <f>VLOOKUP($A998,[4]cliqccee!$A:$AK,10,FALSE)</f>
        <v>#N/A</v>
      </c>
      <c r="L998" s="9" t="e">
        <f>VLOOKUP($A998,[4]cliqccee!$A:$AK,32,FALSE)</f>
        <v>#N/A</v>
      </c>
      <c r="M998" s="9" t="e">
        <f>VLOOKUP($A998,[4]cliqccee!$A:$AK,33,FALSE)</f>
        <v>#N/A</v>
      </c>
      <c r="N998" s="499" t="e">
        <f t="shared" si="349"/>
        <v>#N/A</v>
      </c>
      <c r="O998" s="418"/>
    </row>
    <row r="999" spans="1:18" ht="11.25" x14ac:dyDescent="0.2">
      <c r="A999" s="198"/>
      <c r="B999" s="198"/>
      <c r="C999" s="198"/>
      <c r="D999" s="261"/>
      <c r="E999" s="85"/>
      <c r="F999" s="86"/>
      <c r="G999" s="86"/>
      <c r="H999" s="86"/>
      <c r="J999" s="393"/>
      <c r="K999" s="393"/>
      <c r="L999" s="393"/>
      <c r="M999" s="393"/>
      <c r="N999" s="418"/>
      <c r="O999" s="418"/>
    </row>
    <row r="1000" spans="1:18" ht="11.25" x14ac:dyDescent="0.2">
      <c r="A1000" s="80" t="s">
        <v>32</v>
      </c>
      <c r="B1000" s="421"/>
      <c r="C1000" s="421"/>
      <c r="D1000" s="422"/>
      <c r="E1000" s="81">
        <f>SUM(E996:E999)</f>
        <v>0</v>
      </c>
      <c r="F1000" s="84">
        <f>SUM(F996:F999)</f>
        <v>0</v>
      </c>
      <c r="G1000" s="82">
        <f>IFERROR(H1000/F1000,0)</f>
        <v>0</v>
      </c>
      <c r="H1000" s="82">
        <f>SUM(H996:H999)</f>
        <v>0</v>
      </c>
      <c r="I1000" s="228"/>
      <c r="N1000" s="418"/>
    </row>
    <row r="1001" spans="1:18" ht="11.25" x14ac:dyDescent="0.2">
      <c r="E1001" s="410"/>
      <c r="F1001" s="410"/>
      <c r="G1001" s="410"/>
      <c r="N1001" s="418"/>
    </row>
    <row r="1002" spans="1:18" ht="11.25" x14ac:dyDescent="0.2">
      <c r="A1002" s="548" t="s">
        <v>233</v>
      </c>
      <c r="B1002" s="548"/>
      <c r="C1002" s="548"/>
      <c r="E1002" s="423" t="s">
        <v>19</v>
      </c>
      <c r="F1002" s="423"/>
      <c r="G1002" s="424" t="s">
        <v>20</v>
      </c>
      <c r="H1002" s="424"/>
      <c r="I1002" s="425" t="s">
        <v>21</v>
      </c>
      <c r="J1002" s="425"/>
      <c r="K1002" s="426" t="s">
        <v>22</v>
      </c>
      <c r="L1002" s="426"/>
      <c r="N1002" s="418"/>
    </row>
    <row r="1003" spans="1:18" ht="11.25" x14ac:dyDescent="0.2">
      <c r="A1003" s="10" t="s">
        <v>2</v>
      </c>
      <c r="B1003" s="10" t="s">
        <v>137</v>
      </c>
      <c r="C1003" s="10" t="s">
        <v>25</v>
      </c>
      <c r="E1003" s="427" t="s">
        <v>137</v>
      </c>
      <c r="F1003" s="428" t="s">
        <v>25</v>
      </c>
      <c r="G1003" s="429" t="s">
        <v>137</v>
      </c>
      <c r="H1003" s="430" t="s">
        <v>25</v>
      </c>
      <c r="I1003" s="431" t="s">
        <v>137</v>
      </c>
      <c r="J1003" s="432" t="s">
        <v>25</v>
      </c>
      <c r="K1003" s="433" t="s">
        <v>137</v>
      </c>
      <c r="L1003" s="434" t="s">
        <v>25</v>
      </c>
      <c r="N1003" s="418"/>
    </row>
    <row r="1004" spans="1:18" ht="11.25" x14ac:dyDescent="0.2">
      <c r="A1004" s="29" t="s">
        <v>69</v>
      </c>
      <c r="B1004" s="70">
        <v>0</v>
      </c>
      <c r="C1004" s="83">
        <v>0</v>
      </c>
      <c r="D1004" s="497"/>
      <c r="E1004" s="435">
        <f t="shared" ref="E1004:E1010" si="350">SUMIFS($E$967:$E$991,$C$967:$C$991,$A1004,$D$967:$D$991,$E$1002)</f>
        <v>0</v>
      </c>
      <c r="F1004" s="436">
        <f t="shared" ref="F1004:F1010" si="351">SUMIFS($F$967:$F$991,$C$967:$C$991,$A1004,$D$967:$D$991,$E$1002)</f>
        <v>0</v>
      </c>
      <c r="G1004" s="437">
        <f t="shared" ref="G1004:G1009" si="352">SUMIFS($E$967:$E$991,$C$967:$C$991,$A1004,$D$967:$D$991,$G$1002)</f>
        <v>0</v>
      </c>
      <c r="H1004" s="438">
        <f t="shared" ref="H1004:H1009" si="353">SUMIFS($F$967:$F$991,$C$967:$C$991,$A1004,$D$967:$D$991,$G$1002)</f>
        <v>0</v>
      </c>
      <c r="I1004" s="439">
        <f t="shared" ref="I1004:I1010" si="354">SUMIFS($E$967:$E$991,$C$967:$C$991,$A1004,$D$967:$D$991,$I$1002)</f>
        <v>0</v>
      </c>
      <c r="J1004" s="440">
        <f t="shared" ref="J1004:J1010" si="355">SUMIFS($F$967:$F$991,$C$967:$C$991,$A1004,$D$967:$D$991,$I$1002)</f>
        <v>0</v>
      </c>
      <c r="K1004" s="441">
        <f t="shared" ref="K1004:K1010" si="356">SUMIFS($E$967:$E$991,$C$967:$C$991,$A1004,$D$967:$D$991,$K$1002)</f>
        <v>0</v>
      </c>
      <c r="L1004" s="442">
        <f t="shared" ref="L1004:L1010" si="357">SUMIFS($F$967:$F$991,$C$967:$C$991,$A1004,$D$967:$D$991,$K$1002)</f>
        <v>0</v>
      </c>
      <c r="N1004" s="418"/>
    </row>
    <row r="1005" spans="1:18" ht="11.25" x14ac:dyDescent="0.2">
      <c r="A1005" s="29" t="s">
        <v>47</v>
      </c>
      <c r="B1005" s="70">
        <v>0</v>
      </c>
      <c r="C1005" s="83">
        <v>0</v>
      </c>
      <c r="E1005" s="435">
        <f t="shared" si="350"/>
        <v>0</v>
      </c>
      <c r="F1005" s="436">
        <f t="shared" si="351"/>
        <v>0</v>
      </c>
      <c r="G1005" s="437">
        <f t="shared" si="352"/>
        <v>0</v>
      </c>
      <c r="H1005" s="438">
        <f t="shared" si="353"/>
        <v>0</v>
      </c>
      <c r="I1005" s="439">
        <f t="shared" si="354"/>
        <v>0</v>
      </c>
      <c r="J1005" s="440">
        <f t="shared" si="355"/>
        <v>0</v>
      </c>
      <c r="K1005" s="441">
        <f t="shared" si="356"/>
        <v>0</v>
      </c>
      <c r="L1005" s="442">
        <f t="shared" si="357"/>
        <v>0</v>
      </c>
      <c r="N1005" s="418"/>
    </row>
    <row r="1006" spans="1:18" ht="11.25" x14ac:dyDescent="0.2">
      <c r="A1006" s="29" t="s">
        <v>79</v>
      </c>
      <c r="B1006" s="70">
        <v>0</v>
      </c>
      <c r="C1006" s="83">
        <v>0</v>
      </c>
      <c r="E1006" s="435">
        <f t="shared" si="350"/>
        <v>0</v>
      </c>
      <c r="F1006" s="436">
        <f t="shared" si="351"/>
        <v>0</v>
      </c>
      <c r="G1006" s="437">
        <f t="shared" si="352"/>
        <v>0</v>
      </c>
      <c r="H1006" s="438">
        <f t="shared" si="353"/>
        <v>0</v>
      </c>
      <c r="I1006" s="439">
        <f t="shared" si="354"/>
        <v>0</v>
      </c>
      <c r="J1006" s="440">
        <f t="shared" si="355"/>
        <v>0</v>
      </c>
      <c r="K1006" s="441">
        <f t="shared" si="356"/>
        <v>0</v>
      </c>
      <c r="L1006" s="442">
        <f t="shared" si="357"/>
        <v>0</v>
      </c>
      <c r="N1006" s="418"/>
    </row>
    <row r="1007" spans="1:18" ht="11.25" x14ac:dyDescent="0.2">
      <c r="A1007" s="29" t="s">
        <v>71</v>
      </c>
      <c r="B1007" s="70">
        <f>E992</f>
        <v>113.40950600000001</v>
      </c>
      <c r="C1007" s="83">
        <f>F992</f>
        <v>84376.673309776059</v>
      </c>
      <c r="E1007" s="435">
        <f t="shared" si="350"/>
        <v>0</v>
      </c>
      <c r="F1007" s="436">
        <f t="shared" si="351"/>
        <v>0</v>
      </c>
      <c r="G1007" s="437">
        <f t="shared" si="352"/>
        <v>18.373013</v>
      </c>
      <c r="H1007" s="438">
        <f t="shared" si="353"/>
        <v>13669.522000000001</v>
      </c>
      <c r="I1007" s="439">
        <f t="shared" si="354"/>
        <v>95.036493000000007</v>
      </c>
      <c r="J1007" s="440">
        <f t="shared" si="355"/>
        <v>70707.151309776047</v>
      </c>
      <c r="K1007" s="441">
        <f t="shared" si="356"/>
        <v>0</v>
      </c>
      <c r="L1007" s="442">
        <f t="shared" si="357"/>
        <v>0</v>
      </c>
      <c r="N1007" s="418"/>
    </row>
    <row r="1008" spans="1:18" ht="11.25" x14ac:dyDescent="0.2">
      <c r="A1008" s="29" t="s">
        <v>9</v>
      </c>
      <c r="B1008" s="70">
        <f>E975</f>
        <v>113.028527</v>
      </c>
      <c r="C1008" s="83">
        <f>F975</f>
        <v>84093.223681087795</v>
      </c>
      <c r="E1008" s="435">
        <f t="shared" si="350"/>
        <v>0</v>
      </c>
      <c r="F1008" s="436">
        <f t="shared" si="351"/>
        <v>0</v>
      </c>
      <c r="G1008" s="437">
        <f t="shared" si="352"/>
        <v>17.992032999999999</v>
      </c>
      <c r="H1008" s="438">
        <f t="shared" si="353"/>
        <v>13386.07237131176</v>
      </c>
      <c r="I1008" s="439">
        <f t="shared" si="354"/>
        <v>95.03649399999999</v>
      </c>
      <c r="J1008" s="440">
        <f t="shared" si="355"/>
        <v>70707.151309776047</v>
      </c>
      <c r="K1008" s="441">
        <f t="shared" si="356"/>
        <v>0</v>
      </c>
      <c r="L1008" s="442">
        <f t="shared" si="357"/>
        <v>0</v>
      </c>
      <c r="N1008" s="418"/>
    </row>
    <row r="1009" spans="1:18" ht="11.25" x14ac:dyDescent="0.2">
      <c r="A1009" s="29" t="s">
        <v>80</v>
      </c>
      <c r="B1009" s="70">
        <v>0</v>
      </c>
      <c r="C1009" s="83">
        <v>0</v>
      </c>
      <c r="E1009" s="435">
        <f t="shared" si="350"/>
        <v>0</v>
      </c>
      <c r="F1009" s="436">
        <f t="shared" si="351"/>
        <v>0</v>
      </c>
      <c r="G1009" s="437">
        <f t="shared" si="352"/>
        <v>0</v>
      </c>
      <c r="H1009" s="438">
        <f t="shared" si="353"/>
        <v>0</v>
      </c>
      <c r="I1009" s="439">
        <f t="shared" si="354"/>
        <v>0</v>
      </c>
      <c r="J1009" s="440">
        <f t="shared" si="355"/>
        <v>0</v>
      </c>
      <c r="K1009" s="441">
        <f t="shared" si="356"/>
        <v>0</v>
      </c>
      <c r="L1009" s="442">
        <f t="shared" si="357"/>
        <v>0</v>
      </c>
      <c r="N1009" s="418"/>
    </row>
    <row r="1010" spans="1:18" ht="11.25" x14ac:dyDescent="0.2">
      <c r="A1010" s="29" t="s">
        <v>77</v>
      </c>
      <c r="B1010" s="70">
        <f>E1000</f>
        <v>0</v>
      </c>
      <c r="C1010" s="70">
        <f>F1000</f>
        <v>0</v>
      </c>
      <c r="E1010" s="435">
        <f t="shared" si="350"/>
        <v>0</v>
      </c>
      <c r="F1010" s="436">
        <f t="shared" si="351"/>
        <v>0</v>
      </c>
      <c r="G1010" s="437">
        <f>SUMIFS($E$967:$E$1000,$C$967:$C$1000,$A1010,$D$967:$D$1000,$G$1002)</f>
        <v>0</v>
      </c>
      <c r="H1010" s="438">
        <f>SUMIFS($F$967:$F$1000,$C$967:$C$1000,$A1010,$D$967:$D$1000,$G$1002)</f>
        <v>0</v>
      </c>
      <c r="I1010" s="439">
        <f t="shared" si="354"/>
        <v>0</v>
      </c>
      <c r="J1010" s="440">
        <f t="shared" si="355"/>
        <v>0</v>
      </c>
      <c r="K1010" s="441">
        <f t="shared" si="356"/>
        <v>0</v>
      </c>
      <c r="L1010" s="442">
        <f t="shared" si="357"/>
        <v>0</v>
      </c>
      <c r="N1010" s="418"/>
    </row>
    <row r="1011" spans="1:18" ht="11.25" x14ac:dyDescent="0.2">
      <c r="A1011" s="11" t="s">
        <v>81</v>
      </c>
      <c r="B1011" s="408">
        <f>SUM(B1004:B1007)-SUM(B1008:B1010)</f>
        <v>0.38097900000001061</v>
      </c>
      <c r="C1011" s="12">
        <f>SUM(C1004:C1007)-SUM(C1008:C1010)</f>
        <v>283.44962868826406</v>
      </c>
      <c r="E1011" s="443">
        <f>SUM(E1004:E1007)-SUM(E1008:E1010)</f>
        <v>0</v>
      </c>
      <c r="F1011" s="444">
        <f>SUM(F1004:F1007)-SUM(F1008:F1010)</f>
        <v>0</v>
      </c>
      <c r="G1011" s="445">
        <f t="shared" ref="G1011:L1011" si="358">SUM(G1004:G1007)-SUM(G1008:G1010)</f>
        <v>0.38098000000000098</v>
      </c>
      <c r="H1011" s="446">
        <f t="shared" si="358"/>
        <v>283.44962868824041</v>
      </c>
      <c r="I1011" s="447">
        <f t="shared" si="358"/>
        <v>-9.9999998326438799E-7</v>
      </c>
      <c r="J1011" s="448">
        <f t="shared" si="358"/>
        <v>0</v>
      </c>
      <c r="K1011" s="449">
        <f t="shared" si="358"/>
        <v>0</v>
      </c>
      <c r="L1011" s="450">
        <f t="shared" si="358"/>
        <v>0</v>
      </c>
      <c r="N1011" s="418"/>
    </row>
    <row r="1012" spans="1:18" ht="11.25" x14ac:dyDescent="0.2">
      <c r="A1012" s="11" t="s">
        <v>82</v>
      </c>
      <c r="B1012" s="12">
        <f>SUM(B1004:B1007)-SUM(B1008:B1011)</f>
        <v>0</v>
      </c>
      <c r="C1012" s="12">
        <f>SUM(C1004:C1007)-SUM(C1008:C1011)</f>
        <v>0</v>
      </c>
      <c r="E1012" s="443">
        <f>SUM(E1004:E1007)-SUM(E1008:E1011)</f>
        <v>0</v>
      </c>
      <c r="F1012" s="444">
        <f t="shared" ref="F1012:L1012" si="359">SUM(F1004:F1007)-SUM(F1008:F1011)</f>
        <v>0</v>
      </c>
      <c r="G1012" s="445">
        <f t="shared" si="359"/>
        <v>0</v>
      </c>
      <c r="H1012" s="446">
        <f t="shared" si="359"/>
        <v>0</v>
      </c>
      <c r="I1012" s="447">
        <f t="shared" si="359"/>
        <v>0</v>
      </c>
      <c r="J1012" s="448">
        <f t="shared" si="359"/>
        <v>0</v>
      </c>
      <c r="K1012" s="449">
        <f t="shared" si="359"/>
        <v>0</v>
      </c>
      <c r="L1012" s="450">
        <f t="shared" si="359"/>
        <v>0</v>
      </c>
      <c r="N1012" s="418"/>
    </row>
    <row r="1013" spans="1:18" ht="11.25" x14ac:dyDescent="0.2">
      <c r="N1013" s="418"/>
    </row>
    <row r="1014" spans="1:18" ht="11.25" x14ac:dyDescent="0.2">
      <c r="E1014" s="451">
        <f>(F1011*$H$5)+(H1011*$J$5)+(J1011*$L$5)+(L1011*$N$5)</f>
        <v>13767.879948300581</v>
      </c>
      <c r="N1014" s="418"/>
    </row>
    <row r="1015" spans="1:18" ht="11.25" x14ac:dyDescent="0.2">
      <c r="N1015" s="418"/>
    </row>
    <row r="1016" spans="1:18" s="523" customFormat="1" ht="11.25" x14ac:dyDescent="0.2">
      <c r="A1016" s="548" t="s">
        <v>435</v>
      </c>
      <c r="B1016" s="548"/>
      <c r="C1016" s="548"/>
      <c r="D1016" s="548"/>
      <c r="E1016" s="548"/>
      <c r="F1016" s="548"/>
      <c r="G1016" s="548"/>
      <c r="H1016" s="548"/>
      <c r="N1016" s="418"/>
    </row>
    <row r="1017" spans="1:18" s="523" customFormat="1" ht="11.25" x14ac:dyDescent="0.2">
      <c r="A1017" s="548"/>
      <c r="B1017" s="548"/>
      <c r="C1017" s="548"/>
      <c r="D1017" s="548"/>
      <c r="E1017" s="548"/>
      <c r="F1017" s="548"/>
      <c r="G1017" s="548"/>
      <c r="H1017" s="548"/>
      <c r="N1017" s="418"/>
    </row>
    <row r="1018" spans="1:18" s="523" customFormat="1" ht="3.75" customHeight="1" x14ac:dyDescent="0.15">
      <c r="D1018" s="452"/>
    </row>
    <row r="1019" spans="1:18" s="523" customFormat="1" x14ac:dyDescent="0.15">
      <c r="A1019" s="548" t="s">
        <v>85</v>
      </c>
      <c r="B1019" s="548"/>
      <c r="C1019" s="548"/>
      <c r="D1019" s="548"/>
      <c r="E1019" s="548"/>
      <c r="F1019" s="548"/>
      <c r="G1019" s="548"/>
      <c r="H1019" s="548"/>
    </row>
    <row r="1020" spans="1:18" s="523" customFormat="1" ht="15" customHeight="1" x14ac:dyDescent="0.15">
      <c r="A1020" s="10" t="s">
        <v>8</v>
      </c>
      <c r="B1020" s="10"/>
      <c r="C1020" s="10" t="s">
        <v>2</v>
      </c>
      <c r="D1020" s="10" t="s">
        <v>3</v>
      </c>
      <c r="E1020" s="10" t="s">
        <v>137</v>
      </c>
      <c r="F1020" s="10" t="s">
        <v>25</v>
      </c>
      <c r="G1020" s="10" t="s">
        <v>95</v>
      </c>
      <c r="H1020" s="10" t="s">
        <v>240</v>
      </c>
      <c r="J1020" s="522" t="s">
        <v>114</v>
      </c>
      <c r="K1020" s="522" t="s">
        <v>117</v>
      </c>
      <c r="L1020" s="548" t="s">
        <v>397</v>
      </c>
      <c r="M1020" s="548"/>
      <c r="N1020" s="522" t="s">
        <v>115</v>
      </c>
      <c r="O1020" s="522" t="s">
        <v>116</v>
      </c>
      <c r="P1020" s="522" t="s">
        <v>151</v>
      </c>
    </row>
    <row r="1021" spans="1:18" s="523" customFormat="1" ht="11.25" x14ac:dyDescent="0.2">
      <c r="A1021" s="101" t="s">
        <v>433</v>
      </c>
      <c r="B1021" s="99"/>
      <c r="C1021" s="31" t="s">
        <v>9</v>
      </c>
      <c r="D1021" s="100" t="s">
        <v>78</v>
      </c>
      <c r="E1021" s="79">
        <f t="shared" ref="E1021" si="360">ROUND(F1021/$B$33,6)</f>
        <v>7.9491000000000006E-2</v>
      </c>
      <c r="F1021" s="83">
        <f>[7]Consolidação!$G$62</f>
        <v>59.141372413793093</v>
      </c>
      <c r="G1021" s="83">
        <v>0</v>
      </c>
      <c r="H1021" s="103">
        <v>0.03</v>
      </c>
      <c r="I1021" s="455"/>
      <c r="J1021" s="418"/>
      <c r="K1021" s="418"/>
      <c r="L1021" s="418"/>
      <c r="M1021" s="418"/>
      <c r="N1021" s="418"/>
      <c r="O1021" s="418"/>
      <c r="P1021" s="418"/>
      <c r="Q1021" s="186"/>
    </row>
    <row r="1022" spans="1:18" s="523" customFormat="1" ht="11.25" x14ac:dyDescent="0.2">
      <c r="A1022" s="171"/>
      <c r="B1022" s="172"/>
      <c r="C1022" s="171"/>
      <c r="D1022" s="173"/>
      <c r="E1022" s="174"/>
      <c r="F1022" s="175"/>
      <c r="G1022" s="175"/>
      <c r="H1022" s="175"/>
      <c r="J1022" s="418"/>
      <c r="K1022" s="418"/>
      <c r="L1022" s="418"/>
      <c r="M1022" s="418"/>
      <c r="N1022" s="418"/>
      <c r="O1022" s="418"/>
      <c r="P1022" s="418"/>
    </row>
    <row r="1023" spans="1:18" s="523" customFormat="1" ht="11.25" x14ac:dyDescent="0.2">
      <c r="A1023" s="80" t="s">
        <v>32</v>
      </c>
      <c r="B1023" s="421"/>
      <c r="C1023" s="421"/>
      <c r="D1023" s="422"/>
      <c r="E1023" s="81">
        <f>SUM(E1021:E1022)</f>
        <v>7.9491000000000006E-2</v>
      </c>
      <c r="F1023" s="84">
        <f>SUM(F1021:F1022)</f>
        <v>59.141372413793093</v>
      </c>
      <c r="G1023" s="84">
        <f>SUM(G1021:G1022)</f>
        <v>0</v>
      </c>
      <c r="H1023" s="84"/>
      <c r="I1023" s="228"/>
      <c r="J1023" s="455"/>
      <c r="K1023" s="228"/>
      <c r="L1023" s="228"/>
      <c r="M1023" s="228"/>
      <c r="N1023" s="228"/>
      <c r="O1023" s="493"/>
      <c r="P1023" s="228"/>
    </row>
    <row r="1024" spans="1:18" s="523" customFormat="1" ht="11.25" x14ac:dyDescent="0.2">
      <c r="D1024" s="452"/>
      <c r="F1024" s="228"/>
      <c r="M1024" s="231"/>
      <c r="N1024" s="418"/>
      <c r="O1024" s="495"/>
      <c r="P1024" s="418"/>
      <c r="Q1024" s="418"/>
      <c r="R1024" s="418"/>
    </row>
    <row r="1025" spans="1:18" s="523" customFormat="1" ht="11.25" x14ac:dyDescent="0.2">
      <c r="A1025" s="548" t="s">
        <v>70</v>
      </c>
      <c r="B1025" s="548"/>
      <c r="C1025" s="548"/>
      <c r="D1025" s="548"/>
      <c r="E1025" s="548"/>
      <c r="F1025" s="548"/>
      <c r="G1025" s="548"/>
      <c r="H1025" s="548"/>
      <c r="M1025" s="460"/>
      <c r="N1025" s="481"/>
      <c r="O1025" s="418"/>
      <c r="P1025" s="418"/>
      <c r="Q1025" s="418"/>
      <c r="R1025" s="418"/>
    </row>
    <row r="1026" spans="1:18" s="523" customFormat="1" ht="11.25" x14ac:dyDescent="0.2">
      <c r="A1026" s="10" t="s">
        <v>252</v>
      </c>
      <c r="B1026" s="10" t="s">
        <v>1</v>
      </c>
      <c r="C1026" s="10" t="s">
        <v>2</v>
      </c>
      <c r="D1026" s="10" t="s">
        <v>3</v>
      </c>
      <c r="E1026" s="10" t="s">
        <v>137</v>
      </c>
      <c r="F1026" s="10" t="s">
        <v>25</v>
      </c>
      <c r="G1026" s="10" t="s">
        <v>253</v>
      </c>
      <c r="H1026" s="10" t="s">
        <v>254</v>
      </c>
      <c r="J1026" s="10" t="s">
        <v>72</v>
      </c>
      <c r="K1026" s="10" t="s">
        <v>73</v>
      </c>
      <c r="L1026" s="10" t="s">
        <v>74</v>
      </c>
      <c r="M1026" s="10" t="s">
        <v>75</v>
      </c>
      <c r="N1026" s="418"/>
      <c r="P1026" s="418"/>
      <c r="Q1026" s="418"/>
      <c r="R1026" s="418"/>
    </row>
    <row r="1027" spans="1:18" s="523" customFormat="1" ht="11.25" x14ac:dyDescent="0.2">
      <c r="A1027" s="167"/>
      <c r="B1027" s="167" t="s">
        <v>346</v>
      </c>
      <c r="C1027" s="167" t="s">
        <v>71</v>
      </c>
      <c r="D1027" s="192" t="s">
        <v>78</v>
      </c>
      <c r="E1027" s="79">
        <f>ROUND(F1027/$B$33,6)</f>
        <v>0</v>
      </c>
      <c r="F1027" s="83">
        <f>SUMIFS(G1021:G1022,D1021:D1022,D1027)</f>
        <v>0</v>
      </c>
      <c r="G1027" s="83">
        <v>0</v>
      </c>
      <c r="H1027" s="83">
        <f t="shared" ref="H1027" si="361">F1027*G1027</f>
        <v>0</v>
      </c>
      <c r="I1027" s="494"/>
      <c r="J1027" s="418"/>
      <c r="K1027" s="418"/>
      <c r="L1027" s="418"/>
      <c r="M1027" s="418"/>
      <c r="N1027" s="418"/>
      <c r="O1027" s="418"/>
      <c r="P1027" s="418"/>
      <c r="Q1027" s="418"/>
      <c r="R1027" s="418"/>
    </row>
    <row r="1028" spans="1:18" s="523" customFormat="1" ht="11.25" x14ac:dyDescent="0.2">
      <c r="A1028" s="167"/>
      <c r="B1028" s="168"/>
      <c r="C1028" s="167"/>
      <c r="D1028" s="192"/>
      <c r="E1028" s="79"/>
      <c r="F1028" s="83"/>
      <c r="G1028" s="83"/>
      <c r="H1028" s="83"/>
      <c r="I1028" s="410"/>
      <c r="J1028" s="9" t="e">
        <f>VLOOKUP($A1028,[4]cliqccee!$A:$AK,26,FALSE)</f>
        <v>#N/A</v>
      </c>
      <c r="K1028" s="9" t="e">
        <f>VLOOKUP($A1028,[4]cliqccee!$A:$AK,10,FALSE)</f>
        <v>#N/A</v>
      </c>
      <c r="L1028" s="9" t="e">
        <f>VLOOKUP($A1028,[4]cliqccee!$A:$AK,32,FALSE)</f>
        <v>#N/A</v>
      </c>
      <c r="M1028" s="9" t="e">
        <f>VLOOKUP($A1028,[4]cliqccee!$A:$AK,33,FALSE)</f>
        <v>#N/A</v>
      </c>
      <c r="N1028" s="499" t="e">
        <f t="shared" ref="N1028:N1029" si="362">J1028-E1028</f>
        <v>#N/A</v>
      </c>
      <c r="O1028" s="537"/>
    </row>
    <row r="1029" spans="1:18" s="523" customFormat="1" ht="11.25" x14ac:dyDescent="0.2">
      <c r="A1029" s="167"/>
      <c r="B1029" s="168"/>
      <c r="C1029" s="167"/>
      <c r="D1029" s="169"/>
      <c r="E1029" s="79"/>
      <c r="F1029" s="83"/>
      <c r="G1029" s="83"/>
      <c r="H1029" s="83"/>
      <c r="J1029" s="9" t="e">
        <f>VLOOKUP($A1029,[4]cliqccee!$A:$AK,26,FALSE)</f>
        <v>#N/A</v>
      </c>
      <c r="K1029" s="9" t="e">
        <f>VLOOKUP($A1029,[4]cliqccee!$A:$AK,10,FALSE)</f>
        <v>#N/A</v>
      </c>
      <c r="L1029" s="9" t="e">
        <f>VLOOKUP($A1029,[4]cliqccee!$A:$AK,32,FALSE)</f>
        <v>#N/A</v>
      </c>
      <c r="M1029" s="9" t="e">
        <f>VLOOKUP($A1029,[4]cliqccee!$A:$AK,33,FALSE)</f>
        <v>#N/A</v>
      </c>
      <c r="N1029" s="499" t="e">
        <f t="shared" si="362"/>
        <v>#N/A</v>
      </c>
      <c r="O1029" s="418"/>
    </row>
    <row r="1030" spans="1:18" s="523" customFormat="1" ht="11.25" x14ac:dyDescent="0.2">
      <c r="A1030" s="198"/>
      <c r="B1030" s="198"/>
      <c r="C1030" s="198"/>
      <c r="D1030" s="261"/>
      <c r="E1030" s="85"/>
      <c r="F1030" s="86"/>
      <c r="G1030" s="86"/>
      <c r="H1030" s="86"/>
      <c r="J1030" s="393"/>
      <c r="K1030" s="393"/>
      <c r="L1030" s="393"/>
      <c r="M1030" s="393"/>
      <c r="N1030" s="418"/>
      <c r="O1030" s="418"/>
    </row>
    <row r="1031" spans="1:18" s="523" customFormat="1" ht="11.25" x14ac:dyDescent="0.2">
      <c r="A1031" s="80" t="s">
        <v>32</v>
      </c>
      <c r="B1031" s="421"/>
      <c r="C1031" s="421"/>
      <c r="D1031" s="422"/>
      <c r="E1031" s="81">
        <f>SUM(E1027:E1030)</f>
        <v>0</v>
      </c>
      <c r="F1031" s="84">
        <f>SUM(F1027:F1030)</f>
        <v>0</v>
      </c>
      <c r="G1031" s="82">
        <f>IFERROR(H1031/F1031,0)</f>
        <v>0</v>
      </c>
      <c r="H1031" s="82">
        <f>SUM(H1027:H1030)</f>
        <v>0</v>
      </c>
      <c r="I1031" s="228"/>
      <c r="N1031" s="418"/>
    </row>
    <row r="1032" spans="1:18" s="418" customFormat="1" ht="11.25" x14ac:dyDescent="0.2"/>
    <row r="1033" spans="1:18" s="523" customFormat="1" ht="11.25" x14ac:dyDescent="0.2">
      <c r="A1033" s="548" t="s">
        <v>76</v>
      </c>
      <c r="B1033" s="548"/>
      <c r="C1033" s="548"/>
      <c r="D1033" s="548"/>
      <c r="E1033" s="548"/>
      <c r="F1033" s="548"/>
      <c r="G1033" s="548"/>
      <c r="H1033" s="548"/>
      <c r="M1033" s="460"/>
      <c r="N1033" s="481"/>
      <c r="O1033" s="418"/>
      <c r="P1033" s="418"/>
      <c r="Q1033" s="418"/>
      <c r="R1033" s="418"/>
    </row>
    <row r="1034" spans="1:18" s="523" customFormat="1" ht="11.25" x14ac:dyDescent="0.2">
      <c r="A1034" s="10" t="s">
        <v>252</v>
      </c>
      <c r="B1034" s="10" t="s">
        <v>1</v>
      </c>
      <c r="C1034" s="10" t="s">
        <v>2</v>
      </c>
      <c r="D1034" s="10" t="s">
        <v>3</v>
      </c>
      <c r="E1034" s="10" t="s">
        <v>137</v>
      </c>
      <c r="F1034" s="10" t="s">
        <v>25</v>
      </c>
      <c r="G1034" s="10" t="s">
        <v>253</v>
      </c>
      <c r="H1034" s="10" t="s">
        <v>254</v>
      </c>
      <c r="J1034" s="10" t="s">
        <v>72</v>
      </c>
      <c r="K1034" s="10" t="s">
        <v>73</v>
      </c>
      <c r="L1034" s="10" t="s">
        <v>74</v>
      </c>
      <c r="M1034" s="10" t="s">
        <v>75</v>
      </c>
      <c r="N1034" s="418"/>
      <c r="P1034" s="418"/>
      <c r="Q1034" s="418"/>
      <c r="R1034" s="418"/>
    </row>
    <row r="1035" spans="1:18" s="523" customFormat="1" ht="11.25" x14ac:dyDescent="0.2">
      <c r="A1035" s="167"/>
      <c r="B1035" s="406"/>
      <c r="C1035" s="167"/>
      <c r="D1035" s="196"/>
      <c r="E1035" s="79"/>
      <c r="F1035" s="83"/>
      <c r="G1035" s="83"/>
      <c r="H1035" s="83"/>
      <c r="I1035" s="494"/>
      <c r="J1035" s="9" t="e">
        <f>VLOOKUP($A1035,[4]cliqccee!$A:$AK,26,FALSE)</f>
        <v>#N/A</v>
      </c>
      <c r="K1035" s="9" t="e">
        <f>VLOOKUP($A1035,[4]cliqccee!$A:$AK,10,FALSE)</f>
        <v>#N/A</v>
      </c>
      <c r="L1035" s="9" t="e">
        <f>VLOOKUP($A1035,[4]cliqccee!$A:$AK,32,FALSE)</f>
        <v>#N/A</v>
      </c>
      <c r="M1035" s="9" t="e">
        <f>VLOOKUP($A1035,[4]cliqccee!$A:$AK,33,FALSE)</f>
        <v>#N/A</v>
      </c>
      <c r="N1035" s="499" t="e">
        <f t="shared" ref="N1035:N1036" si="363">J1035-E1035</f>
        <v>#N/A</v>
      </c>
      <c r="O1035" s="418"/>
      <c r="P1035" s="418"/>
      <c r="Q1035" s="418"/>
      <c r="R1035" s="418"/>
    </row>
    <row r="1036" spans="1:18" s="523" customFormat="1" ht="11.25" x14ac:dyDescent="0.2">
      <c r="A1036" s="268"/>
      <c r="B1036" s="406"/>
      <c r="C1036" s="268"/>
      <c r="D1036" s="269"/>
      <c r="E1036" s="270"/>
      <c r="F1036" s="271"/>
      <c r="G1036" s="271"/>
      <c r="H1036" s="83"/>
      <c r="I1036" s="494"/>
      <c r="J1036" s="9" t="e">
        <f>VLOOKUP($A1036,[4]cliqccee!$A:$AK,26,FALSE)</f>
        <v>#N/A</v>
      </c>
      <c r="K1036" s="9" t="e">
        <f>VLOOKUP($A1036,[4]cliqccee!$A:$AK,10,FALSE)</f>
        <v>#N/A</v>
      </c>
      <c r="L1036" s="9" t="e">
        <f>VLOOKUP($A1036,[4]cliqccee!$A:$AK,32,FALSE)</f>
        <v>#N/A</v>
      </c>
      <c r="M1036" s="9" t="e">
        <f>VLOOKUP($A1036,[4]cliqccee!$A:$AK,33,FALSE)</f>
        <v>#N/A</v>
      </c>
      <c r="N1036" s="499" t="e">
        <f t="shared" si="363"/>
        <v>#N/A</v>
      </c>
      <c r="O1036" s="418"/>
      <c r="P1036" s="418"/>
      <c r="Q1036" s="418"/>
      <c r="R1036" s="418"/>
    </row>
    <row r="1037" spans="1:18" s="523" customFormat="1" ht="11.25" x14ac:dyDescent="0.2">
      <c r="A1037" s="198"/>
      <c r="B1037" s="198"/>
      <c r="C1037" s="198"/>
      <c r="D1037" s="261"/>
      <c r="E1037" s="85"/>
      <c r="F1037" s="86"/>
      <c r="G1037" s="86"/>
      <c r="H1037" s="86"/>
      <c r="J1037" s="393"/>
      <c r="K1037" s="393"/>
      <c r="L1037" s="393"/>
      <c r="M1037" s="393"/>
      <c r="N1037" s="418"/>
      <c r="O1037" s="418"/>
    </row>
    <row r="1038" spans="1:18" s="523" customFormat="1" ht="11.25" x14ac:dyDescent="0.2">
      <c r="A1038" s="80" t="s">
        <v>32</v>
      </c>
      <c r="B1038" s="421"/>
      <c r="C1038" s="421"/>
      <c r="D1038" s="422"/>
      <c r="E1038" s="81">
        <f>SUM(E1035:E1037)</f>
        <v>0</v>
      </c>
      <c r="F1038" s="84">
        <f>SUM(F1035:F1037)</f>
        <v>0</v>
      </c>
      <c r="G1038" s="82">
        <f>IFERROR(H1038/F1038,0)</f>
        <v>0</v>
      </c>
      <c r="H1038" s="82">
        <f>SUM(H1035:H1037)</f>
        <v>0</v>
      </c>
      <c r="I1038" s="228"/>
      <c r="N1038" s="418"/>
    </row>
    <row r="1039" spans="1:18" s="523" customFormat="1" ht="11.25" x14ac:dyDescent="0.2">
      <c r="D1039" s="452"/>
      <c r="E1039" s="410"/>
      <c r="F1039" s="410"/>
      <c r="G1039" s="410"/>
      <c r="N1039" s="418"/>
    </row>
    <row r="1040" spans="1:18" s="523" customFormat="1" ht="11.25" x14ac:dyDescent="0.2">
      <c r="A1040" s="548" t="s">
        <v>233</v>
      </c>
      <c r="B1040" s="548"/>
      <c r="C1040" s="548"/>
      <c r="D1040" s="452"/>
      <c r="E1040" s="423" t="s">
        <v>19</v>
      </c>
      <c r="F1040" s="423"/>
      <c r="G1040" s="424" t="s">
        <v>20</v>
      </c>
      <c r="H1040" s="424"/>
      <c r="I1040" s="425" t="s">
        <v>21</v>
      </c>
      <c r="J1040" s="425"/>
      <c r="K1040" s="426" t="s">
        <v>22</v>
      </c>
      <c r="L1040" s="426"/>
      <c r="N1040" s="418"/>
    </row>
    <row r="1041" spans="1:14" s="523" customFormat="1" ht="11.25" x14ac:dyDescent="0.2">
      <c r="A1041" s="10" t="s">
        <v>2</v>
      </c>
      <c r="B1041" s="10" t="s">
        <v>137</v>
      </c>
      <c r="C1041" s="10" t="s">
        <v>25</v>
      </c>
      <c r="D1041" s="452"/>
      <c r="E1041" s="427" t="s">
        <v>137</v>
      </c>
      <c r="F1041" s="428" t="s">
        <v>25</v>
      </c>
      <c r="G1041" s="429" t="s">
        <v>137</v>
      </c>
      <c r="H1041" s="430" t="s">
        <v>25</v>
      </c>
      <c r="I1041" s="431" t="s">
        <v>137</v>
      </c>
      <c r="J1041" s="432" t="s">
        <v>25</v>
      </c>
      <c r="K1041" s="433" t="s">
        <v>137</v>
      </c>
      <c r="L1041" s="434" t="s">
        <v>25</v>
      </c>
      <c r="N1041" s="418"/>
    </row>
    <row r="1042" spans="1:14" s="523" customFormat="1" ht="11.25" x14ac:dyDescent="0.2">
      <c r="A1042" s="29" t="s">
        <v>69</v>
      </c>
      <c r="B1042" s="70">
        <v>0</v>
      </c>
      <c r="C1042" s="83">
        <v>0</v>
      </c>
      <c r="D1042" s="497"/>
      <c r="E1042" s="435">
        <f t="shared" ref="E1042:E1048" si="364">SUMIFS($E$967:$E$991,$C$967:$C$991,$A1042,$D$967:$D$991,$E$1002)</f>
        <v>0</v>
      </c>
      <c r="F1042" s="436">
        <f t="shared" ref="F1042:F1048" si="365">SUMIFS($F$967:$F$991,$C$967:$C$991,$A1042,$D$967:$D$991,$E$1002)</f>
        <v>0</v>
      </c>
      <c r="G1042" s="437">
        <f t="shared" ref="G1042:G1047" si="366">SUMIFS($E$967:$E$991,$C$967:$C$991,$A1042,$D$967:$D$991,$G$1002)</f>
        <v>0</v>
      </c>
      <c r="H1042" s="438">
        <f t="shared" ref="H1042:H1047" si="367">SUMIFS($F$967:$F$991,$C$967:$C$991,$A1042,$D$967:$D$991,$G$1002)</f>
        <v>0</v>
      </c>
      <c r="I1042" s="439">
        <f t="shared" ref="I1042:I1048" si="368">SUMIFS($E$967:$E$991,$C$967:$C$991,$A1042,$D$967:$D$991,$I$1002)</f>
        <v>0</v>
      </c>
      <c r="J1042" s="440">
        <f t="shared" ref="J1042:J1048" si="369">SUMIFS($F$967:$F$991,$C$967:$C$991,$A1042,$D$967:$D$991,$I$1002)</f>
        <v>0</v>
      </c>
      <c r="K1042" s="441">
        <f t="shared" ref="K1042:K1048" si="370">SUMIFS($E$967:$E$991,$C$967:$C$991,$A1042,$D$967:$D$991,$K$1002)</f>
        <v>0</v>
      </c>
      <c r="L1042" s="442">
        <f t="shared" ref="L1042:L1048" si="371">SUMIFS($F$967:$F$991,$C$967:$C$991,$A1042,$D$967:$D$991,$K$1002)</f>
        <v>0</v>
      </c>
      <c r="N1042" s="418"/>
    </row>
    <row r="1043" spans="1:14" s="523" customFormat="1" ht="11.25" x14ac:dyDescent="0.2">
      <c r="A1043" s="29" t="s">
        <v>47</v>
      </c>
      <c r="B1043" s="70">
        <v>0</v>
      </c>
      <c r="C1043" s="83">
        <v>0</v>
      </c>
      <c r="D1043" s="452"/>
      <c r="E1043" s="435">
        <f t="shared" si="364"/>
        <v>0</v>
      </c>
      <c r="F1043" s="436">
        <f t="shared" si="365"/>
        <v>0</v>
      </c>
      <c r="G1043" s="437">
        <f t="shared" si="366"/>
        <v>0</v>
      </c>
      <c r="H1043" s="438">
        <f t="shared" si="367"/>
        <v>0</v>
      </c>
      <c r="I1043" s="439">
        <f t="shared" si="368"/>
        <v>0</v>
      </c>
      <c r="J1043" s="440">
        <f t="shared" si="369"/>
        <v>0</v>
      </c>
      <c r="K1043" s="441">
        <f t="shared" si="370"/>
        <v>0</v>
      </c>
      <c r="L1043" s="442">
        <f t="shared" si="371"/>
        <v>0</v>
      </c>
      <c r="N1043" s="418"/>
    </row>
    <row r="1044" spans="1:14" s="523" customFormat="1" ht="11.25" x14ac:dyDescent="0.2">
      <c r="A1044" s="29" t="s">
        <v>79</v>
      </c>
      <c r="B1044" s="70">
        <v>0</v>
      </c>
      <c r="C1044" s="83">
        <v>0</v>
      </c>
      <c r="D1044" s="452"/>
      <c r="E1044" s="435">
        <f t="shared" si="364"/>
        <v>0</v>
      </c>
      <c r="F1044" s="436">
        <f t="shared" si="365"/>
        <v>0</v>
      </c>
      <c r="G1044" s="437">
        <f t="shared" si="366"/>
        <v>0</v>
      </c>
      <c r="H1044" s="438">
        <f t="shared" si="367"/>
        <v>0</v>
      </c>
      <c r="I1044" s="439">
        <f t="shared" si="368"/>
        <v>0</v>
      </c>
      <c r="J1044" s="440">
        <f t="shared" si="369"/>
        <v>0</v>
      </c>
      <c r="K1044" s="441">
        <f t="shared" si="370"/>
        <v>0</v>
      </c>
      <c r="L1044" s="442">
        <f t="shared" si="371"/>
        <v>0</v>
      </c>
      <c r="N1044" s="418"/>
    </row>
    <row r="1045" spans="1:14" s="523" customFormat="1" ht="11.25" x14ac:dyDescent="0.2">
      <c r="A1045" s="29" t="s">
        <v>71</v>
      </c>
      <c r="B1045" s="70">
        <f>E1031</f>
        <v>0</v>
      </c>
      <c r="C1045" s="83">
        <f>F1031</f>
        <v>0</v>
      </c>
      <c r="D1045" s="452"/>
      <c r="E1045" s="435">
        <f t="shared" si="364"/>
        <v>0</v>
      </c>
      <c r="F1045" s="436">
        <f t="shared" si="365"/>
        <v>0</v>
      </c>
      <c r="G1045" s="437">
        <f t="shared" si="366"/>
        <v>18.373013</v>
      </c>
      <c r="H1045" s="438">
        <f t="shared" si="367"/>
        <v>13669.522000000001</v>
      </c>
      <c r="I1045" s="439">
        <f t="shared" si="368"/>
        <v>95.036493000000007</v>
      </c>
      <c r="J1045" s="440">
        <f t="shared" si="369"/>
        <v>70707.151309776047</v>
      </c>
      <c r="K1045" s="441">
        <f t="shared" si="370"/>
        <v>0</v>
      </c>
      <c r="L1045" s="442">
        <f t="shared" si="371"/>
        <v>0</v>
      </c>
      <c r="N1045" s="418"/>
    </row>
    <row r="1046" spans="1:14" s="523" customFormat="1" ht="11.25" x14ac:dyDescent="0.2">
      <c r="A1046" s="29" t="s">
        <v>9</v>
      </c>
      <c r="B1046" s="70">
        <f>E1023</f>
        <v>7.9491000000000006E-2</v>
      </c>
      <c r="C1046" s="83">
        <f>F1023</f>
        <v>59.141372413793093</v>
      </c>
      <c r="D1046" s="452"/>
      <c r="E1046" s="435">
        <f t="shared" si="364"/>
        <v>0</v>
      </c>
      <c r="F1046" s="436">
        <f t="shared" si="365"/>
        <v>0</v>
      </c>
      <c r="G1046" s="437">
        <f t="shared" si="366"/>
        <v>17.992032999999999</v>
      </c>
      <c r="H1046" s="438">
        <f t="shared" si="367"/>
        <v>13386.07237131176</v>
      </c>
      <c r="I1046" s="439">
        <f t="shared" si="368"/>
        <v>95.03649399999999</v>
      </c>
      <c r="J1046" s="440">
        <f t="shared" si="369"/>
        <v>70707.151309776047</v>
      </c>
      <c r="K1046" s="441">
        <f t="shared" si="370"/>
        <v>0</v>
      </c>
      <c r="L1046" s="442">
        <f t="shared" si="371"/>
        <v>0</v>
      </c>
      <c r="N1046" s="418"/>
    </row>
    <row r="1047" spans="1:14" s="523" customFormat="1" ht="11.25" x14ac:dyDescent="0.2">
      <c r="A1047" s="29" t="s">
        <v>80</v>
      </c>
      <c r="B1047" s="70">
        <v>0</v>
      </c>
      <c r="C1047" s="83">
        <v>0</v>
      </c>
      <c r="D1047" s="452"/>
      <c r="E1047" s="435">
        <f t="shared" si="364"/>
        <v>0</v>
      </c>
      <c r="F1047" s="436">
        <f t="shared" si="365"/>
        <v>0</v>
      </c>
      <c r="G1047" s="437">
        <f t="shared" si="366"/>
        <v>0</v>
      </c>
      <c r="H1047" s="438">
        <f t="shared" si="367"/>
        <v>0</v>
      </c>
      <c r="I1047" s="439">
        <f t="shared" si="368"/>
        <v>0</v>
      </c>
      <c r="J1047" s="440">
        <f t="shared" si="369"/>
        <v>0</v>
      </c>
      <c r="K1047" s="441">
        <f t="shared" si="370"/>
        <v>0</v>
      </c>
      <c r="L1047" s="442">
        <f t="shared" si="371"/>
        <v>0</v>
      </c>
      <c r="N1047" s="418"/>
    </row>
    <row r="1048" spans="1:14" s="523" customFormat="1" ht="11.25" x14ac:dyDescent="0.2">
      <c r="A1048" s="29" t="s">
        <v>77</v>
      </c>
      <c r="B1048" s="70">
        <f>E1038</f>
        <v>0</v>
      </c>
      <c r="C1048" s="70">
        <f>F1038</f>
        <v>0</v>
      </c>
      <c r="D1048" s="452"/>
      <c r="E1048" s="435">
        <f t="shared" si="364"/>
        <v>0</v>
      </c>
      <c r="F1048" s="436">
        <f t="shared" si="365"/>
        <v>0</v>
      </c>
      <c r="G1048" s="437">
        <f>SUMIFS($E$967:$E$1000,$C$967:$C$1000,$A1048,$D$967:$D$1000,$G$1002)</f>
        <v>0</v>
      </c>
      <c r="H1048" s="438">
        <f>SUMIFS($F$967:$F$1000,$C$967:$C$1000,$A1048,$D$967:$D$1000,$G$1002)</f>
        <v>0</v>
      </c>
      <c r="I1048" s="439">
        <f t="shared" si="368"/>
        <v>0</v>
      </c>
      <c r="J1048" s="440">
        <f t="shared" si="369"/>
        <v>0</v>
      </c>
      <c r="K1048" s="441">
        <f t="shared" si="370"/>
        <v>0</v>
      </c>
      <c r="L1048" s="442">
        <f t="shared" si="371"/>
        <v>0</v>
      </c>
      <c r="N1048" s="418"/>
    </row>
    <row r="1049" spans="1:14" s="523" customFormat="1" ht="11.25" x14ac:dyDescent="0.2">
      <c r="A1049" s="11" t="s">
        <v>81</v>
      </c>
      <c r="B1049" s="408">
        <f>SUM(B1042:B1045)-SUM(B1046:B1048)</f>
        <v>-7.9491000000000006E-2</v>
      </c>
      <c r="C1049" s="12">
        <f>SUM(C1042:C1045)-SUM(C1046:C1048)</f>
        <v>-59.141372413793093</v>
      </c>
      <c r="D1049" s="452"/>
      <c r="E1049" s="443">
        <f>SUM(E1042:E1045)-SUM(E1046:E1048)</f>
        <v>0</v>
      </c>
      <c r="F1049" s="444">
        <f>SUM(F1042:F1045)-SUM(F1046:F1048)</f>
        <v>0</v>
      </c>
      <c r="G1049" s="445">
        <f t="shared" ref="G1049:L1049" si="372">SUM(G1042:G1045)-SUM(G1046:G1048)</f>
        <v>0.38098000000000098</v>
      </c>
      <c r="H1049" s="446">
        <f t="shared" si="372"/>
        <v>283.44962868824041</v>
      </c>
      <c r="I1049" s="447">
        <f t="shared" si="372"/>
        <v>-9.9999998326438799E-7</v>
      </c>
      <c r="J1049" s="448">
        <f t="shared" si="372"/>
        <v>0</v>
      </c>
      <c r="K1049" s="449">
        <f t="shared" si="372"/>
        <v>0</v>
      </c>
      <c r="L1049" s="450">
        <f t="shared" si="372"/>
        <v>0</v>
      </c>
      <c r="N1049" s="418"/>
    </row>
    <row r="1050" spans="1:14" s="523" customFormat="1" ht="11.25" x14ac:dyDescent="0.2">
      <c r="A1050" s="11" t="s">
        <v>82</v>
      </c>
      <c r="B1050" s="12">
        <f>SUM(B1042:B1045)-SUM(B1046:B1049)</f>
        <v>0</v>
      </c>
      <c r="C1050" s="12">
        <f>SUM(C1042:C1045)-SUM(C1046:C1049)</f>
        <v>0</v>
      </c>
      <c r="D1050" s="452"/>
      <c r="E1050" s="443">
        <f>SUM(E1042:E1045)-SUM(E1046:E1049)</f>
        <v>0</v>
      </c>
      <c r="F1050" s="444">
        <f t="shared" ref="F1050:L1050" si="373">SUM(F1042:F1045)-SUM(F1046:F1049)</f>
        <v>0</v>
      </c>
      <c r="G1050" s="445">
        <f t="shared" si="373"/>
        <v>0</v>
      </c>
      <c r="H1050" s="446">
        <f t="shared" si="373"/>
        <v>0</v>
      </c>
      <c r="I1050" s="447">
        <f t="shared" si="373"/>
        <v>0</v>
      </c>
      <c r="J1050" s="448">
        <f t="shared" si="373"/>
        <v>0</v>
      </c>
      <c r="K1050" s="449">
        <f t="shared" si="373"/>
        <v>0</v>
      </c>
      <c r="L1050" s="450">
        <f t="shared" si="373"/>
        <v>0</v>
      </c>
      <c r="N1050" s="418"/>
    </row>
    <row r="1051" spans="1:14" s="523" customFormat="1" ht="11.25" x14ac:dyDescent="0.2">
      <c r="D1051" s="452"/>
      <c r="N1051" s="418"/>
    </row>
    <row r="1052" spans="1:14" s="523" customFormat="1" ht="11.25" x14ac:dyDescent="0.2">
      <c r="D1052" s="452"/>
      <c r="E1052" s="451">
        <f>(F1049*$H$5)+(H1049*$J$5)+(J1049*$L$5)+(L1049*$N$5)</f>
        <v>13767.879948300581</v>
      </c>
      <c r="N1052" s="418"/>
    </row>
    <row r="1053" spans="1:14" s="523" customFormat="1" ht="11.25" x14ac:dyDescent="0.2">
      <c r="D1053" s="452"/>
      <c r="N1053" s="418"/>
    </row>
    <row r="1054" spans="1:14" ht="11.25" x14ac:dyDescent="0.2">
      <c r="N1054" s="418"/>
    </row>
  </sheetData>
  <sortState ref="A714:H734">
    <sortCondition ref="D714:D734"/>
    <sortCondition ref="B714:B734"/>
  </sortState>
  <mergeCells count="96">
    <mergeCell ref="A479:H480"/>
    <mergeCell ref="A482:H482"/>
    <mergeCell ref="A488:H488"/>
    <mergeCell ref="A500:C500"/>
    <mergeCell ref="A902:H902"/>
    <mergeCell ref="A515:H516"/>
    <mergeCell ref="A518:H518"/>
    <mergeCell ref="A526:H526"/>
    <mergeCell ref="A536:C536"/>
    <mergeCell ref="A594:H594"/>
    <mergeCell ref="A692:C692"/>
    <mergeCell ref="A551:H552"/>
    <mergeCell ref="A570:C570"/>
    <mergeCell ref="A673:H673"/>
    <mergeCell ref="A679:H679"/>
    <mergeCell ref="A633:H633"/>
    <mergeCell ref="A670:H671"/>
    <mergeCell ref="A585:H586"/>
    <mergeCell ref="A615:C615"/>
    <mergeCell ref="A630:H631"/>
    <mergeCell ref="A655:C655"/>
    <mergeCell ref="A639:H639"/>
    <mergeCell ref="A588:H588"/>
    <mergeCell ref="A608:H608"/>
    <mergeCell ref="A411:C411"/>
    <mergeCell ref="A426:H427"/>
    <mergeCell ref="A465:C465"/>
    <mergeCell ref="A444:H444"/>
    <mergeCell ref="A381:H381"/>
    <mergeCell ref="A391:H391"/>
    <mergeCell ref="A2:G2"/>
    <mergeCell ref="A3:G3"/>
    <mergeCell ref="A36:H37"/>
    <mergeCell ref="A72:C72"/>
    <mergeCell ref="A378:H379"/>
    <mergeCell ref="A39:H39"/>
    <mergeCell ref="A266:H267"/>
    <mergeCell ref="A327:C327"/>
    <mergeCell ref="A47:H47"/>
    <mergeCell ref="A87:H88"/>
    <mergeCell ref="A172:C172"/>
    <mergeCell ref="A54:H54"/>
    <mergeCell ref="A90:H90"/>
    <mergeCell ref="A97:H97"/>
    <mergeCell ref="A145:H145"/>
    <mergeCell ref="A342:H343"/>
    <mergeCell ref="A363:C363"/>
    <mergeCell ref="A190:H190"/>
    <mergeCell ref="A187:H188"/>
    <mergeCell ref="A200:H200"/>
    <mergeCell ref="A218:C218"/>
    <mergeCell ref="A269:H269"/>
    <mergeCell ref="A345:H345"/>
    <mergeCell ref="A352:H352"/>
    <mergeCell ref="A233:H234"/>
    <mergeCell ref="A251:C251"/>
    <mergeCell ref="A320:H320"/>
    <mergeCell ref="O5:O7"/>
    <mergeCell ref="A931:H931"/>
    <mergeCell ref="A937:H937"/>
    <mergeCell ref="A560:H560"/>
    <mergeCell ref="A554:H554"/>
    <mergeCell ref="A775:C775"/>
    <mergeCell ref="A790:H791"/>
    <mergeCell ref="O741:W741"/>
    <mergeCell ref="O822:W822"/>
    <mergeCell ref="C6:E6"/>
    <mergeCell ref="G6:H6"/>
    <mergeCell ref="I6:J6"/>
    <mergeCell ref="K6:L6"/>
    <mergeCell ref="M6:N6"/>
    <mergeCell ref="A296:H296"/>
    <mergeCell ref="A429:H429"/>
    <mergeCell ref="A1002:C1002"/>
    <mergeCell ref="A928:H929"/>
    <mergeCell ref="A876:C876"/>
    <mergeCell ref="A793:H793"/>
    <mergeCell ref="A947:C947"/>
    <mergeCell ref="A913:C913"/>
    <mergeCell ref="A894:H894"/>
    <mergeCell ref="A891:H892"/>
    <mergeCell ref="A994:H994"/>
    <mergeCell ref="A977:H977"/>
    <mergeCell ref="L966:M966"/>
    <mergeCell ref="A707:H708"/>
    <mergeCell ref="A710:H710"/>
    <mergeCell ref="A740:H740"/>
    <mergeCell ref="A821:H821"/>
    <mergeCell ref="A965:H965"/>
    <mergeCell ref="A962:H963"/>
    <mergeCell ref="A1040:C1040"/>
    <mergeCell ref="A1016:H1017"/>
    <mergeCell ref="A1019:H1019"/>
    <mergeCell ref="L1020:M1020"/>
    <mergeCell ref="A1025:H1025"/>
    <mergeCell ref="A1033:H1033"/>
  </mergeCells>
  <conditionalFormatting sqref="O5 G11:N11 G21:O22 O14:O20 O8:O12 O23 G28:O28">
    <cfRule type="cellIs" dxfId="594" priority="1617" stopIfTrue="1" operator="lessThan">
      <formula>0</formula>
    </cfRule>
  </conditionalFormatting>
  <conditionalFormatting sqref="G12:N12">
    <cfRule type="cellIs" dxfId="593" priority="1604" stopIfTrue="1" operator="lessThan">
      <formula>0</formula>
    </cfRule>
  </conditionalFormatting>
  <conditionalFormatting sqref="G8:N8">
    <cfRule type="cellIs" dxfId="592" priority="1603" stopIfTrue="1" operator="lessThan">
      <formula>0</formula>
    </cfRule>
  </conditionalFormatting>
  <conditionalFormatting sqref="G14:N14">
    <cfRule type="cellIs" dxfId="591" priority="1602" stopIfTrue="1" operator="lessThan">
      <formula>0</formula>
    </cfRule>
  </conditionalFormatting>
  <conditionalFormatting sqref="G15:N17">
    <cfRule type="cellIs" dxfId="590" priority="1601" stopIfTrue="1" operator="lessThan">
      <formula>0</formula>
    </cfRule>
  </conditionalFormatting>
  <conditionalFormatting sqref="O13">
    <cfRule type="cellIs" dxfId="589" priority="1318" stopIfTrue="1" operator="lessThan">
      <formula>0</formula>
    </cfRule>
  </conditionalFormatting>
  <conditionalFormatting sqref="G13:N13">
    <cfRule type="cellIs" dxfId="588" priority="1317" stopIfTrue="1" operator="lessThan">
      <formula>0</formula>
    </cfRule>
  </conditionalFormatting>
  <conditionalFormatting sqref="G9:N9">
    <cfRule type="cellIs" dxfId="587" priority="1316" stopIfTrue="1" operator="lessThan">
      <formula>0</formula>
    </cfRule>
  </conditionalFormatting>
  <conditionalFormatting sqref="G10:N10">
    <cfRule type="cellIs" dxfId="586" priority="1314" stopIfTrue="1" operator="lessThan">
      <formula>0</formula>
    </cfRule>
  </conditionalFormatting>
  <conditionalFormatting sqref="G18:N18">
    <cfRule type="cellIs" dxfId="585" priority="1313" stopIfTrue="1" operator="lessThan">
      <formula>0</formula>
    </cfRule>
  </conditionalFormatting>
  <conditionalFormatting sqref="G19:N19">
    <cfRule type="cellIs" dxfId="584" priority="1312" stopIfTrue="1" operator="lessThan">
      <formula>0</formula>
    </cfRule>
  </conditionalFormatting>
  <conditionalFormatting sqref="G20:N20">
    <cfRule type="cellIs" dxfId="583" priority="1311" stopIfTrue="1" operator="lessThan">
      <formula>0</formula>
    </cfRule>
  </conditionalFormatting>
  <conditionalFormatting sqref="G23:N23">
    <cfRule type="cellIs" dxfId="582" priority="1310" stopIfTrue="1" operator="lessThan">
      <formula>0</formula>
    </cfRule>
  </conditionalFormatting>
  <conditionalFormatting sqref="O30">
    <cfRule type="cellIs" dxfId="581" priority="1230" stopIfTrue="1" operator="lessThan">
      <formula>0</formula>
    </cfRule>
  </conditionalFormatting>
  <conditionalFormatting sqref="G30:N30">
    <cfRule type="cellIs" dxfId="580" priority="1229" stopIfTrue="1" operator="lessThan">
      <formula>0</formula>
    </cfRule>
  </conditionalFormatting>
  <conditionalFormatting sqref="O31">
    <cfRule type="cellIs" dxfId="579" priority="1228" stopIfTrue="1" operator="lessThan">
      <formula>0</formula>
    </cfRule>
  </conditionalFormatting>
  <conditionalFormatting sqref="G31:N31">
    <cfRule type="cellIs" dxfId="578" priority="1227" stopIfTrue="1" operator="lessThan">
      <formula>0</formula>
    </cfRule>
  </conditionalFormatting>
  <conditionalFormatting sqref="K944 M944">
    <cfRule type="cellIs" dxfId="577" priority="915" stopIfTrue="1" operator="equal">
      <formula>"Ajustado e Validado"</formula>
    </cfRule>
    <cfRule type="cellIs" dxfId="576" priority="916" stopIfTrue="1" operator="equal">
      <formula>"Inserido e não validado"</formula>
    </cfRule>
    <cfRule type="cellIs" dxfId="575" priority="917" stopIfTrue="1" operator="equal">
      <formula>"Validado"</formula>
    </cfRule>
    <cfRule type="cellIs" dxfId="574" priority="918" stopIfTrue="1" operator="equal">
      <formula>"Não Validado"</formula>
    </cfRule>
  </conditionalFormatting>
  <conditionalFormatting sqref="K991 M991">
    <cfRule type="cellIs" dxfId="573" priority="911" stopIfTrue="1" operator="equal">
      <formula>"Ajustado e Validado"</formula>
    </cfRule>
    <cfRule type="cellIs" dxfId="572" priority="912" stopIfTrue="1" operator="equal">
      <formula>"Inserido e não validado"</formula>
    </cfRule>
    <cfRule type="cellIs" dxfId="571" priority="913" stopIfTrue="1" operator="equal">
      <formula>"Validado"</formula>
    </cfRule>
    <cfRule type="cellIs" dxfId="570" priority="914" stopIfTrue="1" operator="equal">
      <formula>"Não Validado"</formula>
    </cfRule>
  </conditionalFormatting>
  <conditionalFormatting sqref="K910 M910">
    <cfRule type="cellIs" dxfId="569" priority="919" stopIfTrue="1" operator="equal">
      <formula>"Ajustado e Validado"</formula>
    </cfRule>
    <cfRule type="cellIs" dxfId="568" priority="920" stopIfTrue="1" operator="equal">
      <formula>"Inserido e não validado"</formula>
    </cfRule>
    <cfRule type="cellIs" dxfId="567" priority="921" stopIfTrue="1" operator="equal">
      <formula>"Validado"</formula>
    </cfRule>
    <cfRule type="cellIs" dxfId="566" priority="922" stopIfTrue="1" operator="equal">
      <formula>"Não Validado"</formula>
    </cfRule>
  </conditionalFormatting>
  <conditionalFormatting sqref="K873 M873">
    <cfRule type="cellIs" dxfId="565" priority="943" stopIfTrue="1" operator="equal">
      <formula>"Ajustado e Validado"</formula>
    </cfRule>
    <cfRule type="cellIs" dxfId="564" priority="944" stopIfTrue="1" operator="equal">
      <formula>"Inserido e não validado"</formula>
    </cfRule>
    <cfRule type="cellIs" dxfId="563" priority="945" stopIfTrue="1" operator="equal">
      <formula>"Validado"</formula>
    </cfRule>
    <cfRule type="cellIs" dxfId="562" priority="946" stopIfTrue="1" operator="equal">
      <formula>"Não Validado"</formula>
    </cfRule>
  </conditionalFormatting>
  <conditionalFormatting sqref="K818 M818">
    <cfRule type="cellIs" dxfId="561" priority="899" stopIfTrue="1" operator="equal">
      <formula>"Ajustado e Validado"</formula>
    </cfRule>
    <cfRule type="cellIs" dxfId="560" priority="900" stopIfTrue="1" operator="equal">
      <formula>"Inserido e não validado"</formula>
    </cfRule>
    <cfRule type="cellIs" dxfId="559" priority="901" stopIfTrue="1" operator="equal">
      <formula>"Validado"</formula>
    </cfRule>
    <cfRule type="cellIs" dxfId="558" priority="902" stopIfTrue="1" operator="equal">
      <formula>"Não Validado"</formula>
    </cfRule>
  </conditionalFormatting>
  <conditionalFormatting sqref="K772 M772">
    <cfRule type="cellIs" dxfId="557" priority="895" stopIfTrue="1" operator="equal">
      <formula>"Ajustado e Validado"</formula>
    </cfRule>
    <cfRule type="cellIs" dxfId="556" priority="896" stopIfTrue="1" operator="equal">
      <formula>"Inserido e não validado"</formula>
    </cfRule>
    <cfRule type="cellIs" dxfId="555" priority="897" stopIfTrue="1" operator="equal">
      <formula>"Validado"</formula>
    </cfRule>
    <cfRule type="cellIs" dxfId="554" priority="898" stopIfTrue="1" operator="equal">
      <formula>"Não Validado"</formula>
    </cfRule>
  </conditionalFormatting>
  <conditionalFormatting sqref="K737 M737">
    <cfRule type="cellIs" dxfId="553" priority="891" stopIfTrue="1" operator="equal">
      <formula>"Ajustado e Validado"</formula>
    </cfRule>
    <cfRule type="cellIs" dxfId="552" priority="892" stopIfTrue="1" operator="equal">
      <formula>"Inserido e não validado"</formula>
    </cfRule>
    <cfRule type="cellIs" dxfId="551" priority="893" stopIfTrue="1" operator="equal">
      <formula>"Validado"</formula>
    </cfRule>
    <cfRule type="cellIs" dxfId="550" priority="894" stopIfTrue="1" operator="equal">
      <formula>"Não Validado"</formula>
    </cfRule>
  </conditionalFormatting>
  <conditionalFormatting sqref="K651 M651">
    <cfRule type="cellIs" dxfId="549" priority="883" stopIfTrue="1" operator="equal">
      <formula>"Ajustado e Validado"</formula>
    </cfRule>
    <cfRule type="cellIs" dxfId="548" priority="884" stopIfTrue="1" operator="equal">
      <formula>"Inserido e não validado"</formula>
    </cfRule>
    <cfRule type="cellIs" dxfId="547" priority="885" stopIfTrue="1" operator="equal">
      <formula>"Validado"</formula>
    </cfRule>
    <cfRule type="cellIs" dxfId="546" priority="886" stopIfTrue="1" operator="equal">
      <formula>"Não Validado"</formula>
    </cfRule>
  </conditionalFormatting>
  <conditionalFormatting sqref="K605 M605">
    <cfRule type="cellIs" dxfId="545" priority="879" stopIfTrue="1" operator="equal">
      <formula>"Ajustado e Validado"</formula>
    </cfRule>
    <cfRule type="cellIs" dxfId="544" priority="880" stopIfTrue="1" operator="equal">
      <formula>"Inserido e não validado"</formula>
    </cfRule>
    <cfRule type="cellIs" dxfId="543" priority="881" stopIfTrue="1" operator="equal">
      <formula>"Validado"</formula>
    </cfRule>
    <cfRule type="cellIs" dxfId="542" priority="882" stopIfTrue="1" operator="equal">
      <formula>"Não Validado"</formula>
    </cfRule>
  </conditionalFormatting>
  <conditionalFormatting sqref="K567 M567">
    <cfRule type="cellIs" dxfId="541" priority="875" stopIfTrue="1" operator="equal">
      <formula>"Ajustado e Validado"</formula>
    </cfRule>
    <cfRule type="cellIs" dxfId="540" priority="876" stopIfTrue="1" operator="equal">
      <formula>"Inserido e não validado"</formula>
    </cfRule>
    <cfRule type="cellIs" dxfId="539" priority="877" stopIfTrue="1" operator="equal">
      <formula>"Validado"</formula>
    </cfRule>
    <cfRule type="cellIs" dxfId="538" priority="878" stopIfTrue="1" operator="equal">
      <formula>"Não Validado"</formula>
    </cfRule>
  </conditionalFormatting>
  <conditionalFormatting sqref="K533 M533">
    <cfRule type="cellIs" dxfId="537" priority="871" stopIfTrue="1" operator="equal">
      <formula>"Ajustado e Validado"</formula>
    </cfRule>
    <cfRule type="cellIs" dxfId="536" priority="872" stopIfTrue="1" operator="equal">
      <formula>"Inserido e não validado"</formula>
    </cfRule>
    <cfRule type="cellIs" dxfId="535" priority="873" stopIfTrue="1" operator="equal">
      <formula>"Validado"</formula>
    </cfRule>
    <cfRule type="cellIs" dxfId="534" priority="874" stopIfTrue="1" operator="equal">
      <formula>"Não Validado"</formula>
    </cfRule>
  </conditionalFormatting>
  <conditionalFormatting sqref="K462 M462">
    <cfRule type="cellIs" dxfId="533" priority="867" stopIfTrue="1" operator="equal">
      <formula>"Ajustado e Validado"</formula>
    </cfRule>
    <cfRule type="cellIs" dxfId="532" priority="868" stopIfTrue="1" operator="equal">
      <formula>"Inserido e não validado"</formula>
    </cfRule>
    <cfRule type="cellIs" dxfId="531" priority="869" stopIfTrue="1" operator="equal">
      <formula>"Validado"</formula>
    </cfRule>
    <cfRule type="cellIs" dxfId="530" priority="870" stopIfTrue="1" operator="equal">
      <formula>"Não Validado"</formula>
    </cfRule>
  </conditionalFormatting>
  <conditionalFormatting sqref="K408 M408">
    <cfRule type="cellIs" dxfId="529" priority="863" stopIfTrue="1" operator="equal">
      <formula>"Ajustado e Validado"</formula>
    </cfRule>
    <cfRule type="cellIs" dxfId="528" priority="864" stopIfTrue="1" operator="equal">
      <formula>"Inserido e não validado"</formula>
    </cfRule>
    <cfRule type="cellIs" dxfId="527" priority="865" stopIfTrue="1" operator="equal">
      <formula>"Validado"</formula>
    </cfRule>
    <cfRule type="cellIs" dxfId="526" priority="866" stopIfTrue="1" operator="equal">
      <formula>"Não Validado"</formula>
    </cfRule>
  </conditionalFormatting>
  <conditionalFormatting sqref="K360 M360">
    <cfRule type="cellIs" dxfId="525" priority="859" stopIfTrue="1" operator="equal">
      <formula>"Ajustado e Validado"</formula>
    </cfRule>
    <cfRule type="cellIs" dxfId="524" priority="860" stopIfTrue="1" operator="equal">
      <formula>"Inserido e não validado"</formula>
    </cfRule>
    <cfRule type="cellIs" dxfId="523" priority="861" stopIfTrue="1" operator="equal">
      <formula>"Validado"</formula>
    </cfRule>
    <cfRule type="cellIs" dxfId="522" priority="862" stopIfTrue="1" operator="equal">
      <formula>"Não Validado"</formula>
    </cfRule>
  </conditionalFormatting>
  <conditionalFormatting sqref="K317 M317">
    <cfRule type="cellIs" dxfId="521" priority="855" stopIfTrue="1" operator="equal">
      <formula>"Ajustado e Validado"</formula>
    </cfRule>
    <cfRule type="cellIs" dxfId="520" priority="856" stopIfTrue="1" operator="equal">
      <formula>"Inserido e não validado"</formula>
    </cfRule>
    <cfRule type="cellIs" dxfId="519" priority="857" stopIfTrue="1" operator="equal">
      <formula>"Validado"</formula>
    </cfRule>
    <cfRule type="cellIs" dxfId="518" priority="858" stopIfTrue="1" operator="equal">
      <formula>"Não Validado"</formula>
    </cfRule>
  </conditionalFormatting>
  <conditionalFormatting sqref="K247 M247">
    <cfRule type="cellIs" dxfId="517" priority="851" stopIfTrue="1" operator="equal">
      <formula>"Ajustado e Validado"</formula>
    </cfRule>
    <cfRule type="cellIs" dxfId="516" priority="852" stopIfTrue="1" operator="equal">
      <formula>"Inserido e não validado"</formula>
    </cfRule>
    <cfRule type="cellIs" dxfId="515" priority="853" stopIfTrue="1" operator="equal">
      <formula>"Validado"</formula>
    </cfRule>
    <cfRule type="cellIs" dxfId="514" priority="854" stopIfTrue="1" operator="equal">
      <formula>"Não Validado"</formula>
    </cfRule>
  </conditionalFormatting>
  <conditionalFormatting sqref="K215">
    <cfRule type="cellIs" dxfId="513" priority="847" stopIfTrue="1" operator="equal">
      <formula>"Ajustado e Validado"</formula>
    </cfRule>
    <cfRule type="cellIs" dxfId="512" priority="848" stopIfTrue="1" operator="equal">
      <formula>"Inserido e não validado"</formula>
    </cfRule>
    <cfRule type="cellIs" dxfId="511" priority="849" stopIfTrue="1" operator="equal">
      <formula>"Validado"</formula>
    </cfRule>
    <cfRule type="cellIs" dxfId="510" priority="850" stopIfTrue="1" operator="equal">
      <formula>"Não Validado"</formula>
    </cfRule>
  </conditionalFormatting>
  <conditionalFormatting sqref="K197 M197">
    <cfRule type="cellIs" dxfId="509" priority="843" stopIfTrue="1" operator="equal">
      <formula>"Ajustado e Validado"</formula>
    </cfRule>
    <cfRule type="cellIs" dxfId="508" priority="844" stopIfTrue="1" operator="equal">
      <formula>"Inserido e não validado"</formula>
    </cfRule>
    <cfRule type="cellIs" dxfId="507" priority="845" stopIfTrue="1" operator="equal">
      <formula>"Validado"</formula>
    </cfRule>
    <cfRule type="cellIs" dxfId="506" priority="846" stopIfTrue="1" operator="equal">
      <formula>"Não Validado"</formula>
    </cfRule>
  </conditionalFormatting>
  <conditionalFormatting sqref="K169 M169">
    <cfRule type="cellIs" dxfId="505" priority="839" stopIfTrue="1" operator="equal">
      <formula>"Ajustado e Validado"</formula>
    </cfRule>
    <cfRule type="cellIs" dxfId="504" priority="840" stopIfTrue="1" operator="equal">
      <formula>"Inserido e não validado"</formula>
    </cfRule>
    <cfRule type="cellIs" dxfId="503" priority="841" stopIfTrue="1" operator="equal">
      <formula>"Validado"</formula>
    </cfRule>
    <cfRule type="cellIs" dxfId="502" priority="842" stopIfTrue="1" operator="equal">
      <formula>"Não Validado"</formula>
    </cfRule>
  </conditionalFormatting>
  <conditionalFormatting sqref="K69 M69">
    <cfRule type="cellIs" dxfId="501" priority="831" stopIfTrue="1" operator="equal">
      <formula>"Ajustado e Validado"</formula>
    </cfRule>
    <cfRule type="cellIs" dxfId="500" priority="832" stopIfTrue="1" operator="equal">
      <formula>"Inserido e não validado"</formula>
    </cfRule>
    <cfRule type="cellIs" dxfId="499" priority="833" stopIfTrue="1" operator="equal">
      <formula>"Validado"</formula>
    </cfRule>
    <cfRule type="cellIs" dxfId="498" priority="834" stopIfTrue="1" operator="equal">
      <formula>"Não Validado"</formula>
    </cfRule>
  </conditionalFormatting>
  <conditionalFormatting sqref="K51 M51">
    <cfRule type="cellIs" dxfId="497" priority="827" stopIfTrue="1" operator="equal">
      <formula>"Ajustado e Validado"</formula>
    </cfRule>
    <cfRule type="cellIs" dxfId="496" priority="828" stopIfTrue="1" operator="equal">
      <formula>"Inserido e não validado"</formula>
    </cfRule>
    <cfRule type="cellIs" dxfId="495" priority="829" stopIfTrue="1" operator="equal">
      <formula>"Validado"</formula>
    </cfRule>
    <cfRule type="cellIs" dxfId="494" priority="830" stopIfTrue="1" operator="equal">
      <formula>"Não Validado"</formula>
    </cfRule>
  </conditionalFormatting>
  <conditionalFormatting sqref="K49 M49">
    <cfRule type="cellIs" dxfId="493" priority="823" stopIfTrue="1" operator="equal">
      <formula>"Ajustado e Validado"</formula>
    </cfRule>
    <cfRule type="cellIs" dxfId="492" priority="824" stopIfTrue="1" operator="equal">
      <formula>"Inserido e não validado"</formula>
    </cfRule>
    <cfRule type="cellIs" dxfId="491" priority="825" stopIfTrue="1" operator="equal">
      <formula>"Validado"</formula>
    </cfRule>
    <cfRule type="cellIs" dxfId="490" priority="826" stopIfTrue="1" operator="equal">
      <formula>"Não Validado"</formula>
    </cfRule>
  </conditionalFormatting>
  <conditionalFormatting sqref="K654 M654">
    <cfRule type="cellIs" dxfId="489" priority="623" stopIfTrue="1" operator="equal">
      <formula>"Ajustado e Validado"</formula>
    </cfRule>
    <cfRule type="cellIs" dxfId="488" priority="624" stopIfTrue="1" operator="equal">
      <formula>"Inserido e não validado"</formula>
    </cfRule>
    <cfRule type="cellIs" dxfId="487" priority="625" stopIfTrue="1" operator="equal">
      <formula>"Validado"</formula>
    </cfRule>
    <cfRule type="cellIs" dxfId="486" priority="626" stopIfTrue="1" operator="equal">
      <formula>"Não Validado"</formula>
    </cfRule>
  </conditionalFormatting>
  <conditionalFormatting sqref="K612 M612">
    <cfRule type="cellIs" dxfId="485" priority="619" stopIfTrue="1" operator="equal">
      <formula>"Ajustado e Validado"</formula>
    </cfRule>
    <cfRule type="cellIs" dxfId="484" priority="620" stopIfTrue="1" operator="equal">
      <formula>"Inserido e não validado"</formula>
    </cfRule>
    <cfRule type="cellIs" dxfId="483" priority="621" stopIfTrue="1" operator="equal">
      <formula>"Validado"</formula>
    </cfRule>
    <cfRule type="cellIs" dxfId="482" priority="622" stopIfTrue="1" operator="equal">
      <formula>"Não Validado"</formula>
    </cfRule>
  </conditionalFormatting>
  <conditionalFormatting sqref="K497 M497">
    <cfRule type="cellIs" dxfId="481" priority="499" stopIfTrue="1" operator="equal">
      <formula>"Ajustado e Validado"</formula>
    </cfRule>
    <cfRule type="cellIs" dxfId="480" priority="500" stopIfTrue="1" operator="equal">
      <formula>"Inserido e não validado"</formula>
    </cfRule>
    <cfRule type="cellIs" dxfId="479" priority="501" stopIfTrue="1" operator="equal">
      <formula>"Validado"</formula>
    </cfRule>
    <cfRule type="cellIs" dxfId="478" priority="502" stopIfTrue="1" operator="equal">
      <formula>"Não Validado"</formula>
    </cfRule>
  </conditionalFormatting>
  <conditionalFormatting sqref="K999 M999">
    <cfRule type="cellIs" dxfId="477" priority="483" stopIfTrue="1" operator="equal">
      <formula>"Ajustado e Validado"</formula>
    </cfRule>
    <cfRule type="cellIs" dxfId="476" priority="484" stopIfTrue="1" operator="equal">
      <formula>"Inserido e não validado"</formula>
    </cfRule>
    <cfRule type="cellIs" dxfId="475" priority="485" stopIfTrue="1" operator="equal">
      <formula>"Validado"</formula>
    </cfRule>
    <cfRule type="cellIs" dxfId="474" priority="486" stopIfTrue="1" operator="equal">
      <formula>"Não Validado"</formula>
    </cfRule>
  </conditionalFormatting>
  <conditionalFormatting sqref="N49">
    <cfRule type="cellIs" dxfId="473" priority="446" operator="notEqual">
      <formula>0</formula>
    </cfRule>
  </conditionalFormatting>
  <conditionalFormatting sqref="N51">
    <cfRule type="cellIs" dxfId="472" priority="442" stopIfTrue="1" operator="equal">
      <formula>"Ajustado e Validado"</formula>
    </cfRule>
    <cfRule type="cellIs" dxfId="471" priority="443" stopIfTrue="1" operator="equal">
      <formula>"Inserido e não validado"</formula>
    </cfRule>
    <cfRule type="cellIs" dxfId="470" priority="444" stopIfTrue="1" operator="equal">
      <formula>"Validado"</formula>
    </cfRule>
    <cfRule type="cellIs" dxfId="469" priority="445" stopIfTrue="1" operator="equal">
      <formula>"Não Validado"</formula>
    </cfRule>
  </conditionalFormatting>
  <conditionalFormatting sqref="N69">
    <cfRule type="cellIs" dxfId="468" priority="437" stopIfTrue="1" operator="equal">
      <formula>"Ajustado e Validado"</formula>
    </cfRule>
    <cfRule type="cellIs" dxfId="467" priority="438" stopIfTrue="1" operator="equal">
      <formula>"Inserido e não validado"</formula>
    </cfRule>
    <cfRule type="cellIs" dxfId="466" priority="439" stopIfTrue="1" operator="equal">
      <formula>"Validado"</formula>
    </cfRule>
    <cfRule type="cellIs" dxfId="465" priority="440" stopIfTrue="1" operator="equal">
      <formula>"Não Validado"</formula>
    </cfRule>
  </conditionalFormatting>
  <conditionalFormatting sqref="N169">
    <cfRule type="cellIs" dxfId="464" priority="435" operator="notEqual">
      <formula>0</formula>
    </cfRule>
  </conditionalFormatting>
  <conditionalFormatting sqref="N198:N200">
    <cfRule type="cellIs" dxfId="463" priority="434" operator="notEqual">
      <formula>0</formula>
    </cfRule>
  </conditionalFormatting>
  <conditionalFormatting sqref="N197">
    <cfRule type="cellIs" dxfId="462" priority="430" stopIfTrue="1" operator="equal">
      <formula>"Ajustado e Validado"</formula>
    </cfRule>
    <cfRule type="cellIs" dxfId="461" priority="431" stopIfTrue="1" operator="equal">
      <formula>"Inserido e não validado"</formula>
    </cfRule>
    <cfRule type="cellIs" dxfId="460" priority="432" stopIfTrue="1" operator="equal">
      <formula>"Validado"</formula>
    </cfRule>
    <cfRule type="cellIs" dxfId="459" priority="433" stopIfTrue="1" operator="equal">
      <formula>"Não Validado"</formula>
    </cfRule>
  </conditionalFormatting>
  <conditionalFormatting sqref="N244 N248:N249">
    <cfRule type="cellIs" dxfId="458" priority="428" operator="notEqual">
      <formula>0</formula>
    </cfRule>
  </conditionalFormatting>
  <conditionalFormatting sqref="N247">
    <cfRule type="cellIs" dxfId="457" priority="424" stopIfTrue="1" operator="equal">
      <formula>"Ajustado e Validado"</formula>
    </cfRule>
    <cfRule type="cellIs" dxfId="456" priority="425" stopIfTrue="1" operator="equal">
      <formula>"Inserido e não validado"</formula>
    </cfRule>
    <cfRule type="cellIs" dxfId="455" priority="426" stopIfTrue="1" operator="equal">
      <formula>"Validado"</formula>
    </cfRule>
    <cfRule type="cellIs" dxfId="454" priority="427" stopIfTrue="1" operator="equal">
      <formula>"Não Validado"</formula>
    </cfRule>
  </conditionalFormatting>
  <conditionalFormatting sqref="N361:N365">
    <cfRule type="cellIs" dxfId="453" priority="422" operator="notEqual">
      <formula>0</formula>
    </cfRule>
  </conditionalFormatting>
  <conditionalFormatting sqref="N408">
    <cfRule type="cellIs" dxfId="452" priority="417" stopIfTrue="1" operator="equal">
      <formula>"Ajustado e Validado"</formula>
    </cfRule>
    <cfRule type="cellIs" dxfId="451" priority="418" stopIfTrue="1" operator="equal">
      <formula>"Inserido e não validado"</formula>
    </cfRule>
    <cfRule type="cellIs" dxfId="450" priority="419" stopIfTrue="1" operator="equal">
      <formula>"Validado"</formula>
    </cfRule>
    <cfRule type="cellIs" dxfId="449" priority="420" stopIfTrue="1" operator="equal">
      <formula>"Não Validado"</formula>
    </cfRule>
  </conditionalFormatting>
  <conditionalFormatting sqref="N497">
    <cfRule type="cellIs" dxfId="448" priority="407" stopIfTrue="1" operator="equal">
      <formula>"Ajustado e Validado"</formula>
    </cfRule>
    <cfRule type="cellIs" dxfId="447" priority="408" stopIfTrue="1" operator="equal">
      <formula>"Inserido e não validado"</formula>
    </cfRule>
    <cfRule type="cellIs" dxfId="446" priority="409" stopIfTrue="1" operator="equal">
      <formula>"Validado"</formula>
    </cfRule>
    <cfRule type="cellIs" dxfId="445" priority="410" stopIfTrue="1" operator="equal">
      <formula>"Não Validado"</formula>
    </cfRule>
  </conditionalFormatting>
  <conditionalFormatting sqref="N533">
    <cfRule type="cellIs" dxfId="444" priority="402" stopIfTrue="1" operator="equal">
      <formula>"Ajustado e Validado"</formula>
    </cfRule>
    <cfRule type="cellIs" dxfId="443" priority="403" stopIfTrue="1" operator="equal">
      <formula>"Inserido e não validado"</formula>
    </cfRule>
    <cfRule type="cellIs" dxfId="442" priority="404" stopIfTrue="1" operator="equal">
      <formula>"Validado"</formula>
    </cfRule>
    <cfRule type="cellIs" dxfId="441" priority="405" stopIfTrue="1" operator="equal">
      <formula>"Não Validado"</formula>
    </cfRule>
  </conditionalFormatting>
  <conditionalFormatting sqref="N567">
    <cfRule type="cellIs" dxfId="440" priority="397" stopIfTrue="1" operator="equal">
      <formula>"Ajustado e Validado"</formula>
    </cfRule>
    <cfRule type="cellIs" dxfId="439" priority="398" stopIfTrue="1" operator="equal">
      <formula>"Inserido e não validado"</formula>
    </cfRule>
    <cfRule type="cellIs" dxfId="438" priority="399" stopIfTrue="1" operator="equal">
      <formula>"Validado"</formula>
    </cfRule>
    <cfRule type="cellIs" dxfId="437" priority="400" stopIfTrue="1" operator="equal">
      <formula>"Não Validado"</formula>
    </cfRule>
  </conditionalFormatting>
  <conditionalFormatting sqref="N605">
    <cfRule type="cellIs" dxfId="436" priority="392" stopIfTrue="1" operator="equal">
      <formula>"Ajustado e Validado"</formula>
    </cfRule>
    <cfRule type="cellIs" dxfId="435" priority="393" stopIfTrue="1" operator="equal">
      <formula>"Inserido e não validado"</formula>
    </cfRule>
    <cfRule type="cellIs" dxfId="434" priority="394" stopIfTrue="1" operator="equal">
      <formula>"Validado"</formula>
    </cfRule>
    <cfRule type="cellIs" dxfId="433" priority="395" stopIfTrue="1" operator="equal">
      <formula>"Não Validado"</formula>
    </cfRule>
  </conditionalFormatting>
  <conditionalFormatting sqref="N613:N616">
    <cfRule type="cellIs" dxfId="432" priority="391" operator="notEqual">
      <formula>0</formula>
    </cfRule>
  </conditionalFormatting>
  <conditionalFormatting sqref="N612">
    <cfRule type="cellIs" dxfId="431" priority="387" stopIfTrue="1" operator="equal">
      <formula>"Ajustado e Validado"</formula>
    </cfRule>
    <cfRule type="cellIs" dxfId="430" priority="388" stopIfTrue="1" operator="equal">
      <formula>"Inserido e não validado"</formula>
    </cfRule>
    <cfRule type="cellIs" dxfId="429" priority="389" stopIfTrue="1" operator="equal">
      <formula>"Validado"</formula>
    </cfRule>
    <cfRule type="cellIs" dxfId="428" priority="390" stopIfTrue="1" operator="equal">
      <formula>"Não Validado"</formula>
    </cfRule>
  </conditionalFormatting>
  <conditionalFormatting sqref="N651">
    <cfRule type="cellIs" dxfId="427" priority="378" stopIfTrue="1" operator="equal">
      <formula>"Ajustado e Validado"</formula>
    </cfRule>
    <cfRule type="cellIs" dxfId="426" priority="379" stopIfTrue="1" operator="equal">
      <formula>"Inserido e não validado"</formula>
    </cfRule>
    <cfRule type="cellIs" dxfId="425" priority="380" stopIfTrue="1" operator="equal">
      <formula>"Validado"</formula>
    </cfRule>
    <cfRule type="cellIs" dxfId="424" priority="381" stopIfTrue="1" operator="equal">
      <formula>"Não Validado"</formula>
    </cfRule>
  </conditionalFormatting>
  <conditionalFormatting sqref="N317">
    <cfRule type="cellIs" dxfId="423" priority="369" stopIfTrue="1" operator="equal">
      <formula>"Ajustado e Validado"</formula>
    </cfRule>
    <cfRule type="cellIs" dxfId="422" priority="370" stopIfTrue="1" operator="equal">
      <formula>"Inserido e não validado"</formula>
    </cfRule>
    <cfRule type="cellIs" dxfId="421" priority="371" stopIfTrue="1" operator="equal">
      <formula>"Validado"</formula>
    </cfRule>
    <cfRule type="cellIs" dxfId="420" priority="372" stopIfTrue="1" operator="equal">
      <formula>"Não Validado"</formula>
    </cfRule>
  </conditionalFormatting>
  <conditionalFormatting sqref="N360">
    <cfRule type="cellIs" dxfId="419" priority="365" stopIfTrue="1" operator="equal">
      <formula>"Ajustado e Validado"</formula>
    </cfRule>
    <cfRule type="cellIs" dxfId="418" priority="366" stopIfTrue="1" operator="equal">
      <formula>"Inserido e não validado"</formula>
    </cfRule>
    <cfRule type="cellIs" dxfId="417" priority="367" stopIfTrue="1" operator="equal">
      <formula>"Validado"</formula>
    </cfRule>
    <cfRule type="cellIs" dxfId="416" priority="368" stopIfTrue="1" operator="equal">
      <formula>"Não Validado"</formula>
    </cfRule>
  </conditionalFormatting>
  <conditionalFormatting sqref="N50">
    <cfRule type="cellIs" dxfId="415" priority="360" operator="notEqual">
      <formula>0</formula>
    </cfRule>
  </conditionalFormatting>
  <conditionalFormatting sqref="N56:N68">
    <cfRule type="cellIs" dxfId="414" priority="355" operator="notEqual">
      <formula>0</formula>
    </cfRule>
  </conditionalFormatting>
  <conditionalFormatting sqref="N99:N111 N142">
    <cfRule type="cellIs" dxfId="413" priority="350" operator="notEqual">
      <formula>0</formula>
    </cfRule>
  </conditionalFormatting>
  <conditionalFormatting sqref="N147">
    <cfRule type="cellIs" dxfId="412" priority="345" operator="notEqual">
      <formula>0</formula>
    </cfRule>
  </conditionalFormatting>
  <conditionalFormatting sqref="N148:N168">
    <cfRule type="cellIs" dxfId="411" priority="335" operator="notEqual">
      <formula>0</formula>
    </cfRule>
  </conditionalFormatting>
  <conditionalFormatting sqref="N192:N196">
    <cfRule type="cellIs" dxfId="410" priority="330" operator="notEqual">
      <formula>0</formula>
    </cfRule>
  </conditionalFormatting>
  <conditionalFormatting sqref="N202:N214">
    <cfRule type="cellIs" dxfId="409" priority="325" operator="notEqual">
      <formula>0</formula>
    </cfRule>
  </conditionalFormatting>
  <conditionalFormatting sqref="K1030 M1030">
    <cfRule type="cellIs" dxfId="408" priority="207" stopIfTrue="1" operator="equal">
      <formula>"Ajustado e Validado"</formula>
    </cfRule>
    <cfRule type="cellIs" dxfId="407" priority="208" stopIfTrue="1" operator="equal">
      <formula>"Inserido e não validado"</formula>
    </cfRule>
    <cfRule type="cellIs" dxfId="406" priority="209" stopIfTrue="1" operator="equal">
      <formula>"Validado"</formula>
    </cfRule>
    <cfRule type="cellIs" dxfId="405" priority="210" stopIfTrue="1" operator="equal">
      <formula>"Não Validado"</formula>
    </cfRule>
  </conditionalFormatting>
  <conditionalFormatting sqref="K1037 M1037">
    <cfRule type="cellIs" dxfId="404" priority="203" stopIfTrue="1" operator="equal">
      <formula>"Ajustado e Validado"</formula>
    </cfRule>
    <cfRule type="cellIs" dxfId="403" priority="204" stopIfTrue="1" operator="equal">
      <formula>"Inserido e não validado"</formula>
    </cfRule>
    <cfRule type="cellIs" dxfId="402" priority="205" stopIfTrue="1" operator="equal">
      <formula>"Validado"</formula>
    </cfRule>
    <cfRule type="cellIs" dxfId="401" priority="206" stopIfTrue="1" operator="equal">
      <formula>"Não Validado"</formula>
    </cfRule>
  </conditionalFormatting>
  <conditionalFormatting sqref="G26:O26 O27">
    <cfRule type="cellIs" dxfId="400" priority="190" stopIfTrue="1" operator="lessThan">
      <formula>0</formula>
    </cfRule>
  </conditionalFormatting>
  <conditionalFormatting sqref="G27:N27">
    <cfRule type="cellIs" dxfId="399" priority="189" stopIfTrue="1" operator="lessThan">
      <formula>0</formula>
    </cfRule>
  </conditionalFormatting>
  <conditionalFormatting sqref="G24:O24 O25">
    <cfRule type="cellIs" dxfId="398" priority="188" stopIfTrue="1" operator="lessThan">
      <formula>0</formula>
    </cfRule>
  </conditionalFormatting>
  <conditionalFormatting sqref="G25:N25">
    <cfRule type="cellIs" dxfId="397" priority="187" stopIfTrue="1" operator="lessThan">
      <formula>0</formula>
    </cfRule>
  </conditionalFormatting>
  <conditionalFormatting sqref="K50 M50">
    <cfRule type="cellIs" dxfId="396" priority="183" stopIfTrue="1" operator="equal">
      <formula>"Ajustado e Validado"</formula>
    </cfRule>
    <cfRule type="cellIs" dxfId="395" priority="184" stopIfTrue="1" operator="equal">
      <formula>"Inserido e não validado"</formula>
    </cfRule>
    <cfRule type="cellIs" dxfId="394" priority="185" stopIfTrue="1" operator="equal">
      <formula>"Validado"</formula>
    </cfRule>
    <cfRule type="cellIs" dxfId="393" priority="186" stopIfTrue="1" operator="equal">
      <formula>"Não Validado"</formula>
    </cfRule>
  </conditionalFormatting>
  <conditionalFormatting sqref="K56:K68 M56:M68">
    <cfRule type="cellIs" dxfId="392" priority="179" stopIfTrue="1" operator="equal">
      <formula>"Ajustado e Validado"</formula>
    </cfRule>
    <cfRule type="cellIs" dxfId="391" priority="180" stopIfTrue="1" operator="equal">
      <formula>"Inserido e não validado"</formula>
    </cfRule>
    <cfRule type="cellIs" dxfId="390" priority="181" stopIfTrue="1" operator="equal">
      <formula>"Validado"</formula>
    </cfRule>
    <cfRule type="cellIs" dxfId="389" priority="182" stopIfTrue="1" operator="equal">
      <formula>"Não Validado"</formula>
    </cfRule>
  </conditionalFormatting>
  <conditionalFormatting sqref="K99:K111 M99:M111 M142 K142">
    <cfRule type="cellIs" dxfId="388" priority="175" stopIfTrue="1" operator="equal">
      <formula>"Ajustado e Validado"</formula>
    </cfRule>
    <cfRule type="cellIs" dxfId="387" priority="176" stopIfTrue="1" operator="equal">
      <formula>"Inserido e não validado"</formula>
    </cfRule>
    <cfRule type="cellIs" dxfId="386" priority="177" stopIfTrue="1" operator="equal">
      <formula>"Validado"</formula>
    </cfRule>
    <cfRule type="cellIs" dxfId="385" priority="178" stopIfTrue="1" operator="equal">
      <formula>"Não Validado"</formula>
    </cfRule>
  </conditionalFormatting>
  <conditionalFormatting sqref="K147:K168 M147:M168">
    <cfRule type="cellIs" dxfId="384" priority="171" stopIfTrue="1" operator="equal">
      <formula>"Ajustado e Validado"</formula>
    </cfRule>
    <cfRule type="cellIs" dxfId="383" priority="172" stopIfTrue="1" operator="equal">
      <formula>"Inserido e não validado"</formula>
    </cfRule>
    <cfRule type="cellIs" dxfId="382" priority="173" stopIfTrue="1" operator="equal">
      <formula>"Validado"</formula>
    </cfRule>
    <cfRule type="cellIs" dxfId="381" priority="174" stopIfTrue="1" operator="equal">
      <formula>"Não Validado"</formula>
    </cfRule>
  </conditionalFormatting>
  <conditionalFormatting sqref="K192:K196 M192:M196">
    <cfRule type="cellIs" dxfId="380" priority="167" stopIfTrue="1" operator="equal">
      <formula>"Ajustado e Validado"</formula>
    </cfRule>
    <cfRule type="cellIs" dxfId="379" priority="168" stopIfTrue="1" operator="equal">
      <formula>"Inserido e não validado"</formula>
    </cfRule>
    <cfRule type="cellIs" dxfId="378" priority="169" stopIfTrue="1" operator="equal">
      <formula>"Validado"</formula>
    </cfRule>
    <cfRule type="cellIs" dxfId="377" priority="170" stopIfTrue="1" operator="equal">
      <formula>"Não Validado"</formula>
    </cfRule>
  </conditionalFormatting>
  <conditionalFormatting sqref="K202:K214 M202:M214">
    <cfRule type="cellIs" dxfId="376" priority="163" stopIfTrue="1" operator="equal">
      <formula>"Ajustado e Validado"</formula>
    </cfRule>
    <cfRule type="cellIs" dxfId="375" priority="164" stopIfTrue="1" operator="equal">
      <formula>"Inserido e não validado"</formula>
    </cfRule>
    <cfRule type="cellIs" dxfId="374" priority="165" stopIfTrue="1" operator="equal">
      <formula>"Validado"</formula>
    </cfRule>
    <cfRule type="cellIs" dxfId="373" priority="166" stopIfTrue="1" operator="equal">
      <formula>"Não Validado"</formula>
    </cfRule>
  </conditionalFormatting>
  <conditionalFormatting sqref="K244 M244">
    <cfRule type="cellIs" dxfId="372" priority="159" stopIfTrue="1" operator="equal">
      <formula>"Ajustado e Validado"</formula>
    </cfRule>
    <cfRule type="cellIs" dxfId="371" priority="160" stopIfTrue="1" operator="equal">
      <formula>"Inserido e não validado"</formula>
    </cfRule>
    <cfRule type="cellIs" dxfId="370" priority="161" stopIfTrue="1" operator="equal">
      <formula>"Validado"</formula>
    </cfRule>
    <cfRule type="cellIs" dxfId="369" priority="162" stopIfTrue="1" operator="equal">
      <formula>"Não Validado"</formula>
    </cfRule>
  </conditionalFormatting>
  <conditionalFormatting sqref="N245:N246">
    <cfRule type="cellIs" dxfId="368" priority="138" operator="notEqual">
      <formula>0</formula>
    </cfRule>
  </conditionalFormatting>
  <conditionalFormatting sqref="K245:K246 M245:M246">
    <cfRule type="cellIs" dxfId="367" priority="134" stopIfTrue="1" operator="equal">
      <formula>"Ajustado e Validado"</formula>
    </cfRule>
    <cfRule type="cellIs" dxfId="366" priority="135" stopIfTrue="1" operator="equal">
      <formula>"Inserido e não validado"</formula>
    </cfRule>
    <cfRule type="cellIs" dxfId="365" priority="136" stopIfTrue="1" operator="equal">
      <formula>"Validado"</formula>
    </cfRule>
    <cfRule type="cellIs" dxfId="364" priority="137" stopIfTrue="1" operator="equal">
      <formula>"Não Validado"</formula>
    </cfRule>
  </conditionalFormatting>
  <conditionalFormatting sqref="N298:N316">
    <cfRule type="cellIs" dxfId="363" priority="133" operator="notEqual">
      <formula>0</formula>
    </cfRule>
  </conditionalFormatting>
  <conditionalFormatting sqref="K298:K316 M298:M316">
    <cfRule type="cellIs" dxfId="362" priority="129" stopIfTrue="1" operator="equal">
      <formula>"Ajustado e Validado"</formula>
    </cfRule>
    <cfRule type="cellIs" dxfId="361" priority="130" stopIfTrue="1" operator="equal">
      <formula>"Inserido e não validado"</formula>
    </cfRule>
    <cfRule type="cellIs" dxfId="360" priority="131" stopIfTrue="1" operator="equal">
      <formula>"Validado"</formula>
    </cfRule>
    <cfRule type="cellIs" dxfId="359" priority="132" stopIfTrue="1" operator="equal">
      <formula>"Não Validado"</formula>
    </cfRule>
  </conditionalFormatting>
  <conditionalFormatting sqref="N354:N359">
    <cfRule type="cellIs" dxfId="358" priority="128" operator="notEqual">
      <formula>0</formula>
    </cfRule>
  </conditionalFormatting>
  <conditionalFormatting sqref="K354:K359 M354:M359">
    <cfRule type="cellIs" dxfId="357" priority="124" stopIfTrue="1" operator="equal">
      <formula>"Ajustado e Validado"</formula>
    </cfRule>
    <cfRule type="cellIs" dxfId="356" priority="125" stopIfTrue="1" operator="equal">
      <formula>"Inserido e não validado"</formula>
    </cfRule>
    <cfRule type="cellIs" dxfId="355" priority="126" stopIfTrue="1" operator="equal">
      <formula>"Validado"</formula>
    </cfRule>
    <cfRule type="cellIs" dxfId="354" priority="127" stopIfTrue="1" operator="equal">
      <formula>"Não Validado"</formula>
    </cfRule>
  </conditionalFormatting>
  <conditionalFormatting sqref="N393:N407">
    <cfRule type="cellIs" dxfId="353" priority="123" operator="notEqual">
      <formula>0</formula>
    </cfRule>
  </conditionalFormatting>
  <conditionalFormatting sqref="K393:K407 M393:M407">
    <cfRule type="cellIs" dxfId="352" priority="119" stopIfTrue="1" operator="equal">
      <formula>"Ajustado e Validado"</formula>
    </cfRule>
    <cfRule type="cellIs" dxfId="351" priority="120" stopIfTrue="1" operator="equal">
      <formula>"Inserido e não validado"</formula>
    </cfRule>
    <cfRule type="cellIs" dxfId="350" priority="121" stopIfTrue="1" operator="equal">
      <formula>"Validado"</formula>
    </cfRule>
    <cfRule type="cellIs" dxfId="349" priority="122" stopIfTrue="1" operator="equal">
      <formula>"Não Validado"</formula>
    </cfRule>
  </conditionalFormatting>
  <conditionalFormatting sqref="N446:N461">
    <cfRule type="cellIs" dxfId="348" priority="118" operator="notEqual">
      <formula>0</formula>
    </cfRule>
  </conditionalFormatting>
  <conditionalFormatting sqref="K446:K461 M446:M461">
    <cfRule type="cellIs" dxfId="347" priority="114" stopIfTrue="1" operator="equal">
      <formula>"Ajustado e Validado"</formula>
    </cfRule>
    <cfRule type="cellIs" dxfId="346" priority="115" stopIfTrue="1" operator="equal">
      <formula>"Inserido e não validado"</formula>
    </cfRule>
    <cfRule type="cellIs" dxfId="345" priority="116" stopIfTrue="1" operator="equal">
      <formula>"Validado"</formula>
    </cfRule>
    <cfRule type="cellIs" dxfId="344" priority="117" stopIfTrue="1" operator="equal">
      <formula>"Não Validado"</formula>
    </cfRule>
  </conditionalFormatting>
  <conditionalFormatting sqref="N490:N496">
    <cfRule type="cellIs" dxfId="343" priority="113" operator="notEqual">
      <formula>0</formula>
    </cfRule>
  </conditionalFormatting>
  <conditionalFormatting sqref="K490:K496 M490:M496">
    <cfRule type="cellIs" dxfId="342" priority="109" stopIfTrue="1" operator="equal">
      <formula>"Ajustado e Validado"</formula>
    </cfRule>
    <cfRule type="cellIs" dxfId="341" priority="110" stopIfTrue="1" operator="equal">
      <formula>"Inserido e não validado"</formula>
    </cfRule>
    <cfRule type="cellIs" dxfId="340" priority="111" stopIfTrue="1" operator="equal">
      <formula>"Validado"</formula>
    </cfRule>
    <cfRule type="cellIs" dxfId="339" priority="112" stopIfTrue="1" operator="equal">
      <formula>"Não Validado"</formula>
    </cfRule>
  </conditionalFormatting>
  <conditionalFormatting sqref="N528:N532">
    <cfRule type="cellIs" dxfId="338" priority="108" operator="notEqual">
      <formula>0</formula>
    </cfRule>
  </conditionalFormatting>
  <conditionalFormatting sqref="K528:K532 M528:M532">
    <cfRule type="cellIs" dxfId="337" priority="104" stopIfTrue="1" operator="equal">
      <formula>"Ajustado e Validado"</formula>
    </cfRule>
    <cfRule type="cellIs" dxfId="336" priority="105" stopIfTrue="1" operator="equal">
      <formula>"Inserido e não validado"</formula>
    </cfRule>
    <cfRule type="cellIs" dxfId="335" priority="106" stopIfTrue="1" operator="equal">
      <formula>"Validado"</formula>
    </cfRule>
    <cfRule type="cellIs" dxfId="334" priority="107" stopIfTrue="1" operator="equal">
      <formula>"Não Validado"</formula>
    </cfRule>
  </conditionalFormatting>
  <conditionalFormatting sqref="N562:N566">
    <cfRule type="cellIs" dxfId="333" priority="103" operator="notEqual">
      <formula>0</formula>
    </cfRule>
  </conditionalFormatting>
  <conditionalFormatting sqref="K562:K566 M562:M566">
    <cfRule type="cellIs" dxfId="332" priority="99" stopIfTrue="1" operator="equal">
      <formula>"Ajustado e Validado"</formula>
    </cfRule>
    <cfRule type="cellIs" dxfId="331" priority="100" stopIfTrue="1" operator="equal">
      <formula>"Inserido e não validado"</formula>
    </cfRule>
    <cfRule type="cellIs" dxfId="330" priority="101" stopIfTrue="1" operator="equal">
      <formula>"Validado"</formula>
    </cfRule>
    <cfRule type="cellIs" dxfId="329" priority="102" stopIfTrue="1" operator="equal">
      <formula>"Não Validado"</formula>
    </cfRule>
  </conditionalFormatting>
  <conditionalFormatting sqref="N596:N604">
    <cfRule type="cellIs" dxfId="328" priority="98" operator="notEqual">
      <formula>0</formula>
    </cfRule>
  </conditionalFormatting>
  <conditionalFormatting sqref="K596:K604 M596:M604">
    <cfRule type="cellIs" dxfId="327" priority="94" stopIfTrue="1" operator="equal">
      <formula>"Ajustado e Validado"</formula>
    </cfRule>
    <cfRule type="cellIs" dxfId="326" priority="95" stopIfTrue="1" operator="equal">
      <formula>"Inserido e não validado"</formula>
    </cfRule>
    <cfRule type="cellIs" dxfId="325" priority="96" stopIfTrue="1" operator="equal">
      <formula>"Validado"</formula>
    </cfRule>
    <cfRule type="cellIs" dxfId="324" priority="97" stopIfTrue="1" operator="equal">
      <formula>"Não Validado"</formula>
    </cfRule>
  </conditionalFormatting>
  <conditionalFormatting sqref="N610:N611">
    <cfRule type="cellIs" dxfId="323" priority="93" operator="notEqual">
      <formula>0</formula>
    </cfRule>
  </conditionalFormatting>
  <conditionalFormatting sqref="K610:K611 M610:M611">
    <cfRule type="cellIs" dxfId="322" priority="89" stopIfTrue="1" operator="equal">
      <formula>"Ajustado e Validado"</formula>
    </cfRule>
    <cfRule type="cellIs" dxfId="321" priority="90" stopIfTrue="1" operator="equal">
      <formula>"Inserido e não validado"</formula>
    </cfRule>
    <cfRule type="cellIs" dxfId="320" priority="91" stopIfTrue="1" operator="equal">
      <formula>"Validado"</formula>
    </cfRule>
    <cfRule type="cellIs" dxfId="319" priority="92" stopIfTrue="1" operator="equal">
      <formula>"Não Validado"</formula>
    </cfRule>
  </conditionalFormatting>
  <conditionalFormatting sqref="N641:N650">
    <cfRule type="cellIs" dxfId="318" priority="88" operator="notEqual">
      <formula>0</formula>
    </cfRule>
  </conditionalFormatting>
  <conditionalFormatting sqref="K641:K650 M641:M650">
    <cfRule type="cellIs" dxfId="317" priority="84" stopIfTrue="1" operator="equal">
      <formula>"Ajustado e Validado"</formula>
    </cfRule>
    <cfRule type="cellIs" dxfId="316" priority="85" stopIfTrue="1" operator="equal">
      <formula>"Inserido e não validado"</formula>
    </cfRule>
    <cfRule type="cellIs" dxfId="315" priority="86" stopIfTrue="1" operator="equal">
      <formula>"Validado"</formula>
    </cfRule>
    <cfRule type="cellIs" dxfId="314" priority="87" stopIfTrue="1" operator="equal">
      <formula>"Não Validado"</formula>
    </cfRule>
  </conditionalFormatting>
  <conditionalFormatting sqref="N681:N689">
    <cfRule type="cellIs" dxfId="313" priority="83" operator="notEqual">
      <formula>0</formula>
    </cfRule>
  </conditionalFormatting>
  <conditionalFormatting sqref="K681:K689 M681:M689">
    <cfRule type="cellIs" dxfId="312" priority="79" stopIfTrue="1" operator="equal">
      <formula>"Ajustado e Validado"</formula>
    </cfRule>
    <cfRule type="cellIs" dxfId="311" priority="80" stopIfTrue="1" operator="equal">
      <formula>"Inserido e não validado"</formula>
    </cfRule>
    <cfRule type="cellIs" dxfId="310" priority="81" stopIfTrue="1" operator="equal">
      <formula>"Validado"</formula>
    </cfRule>
    <cfRule type="cellIs" dxfId="309" priority="82" stopIfTrue="1" operator="equal">
      <formula>"Não Validado"</formula>
    </cfRule>
  </conditionalFormatting>
  <conditionalFormatting sqref="N712:N736">
    <cfRule type="cellIs" dxfId="308" priority="78" operator="notEqual">
      <formula>0</formula>
    </cfRule>
  </conditionalFormatting>
  <conditionalFormatting sqref="K712:K736 M712:M736">
    <cfRule type="cellIs" dxfId="307" priority="74" stopIfTrue="1" operator="equal">
      <formula>"Ajustado e Validado"</formula>
    </cfRule>
    <cfRule type="cellIs" dxfId="306" priority="75" stopIfTrue="1" operator="equal">
      <formula>"Inserido e não validado"</formula>
    </cfRule>
    <cfRule type="cellIs" dxfId="305" priority="76" stopIfTrue="1" operator="equal">
      <formula>"Validado"</formula>
    </cfRule>
    <cfRule type="cellIs" dxfId="304" priority="77" stopIfTrue="1" operator="equal">
      <formula>"Não Validado"</formula>
    </cfRule>
  </conditionalFormatting>
  <conditionalFormatting sqref="N742:N771">
    <cfRule type="cellIs" dxfId="303" priority="73" operator="notEqual">
      <formula>0</formula>
    </cfRule>
  </conditionalFormatting>
  <conditionalFormatting sqref="K742:K771 M742:M771">
    <cfRule type="cellIs" dxfId="302" priority="69" stopIfTrue="1" operator="equal">
      <formula>"Ajustado e Validado"</formula>
    </cfRule>
    <cfRule type="cellIs" dxfId="301" priority="70" stopIfTrue="1" operator="equal">
      <formula>"Inserido e não validado"</formula>
    </cfRule>
    <cfRule type="cellIs" dxfId="300" priority="71" stopIfTrue="1" operator="equal">
      <formula>"Validado"</formula>
    </cfRule>
    <cfRule type="cellIs" dxfId="299" priority="72" stopIfTrue="1" operator="equal">
      <formula>"Não Validado"</formula>
    </cfRule>
  </conditionalFormatting>
  <conditionalFormatting sqref="N795:N817">
    <cfRule type="cellIs" dxfId="298" priority="68" operator="notEqual">
      <formula>0</formula>
    </cfRule>
  </conditionalFormatting>
  <conditionalFormatting sqref="K795:K817 M795:M817">
    <cfRule type="cellIs" dxfId="297" priority="64" stopIfTrue="1" operator="equal">
      <formula>"Ajustado e Validado"</formula>
    </cfRule>
    <cfRule type="cellIs" dxfId="296" priority="65" stopIfTrue="1" operator="equal">
      <formula>"Inserido e não validado"</formula>
    </cfRule>
    <cfRule type="cellIs" dxfId="295" priority="66" stopIfTrue="1" operator="equal">
      <formula>"Validado"</formula>
    </cfRule>
    <cfRule type="cellIs" dxfId="294" priority="67" stopIfTrue="1" operator="equal">
      <formula>"Não Validado"</formula>
    </cfRule>
  </conditionalFormatting>
  <conditionalFormatting sqref="N823:N872">
    <cfRule type="cellIs" dxfId="293" priority="63" operator="notEqual">
      <formula>0</formula>
    </cfRule>
  </conditionalFormatting>
  <conditionalFormatting sqref="K823:K872 M823:M872">
    <cfRule type="cellIs" dxfId="292" priority="59" stopIfTrue="1" operator="equal">
      <formula>"Ajustado e Validado"</formula>
    </cfRule>
    <cfRule type="cellIs" dxfId="291" priority="60" stopIfTrue="1" operator="equal">
      <formula>"Inserido e não validado"</formula>
    </cfRule>
    <cfRule type="cellIs" dxfId="290" priority="61" stopIfTrue="1" operator="equal">
      <formula>"Validado"</formula>
    </cfRule>
    <cfRule type="cellIs" dxfId="289" priority="62" stopIfTrue="1" operator="equal">
      <formula>"Não Validado"</formula>
    </cfRule>
  </conditionalFormatting>
  <conditionalFormatting sqref="N905:N908">
    <cfRule type="cellIs" dxfId="288" priority="58" operator="notEqual">
      <formula>0</formula>
    </cfRule>
  </conditionalFormatting>
  <conditionalFormatting sqref="K905:K908 M905:M908">
    <cfRule type="cellIs" dxfId="287" priority="54" stopIfTrue="1" operator="equal">
      <formula>"Ajustado e Validado"</formula>
    </cfRule>
    <cfRule type="cellIs" dxfId="286" priority="55" stopIfTrue="1" operator="equal">
      <formula>"Inserido e não validado"</formula>
    </cfRule>
    <cfRule type="cellIs" dxfId="285" priority="56" stopIfTrue="1" operator="equal">
      <formula>"Validado"</formula>
    </cfRule>
    <cfRule type="cellIs" dxfId="284" priority="57" stopIfTrue="1" operator="equal">
      <formula>"Não Validado"</formula>
    </cfRule>
  </conditionalFormatting>
  <conditionalFormatting sqref="N940:N943">
    <cfRule type="cellIs" dxfId="283" priority="53" operator="notEqual">
      <formula>0</formula>
    </cfRule>
  </conditionalFormatting>
  <conditionalFormatting sqref="K940:K943 M940:M943">
    <cfRule type="cellIs" dxfId="282" priority="49" stopIfTrue="1" operator="equal">
      <formula>"Ajustado e Validado"</formula>
    </cfRule>
    <cfRule type="cellIs" dxfId="281" priority="50" stopIfTrue="1" operator="equal">
      <formula>"Inserido e não validado"</formula>
    </cfRule>
    <cfRule type="cellIs" dxfId="280" priority="51" stopIfTrue="1" operator="equal">
      <formula>"Validado"</formula>
    </cfRule>
    <cfRule type="cellIs" dxfId="279" priority="52" stopIfTrue="1" operator="equal">
      <formula>"Não Validado"</formula>
    </cfRule>
  </conditionalFormatting>
  <conditionalFormatting sqref="N981:N990">
    <cfRule type="cellIs" dxfId="278" priority="48" operator="notEqual">
      <formula>0</formula>
    </cfRule>
  </conditionalFormatting>
  <conditionalFormatting sqref="K981:K990 M981:M990">
    <cfRule type="cellIs" dxfId="277" priority="44" stopIfTrue="1" operator="equal">
      <formula>"Ajustado e Validado"</formula>
    </cfRule>
    <cfRule type="cellIs" dxfId="276" priority="45" stopIfTrue="1" operator="equal">
      <formula>"Inserido e não validado"</formula>
    </cfRule>
    <cfRule type="cellIs" dxfId="275" priority="46" stopIfTrue="1" operator="equal">
      <formula>"Validado"</formula>
    </cfRule>
    <cfRule type="cellIs" dxfId="274" priority="47" stopIfTrue="1" operator="equal">
      <formula>"Não Validado"</formula>
    </cfRule>
  </conditionalFormatting>
  <conditionalFormatting sqref="N996:N998">
    <cfRule type="cellIs" dxfId="273" priority="43" operator="notEqual">
      <formula>0</formula>
    </cfRule>
  </conditionalFormatting>
  <conditionalFormatting sqref="K996:K998 M996:M998">
    <cfRule type="cellIs" dxfId="272" priority="39" stopIfTrue="1" operator="equal">
      <formula>"Ajustado e Validado"</formula>
    </cfRule>
    <cfRule type="cellIs" dxfId="271" priority="40" stopIfTrue="1" operator="equal">
      <formula>"Inserido e não validado"</formula>
    </cfRule>
    <cfRule type="cellIs" dxfId="270" priority="41" stopIfTrue="1" operator="equal">
      <formula>"Validado"</formula>
    </cfRule>
    <cfRule type="cellIs" dxfId="269" priority="42" stopIfTrue="1" operator="equal">
      <formula>"Não Validado"</formula>
    </cfRule>
  </conditionalFormatting>
  <conditionalFormatting sqref="N1028:N1029">
    <cfRule type="cellIs" dxfId="268" priority="38" operator="notEqual">
      <formula>0</formula>
    </cfRule>
  </conditionalFormatting>
  <conditionalFormatting sqref="K1028:K1029 M1028:M1029">
    <cfRule type="cellIs" dxfId="267" priority="34" stopIfTrue="1" operator="equal">
      <formula>"Ajustado e Validado"</formula>
    </cfRule>
    <cfRule type="cellIs" dxfId="266" priority="35" stopIfTrue="1" operator="equal">
      <formula>"Inserido e não validado"</formula>
    </cfRule>
    <cfRule type="cellIs" dxfId="265" priority="36" stopIfTrue="1" operator="equal">
      <formula>"Validado"</formula>
    </cfRule>
    <cfRule type="cellIs" dxfId="264" priority="37" stopIfTrue="1" operator="equal">
      <formula>"Não Validado"</formula>
    </cfRule>
  </conditionalFormatting>
  <conditionalFormatting sqref="N1035:N1036">
    <cfRule type="cellIs" dxfId="263" priority="33" operator="notEqual">
      <formula>0</formula>
    </cfRule>
  </conditionalFormatting>
  <conditionalFormatting sqref="K1035:K1036 M1035:M1036">
    <cfRule type="cellIs" dxfId="262" priority="29" stopIfTrue="1" operator="equal">
      <formula>"Ajustado e Validado"</formula>
    </cfRule>
    <cfRule type="cellIs" dxfId="261" priority="30" stopIfTrue="1" operator="equal">
      <formula>"Inserido e não validado"</formula>
    </cfRule>
    <cfRule type="cellIs" dxfId="260" priority="31" stopIfTrue="1" operator="equal">
      <formula>"Validado"</formula>
    </cfRule>
    <cfRule type="cellIs" dxfId="259" priority="32" stopIfTrue="1" operator="equal">
      <formula>"Não Validado"</formula>
    </cfRule>
  </conditionalFormatting>
  <conditionalFormatting sqref="N112:N141">
    <cfRule type="cellIs" dxfId="258" priority="18" operator="notEqual">
      <formula>0</formula>
    </cfRule>
  </conditionalFormatting>
  <conditionalFormatting sqref="K112:K141 M112:M141">
    <cfRule type="cellIs" dxfId="257" priority="14" stopIfTrue="1" operator="equal">
      <formula>"Ajustado e Validado"</formula>
    </cfRule>
    <cfRule type="cellIs" dxfId="256" priority="15" stopIfTrue="1" operator="equal">
      <formula>"Inserido e não validado"</formula>
    </cfRule>
    <cfRule type="cellIs" dxfId="255" priority="16" stopIfTrue="1" operator="equal">
      <formula>"Validado"</formula>
    </cfRule>
    <cfRule type="cellIs" dxfId="254" priority="17" stopIfTrue="1" operator="equal">
      <formula>"Não Validado"</formula>
    </cfRule>
  </conditionalFormatting>
  <conditionalFormatting sqref="N322">
    <cfRule type="cellIs" dxfId="253" priority="13" operator="notEqual">
      <formula>0</formula>
    </cfRule>
  </conditionalFormatting>
  <conditionalFormatting sqref="K322 M322">
    <cfRule type="cellIs" dxfId="252" priority="9" stopIfTrue="1" operator="equal">
      <formula>"Ajustado e Validado"</formula>
    </cfRule>
    <cfRule type="cellIs" dxfId="251" priority="10" stopIfTrue="1" operator="equal">
      <formula>"Inserido e não validado"</formula>
    </cfRule>
    <cfRule type="cellIs" dxfId="250" priority="11" stopIfTrue="1" operator="equal">
      <formula>"Validado"</formula>
    </cfRule>
    <cfRule type="cellIs" dxfId="249" priority="12" stopIfTrue="1" operator="equal">
      <formula>"Não Validado"</formula>
    </cfRule>
  </conditionalFormatting>
  <conditionalFormatting sqref="K323 M323">
    <cfRule type="cellIs" dxfId="248" priority="5" stopIfTrue="1" operator="equal">
      <formula>"Ajustado e Validado"</formula>
    </cfRule>
    <cfRule type="cellIs" dxfId="247" priority="6" stopIfTrue="1" operator="equal">
      <formula>"Inserido e não validado"</formula>
    </cfRule>
    <cfRule type="cellIs" dxfId="246" priority="7" stopIfTrue="1" operator="equal">
      <formula>"Validado"</formula>
    </cfRule>
    <cfRule type="cellIs" dxfId="245" priority="8" stopIfTrue="1" operator="equal">
      <formula>"Não Validado"</formula>
    </cfRule>
  </conditionalFormatting>
  <conditionalFormatting sqref="N323">
    <cfRule type="cellIs" dxfId="244" priority="1" stopIfTrue="1" operator="equal">
      <formula>"Ajustado e Validado"</formula>
    </cfRule>
    <cfRule type="cellIs" dxfId="243" priority="2" stopIfTrue="1" operator="equal">
      <formula>"Inserido e não validado"</formula>
    </cfRule>
    <cfRule type="cellIs" dxfId="242" priority="3" stopIfTrue="1" operator="equal">
      <formula>"Validado"</formula>
    </cfRule>
    <cfRule type="cellIs" dxfId="241" priority="4" stopIfTrue="1" operator="equal">
      <formula>"Não Validado"</formula>
    </cfRule>
  </conditionalFormatting>
  <printOptions horizontalCentered="1"/>
  <pageMargins left="0.11811023622047245" right="0.11811023622047245" top="0.19685039370078741" bottom="0.19685039370078741" header="0.31496062992125984" footer="0.31496062992125984"/>
  <pageSetup paperSize="9" scale="75" orientation="landscape" r:id="rId1"/>
  <ignoredErrors>
    <ignoredError sqref="G52 G70 G409 G463 G606 G652 G738 G773 G819 G690 G874 G684 G170 G143 G198 G216 F221:J228 G248 F194:H194 G318 G361 G568 F684:F685 G992 G534 G945 E246 G911" formula="1"/>
    <ignoredError sqref="F31 E32:F32 D29:E29 F30 D13 B369:B373 E349:E350 E109:H109 E906 G906:H906 E531:H532" evalError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AC1055"/>
  <sheetViews>
    <sheetView topLeftCell="A1017" zoomScaleNormal="100" workbookViewId="0">
      <selection activeCell="B1011" sqref="B1011"/>
    </sheetView>
  </sheetViews>
  <sheetFormatPr defaultRowHeight="14.25" x14ac:dyDescent="0.2"/>
  <cols>
    <col min="1" max="1" width="31" style="106" bestFit="1" customWidth="1"/>
    <col min="2" max="2" width="30.7109375" style="106" customWidth="1"/>
    <col min="3" max="3" width="25.5703125" style="106" bestFit="1" customWidth="1"/>
    <col min="4" max="4" width="15.7109375" style="136" customWidth="1"/>
    <col min="5" max="6" width="25.7109375" style="106" customWidth="1"/>
    <col min="7" max="22" width="20.7109375" style="106" customWidth="1"/>
    <col min="23" max="16384" width="9.140625" style="106"/>
  </cols>
  <sheetData>
    <row r="1" spans="1:18" ht="51" customHeight="1" x14ac:dyDescent="0.2">
      <c r="A1" s="176" t="s">
        <v>16</v>
      </c>
      <c r="B1" s="176"/>
      <c r="C1" s="176"/>
      <c r="D1" s="176"/>
      <c r="E1" s="176"/>
      <c r="F1" s="176"/>
      <c r="G1" s="176"/>
      <c r="H1" s="397"/>
    </row>
    <row r="2" spans="1:18" x14ac:dyDescent="0.2">
      <c r="A2" s="553" t="s">
        <v>234</v>
      </c>
      <c r="B2" s="554"/>
      <c r="C2" s="554"/>
      <c r="D2" s="554"/>
      <c r="E2" s="554"/>
      <c r="F2" s="554"/>
      <c r="G2" s="554"/>
      <c r="H2" s="402"/>
      <c r="I2" s="403"/>
      <c r="J2" s="403"/>
      <c r="K2" s="403"/>
      <c r="L2" s="403"/>
      <c r="M2" s="403"/>
      <c r="N2" s="403"/>
      <c r="O2" s="403"/>
    </row>
    <row r="3" spans="1:18" x14ac:dyDescent="0.2">
      <c r="A3" s="568" t="str">
        <f>Balanço_MRE!A3</f>
        <v>Mês: 01/2019</v>
      </c>
      <c r="B3" s="563"/>
      <c r="C3" s="563"/>
      <c r="D3" s="563"/>
      <c r="E3" s="563"/>
      <c r="F3" s="563"/>
      <c r="G3" s="563"/>
      <c r="H3" s="402"/>
      <c r="I3" s="403"/>
      <c r="J3" s="403"/>
      <c r="K3" s="403"/>
      <c r="L3" s="404"/>
      <c r="M3" s="403"/>
      <c r="N3" s="403"/>
      <c r="O3" s="403"/>
    </row>
    <row r="4" spans="1:18" x14ac:dyDescent="0.2">
      <c r="A4" s="397"/>
      <c r="B4" s="397"/>
      <c r="C4" s="177"/>
      <c r="D4" s="178"/>
      <c r="E4" s="177"/>
      <c r="F4" s="397"/>
      <c r="G4" s="397"/>
      <c r="H4" s="397"/>
      <c r="L4" s="107"/>
      <c r="N4" s="107"/>
    </row>
    <row r="5" spans="1:18" ht="14.25" customHeight="1" x14ac:dyDescent="0.2">
      <c r="A5" s="397"/>
      <c r="B5" s="397"/>
      <c r="C5" s="177"/>
      <c r="D5" s="178"/>
      <c r="E5" s="177"/>
      <c r="F5" s="397"/>
      <c r="G5" s="179" t="s">
        <v>17</v>
      </c>
      <c r="H5" s="180">
        <f>Balanço_MRE!H5</f>
        <v>48.572580645161288</v>
      </c>
      <c r="I5" s="179"/>
      <c r="J5" s="180">
        <f>Balanço_MRE!J5</f>
        <v>48.572580645161288</v>
      </c>
      <c r="K5" s="179"/>
      <c r="L5" s="180">
        <f>Balanço_MRE!L5</f>
        <v>86.684556451612906</v>
      </c>
      <c r="M5" s="179"/>
      <c r="N5" s="180">
        <f>Balanço_MRE!N5</f>
        <v>86.684556451612906</v>
      </c>
      <c r="O5" s="549" t="s">
        <v>387</v>
      </c>
    </row>
    <row r="6" spans="1:18" x14ac:dyDescent="0.2">
      <c r="A6" s="397"/>
      <c r="B6" s="397"/>
      <c r="C6" s="553" t="s">
        <v>18</v>
      </c>
      <c r="D6" s="554"/>
      <c r="E6" s="554"/>
      <c r="F6" s="397"/>
      <c r="G6" s="555" t="s">
        <v>19</v>
      </c>
      <c r="H6" s="556"/>
      <c r="I6" s="557" t="s">
        <v>20</v>
      </c>
      <c r="J6" s="558"/>
      <c r="K6" s="559" t="s">
        <v>21</v>
      </c>
      <c r="L6" s="560"/>
      <c r="M6" s="561" t="s">
        <v>22</v>
      </c>
      <c r="N6" s="562"/>
      <c r="O6" s="549"/>
    </row>
    <row r="7" spans="1:18" x14ac:dyDescent="0.2">
      <c r="A7" s="397"/>
      <c r="B7" s="397"/>
      <c r="C7" s="396" t="s">
        <v>23</v>
      </c>
      <c r="D7" s="396" t="s">
        <v>332</v>
      </c>
      <c r="E7" s="396" t="s">
        <v>24</v>
      </c>
      <c r="F7" s="397"/>
      <c r="G7" s="232" t="s">
        <v>137</v>
      </c>
      <c r="H7" s="398" t="s">
        <v>25</v>
      </c>
      <c r="I7" s="233" t="s">
        <v>137</v>
      </c>
      <c r="J7" s="399" t="s">
        <v>25</v>
      </c>
      <c r="K7" s="234" t="s">
        <v>137</v>
      </c>
      <c r="L7" s="400" t="s">
        <v>25</v>
      </c>
      <c r="M7" s="235" t="s">
        <v>137</v>
      </c>
      <c r="N7" s="401" t="s">
        <v>25</v>
      </c>
      <c r="O7" s="549"/>
    </row>
    <row r="8" spans="1:18" x14ac:dyDescent="0.2">
      <c r="A8" s="397"/>
      <c r="B8" s="395"/>
      <c r="C8" s="31" t="s">
        <v>329</v>
      </c>
      <c r="D8" s="70">
        <f>B81</f>
        <v>0</v>
      </c>
      <c r="E8" s="70">
        <f>C81</f>
        <v>0</v>
      </c>
      <c r="F8" s="181"/>
      <c r="G8" s="236">
        <f t="shared" ref="G8:N8" si="0">E81</f>
        <v>0</v>
      </c>
      <c r="H8" s="237">
        <f t="shared" si="0"/>
        <v>0</v>
      </c>
      <c r="I8" s="238">
        <f t="shared" si="0"/>
        <v>0</v>
      </c>
      <c r="J8" s="239">
        <f t="shared" si="0"/>
        <v>0</v>
      </c>
      <c r="K8" s="240">
        <f t="shared" si="0"/>
        <v>0</v>
      </c>
      <c r="L8" s="241">
        <f t="shared" si="0"/>
        <v>0</v>
      </c>
      <c r="M8" s="242">
        <f t="shared" si="0"/>
        <v>0</v>
      </c>
      <c r="N8" s="243">
        <f t="shared" si="0"/>
        <v>0</v>
      </c>
      <c r="O8" s="244">
        <f>(IF(G8&lt;0,H8*H$5,0)+IF(I8&lt;0,J8*J$5,0)+IF(K8&lt;0,L8*L$5,0)+IF(M8&lt;0,N8*N$5,0))+IF(G8&gt;0,H8*H$5,0)+IF(I8&gt;0,J8*J$5,0)+IF(K8&gt;0,L8*L$5,0)+IF(M8&gt;0,N8*N$5,0)</f>
        <v>0</v>
      </c>
      <c r="P8" s="110"/>
      <c r="Q8" s="108"/>
    </row>
    <row r="9" spans="1:18" x14ac:dyDescent="0.2">
      <c r="A9" s="397"/>
      <c r="B9" s="395"/>
      <c r="C9" s="31" t="s">
        <v>330</v>
      </c>
      <c r="D9" s="70">
        <f>B181</f>
        <v>-0.79985212588735521</v>
      </c>
      <c r="E9" s="70">
        <f>C181</f>
        <v>-595.08998811955098</v>
      </c>
      <c r="F9" s="181"/>
      <c r="G9" s="236">
        <f t="shared" ref="G9:N9" si="1">E181</f>
        <v>6.1765519999999583</v>
      </c>
      <c r="H9" s="237">
        <f t="shared" si="1"/>
        <v>4595.3543224398745</v>
      </c>
      <c r="I9" s="238">
        <f t="shared" si="1"/>
        <v>0</v>
      </c>
      <c r="J9" s="239">
        <f t="shared" si="1"/>
        <v>0</v>
      </c>
      <c r="K9" s="240">
        <f t="shared" si="1"/>
        <v>-6.9764041258873704</v>
      </c>
      <c r="L9" s="241">
        <f t="shared" si="1"/>
        <v>-5190.4443105594255</v>
      </c>
      <c r="M9" s="242">
        <f t="shared" si="1"/>
        <v>0</v>
      </c>
      <c r="N9" s="243">
        <f t="shared" si="1"/>
        <v>0</v>
      </c>
      <c r="O9" s="244">
        <f t="shared" ref="O9:O28" si="2">(IF(G9&lt;0,H9*H$5,0)+IF(I9&lt;0,J9*J$5,0)+IF(K9&lt;0,L9*L$5,0)+IF(M9&lt;0,N9*N$5,0))+IF(G9&gt;0,H9*H$5,0)+IF(I9&gt;0,J9*J$5,0)+IF(K9&gt;0,L9*L$5,0)+IF(M9&gt;0,N9*N$5,0)</f>
        <v>-226723.14442784025</v>
      </c>
      <c r="P9" s="108"/>
      <c r="Q9" s="108"/>
    </row>
    <row r="10" spans="1:18" x14ac:dyDescent="0.2">
      <c r="A10" s="397"/>
      <c r="B10" s="395"/>
      <c r="C10" s="254" t="s">
        <v>331</v>
      </c>
      <c r="D10" s="255">
        <f>B227</f>
        <v>0</v>
      </c>
      <c r="E10" s="255">
        <f>C227</f>
        <v>0</v>
      </c>
      <c r="F10" s="181"/>
      <c r="G10" s="236">
        <f t="shared" ref="G10:N10" si="3">E227</f>
        <v>0</v>
      </c>
      <c r="H10" s="237">
        <f t="shared" si="3"/>
        <v>0</v>
      </c>
      <c r="I10" s="238">
        <f t="shared" si="3"/>
        <v>0</v>
      </c>
      <c r="J10" s="239">
        <f t="shared" si="3"/>
        <v>0</v>
      </c>
      <c r="K10" s="240">
        <f t="shared" si="3"/>
        <v>0</v>
      </c>
      <c r="L10" s="241">
        <f t="shared" si="3"/>
        <v>0</v>
      </c>
      <c r="M10" s="242">
        <f t="shared" si="3"/>
        <v>0</v>
      </c>
      <c r="N10" s="243">
        <f t="shared" si="3"/>
        <v>0</v>
      </c>
      <c r="O10" s="244">
        <f t="shared" si="2"/>
        <v>0</v>
      </c>
      <c r="P10" s="108"/>
      <c r="Q10" s="108"/>
    </row>
    <row r="11" spans="1:18" x14ac:dyDescent="0.2">
      <c r="A11" s="397"/>
      <c r="B11" s="395"/>
      <c r="C11" s="31" t="s">
        <v>228</v>
      </c>
      <c r="D11" s="70">
        <f>B260</f>
        <v>6.8362000000000034E-2</v>
      </c>
      <c r="E11" s="70">
        <f>C260</f>
        <v>50.860999999999876</v>
      </c>
      <c r="F11" s="181"/>
      <c r="G11" s="327">
        <f t="shared" ref="G11:N11" si="4">E260</f>
        <v>0</v>
      </c>
      <c r="H11" s="328">
        <f t="shared" si="4"/>
        <v>0</v>
      </c>
      <c r="I11" s="329">
        <f t="shared" si="4"/>
        <v>0</v>
      </c>
      <c r="J11" s="330">
        <f t="shared" si="4"/>
        <v>0</v>
      </c>
      <c r="K11" s="331">
        <f t="shared" si="4"/>
        <v>6.8362000000000034E-2</v>
      </c>
      <c r="L11" s="332">
        <f t="shared" si="4"/>
        <v>50.860999999999876</v>
      </c>
      <c r="M11" s="333">
        <f t="shared" si="4"/>
        <v>0</v>
      </c>
      <c r="N11" s="334">
        <f t="shared" si="4"/>
        <v>0</v>
      </c>
      <c r="O11" s="335">
        <f t="shared" si="2"/>
        <v>4408.8632256854735</v>
      </c>
      <c r="P11" s="108"/>
      <c r="Q11" s="108"/>
    </row>
    <row r="12" spans="1:18" x14ac:dyDescent="0.2">
      <c r="A12" s="397"/>
      <c r="B12" s="395"/>
      <c r="C12" s="256" t="s">
        <v>35</v>
      </c>
      <c r="D12" s="257">
        <f>B336</f>
        <v>-1.0000002248489182E-6</v>
      </c>
      <c r="E12" s="257">
        <f>C336</f>
        <v>0</v>
      </c>
      <c r="F12" s="181"/>
      <c r="G12" s="236">
        <f t="shared" ref="G12:N12" si="5">E336</f>
        <v>-9.9999999747524271E-7</v>
      </c>
      <c r="H12" s="237">
        <f t="shared" si="5"/>
        <v>0</v>
      </c>
      <c r="I12" s="238">
        <f t="shared" si="5"/>
        <v>0</v>
      </c>
      <c r="J12" s="239">
        <f t="shared" si="5"/>
        <v>0</v>
      </c>
      <c r="K12" s="240">
        <f t="shared" si="5"/>
        <v>5.0632080000000315</v>
      </c>
      <c r="L12" s="241">
        <f t="shared" si="5"/>
        <v>3767.0268200901919</v>
      </c>
      <c r="M12" s="242">
        <f t="shared" si="5"/>
        <v>0</v>
      </c>
      <c r="N12" s="243">
        <f t="shared" si="5"/>
        <v>0</v>
      </c>
      <c r="O12" s="244">
        <f t="shared" si="2"/>
        <v>326543.0490408481</v>
      </c>
      <c r="P12" s="108"/>
      <c r="Q12" s="108"/>
    </row>
    <row r="13" spans="1:18" x14ac:dyDescent="0.2">
      <c r="A13" s="397"/>
      <c r="B13" s="395"/>
      <c r="C13" s="31" t="s">
        <v>364</v>
      </c>
      <c r="D13" s="70">
        <f>B372</f>
        <v>0</v>
      </c>
      <c r="E13" s="70">
        <f>C372</f>
        <v>0</v>
      </c>
      <c r="F13" s="181"/>
      <c r="G13" s="236">
        <f t="shared" ref="G13:N13" si="6">E372</f>
        <v>0</v>
      </c>
      <c r="H13" s="237">
        <f t="shared" si="6"/>
        <v>0</v>
      </c>
      <c r="I13" s="238">
        <f t="shared" si="6"/>
        <v>0</v>
      </c>
      <c r="J13" s="239">
        <f t="shared" si="6"/>
        <v>0</v>
      </c>
      <c r="K13" s="240">
        <f t="shared" si="6"/>
        <v>0</v>
      </c>
      <c r="L13" s="241">
        <f t="shared" si="6"/>
        <v>0</v>
      </c>
      <c r="M13" s="242">
        <f t="shared" si="6"/>
        <v>0</v>
      </c>
      <c r="N13" s="243">
        <f t="shared" si="6"/>
        <v>0</v>
      </c>
      <c r="O13" s="244">
        <f t="shared" si="2"/>
        <v>0</v>
      </c>
      <c r="P13" s="108"/>
      <c r="Q13" s="108"/>
    </row>
    <row r="14" spans="1:18" x14ac:dyDescent="0.2">
      <c r="A14" s="397"/>
      <c r="B14" s="395"/>
      <c r="C14" s="31" t="s">
        <v>26</v>
      </c>
      <c r="D14" s="70">
        <f>B420</f>
        <v>0</v>
      </c>
      <c r="E14" s="70">
        <f>C420</f>
        <v>0</v>
      </c>
      <c r="F14" s="181"/>
      <c r="G14" s="236">
        <f t="shared" ref="G14:N14" si="7">E420</f>
        <v>0</v>
      </c>
      <c r="H14" s="237">
        <f t="shared" si="7"/>
        <v>0</v>
      </c>
      <c r="I14" s="238">
        <f t="shared" si="7"/>
        <v>0</v>
      </c>
      <c r="J14" s="239">
        <f t="shared" si="7"/>
        <v>0</v>
      </c>
      <c r="K14" s="240">
        <f t="shared" si="7"/>
        <v>0</v>
      </c>
      <c r="L14" s="241">
        <f t="shared" si="7"/>
        <v>0</v>
      </c>
      <c r="M14" s="242">
        <f t="shared" si="7"/>
        <v>0</v>
      </c>
      <c r="N14" s="243">
        <f t="shared" si="7"/>
        <v>0</v>
      </c>
      <c r="O14" s="244">
        <f t="shared" si="2"/>
        <v>0</v>
      </c>
      <c r="P14" s="108"/>
      <c r="Q14" s="108"/>
    </row>
    <row r="15" spans="1:18" x14ac:dyDescent="0.2">
      <c r="A15" s="397"/>
      <c r="B15" s="181"/>
      <c r="C15" s="31" t="s">
        <v>27</v>
      </c>
      <c r="D15" s="70">
        <f>B474</f>
        <v>0</v>
      </c>
      <c r="E15" s="70">
        <f>C474</f>
        <v>0</v>
      </c>
      <c r="F15" s="181"/>
      <c r="G15" s="236">
        <f t="shared" ref="G15:N15" si="8">E474</f>
        <v>0</v>
      </c>
      <c r="H15" s="237">
        <f t="shared" si="8"/>
        <v>0</v>
      </c>
      <c r="I15" s="238">
        <f t="shared" si="8"/>
        <v>0</v>
      </c>
      <c r="J15" s="239">
        <f t="shared" si="8"/>
        <v>0</v>
      </c>
      <c r="K15" s="240">
        <f t="shared" si="8"/>
        <v>0</v>
      </c>
      <c r="L15" s="241">
        <f t="shared" si="8"/>
        <v>0</v>
      </c>
      <c r="M15" s="242">
        <f t="shared" si="8"/>
        <v>0</v>
      </c>
      <c r="N15" s="243">
        <f t="shared" si="8"/>
        <v>0</v>
      </c>
      <c r="O15" s="244">
        <f t="shared" si="2"/>
        <v>0</v>
      </c>
      <c r="P15" s="108"/>
      <c r="Q15" s="108"/>
      <c r="R15" s="110"/>
    </row>
    <row r="16" spans="1:18" x14ac:dyDescent="0.2">
      <c r="A16" s="507"/>
      <c r="B16" s="181"/>
      <c r="C16" s="254" t="s">
        <v>424</v>
      </c>
      <c r="D16" s="255">
        <f>B509</f>
        <v>0</v>
      </c>
      <c r="E16" s="255">
        <f>C509</f>
        <v>0</v>
      </c>
      <c r="F16" s="181"/>
      <c r="G16" s="236"/>
      <c r="H16" s="237"/>
      <c r="I16" s="238"/>
      <c r="J16" s="239"/>
      <c r="K16" s="240"/>
      <c r="L16" s="241"/>
      <c r="M16" s="242"/>
      <c r="N16" s="243"/>
      <c r="O16" s="244"/>
      <c r="P16" s="108"/>
      <c r="Q16" s="108"/>
      <c r="R16" s="110"/>
    </row>
    <row r="17" spans="1:18" x14ac:dyDescent="0.2">
      <c r="A17" s="397"/>
      <c r="B17" s="181"/>
      <c r="C17" s="31" t="s">
        <v>366</v>
      </c>
      <c r="D17" s="70">
        <f>B545</f>
        <v>4.6593000000000107E-2</v>
      </c>
      <c r="E17" s="70">
        <f t="shared" ref="E17" si="9">C545</f>
        <v>34.665000000000191</v>
      </c>
      <c r="F17" s="181"/>
      <c r="G17" s="327">
        <f t="shared" ref="G17:N17" si="10">E545</f>
        <v>0</v>
      </c>
      <c r="H17" s="328">
        <f t="shared" si="10"/>
        <v>0</v>
      </c>
      <c r="I17" s="329">
        <f t="shared" si="10"/>
        <v>0</v>
      </c>
      <c r="J17" s="330">
        <f t="shared" si="10"/>
        <v>0</v>
      </c>
      <c r="K17" s="331">
        <f t="shared" si="10"/>
        <v>0</v>
      </c>
      <c r="L17" s="332">
        <f t="shared" si="10"/>
        <v>0</v>
      </c>
      <c r="M17" s="333">
        <f t="shared" si="10"/>
        <v>0</v>
      </c>
      <c r="N17" s="334">
        <f t="shared" si="10"/>
        <v>0</v>
      </c>
      <c r="O17" s="335">
        <f t="shared" si="2"/>
        <v>0</v>
      </c>
      <c r="P17" s="108"/>
      <c r="Q17" s="108"/>
      <c r="R17" s="110"/>
    </row>
    <row r="18" spans="1:18" x14ac:dyDescent="0.2">
      <c r="A18" s="397"/>
      <c r="B18" s="181"/>
      <c r="C18" s="256" t="s">
        <v>153</v>
      </c>
      <c r="D18" s="257">
        <f>B579</f>
        <v>0.21078300000000016</v>
      </c>
      <c r="E18" s="257">
        <f>C579</f>
        <v>156.82281384880207</v>
      </c>
      <c r="F18" s="181"/>
      <c r="G18" s="236">
        <f t="shared" ref="G18:N18" si="11">E579</f>
        <v>0</v>
      </c>
      <c r="H18" s="237">
        <f t="shared" si="11"/>
        <v>0</v>
      </c>
      <c r="I18" s="238">
        <f t="shared" si="11"/>
        <v>0</v>
      </c>
      <c r="J18" s="239">
        <f t="shared" si="11"/>
        <v>0</v>
      </c>
      <c r="K18" s="240">
        <f t="shared" si="11"/>
        <v>0.21078300000000016</v>
      </c>
      <c r="L18" s="241">
        <f t="shared" si="11"/>
        <v>156.82281384880207</v>
      </c>
      <c r="M18" s="242">
        <f t="shared" si="11"/>
        <v>0</v>
      </c>
      <c r="N18" s="243">
        <f t="shared" si="11"/>
        <v>0</v>
      </c>
      <c r="O18" s="244">
        <f t="shared" si="2"/>
        <v>13594.116059977265</v>
      </c>
      <c r="P18" s="108"/>
      <c r="Q18" s="108"/>
    </row>
    <row r="19" spans="1:18" x14ac:dyDescent="0.2">
      <c r="A19" s="397"/>
      <c r="B19" s="395"/>
      <c r="C19" s="31" t="s">
        <v>28</v>
      </c>
      <c r="D19" s="70">
        <f>B624</f>
        <v>1.7813949999999963</v>
      </c>
      <c r="E19" s="70">
        <f>C624</f>
        <v>1325.3584584497294</v>
      </c>
      <c r="F19" s="181"/>
      <c r="G19" s="236">
        <f t="shared" ref="G19:N19" si="12">E624</f>
        <v>0</v>
      </c>
      <c r="H19" s="237">
        <f t="shared" si="12"/>
        <v>0</v>
      </c>
      <c r="I19" s="238">
        <f t="shared" si="12"/>
        <v>1.7813949999999963</v>
      </c>
      <c r="J19" s="239">
        <f t="shared" si="12"/>
        <v>1325.3584584497294</v>
      </c>
      <c r="K19" s="240">
        <f t="shared" si="12"/>
        <v>0</v>
      </c>
      <c r="L19" s="241">
        <f t="shared" si="12"/>
        <v>0</v>
      </c>
      <c r="M19" s="242">
        <f t="shared" si="12"/>
        <v>0</v>
      </c>
      <c r="N19" s="243">
        <f t="shared" si="12"/>
        <v>0</v>
      </c>
      <c r="O19" s="244">
        <f t="shared" si="2"/>
        <v>64376.080606796124</v>
      </c>
      <c r="P19" s="108"/>
      <c r="Q19" s="108"/>
    </row>
    <row r="20" spans="1:18" x14ac:dyDescent="0.2">
      <c r="A20" s="397"/>
      <c r="B20" s="395"/>
      <c r="C20" s="254" t="s">
        <v>29</v>
      </c>
      <c r="D20" s="255">
        <f>B664</f>
        <v>-0.40505999999999887</v>
      </c>
      <c r="E20" s="255">
        <f>C664</f>
        <v>-301.36499422680572</v>
      </c>
      <c r="F20" s="181"/>
      <c r="G20" s="236">
        <f t="shared" ref="G20:N20" si="13">E664</f>
        <v>0</v>
      </c>
      <c r="H20" s="237">
        <f t="shared" si="13"/>
        <v>0</v>
      </c>
      <c r="I20" s="238">
        <f t="shared" si="13"/>
        <v>0</v>
      </c>
      <c r="J20" s="239">
        <f t="shared" si="13"/>
        <v>0</v>
      </c>
      <c r="K20" s="240">
        <f t="shared" si="13"/>
        <v>-0.40505999999999887</v>
      </c>
      <c r="L20" s="241">
        <f t="shared" si="13"/>
        <v>-301.36499422680572</v>
      </c>
      <c r="M20" s="242">
        <f t="shared" si="13"/>
        <v>0</v>
      </c>
      <c r="N20" s="243">
        <f t="shared" si="13"/>
        <v>0</v>
      </c>
      <c r="O20" s="244">
        <f t="shared" si="2"/>
        <v>-26123.690854593537</v>
      </c>
      <c r="P20" s="108"/>
      <c r="Q20" s="108"/>
    </row>
    <row r="21" spans="1:18" x14ac:dyDescent="0.2">
      <c r="A21" s="397"/>
      <c r="B21" s="395"/>
      <c r="C21" s="258" t="s">
        <v>30</v>
      </c>
      <c r="D21" s="259">
        <f>B701</f>
        <v>0</v>
      </c>
      <c r="E21" s="259">
        <f>C701</f>
        <v>0</v>
      </c>
      <c r="F21" s="181"/>
      <c r="G21" s="327">
        <f t="shared" ref="G21:N21" si="14">E701</f>
        <v>0</v>
      </c>
      <c r="H21" s="328">
        <f t="shared" si="14"/>
        <v>0</v>
      </c>
      <c r="I21" s="329">
        <f t="shared" si="14"/>
        <v>0</v>
      </c>
      <c r="J21" s="330">
        <f t="shared" si="14"/>
        <v>0</v>
      </c>
      <c r="K21" s="331">
        <f t="shared" si="14"/>
        <v>0</v>
      </c>
      <c r="L21" s="332">
        <f t="shared" si="14"/>
        <v>0</v>
      </c>
      <c r="M21" s="333">
        <f t="shared" si="14"/>
        <v>0</v>
      </c>
      <c r="N21" s="334">
        <f t="shared" si="14"/>
        <v>0</v>
      </c>
      <c r="O21" s="335">
        <f t="shared" si="2"/>
        <v>0</v>
      </c>
      <c r="P21" s="108"/>
      <c r="Q21" s="108"/>
    </row>
    <row r="22" spans="1:18" x14ac:dyDescent="0.2">
      <c r="A22" s="397"/>
      <c r="B22" s="395"/>
      <c r="C22" s="256" t="s">
        <v>31</v>
      </c>
      <c r="D22" s="257">
        <f>B784</f>
        <v>15.505225999999993</v>
      </c>
      <c r="E22" s="257">
        <f>C784</f>
        <v>11483.232588453597</v>
      </c>
      <c r="F22" s="181"/>
      <c r="G22" s="336">
        <f t="shared" ref="G22:N22" si="15">E784</f>
        <v>-10.7</v>
      </c>
      <c r="H22" s="337">
        <f t="shared" si="15"/>
        <v>-7960.7999999999993</v>
      </c>
      <c r="I22" s="338">
        <f t="shared" si="15"/>
        <v>38.5</v>
      </c>
      <c r="J22" s="339">
        <f t="shared" si="15"/>
        <v>28644</v>
      </c>
      <c r="K22" s="340">
        <f t="shared" si="15"/>
        <v>-12.29477399999999</v>
      </c>
      <c r="L22" s="341">
        <f t="shared" si="15"/>
        <v>-9199.9674115463858</v>
      </c>
      <c r="M22" s="342">
        <f t="shared" si="15"/>
        <v>0</v>
      </c>
      <c r="N22" s="343">
        <f t="shared" si="15"/>
        <v>0</v>
      </c>
      <c r="O22" s="344">
        <f t="shared" si="2"/>
        <v>207141.30556080816</v>
      </c>
      <c r="P22" s="108"/>
      <c r="Q22" s="108"/>
    </row>
    <row r="23" spans="1:18" x14ac:dyDescent="0.2">
      <c r="A23" s="397"/>
      <c r="B23" s="395"/>
      <c r="C23" s="254" t="s">
        <v>239</v>
      </c>
      <c r="D23" s="255">
        <f>B885</f>
        <v>15.930431999999968</v>
      </c>
      <c r="E23" s="255">
        <f>C885</f>
        <v>11852.241544974968</v>
      </c>
      <c r="F23" s="181"/>
      <c r="G23" s="345">
        <f t="shared" ref="G23:N23" si="16">E885</f>
        <v>0</v>
      </c>
      <c r="H23" s="346">
        <f t="shared" si="16"/>
        <v>0</v>
      </c>
      <c r="I23" s="347">
        <f t="shared" si="16"/>
        <v>12.699999000000005</v>
      </c>
      <c r="J23" s="348">
        <f t="shared" si="16"/>
        <v>9448.7992560000057</v>
      </c>
      <c r="K23" s="349">
        <f t="shared" si="16"/>
        <v>3.2304329999999908</v>
      </c>
      <c r="L23" s="350">
        <f t="shared" si="16"/>
        <v>2403.4422889749985</v>
      </c>
      <c r="M23" s="351">
        <f t="shared" si="16"/>
        <v>0</v>
      </c>
      <c r="N23" s="352">
        <f t="shared" si="16"/>
        <v>0</v>
      </c>
      <c r="O23" s="353">
        <f t="shared" si="2"/>
        <v>667293.89263884723</v>
      </c>
      <c r="Q23" s="108"/>
    </row>
    <row r="24" spans="1:18" x14ac:dyDescent="0.2">
      <c r="A24" s="524"/>
      <c r="B24" s="395"/>
      <c r="C24" s="256" t="s">
        <v>390</v>
      </c>
      <c r="D24" s="257">
        <f>B922</f>
        <v>0</v>
      </c>
      <c r="E24" s="257">
        <f>C922</f>
        <v>0</v>
      </c>
      <c r="F24" s="181"/>
      <c r="G24" s="336">
        <f>E922</f>
        <v>0</v>
      </c>
      <c r="H24" s="337">
        <f>F922</f>
        <v>0</v>
      </c>
      <c r="I24" s="338">
        <f>G922</f>
        <v>0</v>
      </c>
      <c r="J24" s="339">
        <f>H922</f>
        <v>0</v>
      </c>
      <c r="K24" s="340">
        <f t="shared" ref="K24:N24" si="17">I922</f>
        <v>0</v>
      </c>
      <c r="L24" s="341">
        <f t="shared" si="17"/>
        <v>0</v>
      </c>
      <c r="M24" s="342">
        <f t="shared" si="17"/>
        <v>0</v>
      </c>
      <c r="N24" s="343">
        <f t="shared" si="17"/>
        <v>0</v>
      </c>
      <c r="O24" s="344">
        <f t="shared" si="2"/>
        <v>0</v>
      </c>
      <c r="P24" s="108"/>
      <c r="Q24" s="108"/>
    </row>
    <row r="25" spans="1:18" x14ac:dyDescent="0.2">
      <c r="A25" s="524"/>
      <c r="B25" s="395"/>
      <c r="C25" s="254" t="s">
        <v>391</v>
      </c>
      <c r="D25" s="255">
        <f>B956</f>
        <v>1.6369999999999996E-3</v>
      </c>
      <c r="E25" s="255">
        <f>C956</f>
        <v>1.2180000000000035</v>
      </c>
      <c r="F25" s="181"/>
      <c r="G25" s="345">
        <f>E956</f>
        <v>0</v>
      </c>
      <c r="H25" s="346">
        <f>F956</f>
        <v>0</v>
      </c>
      <c r="I25" s="347">
        <f>G956</f>
        <v>0</v>
      </c>
      <c r="J25" s="348">
        <f>H956</f>
        <v>0</v>
      </c>
      <c r="K25" s="349">
        <f t="shared" ref="K25:N25" si="18">I956</f>
        <v>1.6369999999999996E-3</v>
      </c>
      <c r="L25" s="350">
        <f t="shared" si="18"/>
        <v>1.2180000000000035</v>
      </c>
      <c r="M25" s="351">
        <f t="shared" si="18"/>
        <v>0</v>
      </c>
      <c r="N25" s="352">
        <f t="shared" si="18"/>
        <v>0</v>
      </c>
      <c r="O25" s="353">
        <f t="shared" si="2"/>
        <v>105.58178975806483</v>
      </c>
      <c r="Q25" s="108"/>
    </row>
    <row r="26" spans="1:18" x14ac:dyDescent="0.2">
      <c r="A26" s="524"/>
      <c r="B26" s="395"/>
      <c r="C26" s="256" t="s">
        <v>431</v>
      </c>
      <c r="D26" s="257">
        <f>B1011</f>
        <v>0.38097900000001061</v>
      </c>
      <c r="E26" s="257">
        <f>C1011</f>
        <v>283.44962868826406</v>
      </c>
      <c r="F26" s="181"/>
      <c r="G26" s="336">
        <f>E1011</f>
        <v>0</v>
      </c>
      <c r="H26" s="337">
        <f>F1011</f>
        <v>0</v>
      </c>
      <c r="I26" s="338">
        <f>G1011</f>
        <v>0.38098000000000098</v>
      </c>
      <c r="J26" s="339">
        <f>H1011</f>
        <v>283.44962868824041</v>
      </c>
      <c r="K26" s="340">
        <f t="shared" ref="K26:N26" si="19">I1011</f>
        <v>-9.9999998326438799E-7</v>
      </c>
      <c r="L26" s="341">
        <f t="shared" si="19"/>
        <v>0</v>
      </c>
      <c r="M26" s="342">
        <f t="shared" si="19"/>
        <v>0</v>
      </c>
      <c r="N26" s="343">
        <f t="shared" si="19"/>
        <v>0</v>
      </c>
      <c r="O26" s="344">
        <f t="shared" si="2"/>
        <v>13767.879948300581</v>
      </c>
      <c r="P26" s="108"/>
      <c r="Q26" s="108"/>
    </row>
    <row r="27" spans="1:18" x14ac:dyDescent="0.2">
      <c r="A27" s="524"/>
      <c r="B27" s="395"/>
      <c r="C27" s="254" t="s">
        <v>432</v>
      </c>
      <c r="D27" s="255">
        <f>B1049</f>
        <v>-7.9491000000000006E-2</v>
      </c>
      <c r="E27" s="255">
        <f>C1049</f>
        <v>-59.141372413793093</v>
      </c>
      <c r="F27" s="181"/>
      <c r="G27" s="345"/>
      <c r="H27" s="346"/>
      <c r="I27" s="347"/>
      <c r="J27" s="348"/>
      <c r="K27" s="349"/>
      <c r="L27" s="350"/>
      <c r="M27" s="351"/>
      <c r="N27" s="352"/>
      <c r="O27" s="353"/>
      <c r="Q27" s="108"/>
    </row>
    <row r="28" spans="1:18" x14ac:dyDescent="0.2">
      <c r="A28" s="397"/>
      <c r="B28" s="395"/>
      <c r="C28" s="31"/>
      <c r="D28" s="70"/>
      <c r="E28" s="70"/>
      <c r="F28" s="181"/>
      <c r="G28" s="236" t="e">
        <f>#REF!</f>
        <v>#REF!</v>
      </c>
      <c r="H28" s="237" t="e">
        <f>#REF!</f>
        <v>#REF!</v>
      </c>
      <c r="I28" s="238" t="e">
        <f>#REF!</f>
        <v>#REF!</v>
      </c>
      <c r="J28" s="239" t="e">
        <f>#REF!</f>
        <v>#REF!</v>
      </c>
      <c r="K28" s="240" t="e">
        <f>#REF!</f>
        <v>#REF!</v>
      </c>
      <c r="L28" s="241" t="e">
        <f>#REF!</f>
        <v>#REF!</v>
      </c>
      <c r="M28" s="242" t="e">
        <f>#REF!</f>
        <v>#REF!</v>
      </c>
      <c r="N28" s="243" t="e">
        <f>#REF!</f>
        <v>#REF!</v>
      </c>
      <c r="O28" s="244" t="e">
        <f t="shared" si="2"/>
        <v>#REF!</v>
      </c>
      <c r="P28" s="108"/>
      <c r="Q28" s="108"/>
    </row>
    <row r="29" spans="1:18" x14ac:dyDescent="0.2">
      <c r="A29" s="397"/>
      <c r="B29" s="397"/>
      <c r="C29" s="31"/>
      <c r="D29" s="71"/>
      <c r="E29" s="30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Q29" s="108"/>
    </row>
    <row r="30" spans="1:18" x14ac:dyDescent="0.2">
      <c r="A30" s="397"/>
      <c r="B30" s="397"/>
      <c r="C30" s="72" t="s">
        <v>32</v>
      </c>
      <c r="D30" s="275">
        <f>SUM(D8:D10,D12:D16,D22:D23)</f>
        <v>30.635804874112381</v>
      </c>
      <c r="E30" s="73">
        <f>SUM(E8:E10,E12:E16,E22:E23)</f>
        <v>22740.384145309014</v>
      </c>
      <c r="F30" s="245" t="s">
        <v>149</v>
      </c>
      <c r="G30" s="236">
        <f>SUM(G8:G10,G12:G15,G22:G23)</f>
        <v>-4.5234490000000385</v>
      </c>
      <c r="H30" s="237">
        <f t="shared" ref="H30:N30" si="20">SUM(H8:H10,H12:H15,H22:H23)</f>
        <v>-3365.4456775601248</v>
      </c>
      <c r="I30" s="238">
        <f>SUM(I8:I10,I12:I15,I22:I23)</f>
        <v>51.199999000000005</v>
      </c>
      <c r="J30" s="239">
        <f>SUM(J8:J10,J12:J15,J22:J23)</f>
        <v>38092.799256000006</v>
      </c>
      <c r="K30" s="240">
        <f>SUM(K8:K10,K12:K15,K22:K23)</f>
        <v>-10.977537125887338</v>
      </c>
      <c r="L30" s="241">
        <f>SUM(L8:L10,L12:L15,L22:L23)</f>
        <v>-8219.9426130406209</v>
      </c>
      <c r="M30" s="242">
        <f t="shared" si="20"/>
        <v>0</v>
      </c>
      <c r="N30" s="243">
        <f t="shared" si="20"/>
        <v>0</v>
      </c>
      <c r="O30" s="244">
        <f t="shared" ref="O30:O31" si="21">(IF(G30&lt;0,H30*H$5,0)+IF(I30&lt;0,J30*J$5,0)+IF(K30&lt;0,L30*L$5,0)+IF(M30&lt;0,N30*N$5,0))+IF(G30&gt;0,H30*H$5,0)+IF(I30&gt;0,J30*J$5,0)+IF(K30&gt;0,L30*L$5,0)+IF(M30&gt;0,N30*N$5,0)</f>
        <v>974255.1028126633</v>
      </c>
      <c r="Q30" s="108"/>
    </row>
    <row r="31" spans="1:18" x14ac:dyDescent="0.2">
      <c r="A31" s="397"/>
      <c r="B31" s="397"/>
      <c r="C31" s="74" t="s">
        <v>164</v>
      </c>
      <c r="D31" s="75">
        <f>SUM(D8:D28)</f>
        <v>32.641002874112395</v>
      </c>
      <c r="E31" s="75">
        <f>SUM(E8:E28)</f>
        <v>24232.252679655212</v>
      </c>
      <c r="F31" s="246" t="s">
        <v>227</v>
      </c>
      <c r="G31" s="236" t="e">
        <f t="shared" ref="G31:L31" si="22">SUM(G8:G28)</f>
        <v>#REF!</v>
      </c>
      <c r="H31" s="237" t="e">
        <f t="shared" si="22"/>
        <v>#REF!</v>
      </c>
      <c r="I31" s="238" t="e">
        <f t="shared" si="22"/>
        <v>#REF!</v>
      </c>
      <c r="J31" s="239" t="e">
        <f t="shared" si="22"/>
        <v>#REF!</v>
      </c>
      <c r="K31" s="240" t="e">
        <f t="shared" si="22"/>
        <v>#REF!</v>
      </c>
      <c r="L31" s="241" t="e">
        <f t="shared" si="22"/>
        <v>#REF!</v>
      </c>
      <c r="M31" s="242" t="e">
        <f t="shared" ref="M31:N31" si="23">SUM(M8:M28)</f>
        <v>#REF!</v>
      </c>
      <c r="N31" s="243" t="e">
        <f t="shared" si="23"/>
        <v>#REF!</v>
      </c>
      <c r="O31" s="244" t="e">
        <f t="shared" si="21"/>
        <v>#REF!</v>
      </c>
      <c r="P31" s="108"/>
    </row>
    <row r="32" spans="1:18" x14ac:dyDescent="0.2">
      <c r="A32" s="397"/>
      <c r="B32" s="190"/>
      <c r="C32" s="177"/>
      <c r="D32" s="182"/>
      <c r="E32" s="183"/>
      <c r="F32" s="184"/>
      <c r="G32" s="397"/>
      <c r="H32" s="185"/>
      <c r="I32" s="397"/>
      <c r="J32" s="185"/>
      <c r="K32" s="397"/>
      <c r="L32" s="230"/>
      <c r="M32" s="397"/>
      <c r="N32" s="397" t="s">
        <v>33</v>
      </c>
      <c r="O32" s="231">
        <f>O30/E30</f>
        <v>42.84250857801085</v>
      </c>
      <c r="P32" s="110"/>
    </row>
    <row r="33" spans="1:16" ht="15" x14ac:dyDescent="0.25">
      <c r="A33" s="187" t="s">
        <v>34</v>
      </c>
      <c r="B33" s="188">
        <f>VLOOKUP(A3,Lista!A1:B12,2,FALSE)</f>
        <v>744</v>
      </c>
      <c r="C33" s="397"/>
      <c r="D33" s="76" t="s">
        <v>15</v>
      </c>
      <c r="E33" s="266">
        <v>0</v>
      </c>
      <c r="F33" s="186"/>
      <c r="G33" s="397"/>
      <c r="H33" s="397"/>
      <c r="I33" s="113"/>
      <c r="L33" s="112"/>
      <c r="N33" s="247"/>
      <c r="O33" s="110"/>
    </row>
    <row r="34" spans="1:16" ht="15" x14ac:dyDescent="0.25">
      <c r="A34" s="177"/>
      <c r="B34" s="177"/>
      <c r="C34" s="177"/>
      <c r="D34" s="315" t="s">
        <v>377</v>
      </c>
      <c r="E34" s="315" t="s">
        <v>378</v>
      </c>
      <c r="F34" s="177"/>
      <c r="G34" s="177"/>
      <c r="H34" s="186"/>
      <c r="N34" s="247"/>
    </row>
    <row r="35" spans="1:16" ht="15" x14ac:dyDescent="0.25">
      <c r="A35" s="177"/>
      <c r="B35" s="177"/>
      <c r="C35" s="177"/>
      <c r="D35" s="189"/>
      <c r="E35" s="177"/>
      <c r="F35" s="177"/>
      <c r="G35" s="177"/>
      <c r="H35" s="177"/>
      <c r="N35" s="247"/>
    </row>
    <row r="36" spans="1:16" ht="15" x14ac:dyDescent="0.25">
      <c r="A36" s="564" t="s">
        <v>292</v>
      </c>
      <c r="B36" s="564"/>
      <c r="C36" s="564"/>
      <c r="D36" s="564"/>
      <c r="E36" s="564"/>
      <c r="F36" s="564"/>
      <c r="G36" s="564"/>
      <c r="H36" s="564"/>
      <c r="N36" s="247"/>
    </row>
    <row r="37" spans="1:16" ht="15" x14ac:dyDescent="0.25">
      <c r="A37" s="564"/>
      <c r="B37" s="564"/>
      <c r="C37" s="564"/>
      <c r="D37" s="564"/>
      <c r="E37" s="564"/>
      <c r="F37" s="564"/>
      <c r="G37" s="564"/>
      <c r="H37" s="564"/>
      <c r="N37" s="247"/>
    </row>
    <row r="38" spans="1:16" s="114" customFormat="1" ht="3.75" customHeight="1" x14ac:dyDescent="0.25">
      <c r="A38" s="14"/>
      <c r="B38" s="14"/>
      <c r="C38" s="14"/>
      <c r="D38" s="14"/>
      <c r="E38" s="14"/>
      <c r="F38" s="14"/>
      <c r="G38" s="14"/>
      <c r="H38" s="14"/>
      <c r="I38" s="106"/>
      <c r="J38" s="106"/>
      <c r="K38" s="106"/>
      <c r="L38" s="106"/>
      <c r="M38" s="106"/>
      <c r="N38" s="247"/>
      <c r="O38" s="106"/>
      <c r="P38" s="106"/>
    </row>
    <row r="39" spans="1:16" ht="15" x14ac:dyDescent="0.25">
      <c r="A39" s="548" t="s">
        <v>84</v>
      </c>
      <c r="B39" s="548"/>
      <c r="C39" s="548"/>
      <c r="D39" s="548"/>
      <c r="E39" s="548"/>
      <c r="F39" s="548"/>
      <c r="G39" s="548"/>
      <c r="H39" s="548"/>
      <c r="N39" s="247"/>
    </row>
    <row r="40" spans="1:16" ht="15" x14ac:dyDescent="0.25">
      <c r="A40" s="10" t="s">
        <v>14</v>
      </c>
      <c r="B40" s="10"/>
      <c r="C40" s="10" t="s">
        <v>2</v>
      </c>
      <c r="D40" s="10" t="s">
        <v>3</v>
      </c>
      <c r="E40" s="10" t="s">
        <v>137</v>
      </c>
      <c r="F40" s="10" t="s">
        <v>25</v>
      </c>
      <c r="G40" s="10" t="s">
        <v>15</v>
      </c>
      <c r="H40" s="10" t="s">
        <v>240</v>
      </c>
      <c r="N40" s="247"/>
    </row>
    <row r="41" spans="1:16" ht="15" x14ac:dyDescent="0.25">
      <c r="A41" s="191" t="str">
        <f>Balanço_MRE!A41</f>
        <v>PCH Glória - Autoprodutor</v>
      </c>
      <c r="B41" s="167">
        <f>Balanço_MRE!B41</f>
        <v>0</v>
      </c>
      <c r="C41" s="167" t="str">
        <f>Balanço_MRE!C41</f>
        <v>Energia Assegurada</v>
      </c>
      <c r="D41" s="192" t="str">
        <f>Balanço_MRE!D41</f>
        <v>SUDESTE</v>
      </c>
      <c r="E41" s="79">
        <f>F41/$B$33</f>
        <v>0</v>
      </c>
      <c r="F41" s="262">
        <f>'[3]Relatório Sazonalização (QM_GF)'!$K$19</f>
        <v>0</v>
      </c>
      <c r="G41" s="193">
        <f>1-IF($E$33&lt;0,0,$E$33)</f>
        <v>1</v>
      </c>
      <c r="H41" s="385"/>
      <c r="N41" s="247"/>
    </row>
    <row r="42" spans="1:16" ht="15" x14ac:dyDescent="0.25">
      <c r="A42" s="191" t="str">
        <f>Balanço_MRE!A42</f>
        <v>PCH Mello - Autoprodutor</v>
      </c>
      <c r="B42" s="167">
        <f>Balanço_MRE!B42</f>
        <v>0</v>
      </c>
      <c r="C42" s="167" t="str">
        <f>Balanço_MRE!C42</f>
        <v>Energia Assegurada</v>
      </c>
      <c r="D42" s="192" t="str">
        <f>Balanço_MRE!D42</f>
        <v>SUDESTE</v>
      </c>
      <c r="E42" s="79">
        <f t="shared" ref="E42:E43" si="24">F42/$B$33</f>
        <v>0</v>
      </c>
      <c r="F42" s="262">
        <f>'[3]Relatório Sazonalização (QM_GF)'!$K$17</f>
        <v>0</v>
      </c>
      <c r="G42" s="193">
        <f>1-IF($E$33&lt;0,0,$E$33)</f>
        <v>1</v>
      </c>
      <c r="H42" s="385"/>
      <c r="N42" s="247"/>
    </row>
    <row r="43" spans="1:16" ht="15" x14ac:dyDescent="0.25">
      <c r="A43" s="194" t="str">
        <f>Balanço_MRE!A43</f>
        <v>PCH Nova Maurício - Autoprodutor</v>
      </c>
      <c r="B43" s="195">
        <f>Balanço_MRE!B43</f>
        <v>0</v>
      </c>
      <c r="C43" s="195" t="str">
        <f>Balanço_MRE!C43</f>
        <v>Energia Assegurada</v>
      </c>
      <c r="D43" s="196" t="str">
        <f>Balanço_MRE!D43</f>
        <v>SUDESTE</v>
      </c>
      <c r="E43" s="97">
        <f t="shared" si="24"/>
        <v>0</v>
      </c>
      <c r="F43" s="264">
        <f>'[3]Relatório Sazonalização (QM_GF)'!$K$20</f>
        <v>0</v>
      </c>
      <c r="G43" s="197">
        <f>1-IF($E$33&lt;0,0,$E$33)</f>
        <v>1</v>
      </c>
      <c r="H43" s="386"/>
      <c r="N43" s="247"/>
    </row>
    <row r="44" spans="1:16" ht="15" x14ac:dyDescent="0.25">
      <c r="A44" s="198"/>
      <c r="B44" s="199"/>
      <c r="C44" s="198"/>
      <c r="D44" s="200"/>
      <c r="E44" s="85"/>
      <c r="F44" s="86"/>
      <c r="G44" s="201"/>
      <c r="H44" s="387"/>
      <c r="N44" s="247"/>
    </row>
    <row r="45" spans="1:16" ht="15" x14ac:dyDescent="0.25">
      <c r="A45" s="80" t="s">
        <v>32</v>
      </c>
      <c r="B45" s="16"/>
      <c r="C45" s="16"/>
      <c r="D45" s="17"/>
      <c r="E45" s="81">
        <f>SUM(E41:E44)</f>
        <v>0</v>
      </c>
      <c r="F45" s="84">
        <f>SUM(F41:F44)</f>
        <v>0</v>
      </c>
      <c r="G45" s="82"/>
      <c r="H45" s="8"/>
      <c r="N45" s="247"/>
    </row>
    <row r="46" spans="1:16" ht="15" x14ac:dyDescent="0.25">
      <c r="A46" s="104"/>
      <c r="B46" s="104"/>
      <c r="C46" s="104"/>
      <c r="D46" s="105"/>
      <c r="E46" s="104"/>
      <c r="F46" s="104"/>
      <c r="G46" s="104"/>
      <c r="H46" s="104"/>
      <c r="N46" s="247"/>
    </row>
    <row r="47" spans="1:16" ht="15" x14ac:dyDescent="0.25">
      <c r="A47" s="548" t="s">
        <v>70</v>
      </c>
      <c r="B47" s="548"/>
      <c r="C47" s="548"/>
      <c r="D47" s="548"/>
      <c r="E47" s="548"/>
      <c r="F47" s="548"/>
      <c r="G47" s="548"/>
      <c r="H47" s="548"/>
      <c r="N47" s="247"/>
    </row>
    <row r="48" spans="1:16" ht="15" x14ac:dyDescent="0.25">
      <c r="A48" s="10" t="s">
        <v>252</v>
      </c>
      <c r="B48" s="10" t="s">
        <v>1</v>
      </c>
      <c r="C48" s="10" t="s">
        <v>2</v>
      </c>
      <c r="D48" s="10" t="s">
        <v>3</v>
      </c>
      <c r="E48" s="10" t="s">
        <v>137</v>
      </c>
      <c r="F48" s="10" t="s">
        <v>25</v>
      </c>
      <c r="G48" s="10" t="s">
        <v>253</v>
      </c>
      <c r="H48" s="10" t="s">
        <v>254</v>
      </c>
      <c r="J48" s="10" t="s">
        <v>72</v>
      </c>
      <c r="K48" s="10" t="s">
        <v>73</v>
      </c>
      <c r="L48" s="10" t="s">
        <v>74</v>
      </c>
      <c r="M48" s="10" t="s">
        <v>75</v>
      </c>
      <c r="N48" s="247"/>
    </row>
    <row r="49" spans="1:14" ht="15" x14ac:dyDescent="0.25">
      <c r="A49" s="167">
        <f>Balanço_MRE!A49</f>
        <v>558365</v>
      </c>
      <c r="B49" s="167" t="str">
        <f>Balanço_MRE!B49</f>
        <v>CVRD PIE I5 &gt;&gt; 0215_0119</v>
      </c>
      <c r="C49" s="167" t="str">
        <f>Balanço_MRE!C49</f>
        <v>Contratos de Compra</v>
      </c>
      <c r="D49" s="192" t="str">
        <f>Balanço_MRE!D49</f>
        <v>SUDESTE</v>
      </c>
      <c r="E49" s="79">
        <f>Balanço_MRE!E49</f>
        <v>0</v>
      </c>
      <c r="F49" s="83">
        <f>Balanço_MRE!F49</f>
        <v>0</v>
      </c>
      <c r="G49" s="193">
        <f>Balanço_MRE!G49</f>
        <v>0</v>
      </c>
      <c r="H49" s="193">
        <f>Balanço_MRE!H49</f>
        <v>0</v>
      </c>
      <c r="I49" s="104"/>
      <c r="J49" s="9" t="str">
        <f>VLOOKUP(A49,[10]RelatorioContratos_080817_10352!$A$2:$AC$148,26,FALSE)</f>
        <v>0,000000</v>
      </c>
      <c r="K49" s="9" t="str">
        <f>VLOOKUP(A49,[10]RelatorioContratos_080817_10352!$A$2:$AC$148,8,FALSE)</f>
        <v>31/01/2019 23</v>
      </c>
      <c r="L49" s="9" t="str">
        <f>VLOOKUP(A49,[10]RelatorioContratos_080817_10352!$A$2:$AZ$150,32,FALSE)</f>
        <v>FLAT</v>
      </c>
      <c r="M49" s="9" t="str">
        <f>VLOOKUP(A49,[10]RelatorioContratos_080817_10352!$A$2:$AZ$148,33,FALSE)</f>
        <v>Validado</v>
      </c>
      <c r="N49" s="247"/>
    </row>
    <row r="50" spans="1:14" ht="15" x14ac:dyDescent="0.25">
      <c r="A50" s="195">
        <f>Balanço_MRE!A50</f>
        <v>566833</v>
      </c>
      <c r="B50" s="195" t="str">
        <f>Balanço_MRE!B50</f>
        <v>VALE ENERGIA I5 &gt;&gt; 0215_0119</v>
      </c>
      <c r="C50" s="195" t="str">
        <f>Balanço_MRE!C50</f>
        <v>Contratos de Compra</v>
      </c>
      <c r="D50" s="196" t="str">
        <f>Balanço_MRE!D50</f>
        <v>SUDESTE</v>
      </c>
      <c r="E50" s="97">
        <f>Balanço_MRE!E50</f>
        <v>0</v>
      </c>
      <c r="F50" s="98">
        <f>Balanço_MRE!F50</f>
        <v>0</v>
      </c>
      <c r="G50" s="197">
        <f>Balanço_MRE!G50</f>
        <v>0</v>
      </c>
      <c r="H50" s="197">
        <f>Balanço_MRE!H50</f>
        <v>0</v>
      </c>
      <c r="I50" s="104"/>
      <c r="J50" s="9" t="str">
        <f>VLOOKUP(A50,[10]RelatorioContratos_080817_10352!$A$2:$AC$148,26,FALSE)</f>
        <v>0,000000</v>
      </c>
      <c r="K50" s="9" t="str">
        <f>VLOOKUP(A50,[10]RelatorioContratos_080817_10352!$A$2:$AC$148,8,FALSE)</f>
        <v>31/01/2019 23</v>
      </c>
      <c r="L50" s="9" t="str">
        <f>VLOOKUP(A50,[10]RelatorioContratos_080817_10352!$A$2:$AZ$150,32,FALSE)</f>
        <v>FLAT</v>
      </c>
      <c r="M50" s="9" t="str">
        <f>VLOOKUP(A50,[10]RelatorioContratos_080817_10352!$A$2:$AZ$148,33,FALSE)</f>
        <v>Validado</v>
      </c>
      <c r="N50" s="247"/>
    </row>
    <row r="51" spans="1:14" ht="15" x14ac:dyDescent="0.25">
      <c r="A51" s="202"/>
      <c r="B51" s="202"/>
      <c r="C51" s="202"/>
      <c r="D51" s="202"/>
      <c r="E51" s="203"/>
      <c r="F51" s="204"/>
      <c r="G51" s="205"/>
      <c r="H51" s="206"/>
      <c r="I51" s="104"/>
      <c r="J51" s="393"/>
      <c r="K51" s="393"/>
      <c r="L51" s="393"/>
      <c r="M51" s="393"/>
      <c r="N51" s="247"/>
    </row>
    <row r="52" spans="1:14" ht="15" x14ac:dyDescent="0.25">
      <c r="A52" s="80" t="s">
        <v>32</v>
      </c>
      <c r="B52" s="16"/>
      <c r="C52" s="16"/>
      <c r="D52" s="17"/>
      <c r="E52" s="81">
        <f>SUM(E49:E51)</f>
        <v>0</v>
      </c>
      <c r="F52" s="84">
        <f>SUM(F49:F51)</f>
        <v>0</v>
      </c>
      <c r="G52" s="82">
        <f>IFERROR(H52/F52,0)</f>
        <v>0</v>
      </c>
      <c r="H52" s="82">
        <f>SUM(H49:H51)</f>
        <v>0</v>
      </c>
      <c r="I52" s="115"/>
      <c r="N52" s="247"/>
    </row>
    <row r="53" spans="1:14" ht="15" x14ac:dyDescent="0.25">
      <c r="A53" s="104"/>
      <c r="B53" s="104"/>
      <c r="C53" s="104"/>
      <c r="D53" s="105"/>
      <c r="E53" s="104"/>
      <c r="F53" s="104"/>
      <c r="G53" s="104"/>
      <c r="H53" s="104"/>
      <c r="I53" s="104"/>
      <c r="N53" s="247"/>
    </row>
    <row r="54" spans="1:14" ht="15" x14ac:dyDescent="0.25">
      <c r="A54" s="548" t="s">
        <v>76</v>
      </c>
      <c r="B54" s="548"/>
      <c r="C54" s="548"/>
      <c r="D54" s="548"/>
      <c r="E54" s="548"/>
      <c r="F54" s="548"/>
      <c r="G54" s="548"/>
      <c r="H54" s="548"/>
      <c r="N54" s="247"/>
    </row>
    <row r="55" spans="1:14" ht="15" x14ac:dyDescent="0.25">
      <c r="A55" s="10" t="s">
        <v>252</v>
      </c>
      <c r="B55" s="10" t="s">
        <v>1</v>
      </c>
      <c r="C55" s="10" t="s">
        <v>2</v>
      </c>
      <c r="D55" s="10" t="s">
        <v>3</v>
      </c>
      <c r="E55" s="10" t="s">
        <v>137</v>
      </c>
      <c r="F55" s="10" t="s">
        <v>25</v>
      </c>
      <c r="G55" s="10" t="s">
        <v>253</v>
      </c>
      <c r="H55" s="10" t="s">
        <v>254</v>
      </c>
      <c r="J55" s="10" t="s">
        <v>72</v>
      </c>
      <c r="K55" s="10" t="s">
        <v>73</v>
      </c>
      <c r="L55" s="10" t="s">
        <v>74</v>
      </c>
      <c r="M55" s="10" t="s">
        <v>75</v>
      </c>
      <c r="N55" s="247"/>
    </row>
    <row r="56" spans="1:14" ht="15" x14ac:dyDescent="0.25">
      <c r="A56" s="167">
        <f>Balanço_MRE!A56</f>
        <v>566654</v>
      </c>
      <c r="B56" s="167" t="str">
        <f>Balanço_MRE!B56</f>
        <v>ALIANÇA GERAÇÃO &gt;&gt; 0214_0119</v>
      </c>
      <c r="C56" s="167" t="str">
        <f>Balanço_MRE!C56</f>
        <v>Contratos de Venda</v>
      </c>
      <c r="D56" s="192" t="str">
        <f>Balanço_MRE!D56</f>
        <v>SUDESTE</v>
      </c>
      <c r="E56" s="79">
        <f>Balanço_MRE!E56</f>
        <v>0</v>
      </c>
      <c r="F56" s="83">
        <f>Balanço_MRE!F56</f>
        <v>0</v>
      </c>
      <c r="G56" s="170">
        <f>Balanço_MRE!G56</f>
        <v>0</v>
      </c>
      <c r="H56" s="193">
        <f>Balanço_MRE!H56</f>
        <v>0</v>
      </c>
      <c r="I56" s="104"/>
      <c r="J56" s="9" t="str">
        <f>VLOOKUP(A56,[10]RelatorioContratos_080817_10352!$A$2:$AC$148,26,FALSE)</f>
        <v>0,000000</v>
      </c>
      <c r="K56" s="9" t="str">
        <f>VLOOKUP(A56,[10]RelatorioContratos_080817_10352!$A$2:$AC$148,8,FALSE)</f>
        <v>31/01/2019 23</v>
      </c>
      <c r="L56" s="9" t="str">
        <f>VLOOKUP(A56,[10]RelatorioContratos_080817_10352!$A$2:$AZ$150,32,FALSE)</f>
        <v>FLAT</v>
      </c>
      <c r="M56" s="9" t="str">
        <f>VLOOKUP(A56,[10]RelatorioContratos_080817_10352!$A$2:$AZ$148,33,FALSE)</f>
        <v>Validado</v>
      </c>
      <c r="N56" s="247">
        <f>(J56*$B$33)-F56</f>
        <v>0</v>
      </c>
    </row>
    <row r="57" spans="1:14" ht="15" x14ac:dyDescent="0.25">
      <c r="A57" s="167">
        <f>Balanço_MRE!A57</f>
        <v>134245</v>
      </c>
      <c r="B57" s="168" t="str">
        <f>Balanço_MRE!B57</f>
        <v>CVRD &gt;&gt; 0113_0119</v>
      </c>
      <c r="C57" s="167" t="str">
        <f>Balanço_MRE!C57</f>
        <v>Contratos de Venda</v>
      </c>
      <c r="D57" s="169" t="str">
        <f>Balanço_MRE!D57</f>
        <v>SUDESTE</v>
      </c>
      <c r="E57" s="79">
        <f>Balanço_MRE!E57</f>
        <v>0</v>
      </c>
      <c r="F57" s="83">
        <f>Balanço_MRE!F57</f>
        <v>0</v>
      </c>
      <c r="G57" s="170">
        <f>Balanço_MRE!G57</f>
        <v>0</v>
      </c>
      <c r="H57" s="170">
        <f>Balanço_MRE!H57</f>
        <v>0</v>
      </c>
      <c r="I57" s="104"/>
      <c r="J57" s="9" t="str">
        <f>VLOOKUP(A57,[10]RelatorioContratos_080817_10352!$A$2:$AC$148,26,FALSE)</f>
        <v>0,000000</v>
      </c>
      <c r="K57" s="9" t="str">
        <f>VLOOKUP(A57,[10]RelatorioContratos_080817_10352!$A$2:$AC$148,8,FALSE)</f>
        <v>31/01/2019 23</v>
      </c>
      <c r="L57" s="9" t="str">
        <f>VLOOKUP(A57,[10]RelatorioContratos_080817_10352!$A$2:$AZ$150,32,FALSE)</f>
        <v>FLAT</v>
      </c>
      <c r="M57" s="9" t="str">
        <f>VLOOKUP(A57,[10]RelatorioContratos_080817_10352!$A$2:$AZ$148,33,FALSE)</f>
        <v>Validado</v>
      </c>
      <c r="N57" s="247">
        <f>(J57*$B$33)-F57</f>
        <v>0</v>
      </c>
    </row>
    <row r="58" spans="1:14" ht="15" x14ac:dyDescent="0.25">
      <c r="A58" s="167">
        <f>Balanço_MRE!A58</f>
        <v>567305</v>
      </c>
      <c r="B58" s="168" t="str">
        <f>Balanço_MRE!B58</f>
        <v>CVRD &gt;&gt; 0214_0119 (AP)</v>
      </c>
      <c r="C58" s="167" t="str">
        <f>Balanço_MRE!C58</f>
        <v>Contratos de Venda</v>
      </c>
      <c r="D58" s="169" t="str">
        <f>Balanço_MRE!D58</f>
        <v>SUDESTE</v>
      </c>
      <c r="E58" s="79">
        <f>Balanço_MRE!E58</f>
        <v>0</v>
      </c>
      <c r="F58" s="262">
        <f>Balanço_MRE!F58</f>
        <v>0</v>
      </c>
      <c r="G58" s="170">
        <f>Balanço_MRE!G58</f>
        <v>0</v>
      </c>
      <c r="H58" s="170">
        <f>Balanço_MRE!H58</f>
        <v>0</v>
      </c>
      <c r="I58" s="104"/>
      <c r="J58" s="9" t="str">
        <f>VLOOKUP(A58,[10]RelatorioContratos_080817_10352!$A$2:$AC$148,26,FALSE)</f>
        <v>19,112984</v>
      </c>
      <c r="K58" s="9" t="str">
        <f>VLOOKUP(A58,[10]RelatorioContratos_080817_10352!$A$2:$AC$148,8,FALSE)</f>
        <v>31/01/2019 23</v>
      </c>
      <c r="L58" s="9" t="str">
        <f>VLOOKUP(A58,[10]RelatorioContratos_080817_10352!$A$2:$AZ$150,32,FALSE)</f>
        <v>FLAT</v>
      </c>
      <c r="M58" s="9" t="str">
        <f>VLOOKUP(A58,[10]RelatorioContratos_080817_10352!$A$2:$AZ$148,33,FALSE)</f>
        <v>Ajustado Validado</v>
      </c>
      <c r="N58" s="247">
        <f>(J58*$B$33)-F58</f>
        <v>14220.060096000001</v>
      </c>
    </row>
    <row r="59" spans="1:14" ht="15" x14ac:dyDescent="0.25">
      <c r="A59" s="167">
        <f>Balanço_MRE!A59</f>
        <v>956730</v>
      </c>
      <c r="B59" s="168" t="str">
        <f>Balanço_MRE!B59</f>
        <v>CVRD CE &gt;&gt;</v>
      </c>
      <c r="C59" s="167" t="str">
        <f>Balanço_MRE!C59</f>
        <v>Contratos de Venda</v>
      </c>
      <c r="D59" s="169" t="str">
        <f>Balanço_MRE!D59</f>
        <v>SUDESTE</v>
      </c>
      <c r="E59" s="79">
        <f>Balanço_MRE!E59</f>
        <v>0</v>
      </c>
      <c r="F59" s="83">
        <f>Balanço_MRE!F59</f>
        <v>0</v>
      </c>
      <c r="G59" s="170">
        <f>Balanço_MRE!G59</f>
        <v>0</v>
      </c>
      <c r="H59" s="170">
        <f>Balanço_MRE!H59</f>
        <v>0</v>
      </c>
      <c r="I59" s="104"/>
      <c r="J59" s="9" t="str">
        <f>VLOOKUP(A59,[10]RelatorioContratos_080817_10352!$A$2:$AC$148,26,FALSE)</f>
        <v>0,000000</v>
      </c>
      <c r="K59" s="9" t="str">
        <f>VLOOKUP(A59,[10]RelatorioContratos_080817_10352!$A$2:$AC$148,8,FALSE)</f>
        <v>31/12/2017 23</v>
      </c>
      <c r="L59" s="9" t="str">
        <f>VLOOKUP(A59,[10]RelatorioContratos_080817_10352!$A$2:$AZ$150,32,FALSE)</f>
        <v>FLAT</v>
      </c>
      <c r="M59" s="9" t="str">
        <f>VLOOKUP(A59,[10]RelatorioContratos_080817_10352!$A$2:$AZ$148,33,FALSE)</f>
        <v>Validado</v>
      </c>
      <c r="N59" s="247">
        <f>(J59*$B$33)-F59</f>
        <v>0</v>
      </c>
    </row>
    <row r="60" spans="1:14" ht="15" x14ac:dyDescent="0.25">
      <c r="A60" s="167">
        <f>Balanço_MRE!A60</f>
        <v>566601</v>
      </c>
      <c r="B60" s="168" t="str">
        <f>Balanço_MRE!B60</f>
        <v>CVRD CL2  &gt;&gt; 0214_0119</v>
      </c>
      <c r="C60" s="167" t="str">
        <f>Balanço_MRE!C60</f>
        <v>Contratos de Venda</v>
      </c>
      <c r="D60" s="169" t="str">
        <f>Balanço_MRE!D60</f>
        <v>SUDESTE</v>
      </c>
      <c r="E60" s="79">
        <f>Balanço_MRE!E60</f>
        <v>0</v>
      </c>
      <c r="F60" s="83">
        <f>Balanço_MRE!F60</f>
        <v>0</v>
      </c>
      <c r="G60" s="170">
        <f>Balanço_MRE!G60</f>
        <v>0</v>
      </c>
      <c r="H60" s="170">
        <f>Balanço_MRE!H60</f>
        <v>0</v>
      </c>
      <c r="I60" s="104"/>
      <c r="J60" s="9" t="str">
        <f>VLOOKUP(A60,[10]RelatorioContratos_080817_10352!$A$2:$AC$148,26,FALSE)</f>
        <v>0,000000</v>
      </c>
      <c r="K60" s="9" t="str">
        <f>VLOOKUP(A60,[10]RelatorioContratos_080817_10352!$A$2:$AC$148,8,FALSE)</f>
        <v>31/01/2019 23</v>
      </c>
      <c r="L60" s="9" t="str">
        <f>VLOOKUP(A60,[10]RelatorioContratos_080817_10352!$A$2:$AZ$150,32,FALSE)</f>
        <v>FLAT</v>
      </c>
      <c r="M60" s="9" t="str">
        <f>VLOOKUP(A60,[10]RelatorioContratos_080817_10352!$A$2:$AZ$148,33,FALSE)</f>
        <v>Validado</v>
      </c>
      <c r="N60" s="247">
        <f>(J60*$B$33)-F60</f>
        <v>0</v>
      </c>
    </row>
    <row r="61" spans="1:14" ht="15" x14ac:dyDescent="0.25">
      <c r="A61" s="167">
        <f>Balanço_MRE!A61</f>
        <v>567046</v>
      </c>
      <c r="B61" s="168" t="str">
        <f>Balanço_MRE!B61</f>
        <v>CVRD CL2 &gt;&gt; 0214_0119 (AP)</v>
      </c>
      <c r="C61" s="167" t="str">
        <f>Balanço_MRE!C61</f>
        <v>Contratos de Venda</v>
      </c>
      <c r="D61" s="169" t="str">
        <f>Balanço_MRE!D61</f>
        <v>SUDESTE</v>
      </c>
      <c r="E61" s="79">
        <f>Balanço_MRE!E61</f>
        <v>0</v>
      </c>
      <c r="F61" s="83">
        <f>Balanço_MRE!F61</f>
        <v>0</v>
      </c>
      <c r="G61" s="170">
        <f>Balanço_MRE!G61</f>
        <v>0</v>
      </c>
      <c r="H61" s="170">
        <f>Balanço_MRE!H61</f>
        <v>0</v>
      </c>
      <c r="I61" s="104"/>
      <c r="J61" s="9" t="str">
        <f>VLOOKUP(A67,[10]RelatorioContratos_080817_10352!$A$2:$AC$148,26,FALSE)</f>
        <v>0,000000</v>
      </c>
      <c r="K61" s="9" t="str">
        <f>VLOOKUP(A67,[10]RelatorioContratos_080817_10352!$A$2:$AC$148,8,FALSE)</f>
        <v>31/01/2019 23</v>
      </c>
      <c r="L61" s="9" t="str">
        <f>VLOOKUP(A67,[10]RelatorioContratos_080817_10352!$A$2:$AZ$150,32,FALSE)</f>
        <v>FLAT</v>
      </c>
      <c r="M61" s="9" t="str">
        <f>VLOOKUP(A67,[10]RelatorioContratos_080817_10352!$A$2:$AZ$148,33,FALSE)</f>
        <v>Validado</v>
      </c>
      <c r="N61" s="247">
        <f>(J61*$B$33)-F67</f>
        <v>0</v>
      </c>
    </row>
    <row r="62" spans="1:14" ht="15" x14ac:dyDescent="0.25">
      <c r="A62" s="167">
        <f>Balanço_MRE!A62</f>
        <v>567025</v>
      </c>
      <c r="B62" s="168" t="str">
        <f>Balanço_MRE!B62</f>
        <v>CVRD CL3 &gt;&gt; 0214_0119 (AP)</v>
      </c>
      <c r="C62" s="167" t="str">
        <f>Balanço_MRE!C62</f>
        <v>Contratos de Venda</v>
      </c>
      <c r="D62" s="169" t="str">
        <f>Balanço_MRE!D62</f>
        <v>SUDESTE</v>
      </c>
      <c r="E62" s="79">
        <f>Balanço_MRE!E62</f>
        <v>0</v>
      </c>
      <c r="F62" s="83">
        <f>Balanço_MRE!F62</f>
        <v>0</v>
      </c>
      <c r="G62" s="170">
        <f>Balanço_MRE!G62</f>
        <v>0</v>
      </c>
      <c r="H62" s="170">
        <f>Balanço_MRE!H62</f>
        <v>0</v>
      </c>
      <c r="I62" s="104"/>
      <c r="J62" s="9" t="str">
        <f>VLOOKUP(A61,[10]RelatorioContratos_080817_10352!$A$2:$AC$148,26,FALSE)</f>
        <v>0,000000</v>
      </c>
      <c r="K62" s="9" t="str">
        <f>VLOOKUP(A61,[10]RelatorioContratos_080817_10352!$A$2:$AC$148,8,FALSE)</f>
        <v>31/01/2019 23</v>
      </c>
      <c r="L62" s="9" t="str">
        <f>VLOOKUP(A61,[10]RelatorioContratos_080817_10352!$A$2:$AZ$150,32,FALSE)</f>
        <v>FLAT</v>
      </c>
      <c r="M62" s="9" t="str">
        <f>VLOOKUP(A61,[10]RelatorioContratos_080817_10352!$A$2:$AZ$148,33,FALSE)</f>
        <v>Validado</v>
      </c>
      <c r="N62" s="247">
        <f>(J62*$B$33)-F61</f>
        <v>0</v>
      </c>
    </row>
    <row r="63" spans="1:14" ht="15" x14ac:dyDescent="0.25">
      <c r="A63" s="167">
        <f>Balanço_MRE!A63</f>
        <v>558364</v>
      </c>
      <c r="B63" s="168" t="str">
        <f>Balanço_MRE!B63</f>
        <v>CVRD PIE I5 &gt;&gt; 0214_0119</v>
      </c>
      <c r="C63" s="167" t="str">
        <f>Balanço_MRE!C63</f>
        <v>Contratos de Venda</v>
      </c>
      <c r="D63" s="169" t="str">
        <f>Balanço_MRE!D63</f>
        <v>SUDESTE</v>
      </c>
      <c r="E63" s="79">
        <f>Balanço_MRE!E63</f>
        <v>0</v>
      </c>
      <c r="F63" s="83">
        <f>Balanço_MRE!F63</f>
        <v>0</v>
      </c>
      <c r="G63" s="170">
        <f>Balanço_MRE!G63</f>
        <v>0</v>
      </c>
      <c r="H63" s="170">
        <f>Balanço_MRE!H63</f>
        <v>0</v>
      </c>
      <c r="I63" s="104"/>
      <c r="J63" s="9" t="str">
        <f>VLOOKUP(A62,[10]RelatorioContratos_080817_10352!$A$2:$AC$148,26,FALSE)</f>
        <v>0,000000</v>
      </c>
      <c r="K63" s="9" t="str">
        <f>VLOOKUP(A62,[10]RelatorioContratos_080817_10352!$A$2:$AC$148,8,FALSE)</f>
        <v>31/01/2019 23</v>
      </c>
      <c r="L63" s="9" t="str">
        <f>VLOOKUP(A62,[10]RelatorioContratos_080817_10352!$A$2:$AZ$150,32,FALSE)</f>
        <v>FLAT</v>
      </c>
      <c r="M63" s="9" t="str">
        <f>VLOOKUP(A62,[10]RelatorioContratos_080817_10352!$A$2:$AZ$148,33,FALSE)</f>
        <v>Validado</v>
      </c>
      <c r="N63" s="247">
        <f>(J63*$B$33)-F62</f>
        <v>0</v>
      </c>
    </row>
    <row r="64" spans="1:14" ht="15" x14ac:dyDescent="0.25">
      <c r="A64" s="167">
        <f>Balanço_MRE!A64</f>
        <v>566648</v>
      </c>
      <c r="B64" s="168" t="str">
        <f>Balanço_MRE!B64</f>
        <v>FERTILIZANTES EI &gt;&gt; 0214_0119</v>
      </c>
      <c r="C64" s="167" t="str">
        <f>Balanço_MRE!C64</f>
        <v>Contratos de Venda</v>
      </c>
      <c r="D64" s="169" t="str">
        <f>Balanço_MRE!D64</f>
        <v>SUDESTE</v>
      </c>
      <c r="E64" s="79">
        <f>Balanço_MRE!E64</f>
        <v>0</v>
      </c>
      <c r="F64" s="83">
        <f>Balanço_MRE!F64</f>
        <v>0</v>
      </c>
      <c r="G64" s="170">
        <f>Balanço_MRE!G64</f>
        <v>0</v>
      </c>
      <c r="H64" s="170">
        <f>Balanço_MRE!H64</f>
        <v>0</v>
      </c>
      <c r="I64" s="104"/>
      <c r="J64" s="9" t="str">
        <f>VLOOKUP(A63,[10]RelatorioContratos_080817_10352!$A$2:$AC$148,26,FALSE)</f>
        <v>0,000000</v>
      </c>
      <c r="K64" s="9" t="str">
        <f>VLOOKUP(A63,[10]RelatorioContratos_080817_10352!$A$2:$AC$148,8,FALSE)</f>
        <v>31/01/2019 23</v>
      </c>
      <c r="L64" s="9" t="str">
        <f>VLOOKUP(A63,[10]RelatorioContratos_080817_10352!$A$2:$AZ$150,32,FALSE)</f>
        <v>FLAT</v>
      </c>
      <c r="M64" s="9" t="str">
        <f>VLOOKUP(A63,[10]RelatorioContratos_080817_10352!$A$2:$AZ$148,33,FALSE)</f>
        <v>Validado</v>
      </c>
      <c r="N64" s="247">
        <f>(J64*$B$33)-F63</f>
        <v>0</v>
      </c>
    </row>
    <row r="65" spans="1:14" ht="15" x14ac:dyDescent="0.25">
      <c r="A65" s="167">
        <f>Balanço_MRE!A65</f>
        <v>956744</v>
      </c>
      <c r="B65" s="168" t="str">
        <f>Balanço_MRE!B65</f>
        <v>MCR &gt;&gt;</v>
      </c>
      <c r="C65" s="167" t="str">
        <f>Balanço_MRE!C65</f>
        <v>Contratos de Venda</v>
      </c>
      <c r="D65" s="169" t="str">
        <f>Balanço_MRE!D65</f>
        <v>SUDESTE</v>
      </c>
      <c r="E65" s="79">
        <f>Balanço_MRE!E65</f>
        <v>0</v>
      </c>
      <c r="F65" s="83">
        <f>Balanço_MRE!F65</f>
        <v>0</v>
      </c>
      <c r="G65" s="170">
        <f>Balanço_MRE!G65</f>
        <v>0</v>
      </c>
      <c r="H65" s="170">
        <f>Balanço_MRE!H65</f>
        <v>0</v>
      </c>
      <c r="I65" s="104"/>
      <c r="J65" s="9"/>
      <c r="K65" s="9"/>
      <c r="L65" s="9"/>
      <c r="M65" s="9"/>
      <c r="N65" s="247"/>
    </row>
    <row r="66" spans="1:14" ht="15" x14ac:dyDescent="0.25">
      <c r="A66" s="167">
        <f>Balanço_MRE!A66</f>
        <v>747543</v>
      </c>
      <c r="B66" s="168" t="str">
        <f>Balanço_MRE!B66</f>
        <v>RIO DOCE SE D &gt;&gt; 0115_0119</v>
      </c>
      <c r="C66" s="167" t="str">
        <f>Balanço_MRE!C66</f>
        <v>Contratos de Venda</v>
      </c>
      <c r="D66" s="169" t="str">
        <f>Balanço_MRE!D66</f>
        <v>SUDESTE</v>
      </c>
      <c r="E66" s="79">
        <f>Balanço_MRE!E66</f>
        <v>0</v>
      </c>
      <c r="F66" s="83">
        <f>Balanço_MRE!F66</f>
        <v>0</v>
      </c>
      <c r="G66" s="170">
        <f>Balanço_MRE!G66</f>
        <v>0</v>
      </c>
      <c r="H66" s="170">
        <f>Balanço_MRE!H66</f>
        <v>0</v>
      </c>
      <c r="I66" s="104"/>
      <c r="J66" s="9" t="str">
        <f>VLOOKUP(A64,[10]RelatorioContratos_080817_10352!$A$2:$AC$148,26,FALSE)</f>
        <v>0,000000</v>
      </c>
      <c r="K66" s="9" t="str">
        <f>VLOOKUP(A64,[10]RelatorioContratos_080817_10352!$A$2:$AC$148,8,FALSE)</f>
        <v>31/01/2019 23</v>
      </c>
      <c r="L66" s="9" t="str">
        <f>VLOOKUP(A64,[10]RelatorioContratos_080817_10352!$A$2:$AZ$150,32,FALSE)</f>
        <v>FLAT</v>
      </c>
      <c r="M66" s="9" t="str">
        <f>VLOOKUP(A64,[10]RelatorioContratos_080817_10352!$A$2:$AZ$148,33,FALSE)</f>
        <v>Validado</v>
      </c>
      <c r="N66" s="247">
        <f>(J66*$B$33)-F64</f>
        <v>0</v>
      </c>
    </row>
    <row r="67" spans="1:14" ht="15" x14ac:dyDescent="0.25">
      <c r="A67" s="167">
        <f>Balanço_MRE!A67</f>
        <v>557976</v>
      </c>
      <c r="B67" s="168" t="str">
        <f>Balanço_MRE!B67</f>
        <v>VALE ENE I5 &gt;&gt; 0214_0119</v>
      </c>
      <c r="C67" s="167" t="str">
        <f>Balanço_MRE!C67</f>
        <v>Contratos de Venda</v>
      </c>
      <c r="D67" s="169" t="str">
        <f>Balanço_MRE!D67</f>
        <v>SUDESTE</v>
      </c>
      <c r="E67" s="79">
        <f>Balanço_MRE!E67</f>
        <v>0</v>
      </c>
      <c r="F67" s="83">
        <f>Balanço_MRE!F67</f>
        <v>0</v>
      </c>
      <c r="G67" s="170">
        <f>Balanço_MRE!G67</f>
        <v>0</v>
      </c>
      <c r="H67" s="170">
        <f>Balanço_MRE!H67</f>
        <v>0</v>
      </c>
      <c r="I67" s="104"/>
      <c r="J67" s="9" t="str">
        <f>VLOOKUP(A66,[10]RelatorioContratos_080817_10352!$A$2:$AC$148,26,FALSE)</f>
        <v>0,000000</v>
      </c>
      <c r="K67" s="9" t="str">
        <f>VLOOKUP(A66,[10]RelatorioContratos_080817_10352!$A$2:$AC$148,8,FALSE)</f>
        <v>31/01/2019 23</v>
      </c>
      <c r="L67" s="9" t="str">
        <f>VLOOKUP(A66,[10]RelatorioContratos_080817_10352!$A$2:$AZ$150,32,FALSE)</f>
        <v>FLAT</v>
      </c>
      <c r="M67" s="9" t="str">
        <f>VLOOKUP(A66,[10]RelatorioContratos_080817_10352!$A$2:$AZ$148,33,FALSE)</f>
        <v>Validado</v>
      </c>
      <c r="N67" s="247">
        <f>(J67*$B$33)-F66</f>
        <v>0</v>
      </c>
    </row>
    <row r="68" spans="1:14" s="104" customFormat="1" ht="15" x14ac:dyDescent="0.25">
      <c r="A68" s="167">
        <f>Balanço_MRE!A68</f>
        <v>1167485</v>
      </c>
      <c r="B68" s="168" t="str">
        <f>Balanço_MRE!B68</f>
        <v>CVRD TIG</v>
      </c>
      <c r="C68" s="167" t="str">
        <f>Balanço_MRE!C68</f>
        <v>Contratos de Venda</v>
      </c>
      <c r="D68" s="169" t="str">
        <f>Balanço_MRE!D68</f>
        <v>SUDESTE</v>
      </c>
      <c r="E68" s="79">
        <f>Balanço_MRE!E68</f>
        <v>0</v>
      </c>
      <c r="F68" s="83">
        <f>Balanço_MRE!F68</f>
        <v>0</v>
      </c>
      <c r="G68" s="170">
        <f>Balanço_MRE!G68</f>
        <v>0</v>
      </c>
      <c r="H68" s="170">
        <f>Balanço_MRE!H68</f>
        <v>0</v>
      </c>
      <c r="J68" s="9"/>
      <c r="K68" s="9"/>
      <c r="L68" s="9"/>
      <c r="M68" s="9"/>
      <c r="N68" s="247"/>
    </row>
    <row r="69" spans="1:14" ht="15" x14ac:dyDescent="0.25">
      <c r="A69" s="23"/>
      <c r="B69" s="23"/>
      <c r="C69" s="23"/>
      <c r="D69" s="23"/>
      <c r="E69" s="25"/>
      <c r="F69" s="24"/>
      <c r="G69" s="26"/>
      <c r="H69" s="28"/>
      <c r="I69" s="104"/>
      <c r="J69" s="393"/>
      <c r="K69" s="393"/>
      <c r="L69" s="393"/>
      <c r="M69" s="393"/>
      <c r="N69" s="247"/>
    </row>
    <row r="70" spans="1:14" ht="15" x14ac:dyDescent="0.25">
      <c r="A70" s="80" t="s">
        <v>32</v>
      </c>
      <c r="B70" s="16"/>
      <c r="C70" s="16"/>
      <c r="D70" s="17"/>
      <c r="E70" s="81">
        <f>SUM(E56:E69)</f>
        <v>0</v>
      </c>
      <c r="F70" s="84">
        <f>SUM(F56:F69)</f>
        <v>0</v>
      </c>
      <c r="G70" s="82">
        <f>IFERROR(H70/F70,0)</f>
        <v>0</v>
      </c>
      <c r="H70" s="82">
        <f>SUM(H56:H69)</f>
        <v>0</v>
      </c>
      <c r="I70" s="115"/>
      <c r="N70" s="247"/>
    </row>
    <row r="71" spans="1:14" ht="15" x14ac:dyDescent="0.25">
      <c r="A71" s="104"/>
      <c r="B71" s="104"/>
      <c r="C71" s="104"/>
      <c r="D71" s="105"/>
      <c r="E71" s="104"/>
      <c r="F71" s="104"/>
      <c r="G71" s="104"/>
      <c r="H71" s="104"/>
      <c r="I71" s="104"/>
      <c r="N71" s="247"/>
    </row>
    <row r="72" spans="1:14" ht="15" x14ac:dyDescent="0.25">
      <c r="A72" s="548" t="s">
        <v>233</v>
      </c>
      <c r="B72" s="548"/>
      <c r="C72" s="548"/>
      <c r="D72" s="105"/>
      <c r="E72" s="116" t="s">
        <v>19</v>
      </c>
      <c r="F72" s="116"/>
      <c r="G72" s="117" t="s">
        <v>20</v>
      </c>
      <c r="H72" s="117"/>
      <c r="I72" s="118" t="s">
        <v>21</v>
      </c>
      <c r="J72" s="118"/>
      <c r="K72" s="119" t="s">
        <v>22</v>
      </c>
      <c r="L72" s="119"/>
      <c r="N72" s="247"/>
    </row>
    <row r="73" spans="1:14" ht="15" x14ac:dyDescent="0.25">
      <c r="A73" s="10" t="s">
        <v>2</v>
      </c>
      <c r="B73" s="10" t="s">
        <v>137</v>
      </c>
      <c r="C73" s="10" t="s">
        <v>25</v>
      </c>
      <c r="D73" s="105"/>
      <c r="E73" s="207" t="s">
        <v>137</v>
      </c>
      <c r="F73" s="208" t="s">
        <v>25</v>
      </c>
      <c r="G73" s="209" t="s">
        <v>137</v>
      </c>
      <c r="H73" s="210" t="s">
        <v>25</v>
      </c>
      <c r="I73" s="211" t="s">
        <v>137</v>
      </c>
      <c r="J73" s="212" t="s">
        <v>25</v>
      </c>
      <c r="K73" s="213" t="s">
        <v>137</v>
      </c>
      <c r="L73" s="214" t="s">
        <v>25</v>
      </c>
      <c r="N73" s="247"/>
    </row>
    <row r="74" spans="1:14" ht="15" x14ac:dyDescent="0.25">
      <c r="A74" s="29" t="s">
        <v>69</v>
      </c>
      <c r="B74" s="70">
        <f>E45</f>
        <v>0</v>
      </c>
      <c r="C74" s="83">
        <f>F45</f>
        <v>0</v>
      </c>
      <c r="D74" s="105"/>
      <c r="E74" s="120">
        <f t="shared" ref="E74:E80" si="25">SUMIFS($E$41:$E$69,$C$41:$C$69,$A74,$D$41:$D$69,$E$72)</f>
        <v>0</v>
      </c>
      <c r="F74" s="121">
        <f t="shared" ref="F74:F80" si="26">SUMIFS($F$41:$F$69,$C$41:$C$69,$A74,$D$41:$D$69,$E$72)</f>
        <v>0</v>
      </c>
      <c r="G74" s="122">
        <f t="shared" ref="G74:G80" si="27">SUMIFS($E$41:$E$69,$C$41:$C$69,$A74,$D$41:$D$69,$G$72)</f>
        <v>0</v>
      </c>
      <c r="H74" s="123">
        <f t="shared" ref="H74:H80" si="28">SUMIFS($F$41:$F$69,$C$41:$C$69,$A74,$D$41:$D$69,$G$72)</f>
        <v>0</v>
      </c>
      <c r="I74" s="124">
        <f t="shared" ref="I74:I80" si="29">SUMIFS($E$41:$E$69,$C$41:$C$69,$A74,$D$41:$D$69,$I$72)</f>
        <v>0</v>
      </c>
      <c r="J74" s="125">
        <f t="shared" ref="J74:J80" si="30">SUMIFS($F$41:$F$69,$C$41:$C$69,$A74,$D$41:$D$69,$I$72)</f>
        <v>0</v>
      </c>
      <c r="K74" s="126">
        <f t="shared" ref="K74:K80" si="31">SUMIFS($E$41:$E$69,$C$41:$C$69,$A74,$D$41:$D$69,$K$72)</f>
        <v>0</v>
      </c>
      <c r="L74" s="127">
        <f t="shared" ref="L74:L80" si="32">SUMIFS($F$41:$F$69,$C$41:$C$69,$A74,$D$41:$D$69,$K$72)</f>
        <v>0</v>
      </c>
      <c r="N74" s="247"/>
    </row>
    <row r="75" spans="1:14" ht="15" x14ac:dyDescent="0.25">
      <c r="A75" s="29" t="s">
        <v>47</v>
      </c>
      <c r="B75" s="70">
        <v>0</v>
      </c>
      <c r="C75" s="83">
        <v>0</v>
      </c>
      <c r="D75" s="105"/>
      <c r="E75" s="120">
        <f t="shared" si="25"/>
        <v>0</v>
      </c>
      <c r="F75" s="121">
        <f t="shared" si="26"/>
        <v>0</v>
      </c>
      <c r="G75" s="122">
        <f t="shared" si="27"/>
        <v>0</v>
      </c>
      <c r="H75" s="123">
        <f t="shared" si="28"/>
        <v>0</v>
      </c>
      <c r="I75" s="124">
        <f t="shared" si="29"/>
        <v>0</v>
      </c>
      <c r="J75" s="125">
        <f t="shared" si="30"/>
        <v>0</v>
      </c>
      <c r="K75" s="126">
        <f t="shared" si="31"/>
        <v>0</v>
      </c>
      <c r="L75" s="127">
        <f t="shared" si="32"/>
        <v>0</v>
      </c>
      <c r="N75" s="247"/>
    </row>
    <row r="76" spans="1:14" ht="15" x14ac:dyDescent="0.25">
      <c r="A76" s="29" t="s">
        <v>79</v>
      </c>
      <c r="B76" s="70">
        <v>0</v>
      </c>
      <c r="C76" s="83">
        <v>0</v>
      </c>
      <c r="D76" s="105"/>
      <c r="E76" s="120">
        <f t="shared" si="25"/>
        <v>0</v>
      </c>
      <c r="F76" s="121">
        <f t="shared" si="26"/>
        <v>0</v>
      </c>
      <c r="G76" s="122">
        <f t="shared" si="27"/>
        <v>0</v>
      </c>
      <c r="H76" s="123">
        <f t="shared" si="28"/>
        <v>0</v>
      </c>
      <c r="I76" s="124">
        <f t="shared" si="29"/>
        <v>0</v>
      </c>
      <c r="J76" s="125">
        <f t="shared" si="30"/>
        <v>0</v>
      </c>
      <c r="K76" s="126">
        <f t="shared" si="31"/>
        <v>0</v>
      </c>
      <c r="L76" s="127">
        <f t="shared" si="32"/>
        <v>0</v>
      </c>
      <c r="N76" s="247"/>
    </row>
    <row r="77" spans="1:14" ht="15" x14ac:dyDescent="0.25">
      <c r="A77" s="29" t="s">
        <v>71</v>
      </c>
      <c r="B77" s="70">
        <f>E52</f>
        <v>0</v>
      </c>
      <c r="C77" s="83">
        <f>F52</f>
        <v>0</v>
      </c>
      <c r="D77" s="105"/>
      <c r="E77" s="120">
        <f t="shared" si="25"/>
        <v>0</v>
      </c>
      <c r="F77" s="121">
        <f t="shared" si="26"/>
        <v>0</v>
      </c>
      <c r="G77" s="122">
        <f t="shared" si="27"/>
        <v>0</v>
      </c>
      <c r="H77" s="123">
        <f t="shared" si="28"/>
        <v>0</v>
      </c>
      <c r="I77" s="124">
        <f t="shared" si="29"/>
        <v>0</v>
      </c>
      <c r="J77" s="125">
        <f t="shared" si="30"/>
        <v>0</v>
      </c>
      <c r="K77" s="126">
        <f t="shared" si="31"/>
        <v>0</v>
      </c>
      <c r="L77" s="127">
        <f t="shared" si="32"/>
        <v>0</v>
      </c>
      <c r="N77" s="247"/>
    </row>
    <row r="78" spans="1:14" ht="15" x14ac:dyDescent="0.25">
      <c r="A78" s="29" t="s">
        <v>9</v>
      </c>
      <c r="B78" s="70">
        <v>0</v>
      </c>
      <c r="C78" s="83">
        <v>0</v>
      </c>
      <c r="D78" s="105"/>
      <c r="E78" s="120">
        <f t="shared" si="25"/>
        <v>0</v>
      </c>
      <c r="F78" s="121">
        <f t="shared" si="26"/>
        <v>0</v>
      </c>
      <c r="G78" s="122">
        <f t="shared" si="27"/>
        <v>0</v>
      </c>
      <c r="H78" s="123">
        <f t="shared" si="28"/>
        <v>0</v>
      </c>
      <c r="I78" s="124">
        <f t="shared" si="29"/>
        <v>0</v>
      </c>
      <c r="J78" s="125">
        <f t="shared" si="30"/>
        <v>0</v>
      </c>
      <c r="K78" s="126">
        <f t="shared" si="31"/>
        <v>0</v>
      </c>
      <c r="L78" s="127">
        <f t="shared" si="32"/>
        <v>0</v>
      </c>
      <c r="N78" s="247"/>
    </row>
    <row r="79" spans="1:14" ht="15" x14ac:dyDescent="0.25">
      <c r="A79" s="29" t="s">
        <v>80</v>
      </c>
      <c r="B79" s="70">
        <v>0</v>
      </c>
      <c r="C79" s="83">
        <v>0</v>
      </c>
      <c r="D79" s="105"/>
      <c r="E79" s="120">
        <f t="shared" si="25"/>
        <v>0</v>
      </c>
      <c r="F79" s="121">
        <f t="shared" si="26"/>
        <v>0</v>
      </c>
      <c r="G79" s="122">
        <f t="shared" si="27"/>
        <v>0</v>
      </c>
      <c r="H79" s="123">
        <f t="shared" si="28"/>
        <v>0</v>
      </c>
      <c r="I79" s="124">
        <f t="shared" si="29"/>
        <v>0</v>
      </c>
      <c r="J79" s="125">
        <f t="shared" si="30"/>
        <v>0</v>
      </c>
      <c r="K79" s="126">
        <f t="shared" si="31"/>
        <v>0</v>
      </c>
      <c r="L79" s="127">
        <f t="shared" si="32"/>
        <v>0</v>
      </c>
      <c r="N79" s="247"/>
    </row>
    <row r="80" spans="1:14" ht="15" x14ac:dyDescent="0.25">
      <c r="A80" s="29" t="s">
        <v>77</v>
      </c>
      <c r="B80" s="70">
        <f>E70</f>
        <v>0</v>
      </c>
      <c r="C80" s="83">
        <f>F70</f>
        <v>0</v>
      </c>
      <c r="D80" s="105"/>
      <c r="E80" s="120">
        <f t="shared" si="25"/>
        <v>0</v>
      </c>
      <c r="F80" s="121">
        <f t="shared" si="26"/>
        <v>0</v>
      </c>
      <c r="G80" s="122">
        <f t="shared" si="27"/>
        <v>0</v>
      </c>
      <c r="H80" s="123">
        <f t="shared" si="28"/>
        <v>0</v>
      </c>
      <c r="I80" s="124">
        <f t="shared" si="29"/>
        <v>0</v>
      </c>
      <c r="J80" s="125">
        <f t="shared" si="30"/>
        <v>0</v>
      </c>
      <c r="K80" s="126">
        <f t="shared" si="31"/>
        <v>0</v>
      </c>
      <c r="L80" s="127">
        <f t="shared" si="32"/>
        <v>0</v>
      </c>
      <c r="N80" s="247"/>
    </row>
    <row r="81" spans="1:14" ht="15" x14ac:dyDescent="0.25">
      <c r="A81" s="11" t="s">
        <v>81</v>
      </c>
      <c r="B81" s="12">
        <f>SUM(B74:B77)-SUM(B78:B80)</f>
        <v>0</v>
      </c>
      <c r="C81" s="12">
        <f>SUM(C74:C77)-SUM(C78:C80)</f>
        <v>0</v>
      </c>
      <c r="D81" s="105"/>
      <c r="E81" s="128">
        <f t="shared" ref="E81:L81" si="33">SUM(E74:E77)-SUM(E78:E80)</f>
        <v>0</v>
      </c>
      <c r="F81" s="129">
        <f t="shared" si="33"/>
        <v>0</v>
      </c>
      <c r="G81" s="130">
        <f t="shared" si="33"/>
        <v>0</v>
      </c>
      <c r="H81" s="131">
        <f t="shared" si="33"/>
        <v>0</v>
      </c>
      <c r="I81" s="132">
        <f t="shared" si="33"/>
        <v>0</v>
      </c>
      <c r="J81" s="133">
        <f t="shared" si="33"/>
        <v>0</v>
      </c>
      <c r="K81" s="134">
        <f t="shared" si="33"/>
        <v>0</v>
      </c>
      <c r="L81" s="135">
        <f t="shared" si="33"/>
        <v>0</v>
      </c>
      <c r="N81" s="247"/>
    </row>
    <row r="82" spans="1:14" ht="15" x14ac:dyDescent="0.25">
      <c r="A82" s="11" t="s">
        <v>82</v>
      </c>
      <c r="B82" s="12">
        <f>SUM(B74:B77)-SUM(B78:B81)</f>
        <v>0</v>
      </c>
      <c r="C82" s="12">
        <f>SUM(C74:C77)-SUM(C78:C81)</f>
        <v>0</v>
      </c>
      <c r="D82" s="105"/>
      <c r="E82" s="128">
        <f t="shared" ref="E82:L82" si="34">SUM(E74:E77)-SUM(E78:E81)</f>
        <v>0</v>
      </c>
      <c r="F82" s="129">
        <f t="shared" si="34"/>
        <v>0</v>
      </c>
      <c r="G82" s="130">
        <f t="shared" si="34"/>
        <v>0</v>
      </c>
      <c r="H82" s="131">
        <f t="shared" si="34"/>
        <v>0</v>
      </c>
      <c r="I82" s="132">
        <f t="shared" si="34"/>
        <v>0</v>
      </c>
      <c r="J82" s="133">
        <f t="shared" si="34"/>
        <v>0</v>
      </c>
      <c r="K82" s="134">
        <f t="shared" si="34"/>
        <v>0</v>
      </c>
      <c r="L82" s="135">
        <f t="shared" si="34"/>
        <v>0</v>
      </c>
      <c r="N82" s="247"/>
    </row>
    <row r="83" spans="1:14" ht="15" x14ac:dyDescent="0.25">
      <c r="A83" s="104"/>
      <c r="B83" s="104"/>
      <c r="C83" s="104"/>
      <c r="D83" s="105"/>
      <c r="E83" s="104"/>
      <c r="F83" s="104"/>
      <c r="G83" s="104"/>
      <c r="H83" s="104"/>
      <c r="I83" s="104"/>
      <c r="N83" s="247"/>
    </row>
    <row r="84" spans="1:14" ht="15" x14ac:dyDescent="0.25">
      <c r="A84" s="104"/>
      <c r="B84" s="104"/>
      <c r="C84" s="104"/>
      <c r="D84" s="105"/>
      <c r="E84" s="153">
        <f>(F81*$H$5)+(H81*$J$5)+(J81*$L$5)+(L81*$N$5)</f>
        <v>0</v>
      </c>
      <c r="N84" s="247"/>
    </row>
    <row r="85" spans="1:14" ht="15" x14ac:dyDescent="0.25">
      <c r="A85" s="104"/>
      <c r="B85" s="104"/>
      <c r="C85" s="104"/>
      <c r="D85" s="105"/>
      <c r="E85" s="104"/>
      <c r="F85" s="104"/>
      <c r="G85" s="104"/>
      <c r="H85" s="104"/>
      <c r="I85" s="104"/>
      <c r="N85" s="247"/>
    </row>
    <row r="86" spans="1:14" ht="15" x14ac:dyDescent="0.25">
      <c r="A86" s="104"/>
      <c r="B86" s="104"/>
      <c r="C86" s="104"/>
      <c r="D86" s="105"/>
      <c r="E86" s="104"/>
      <c r="F86" s="104"/>
      <c r="G86" s="104"/>
      <c r="H86" s="104"/>
      <c r="I86" s="104"/>
      <c r="N86" s="247"/>
    </row>
    <row r="87" spans="1:14" ht="15" x14ac:dyDescent="0.25">
      <c r="A87" s="564" t="s">
        <v>281</v>
      </c>
      <c r="B87" s="564"/>
      <c r="C87" s="564"/>
      <c r="D87" s="564"/>
      <c r="E87" s="564"/>
      <c r="F87" s="564"/>
      <c r="G87" s="564"/>
      <c r="H87" s="564"/>
      <c r="N87" s="247"/>
    </row>
    <row r="88" spans="1:14" ht="15" x14ac:dyDescent="0.25">
      <c r="A88" s="564"/>
      <c r="B88" s="564"/>
      <c r="C88" s="564"/>
      <c r="D88" s="564"/>
      <c r="E88" s="564"/>
      <c r="F88" s="564"/>
      <c r="G88" s="564"/>
      <c r="H88" s="564"/>
      <c r="N88" s="247"/>
    </row>
    <row r="89" spans="1:14" ht="3.75" customHeight="1" x14ac:dyDescent="0.25">
      <c r="A89" s="14"/>
      <c r="B89" s="14"/>
      <c r="C89" s="14"/>
      <c r="D89" s="14"/>
      <c r="E89" s="14"/>
      <c r="F89" s="14"/>
      <c r="G89" s="14"/>
      <c r="H89" s="14"/>
      <c r="N89" s="247"/>
    </row>
    <row r="90" spans="1:14" ht="15" x14ac:dyDescent="0.25">
      <c r="A90" s="548" t="s">
        <v>84</v>
      </c>
      <c r="B90" s="548"/>
      <c r="C90" s="548"/>
      <c r="D90" s="548"/>
      <c r="E90" s="548"/>
      <c r="F90" s="548"/>
      <c r="G90" s="548"/>
      <c r="H90" s="548"/>
      <c r="N90" s="247"/>
    </row>
    <row r="91" spans="1:14" ht="15" x14ac:dyDescent="0.25">
      <c r="A91" s="10" t="s">
        <v>14</v>
      </c>
      <c r="B91" s="10"/>
      <c r="C91" s="10" t="s">
        <v>2</v>
      </c>
      <c r="D91" s="10" t="s">
        <v>3</v>
      </c>
      <c r="E91" s="10" t="s">
        <v>137</v>
      </c>
      <c r="F91" s="10" t="s">
        <v>25</v>
      </c>
      <c r="G91" s="10" t="s">
        <v>15</v>
      </c>
      <c r="H91" s="10" t="s">
        <v>240</v>
      </c>
      <c r="N91" s="247"/>
    </row>
    <row r="92" spans="1:14" ht="15" x14ac:dyDescent="0.25">
      <c r="A92" s="191" t="str">
        <f>Balanço_MRE!A92</f>
        <v>Estreito</v>
      </c>
      <c r="B92" s="168">
        <f>Balanço_MRE!B92</f>
        <v>0</v>
      </c>
      <c r="C92" s="167" t="str">
        <f>Balanço_MRE!C92</f>
        <v>Energia Assegurada</v>
      </c>
      <c r="D92" s="169" t="str">
        <f>Balanço_MRE!D92</f>
        <v>NORTE</v>
      </c>
      <c r="E92" s="79">
        <f t="shared" ref="E92:E93" si="35">F92/$B$33</f>
        <v>0</v>
      </c>
      <c r="F92" s="262">
        <f>'[3]Relatório Sazonalização (QM_GF)'!$K$18</f>
        <v>0</v>
      </c>
      <c r="G92" s="170">
        <f t="shared" ref="G92:G93" si="36">1-IF($E$33&lt;0,0,$E$33)</f>
        <v>1</v>
      </c>
      <c r="H92" s="383"/>
      <c r="N92" s="247"/>
    </row>
    <row r="93" spans="1:14" ht="15" x14ac:dyDescent="0.25">
      <c r="A93" s="191" t="str">
        <f>Balanço_MRE!A93</f>
        <v>Candonga</v>
      </c>
      <c r="B93" s="168">
        <f>Balanço_MRE!B93</f>
        <v>0</v>
      </c>
      <c r="C93" s="167" t="str">
        <f>Balanço_MRE!C93</f>
        <v>Energia Assegurada</v>
      </c>
      <c r="D93" s="169" t="str">
        <f>Balanço_MRE!D93</f>
        <v>SUDESTE</v>
      </c>
      <c r="E93" s="79">
        <f t="shared" si="35"/>
        <v>0</v>
      </c>
      <c r="F93" s="354"/>
      <c r="G93" s="170">
        <f t="shared" si="36"/>
        <v>1</v>
      </c>
      <c r="H93" s="383"/>
      <c r="N93" s="247"/>
    </row>
    <row r="94" spans="1:14" ht="15" x14ac:dyDescent="0.25">
      <c r="A94" s="215"/>
      <c r="B94" s="215"/>
      <c r="C94" s="215"/>
      <c r="D94" s="216"/>
      <c r="E94" s="174"/>
      <c r="F94" s="175"/>
      <c r="G94" s="222"/>
      <c r="H94" s="384"/>
      <c r="N94" s="247"/>
    </row>
    <row r="95" spans="1:14" ht="15" x14ac:dyDescent="0.25">
      <c r="A95" s="80" t="s">
        <v>32</v>
      </c>
      <c r="B95" s="16"/>
      <c r="C95" s="16"/>
      <c r="D95" s="17"/>
      <c r="E95" s="81">
        <f>SUM(E92:E94)</f>
        <v>0</v>
      </c>
      <c r="F95" s="84">
        <f>SUM(F92:F94)</f>
        <v>0</v>
      </c>
      <c r="G95" s="82"/>
      <c r="H95" s="8"/>
      <c r="I95" s="115"/>
      <c r="N95" s="247"/>
    </row>
    <row r="96" spans="1:14" ht="15" x14ac:dyDescent="0.25">
      <c r="L96" s="109"/>
      <c r="N96" s="247"/>
    </row>
    <row r="97" spans="1:14" ht="15" x14ac:dyDescent="0.25">
      <c r="A97" s="548" t="s">
        <v>70</v>
      </c>
      <c r="B97" s="548"/>
      <c r="C97" s="548"/>
      <c r="D97" s="548"/>
      <c r="E97" s="548"/>
      <c r="F97" s="548"/>
      <c r="G97" s="548"/>
      <c r="H97" s="548"/>
      <c r="N97" s="247"/>
    </row>
    <row r="98" spans="1:14" ht="15" x14ac:dyDescent="0.25">
      <c r="A98" s="10" t="s">
        <v>252</v>
      </c>
      <c r="B98" s="10" t="s">
        <v>1</v>
      </c>
      <c r="C98" s="10" t="s">
        <v>2</v>
      </c>
      <c r="D98" s="10" t="s">
        <v>3</v>
      </c>
      <c r="E98" s="10" t="s">
        <v>137</v>
      </c>
      <c r="F98" s="10" t="s">
        <v>25</v>
      </c>
      <c r="G98" s="10" t="s">
        <v>253</v>
      </c>
      <c r="H98" s="10" t="s">
        <v>254</v>
      </c>
      <c r="J98" s="10"/>
      <c r="K98" s="10"/>
      <c r="L98" s="10"/>
      <c r="M98" s="10"/>
      <c r="N98" s="247"/>
    </row>
    <row r="99" spans="1:14" ht="15" x14ac:dyDescent="0.25">
      <c r="A99" s="167">
        <f>Balanço_MRE!A99</f>
        <v>877512</v>
      </c>
      <c r="B99" s="167" t="str">
        <f>Balanço_MRE!B99</f>
        <v>NORTE ENERGIA &gt;&gt; 0116_0845</v>
      </c>
      <c r="C99" s="167" t="str">
        <f>Balanço_MRE!C99</f>
        <v>Contratos de Compra</v>
      </c>
      <c r="D99" s="192" t="str">
        <f>Balanço_MRE!D99</f>
        <v>NORTE</v>
      </c>
      <c r="E99" s="79">
        <f>Balanço_MRE!E99</f>
        <v>349.68149999999997</v>
      </c>
      <c r="F99" s="262">
        <f>Balanço_MRE!F99</f>
        <v>260163.03599999996</v>
      </c>
      <c r="G99" s="263">
        <f>Balanço_MRE!G99</f>
        <v>160.75</v>
      </c>
      <c r="H99" s="193">
        <f>Balanço_MRE!H99</f>
        <v>41821208.036999993</v>
      </c>
      <c r="I99" s="102"/>
      <c r="J99" s="9" t="e">
        <f>VLOOKUP(A99,#REF!,26,FALSE)</f>
        <v>#REF!</v>
      </c>
      <c r="K99" s="9" t="e">
        <f>VLOOKUP(A99,#REF!,8,FALSE)</f>
        <v>#REF!</v>
      </c>
      <c r="L99" s="9" t="e">
        <f>VLOOKUP(A99,#REF!,32,FALSE)</f>
        <v>#REF!</v>
      </c>
      <c r="M99" s="9" t="e">
        <f>VLOOKUP(A99,#REF!,33,FALSE)</f>
        <v>#REF!</v>
      </c>
      <c r="N99" s="247"/>
    </row>
    <row r="100" spans="1:14" ht="15" x14ac:dyDescent="0.25">
      <c r="A100" s="167">
        <f>Balanço_MRE!A100</f>
        <v>566787</v>
      </c>
      <c r="B100" s="167" t="str">
        <f>Balanço_MRE!B100</f>
        <v>VALE ENERGIA &gt;&gt; 0214_0119</v>
      </c>
      <c r="C100" s="167" t="str">
        <f>Balanço_MRE!C100</f>
        <v>Contratos de Compra</v>
      </c>
      <c r="D100" s="192" t="str">
        <f>Balanço_MRE!D100</f>
        <v>NORTE</v>
      </c>
      <c r="E100" s="79">
        <f>Balanço_MRE!E100</f>
        <v>0</v>
      </c>
      <c r="F100" s="262">
        <f>Balanço_MRE!F100</f>
        <v>0</v>
      </c>
      <c r="G100" s="263">
        <f>Balanço_MRE!G100</f>
        <v>0</v>
      </c>
      <c r="H100" s="193">
        <f>Balanço_MRE!H100</f>
        <v>0</v>
      </c>
      <c r="I100" s="102"/>
      <c r="J100" s="9" t="e">
        <f>VLOOKUP(A100,#REF!,26,FALSE)</f>
        <v>#REF!</v>
      </c>
      <c r="K100" s="9" t="e">
        <f>VLOOKUP(A100,#REF!,8,FALSE)</f>
        <v>#REF!</v>
      </c>
      <c r="L100" s="9" t="e">
        <f>VLOOKUP(A100,#REF!,32,FALSE)</f>
        <v>#REF!</v>
      </c>
      <c r="M100" s="9" t="e">
        <f>VLOOKUP(A100,#REF!,33,FALSE)</f>
        <v>#REF!</v>
      </c>
      <c r="N100" s="247"/>
    </row>
    <row r="101" spans="1:14" ht="15" x14ac:dyDescent="0.25">
      <c r="A101" s="167">
        <f>Balanço_MRE!A101</f>
        <v>821614</v>
      </c>
      <c r="B101" s="167" t="str">
        <f>Balanço_MRE!B101</f>
        <v>ALIANÇA GERAÇÃO - AIMORES (AP)</v>
      </c>
      <c r="C101" s="167" t="str">
        <f>Balanço_MRE!C101</f>
        <v>Contratos de Compra</v>
      </c>
      <c r="D101" s="192" t="str">
        <f>Balanço_MRE!D101</f>
        <v>SUDESTE</v>
      </c>
      <c r="E101" s="79">
        <f>Balanço_MRE!E101</f>
        <v>71.745253943516019</v>
      </c>
      <c r="F101" s="262">
        <f>Balanço_MRE!F101</f>
        <v>53378.468933975921</v>
      </c>
      <c r="G101" s="263">
        <f>Balanço_MRE!G101</f>
        <v>160.14889744785506</v>
      </c>
      <c r="H101" s="193">
        <f>Balanço_MRE!H101</f>
        <v>8548502.9472308271</v>
      </c>
      <c r="I101" s="102"/>
      <c r="J101" s="9" t="e">
        <f>VLOOKUP(A101,#REF!,26,FALSE)</f>
        <v>#REF!</v>
      </c>
      <c r="K101" s="9" t="e">
        <f>VLOOKUP(A101,#REF!,8,FALSE)</f>
        <v>#REF!</v>
      </c>
      <c r="L101" s="9" t="e">
        <f>VLOOKUP(A101,#REF!,32,FALSE)</f>
        <v>#REF!</v>
      </c>
      <c r="M101" s="9" t="e">
        <f>VLOOKUP(A101,#REF!,33,FALSE)</f>
        <v>#REF!</v>
      </c>
      <c r="N101" s="247"/>
    </row>
    <row r="102" spans="1:14" ht="15" x14ac:dyDescent="0.25">
      <c r="A102" s="167">
        <f>Balanço_MRE!A102</f>
        <v>821609</v>
      </c>
      <c r="B102" s="167" t="str">
        <f>Balanço_MRE!B102</f>
        <v>ALIANÇA GERAÇÃO - CANDONGA (AP)</v>
      </c>
      <c r="C102" s="167" t="str">
        <f>Balanço_MRE!C102</f>
        <v>Contratos de Compra</v>
      </c>
      <c r="D102" s="192" t="str">
        <f>Balanço_MRE!D102</f>
        <v>SUDESTE</v>
      </c>
      <c r="E102" s="79">
        <f>Balanço_MRE!E102</f>
        <v>26.909425516691812</v>
      </c>
      <c r="F102" s="262">
        <f>Balanço_MRE!F102</f>
        <v>20020.612584418708</v>
      </c>
      <c r="G102" s="263">
        <f>Balanço_MRE!G102</f>
        <v>160.14889744785506</v>
      </c>
      <c r="H102" s="193">
        <f>Balanço_MRE!H102</f>
        <v>3206279.0316253081</v>
      </c>
      <c r="I102" s="102"/>
      <c r="J102" s="9" t="e">
        <f>VLOOKUP(A102,#REF!,26,FALSE)</f>
        <v>#REF!</v>
      </c>
      <c r="K102" s="9" t="e">
        <f>VLOOKUP(A102,#REF!,8,FALSE)</f>
        <v>#REF!</v>
      </c>
      <c r="L102" s="9" t="e">
        <f>VLOOKUP(A102,#REF!,32,FALSE)</f>
        <v>#REF!</v>
      </c>
      <c r="M102" s="9" t="e">
        <f>VLOOKUP(A102,#REF!,33,FALSE)</f>
        <v>#REF!</v>
      </c>
      <c r="N102" s="247"/>
    </row>
    <row r="103" spans="1:14" ht="15" x14ac:dyDescent="0.25">
      <c r="A103" s="167">
        <f>Balanço_MRE!A103</f>
        <v>821616</v>
      </c>
      <c r="B103" s="167" t="str">
        <f>Balanço_MRE!B103</f>
        <v>ALIANÇA GERAÇÃO - CBI (AP)</v>
      </c>
      <c r="C103" s="167" t="str">
        <f>Balanço_MRE!C103</f>
        <v>Contratos de Compra</v>
      </c>
      <c r="D103" s="192" t="str">
        <f>Balanço_MRE!D103</f>
        <v>SUDESTE</v>
      </c>
      <c r="E103" s="79">
        <f>Balanço_MRE!E103</f>
        <v>78.217891216417968</v>
      </c>
      <c r="F103" s="262">
        <f>Balanço_MRE!F103</f>
        <v>58194.111065014971</v>
      </c>
      <c r="G103" s="263">
        <f>Balanço_MRE!G103</f>
        <v>160.14889744785506</v>
      </c>
      <c r="H103" s="193">
        <f>Balanço_MRE!H103</f>
        <v>9319722.7250201702</v>
      </c>
      <c r="I103" s="102"/>
      <c r="J103" s="9" t="e">
        <f>VLOOKUP(A103,#REF!,26,FALSE)</f>
        <v>#REF!</v>
      </c>
      <c r="K103" s="9" t="e">
        <f>VLOOKUP(A103,#REF!,8,FALSE)</f>
        <v>#REF!</v>
      </c>
      <c r="L103" s="9" t="e">
        <f>VLOOKUP(A103,#REF!,32,FALSE)</f>
        <v>#REF!</v>
      </c>
      <c r="M103" s="9" t="e">
        <f>VLOOKUP(A103,#REF!,33,FALSE)</f>
        <v>#REF!</v>
      </c>
      <c r="N103" s="247"/>
    </row>
    <row r="104" spans="1:14" ht="15" x14ac:dyDescent="0.25">
      <c r="A104" s="167">
        <f>Balanço_MRE!A104</f>
        <v>821618</v>
      </c>
      <c r="B104" s="167" t="str">
        <f>Balanço_MRE!B104</f>
        <v>ALIANÇA GERAÇÃO - CBII (AP)</v>
      </c>
      <c r="C104" s="167" t="str">
        <f>Balanço_MRE!C104</f>
        <v>Contratos de Compra</v>
      </c>
      <c r="D104" s="192" t="str">
        <f>Balanço_MRE!D104</f>
        <v>SUDESTE</v>
      </c>
      <c r="E104" s="79">
        <f>Balanço_MRE!E104</f>
        <v>67.303196675239874</v>
      </c>
      <c r="F104" s="262">
        <f>Balanço_MRE!F104</f>
        <v>50073.578326378461</v>
      </c>
      <c r="G104" s="263">
        <f>Balanço_MRE!G104</f>
        <v>160.14889744785506</v>
      </c>
      <c r="H104" s="193">
        <f>Balanço_MRE!H104</f>
        <v>8019228.3602383221</v>
      </c>
      <c r="I104" s="102"/>
      <c r="J104" s="9" t="e">
        <f>VLOOKUP(A104,#REF!,26,FALSE)</f>
        <v>#REF!</v>
      </c>
      <c r="K104" s="9" t="e">
        <f>VLOOKUP(A104,#REF!,8,FALSE)</f>
        <v>#REF!</v>
      </c>
      <c r="L104" s="9" t="e">
        <f>VLOOKUP(A104,#REF!,32,FALSE)</f>
        <v>#REF!</v>
      </c>
      <c r="M104" s="9" t="e">
        <f>VLOOKUP(A104,#REF!,33,FALSE)</f>
        <v>#REF!</v>
      </c>
      <c r="N104" s="247"/>
    </row>
    <row r="105" spans="1:14" ht="15" x14ac:dyDescent="0.25">
      <c r="A105" s="167">
        <f>Balanço_MRE!A105</f>
        <v>821574</v>
      </c>
      <c r="B105" s="167" t="str">
        <f>Balanço_MRE!B105</f>
        <v>ALIANÇA GERAÇÃO - FUNIL (AP)</v>
      </c>
      <c r="C105" s="167" t="str">
        <f>Balanço_MRE!C105</f>
        <v>Contratos de Compra</v>
      </c>
      <c r="D105" s="192" t="str">
        <f>Balanço_MRE!D105</f>
        <v>SUDESTE</v>
      </c>
      <c r="E105" s="79">
        <f>Balanço_MRE!E105</f>
        <v>38.2810409231191</v>
      </c>
      <c r="F105" s="262">
        <f>Balanço_MRE!F105</f>
        <v>28481.094446800613</v>
      </c>
      <c r="G105" s="263">
        <f>Balanço_MRE!G105</f>
        <v>160.14889744785506</v>
      </c>
      <c r="H105" s="193">
        <f>Balanço_MRE!H105</f>
        <v>4561215.8737633461</v>
      </c>
      <c r="I105" s="102"/>
      <c r="J105" s="9" t="e">
        <f>VLOOKUP(A105,#REF!,26,FALSE)</f>
        <v>#REF!</v>
      </c>
      <c r="K105" s="9" t="e">
        <f>VLOOKUP(A105,#REF!,8,FALSE)</f>
        <v>#REF!</v>
      </c>
      <c r="L105" s="9" t="e">
        <f>VLOOKUP(A105,#REF!,32,FALSE)</f>
        <v>#REF!</v>
      </c>
      <c r="M105" s="9" t="e">
        <f>VLOOKUP(A105,#REF!,33,FALSE)</f>
        <v>#REF!</v>
      </c>
      <c r="N105" s="247"/>
    </row>
    <row r="106" spans="1:14" ht="15" x14ac:dyDescent="0.25">
      <c r="A106" s="167">
        <f>Balanço_MRE!A106</f>
        <v>821559</v>
      </c>
      <c r="B106" s="167" t="str">
        <f>Balanço_MRE!B106</f>
        <v>ALIANÇA GERAÇÃO - IGARAPAVA (AP)</v>
      </c>
      <c r="C106" s="167" t="str">
        <f>Balanço_MRE!C106</f>
        <v>Contratos de Compra</v>
      </c>
      <c r="D106" s="192" t="str">
        <f>Balanço_MRE!D106</f>
        <v>SUDESTE</v>
      </c>
      <c r="E106" s="79">
        <f>Balanço_MRE!E106</f>
        <v>43.397959385800362</v>
      </c>
      <c r="F106" s="262">
        <f>Balanço_MRE!F106</f>
        <v>32288.081783035468</v>
      </c>
      <c r="G106" s="263">
        <f>Balanço_MRE!G106</f>
        <v>160.14889744785506</v>
      </c>
      <c r="H106" s="193">
        <f>Balanço_MRE!H106</f>
        <v>5170900.6982593043</v>
      </c>
      <c r="I106" s="102"/>
      <c r="J106" s="9" t="e">
        <f>VLOOKUP(A106,#REF!,26,FALSE)</f>
        <v>#REF!</v>
      </c>
      <c r="K106" s="9" t="e">
        <f>VLOOKUP(A106,#REF!,8,FALSE)</f>
        <v>#REF!</v>
      </c>
      <c r="L106" s="9" t="e">
        <f>VLOOKUP(A106,#REF!,32,FALSE)</f>
        <v>#REF!</v>
      </c>
      <c r="M106" s="9" t="e">
        <f>VLOOKUP(A106,#REF!,33,FALSE)</f>
        <v>#REF!</v>
      </c>
      <c r="N106" s="247"/>
    </row>
    <row r="107" spans="1:14" ht="15" x14ac:dyDescent="0.25">
      <c r="A107" s="167">
        <f>Balanço_MRE!A107</f>
        <v>821572</v>
      </c>
      <c r="B107" s="167" t="str">
        <f>Balanço_MRE!B107</f>
        <v>ALIANÇA GERAÇÃO - PORTO ESTRELA (AP)</v>
      </c>
      <c r="C107" s="167" t="str">
        <f>Balanço_MRE!C107</f>
        <v>Contratos de Compra</v>
      </c>
      <c r="D107" s="192" t="str">
        <f>Balanço_MRE!D107</f>
        <v>SUDESTE</v>
      </c>
      <c r="E107" s="79">
        <f>Balanço_MRE!E107</f>
        <v>15.304016213327511</v>
      </c>
      <c r="F107" s="262">
        <f>Balanço_MRE!F107</f>
        <v>11386.188062715668</v>
      </c>
      <c r="G107" s="263">
        <f>Balanço_MRE!G107</f>
        <v>160.14889744785506</v>
      </c>
      <c r="H107" s="193">
        <f>Balanço_MRE!H107</f>
        <v>1823485.4643778431</v>
      </c>
      <c r="I107" s="102"/>
      <c r="J107" s="9" t="e">
        <f>VLOOKUP(A107,#REF!,26,FALSE)</f>
        <v>#REF!</v>
      </c>
      <c r="K107" s="9" t="e">
        <f>VLOOKUP(A107,#REF!,8,FALSE)</f>
        <v>#REF!</v>
      </c>
      <c r="L107" s="9" t="e">
        <f>VLOOKUP(A107,#REF!,32,FALSE)</f>
        <v>#REF!</v>
      </c>
      <c r="M107" s="9" t="e">
        <f>VLOOKUP(A107,#REF!,33,FALSE)</f>
        <v>#REF!</v>
      </c>
      <c r="N107" s="247"/>
    </row>
    <row r="108" spans="1:14" ht="15" x14ac:dyDescent="0.25">
      <c r="A108" s="167">
        <f>Balanço_MRE!A108</f>
        <v>558737</v>
      </c>
      <c r="B108" s="167" t="str">
        <f>Balanço_MRE!B108</f>
        <v>VALE ENERGIA &gt;&gt; 0214_0119</v>
      </c>
      <c r="C108" s="167" t="str">
        <f>Balanço_MRE!C108</f>
        <v>Contratos de Compra</v>
      </c>
      <c r="D108" s="192" t="str">
        <f>Balanço_MRE!D108</f>
        <v>SUDESTE</v>
      </c>
      <c r="E108" s="79">
        <f>Balanço_MRE!E108</f>
        <v>0</v>
      </c>
      <c r="F108" s="262">
        <f>Balanço_MRE!F108</f>
        <v>0</v>
      </c>
      <c r="G108" s="263">
        <f>Balanço_MRE!G108</f>
        <v>0</v>
      </c>
      <c r="H108" s="193">
        <f>Balanço_MRE!H108</f>
        <v>0</v>
      </c>
      <c r="I108" s="102"/>
      <c r="J108" s="9" t="e">
        <f>VLOOKUP(A108,#REF!,26,FALSE)</f>
        <v>#REF!</v>
      </c>
      <c r="K108" s="9" t="e">
        <f>VLOOKUP(A108,#REF!,8,FALSE)</f>
        <v>#REF!</v>
      </c>
      <c r="L108" s="9" t="e">
        <f>VLOOKUP(A108,#REF!,32,FALSE)</f>
        <v>#REF!</v>
      </c>
      <c r="M108" s="9" t="e">
        <f>VLOOKUP(A108,#REF!,33,FALSE)</f>
        <v>#REF!</v>
      </c>
      <c r="N108" s="247"/>
    </row>
    <row r="109" spans="1:14" ht="15" x14ac:dyDescent="0.25">
      <c r="A109" s="167">
        <f>Balanço_MRE!A109</f>
        <v>1097141</v>
      </c>
      <c r="B109" s="167" t="str">
        <f>Balanço_MRE!B109</f>
        <v>CCVE_97,61_VE_01012018_31122018_VALE</v>
      </c>
      <c r="C109" s="167" t="str">
        <f>Balanço_MRE!C109</f>
        <v>Contratos de Compra</v>
      </c>
      <c r="D109" s="192" t="str">
        <f>Balanço_MRE!D109</f>
        <v>SUDESTE</v>
      </c>
      <c r="E109" s="79">
        <f>Balanço_MRE!E109</f>
        <v>106.7</v>
      </c>
      <c r="F109" s="262">
        <f>Balanço_MRE!F109</f>
        <v>79384.800000000003</v>
      </c>
      <c r="G109" s="263">
        <f>Balanço_MRE!G109</f>
        <v>196.99</v>
      </c>
      <c r="H109" s="193">
        <f>Balanço_MRE!H109</f>
        <v>15638011.752000002</v>
      </c>
      <c r="I109" s="102"/>
      <c r="J109" s="9"/>
      <c r="K109" s="9"/>
      <c r="L109" s="9"/>
      <c r="M109" s="9"/>
      <c r="N109" s="247"/>
    </row>
    <row r="110" spans="1:14" ht="15" x14ac:dyDescent="0.25">
      <c r="A110" s="167">
        <f>Balanço_MRE!A110</f>
        <v>0</v>
      </c>
      <c r="B110" s="167" t="str">
        <f>Balanço_MRE!B110</f>
        <v>CCE_10_ECOM_012019_31032019</v>
      </c>
      <c r="C110" s="167" t="str">
        <f>Balanço_MRE!C110</f>
        <v>Contratos de Compra</v>
      </c>
      <c r="D110" s="192" t="str">
        <f>Balanço_MRE!D110</f>
        <v>SUDESTE</v>
      </c>
      <c r="E110" s="79">
        <f>Balanço_MRE!E110</f>
        <v>10</v>
      </c>
      <c r="F110" s="262">
        <f>Balanço_MRE!F110</f>
        <v>7440</v>
      </c>
      <c r="G110" s="263">
        <f>Balanço_MRE!G110</f>
        <v>145</v>
      </c>
      <c r="H110" s="193">
        <f>Balanço_MRE!H110</f>
        <v>1078800</v>
      </c>
      <c r="I110" s="102"/>
      <c r="J110" s="9"/>
      <c r="K110" s="9"/>
      <c r="L110" s="9"/>
      <c r="M110" s="9"/>
      <c r="N110" s="247"/>
    </row>
    <row r="111" spans="1:14" ht="15" x14ac:dyDescent="0.25">
      <c r="A111" s="167">
        <f>Balanço_MRE!A111</f>
        <v>0</v>
      </c>
      <c r="B111" s="167" t="str">
        <f>Balanço_MRE!B111</f>
        <v>CCE_2_LUMEN_012019_31032019</v>
      </c>
      <c r="C111" s="167" t="str">
        <f>Balanço_MRE!C111</f>
        <v>Contratos de Compra</v>
      </c>
      <c r="D111" s="192" t="str">
        <f>Balanço_MRE!D111</f>
        <v>SUDESTE</v>
      </c>
      <c r="E111" s="79">
        <f>Balanço_MRE!E111</f>
        <v>2</v>
      </c>
      <c r="F111" s="262">
        <f>Balanço_MRE!F111</f>
        <v>1488</v>
      </c>
      <c r="G111" s="263">
        <f>Balanço_MRE!G111</f>
        <v>131</v>
      </c>
      <c r="H111" s="193">
        <f>Balanço_MRE!H111</f>
        <v>194928</v>
      </c>
      <c r="I111" s="102"/>
      <c r="J111" s="9"/>
      <c r="K111" s="9"/>
      <c r="L111" s="9"/>
      <c r="M111" s="9"/>
      <c r="N111" s="247"/>
    </row>
    <row r="112" spans="1:14" ht="15" x14ac:dyDescent="0.25">
      <c r="A112" s="167">
        <f>Balanço_MRE!A112</f>
        <v>0</v>
      </c>
      <c r="B112" s="167" t="str">
        <f>Balanço_MRE!B112</f>
        <v>CCE_3_TRINITY_012019_31032019</v>
      </c>
      <c r="C112" s="167" t="str">
        <f>Balanço_MRE!C112</f>
        <v>Contratos de Compra</v>
      </c>
      <c r="D112" s="192" t="str">
        <f>Balanço_MRE!D112</f>
        <v>SUDESTE</v>
      </c>
      <c r="E112" s="79">
        <f>Balanço_MRE!E112</f>
        <v>3</v>
      </c>
      <c r="F112" s="262">
        <f>Balanço_MRE!F112</f>
        <v>2232</v>
      </c>
      <c r="G112" s="263">
        <f>Balanço_MRE!G112</f>
        <v>132.5</v>
      </c>
      <c r="H112" s="193">
        <f>Balanço_MRE!H112</f>
        <v>295740</v>
      </c>
      <c r="I112" s="102"/>
      <c r="J112" s="9"/>
      <c r="K112" s="9"/>
      <c r="L112" s="9"/>
      <c r="M112" s="9"/>
      <c r="N112" s="247"/>
    </row>
    <row r="113" spans="1:14" ht="15" x14ac:dyDescent="0.25">
      <c r="A113" s="167">
        <f>Balanço_MRE!A113</f>
        <v>0</v>
      </c>
      <c r="B113" s="167" t="str">
        <f>Balanço_MRE!B113</f>
        <v>CCE_5_TARGUS_012019_31032019</v>
      </c>
      <c r="C113" s="167" t="str">
        <f>Balanço_MRE!C113</f>
        <v>Contratos de Compra</v>
      </c>
      <c r="D113" s="192" t="str">
        <f>Balanço_MRE!D113</f>
        <v>SUDESTE</v>
      </c>
      <c r="E113" s="79">
        <f>Balanço_MRE!E113</f>
        <v>5</v>
      </c>
      <c r="F113" s="262">
        <f>Balanço_MRE!F113</f>
        <v>3720</v>
      </c>
      <c r="G113" s="263">
        <f>Balanço_MRE!G113</f>
        <v>133</v>
      </c>
      <c r="H113" s="193">
        <f>Balanço_MRE!H113</f>
        <v>494760</v>
      </c>
      <c r="I113" s="102"/>
      <c r="J113" s="9"/>
      <c r="K113" s="9"/>
      <c r="L113" s="9"/>
      <c r="M113" s="9"/>
      <c r="N113" s="247"/>
    </row>
    <row r="114" spans="1:14" ht="15" x14ac:dyDescent="0.25">
      <c r="A114" s="167">
        <f>Balanço_MRE!A114</f>
        <v>0</v>
      </c>
      <c r="B114" s="167" t="str">
        <f>Balanço_MRE!B114</f>
        <v>CCE_5_LIBRA_012019_31032019</v>
      </c>
      <c r="C114" s="167" t="str">
        <f>Balanço_MRE!C114</f>
        <v>Contratos de Compra</v>
      </c>
      <c r="D114" s="192" t="str">
        <f>Balanço_MRE!D114</f>
        <v>SUDESTE</v>
      </c>
      <c r="E114" s="79">
        <f>Balanço_MRE!E114</f>
        <v>5</v>
      </c>
      <c r="F114" s="262">
        <f>Balanço_MRE!F114</f>
        <v>3720</v>
      </c>
      <c r="G114" s="263">
        <f>Balanço_MRE!G114</f>
        <v>133.16999999999999</v>
      </c>
      <c r="H114" s="193">
        <f>Balanço_MRE!H114</f>
        <v>495392.39999999997</v>
      </c>
      <c r="I114" s="102"/>
      <c r="J114" s="9"/>
      <c r="K114" s="9"/>
      <c r="L114" s="9"/>
      <c r="M114" s="9"/>
      <c r="N114" s="247"/>
    </row>
    <row r="115" spans="1:14" ht="15" x14ac:dyDescent="0.25">
      <c r="A115" s="167">
        <f>Balanço_MRE!A115</f>
        <v>0</v>
      </c>
      <c r="B115" s="167" t="str">
        <f>Balanço_MRE!B115</f>
        <v>CCE_5_WX_012019_31032019</v>
      </c>
      <c r="C115" s="167" t="str">
        <f>Balanço_MRE!C115</f>
        <v>Contratos de Compra</v>
      </c>
      <c r="D115" s="192" t="str">
        <f>Balanço_MRE!D115</f>
        <v>SUDESTE</v>
      </c>
      <c r="E115" s="79">
        <f>Balanço_MRE!E115</f>
        <v>5</v>
      </c>
      <c r="F115" s="262">
        <f>Balanço_MRE!F115</f>
        <v>3720</v>
      </c>
      <c r="G115" s="263">
        <f>Balanço_MRE!G115</f>
        <v>151.5</v>
      </c>
      <c r="H115" s="193">
        <f>Balanço_MRE!H115</f>
        <v>563580</v>
      </c>
      <c r="I115" s="102"/>
      <c r="J115" s="9"/>
      <c r="K115" s="9"/>
      <c r="L115" s="9"/>
      <c r="M115" s="9"/>
      <c r="N115" s="247"/>
    </row>
    <row r="116" spans="1:14" ht="15" x14ac:dyDescent="0.25">
      <c r="A116" s="167">
        <f>Balanço_MRE!A116</f>
        <v>0</v>
      </c>
      <c r="B116" s="167" t="str">
        <f>Balanço_MRE!B116</f>
        <v>CCE_3,4_BIOENERGIAS_012019_31032019</v>
      </c>
      <c r="C116" s="167" t="str">
        <f>Balanço_MRE!C116</f>
        <v>Contratos de Compra</v>
      </c>
      <c r="D116" s="192" t="str">
        <f>Balanço_MRE!D116</f>
        <v>SUDESTE</v>
      </c>
      <c r="E116" s="79">
        <f>Balanço_MRE!E116</f>
        <v>3.4</v>
      </c>
      <c r="F116" s="262">
        <f>Balanço_MRE!F116</f>
        <v>2529.6</v>
      </c>
      <c r="G116" s="263">
        <f>Balanço_MRE!G116</f>
        <v>151</v>
      </c>
      <c r="H116" s="193">
        <f>Balanço_MRE!H116</f>
        <v>381969.6</v>
      </c>
      <c r="I116" s="102"/>
      <c r="J116" s="9"/>
      <c r="K116" s="9"/>
      <c r="L116" s="9"/>
      <c r="M116" s="9"/>
      <c r="N116" s="247"/>
    </row>
    <row r="117" spans="1:14" ht="15" x14ac:dyDescent="0.25">
      <c r="A117" s="167">
        <f>Balanço_MRE!A117</f>
        <v>0</v>
      </c>
      <c r="B117" s="167" t="str">
        <f>Balanço_MRE!B117</f>
        <v>CCE_3_LIBRA_012019_31032019</v>
      </c>
      <c r="C117" s="167" t="str">
        <f>Balanço_MRE!C117</f>
        <v>Contratos de Compra</v>
      </c>
      <c r="D117" s="192" t="str">
        <f>Balanço_MRE!D117</f>
        <v>SUDESTE</v>
      </c>
      <c r="E117" s="79">
        <f>Balanço_MRE!E117</f>
        <v>3</v>
      </c>
      <c r="F117" s="262">
        <f>Balanço_MRE!F117</f>
        <v>2232</v>
      </c>
      <c r="G117" s="263">
        <f>Balanço_MRE!G117</f>
        <v>150.9</v>
      </c>
      <c r="H117" s="193">
        <f>Balanço_MRE!H117</f>
        <v>336808.8</v>
      </c>
      <c r="I117" s="102"/>
      <c r="J117" s="9"/>
      <c r="K117" s="9"/>
      <c r="L117" s="9"/>
      <c r="M117" s="9"/>
      <c r="N117" s="247"/>
    </row>
    <row r="118" spans="1:14" ht="15" x14ac:dyDescent="0.25">
      <c r="A118" s="167">
        <f>Balanço_MRE!A118</f>
        <v>0</v>
      </c>
      <c r="B118" s="167" t="str">
        <f>Balanço_MRE!B118</f>
        <v>CCE_15_MATRIX_012019_31032019</v>
      </c>
      <c r="C118" s="167" t="str">
        <f>Balanço_MRE!C118</f>
        <v>Contratos de Compra</v>
      </c>
      <c r="D118" s="192" t="str">
        <f>Balanço_MRE!D118</f>
        <v>SUDESTE</v>
      </c>
      <c r="E118" s="79">
        <f>Balanço_MRE!E118</f>
        <v>15</v>
      </c>
      <c r="F118" s="262">
        <f>Balanço_MRE!F118</f>
        <v>11160</v>
      </c>
      <c r="G118" s="263">
        <f>Balanço_MRE!G118</f>
        <v>138.5</v>
      </c>
      <c r="H118" s="193">
        <f>Balanço_MRE!H118</f>
        <v>1545660</v>
      </c>
      <c r="I118" s="102"/>
      <c r="J118" s="9"/>
      <c r="K118" s="9"/>
      <c r="L118" s="9"/>
      <c r="M118" s="9"/>
      <c r="N118" s="247"/>
    </row>
    <row r="119" spans="1:14" ht="15" x14ac:dyDescent="0.25">
      <c r="A119" s="167">
        <f>Balanço_MRE!A119</f>
        <v>0</v>
      </c>
      <c r="B119" s="167" t="str">
        <f>Balanço_MRE!B119</f>
        <v>CCE_8_ECOM_012019_31012019</v>
      </c>
      <c r="C119" s="167" t="str">
        <f>Balanço_MRE!C119</f>
        <v>Contratos de Compra</v>
      </c>
      <c r="D119" s="192" t="str">
        <f>Balanço_MRE!D119</f>
        <v>SUDESTE</v>
      </c>
      <c r="E119" s="79">
        <f>Balanço_MRE!E119</f>
        <v>8</v>
      </c>
      <c r="F119" s="262">
        <f>Balanço_MRE!F119</f>
        <v>5952</v>
      </c>
      <c r="G119" s="263">
        <f>Balanço_MRE!G119</f>
        <v>120.31</v>
      </c>
      <c r="H119" s="193">
        <f>Balanço_MRE!H119</f>
        <v>716085.12</v>
      </c>
      <c r="I119" s="102"/>
      <c r="J119" s="9"/>
      <c r="K119" s="9"/>
      <c r="L119" s="9"/>
      <c r="M119" s="9"/>
      <c r="N119" s="247"/>
    </row>
    <row r="120" spans="1:14" ht="15" x14ac:dyDescent="0.25">
      <c r="A120" s="167">
        <f>Balanço_MRE!A120</f>
        <v>0</v>
      </c>
      <c r="B120" s="167" t="str">
        <f>Balanço_MRE!B120</f>
        <v>CCE_1_NOVA_012019_31012019</v>
      </c>
      <c r="C120" s="167" t="str">
        <f>Balanço_MRE!C120</f>
        <v>Contratos de Compra</v>
      </c>
      <c r="D120" s="192" t="str">
        <f>Balanço_MRE!D120</f>
        <v>SUDESTE</v>
      </c>
      <c r="E120" s="79">
        <f>Balanço_MRE!E120</f>
        <v>1</v>
      </c>
      <c r="F120" s="262">
        <f>Balanço_MRE!F120</f>
        <v>744</v>
      </c>
      <c r="G120" s="263">
        <f>Balanço_MRE!G120</f>
        <v>120.8</v>
      </c>
      <c r="H120" s="193">
        <f>Balanço_MRE!H120</f>
        <v>89875.199999999997</v>
      </c>
      <c r="I120" s="102"/>
      <c r="J120" s="9"/>
      <c r="K120" s="9"/>
      <c r="L120" s="9"/>
      <c r="M120" s="9"/>
      <c r="N120" s="247"/>
    </row>
    <row r="121" spans="1:14" ht="15" x14ac:dyDescent="0.25">
      <c r="A121" s="167">
        <f>Balanço_MRE!A121</f>
        <v>0</v>
      </c>
      <c r="B121" s="167" t="str">
        <f>Balanço_MRE!B121</f>
        <v>CCE_10_CELER_012019_31012019</v>
      </c>
      <c r="C121" s="167" t="str">
        <f>Balanço_MRE!C121</f>
        <v>Contratos de Compra</v>
      </c>
      <c r="D121" s="192" t="str">
        <f>Balanço_MRE!D121</f>
        <v>SUDESTE</v>
      </c>
      <c r="E121" s="79">
        <f>Balanço_MRE!E121</f>
        <v>10</v>
      </c>
      <c r="F121" s="262">
        <f>Balanço_MRE!F121</f>
        <v>7440</v>
      </c>
      <c r="G121" s="263">
        <f>Balanço_MRE!G121</f>
        <v>119.95</v>
      </c>
      <c r="H121" s="193">
        <f>Balanço_MRE!H121</f>
        <v>892428</v>
      </c>
      <c r="I121" s="102"/>
      <c r="J121" s="9"/>
      <c r="K121" s="9"/>
      <c r="L121" s="9"/>
      <c r="M121" s="9"/>
      <c r="N121" s="247"/>
    </row>
    <row r="122" spans="1:14" ht="15" x14ac:dyDescent="0.25">
      <c r="A122" s="167">
        <f>Balanço_MRE!A122</f>
        <v>0</v>
      </c>
      <c r="B122" s="167" t="str">
        <f>Balanço_MRE!B122</f>
        <v>CCE_2_NOVA_012019_31012019</v>
      </c>
      <c r="C122" s="167" t="str">
        <f>Balanço_MRE!C122</f>
        <v>Contratos de Compra</v>
      </c>
      <c r="D122" s="192" t="str">
        <f>Balanço_MRE!D122</f>
        <v>SUDESTE</v>
      </c>
      <c r="E122" s="79">
        <f>Balanço_MRE!E122</f>
        <v>2</v>
      </c>
      <c r="F122" s="262">
        <f>Balanço_MRE!F122</f>
        <v>1488</v>
      </c>
      <c r="G122" s="263">
        <f>Balanço_MRE!G122</f>
        <v>119.95</v>
      </c>
      <c r="H122" s="193">
        <f>Balanço_MRE!H122</f>
        <v>178485.6</v>
      </c>
      <c r="I122" s="102"/>
      <c r="J122" s="9"/>
      <c r="K122" s="9"/>
      <c r="L122" s="9"/>
      <c r="M122" s="9"/>
      <c r="N122" s="247"/>
    </row>
    <row r="123" spans="1:14" ht="15" x14ac:dyDescent="0.25">
      <c r="A123" s="167">
        <f>Balanço_MRE!A123</f>
        <v>0</v>
      </c>
      <c r="B123" s="167" t="str">
        <f>Balanço_MRE!B123</f>
        <v>CCE_5_BCCOMERCIALIZADORA_012019_31012019</v>
      </c>
      <c r="C123" s="167" t="str">
        <f>Balanço_MRE!C123</f>
        <v>Contratos de Compra</v>
      </c>
      <c r="D123" s="192" t="str">
        <f>Balanço_MRE!D123</f>
        <v>SUDESTE</v>
      </c>
      <c r="E123" s="79">
        <f>Balanço_MRE!E123</f>
        <v>5</v>
      </c>
      <c r="F123" s="262">
        <f>Balanço_MRE!F123</f>
        <v>3720</v>
      </c>
      <c r="G123" s="263">
        <f>Balanço_MRE!G123</f>
        <v>119.5</v>
      </c>
      <c r="H123" s="193">
        <f>Balanço_MRE!H123</f>
        <v>444540</v>
      </c>
      <c r="I123" s="102"/>
      <c r="J123" s="9"/>
      <c r="K123" s="9"/>
      <c r="L123" s="9"/>
      <c r="M123" s="9"/>
      <c r="N123" s="247"/>
    </row>
    <row r="124" spans="1:14" ht="15" x14ac:dyDescent="0.25">
      <c r="A124" s="167">
        <f>Balanço_MRE!A124</f>
        <v>0</v>
      </c>
      <c r="B124" s="167" t="str">
        <f>Balanço_MRE!B124</f>
        <v>CCE_3_ATMO_012019_31012019</v>
      </c>
      <c r="C124" s="167" t="str">
        <f>Balanço_MRE!C124</f>
        <v>Contratos de Compra</v>
      </c>
      <c r="D124" s="192" t="str">
        <f>Balanço_MRE!D124</f>
        <v>SUDESTE</v>
      </c>
      <c r="E124" s="79">
        <f>Balanço_MRE!E124</f>
        <v>3</v>
      </c>
      <c r="F124" s="262">
        <f>Balanço_MRE!F124</f>
        <v>2232</v>
      </c>
      <c r="G124" s="263">
        <f>Balanço_MRE!G124</f>
        <v>119.5</v>
      </c>
      <c r="H124" s="193">
        <f>Balanço_MRE!H124</f>
        <v>266724</v>
      </c>
      <c r="I124" s="102"/>
      <c r="J124" s="9"/>
      <c r="K124" s="9"/>
      <c r="L124" s="9"/>
      <c r="M124" s="9"/>
      <c r="N124" s="247"/>
    </row>
    <row r="125" spans="1:14" ht="15" x14ac:dyDescent="0.25">
      <c r="A125" s="167">
        <f>Balanço_MRE!A125</f>
        <v>0</v>
      </c>
      <c r="B125" s="167" t="str">
        <f>Balanço_MRE!B125</f>
        <v>CCE_2_BCCOMERCIALIZADORA_012019_31012019</v>
      </c>
      <c r="C125" s="167" t="str">
        <f>Balanço_MRE!C125</f>
        <v>Contratos de Compra</v>
      </c>
      <c r="D125" s="192" t="str">
        <f>Balanço_MRE!D125</f>
        <v>SUDESTE</v>
      </c>
      <c r="E125" s="79">
        <f>Balanço_MRE!E125</f>
        <v>2</v>
      </c>
      <c r="F125" s="262">
        <f>Balanço_MRE!F125</f>
        <v>1488</v>
      </c>
      <c r="G125" s="263">
        <f>Balanço_MRE!G125</f>
        <v>119.5</v>
      </c>
      <c r="H125" s="193">
        <f>Balanço_MRE!H125</f>
        <v>177816</v>
      </c>
      <c r="I125" s="102"/>
      <c r="J125" s="9"/>
      <c r="K125" s="9"/>
      <c r="L125" s="9"/>
      <c r="M125" s="9"/>
      <c r="N125" s="247"/>
    </row>
    <row r="126" spans="1:14" ht="15" x14ac:dyDescent="0.25">
      <c r="A126" s="167">
        <f>Balanço_MRE!A126</f>
        <v>0</v>
      </c>
      <c r="B126" s="167" t="str">
        <f>Balanço_MRE!B126</f>
        <v>CCE_0,1_MÁXIMA_012019_31012019</v>
      </c>
      <c r="C126" s="167" t="str">
        <f>Balanço_MRE!C126</f>
        <v>Contratos de Compra</v>
      </c>
      <c r="D126" s="192" t="str">
        <f>Balanço_MRE!D126</f>
        <v>SUDESTE</v>
      </c>
      <c r="E126" s="79">
        <f>Balanço_MRE!E126</f>
        <v>0.1</v>
      </c>
      <c r="F126" s="262">
        <f>Balanço_MRE!F126</f>
        <v>74.400000000000006</v>
      </c>
      <c r="G126" s="263">
        <f>Balanço_MRE!G126</f>
        <v>118.1</v>
      </c>
      <c r="H126" s="193">
        <f>Balanço_MRE!H126</f>
        <v>8786.64</v>
      </c>
      <c r="I126" s="102"/>
      <c r="J126" s="9"/>
      <c r="K126" s="9"/>
      <c r="L126" s="9"/>
      <c r="M126" s="9"/>
      <c r="N126" s="247"/>
    </row>
    <row r="127" spans="1:14" ht="15" x14ac:dyDescent="0.25">
      <c r="A127" s="167">
        <f>Balanço_MRE!A127</f>
        <v>0</v>
      </c>
      <c r="B127" s="167" t="str">
        <f>Balanço_MRE!B127</f>
        <v>CCE_9,9_MÁXIMA_012019_31012019</v>
      </c>
      <c r="C127" s="167" t="str">
        <f>Balanço_MRE!C127</f>
        <v>Contratos de Compra</v>
      </c>
      <c r="D127" s="192" t="str">
        <f>Balanço_MRE!D127</f>
        <v>SUDESTE</v>
      </c>
      <c r="E127" s="79">
        <f>Balanço_MRE!E127</f>
        <v>9.9</v>
      </c>
      <c r="F127" s="262">
        <f>Balanço_MRE!F127</f>
        <v>7365.6</v>
      </c>
      <c r="G127" s="263">
        <f>Balanço_MRE!G127</f>
        <v>118.1</v>
      </c>
      <c r="H127" s="193">
        <f>Balanço_MRE!H127</f>
        <v>869877.36</v>
      </c>
      <c r="I127" s="102"/>
      <c r="J127" s="9"/>
      <c r="K127" s="9"/>
      <c r="L127" s="9"/>
      <c r="M127" s="9"/>
      <c r="N127" s="247"/>
    </row>
    <row r="128" spans="1:14" ht="15" x14ac:dyDescent="0.25">
      <c r="A128" s="167">
        <f>Balanço_MRE!A128</f>
        <v>0</v>
      </c>
      <c r="B128" s="167" t="str">
        <f>Balanço_MRE!B128</f>
        <v>CCE_5_NOVA_012019_31012019</v>
      </c>
      <c r="C128" s="167" t="str">
        <f>Balanço_MRE!C128</f>
        <v>Contratos de Compra</v>
      </c>
      <c r="D128" s="192" t="str">
        <f>Balanço_MRE!D128</f>
        <v>SUDESTE</v>
      </c>
      <c r="E128" s="79">
        <f>Balanço_MRE!E128</f>
        <v>5</v>
      </c>
      <c r="F128" s="262">
        <f>Balanço_MRE!F128</f>
        <v>3720</v>
      </c>
      <c r="G128" s="263">
        <f>Balanço_MRE!G128</f>
        <v>118.1</v>
      </c>
      <c r="H128" s="193">
        <f>Balanço_MRE!H128</f>
        <v>439332</v>
      </c>
      <c r="I128" s="102"/>
      <c r="J128" s="9"/>
      <c r="K128" s="9"/>
      <c r="L128" s="9"/>
      <c r="M128" s="9"/>
      <c r="N128" s="247"/>
    </row>
    <row r="129" spans="1:14" ht="15" x14ac:dyDescent="0.25">
      <c r="A129" s="167">
        <f>Balanço_MRE!A129</f>
        <v>0</v>
      </c>
      <c r="B129" s="167" t="str">
        <f>Balanço_MRE!B129</f>
        <v>CCE_2_MATRIX_012019_31012019</v>
      </c>
      <c r="C129" s="167" t="str">
        <f>Balanço_MRE!C129</f>
        <v>Contratos de Compra</v>
      </c>
      <c r="D129" s="192" t="str">
        <f>Balanço_MRE!D129</f>
        <v>SUDESTE</v>
      </c>
      <c r="E129" s="79">
        <f>Balanço_MRE!E129</f>
        <v>2</v>
      </c>
      <c r="F129" s="262">
        <f>Balanço_MRE!F129</f>
        <v>1488</v>
      </c>
      <c r="G129" s="263">
        <f>Balanço_MRE!G129</f>
        <v>114.98</v>
      </c>
      <c r="H129" s="193">
        <f>Balanço_MRE!H129</f>
        <v>171090.24000000002</v>
      </c>
      <c r="I129" s="115"/>
      <c r="J129" s="393"/>
      <c r="K129" s="393"/>
      <c r="L129" s="393"/>
      <c r="M129" s="393"/>
      <c r="N129" s="247"/>
    </row>
    <row r="130" spans="1:14" ht="15" x14ac:dyDescent="0.25">
      <c r="A130" s="167">
        <f>Balanço_MRE!A130</f>
        <v>0</v>
      </c>
      <c r="B130" s="167" t="str">
        <f>Balanço_MRE!B130</f>
        <v>CCE_2_MATRIX_012019_31012019</v>
      </c>
      <c r="C130" s="167" t="str">
        <f>Balanço_MRE!C130</f>
        <v>Contratos de Compra</v>
      </c>
      <c r="D130" s="192" t="str">
        <f>Balanço_MRE!D130</f>
        <v>SUDESTE</v>
      </c>
      <c r="E130" s="79">
        <f>Balanço_MRE!E130</f>
        <v>2</v>
      </c>
      <c r="F130" s="262">
        <f>Balanço_MRE!F130</f>
        <v>1488</v>
      </c>
      <c r="G130" s="263">
        <f>Balanço_MRE!G130</f>
        <v>114.98</v>
      </c>
      <c r="H130" s="193">
        <f>Balanço_MRE!H130</f>
        <v>171090.24000000002</v>
      </c>
      <c r="I130" s="115"/>
      <c r="J130" s="393"/>
      <c r="K130" s="393"/>
      <c r="L130" s="393"/>
      <c r="M130" s="393"/>
      <c r="N130" s="247"/>
    </row>
    <row r="131" spans="1:14" ht="15" x14ac:dyDescent="0.25">
      <c r="A131" s="167">
        <f>Balanço_MRE!A131</f>
        <v>0</v>
      </c>
      <c r="B131" s="167" t="str">
        <f>Balanço_MRE!B131</f>
        <v>CCE_1_FDR_012019_31012019</v>
      </c>
      <c r="C131" s="167" t="str">
        <f>Balanço_MRE!C131</f>
        <v>Contratos de Compra</v>
      </c>
      <c r="D131" s="192" t="str">
        <f>Balanço_MRE!D131</f>
        <v>SUDESTE</v>
      </c>
      <c r="E131" s="79">
        <f>Balanço_MRE!E131</f>
        <v>1</v>
      </c>
      <c r="F131" s="262">
        <f>Balanço_MRE!F131</f>
        <v>744</v>
      </c>
      <c r="G131" s="263">
        <f>Balanço_MRE!G131</f>
        <v>114.98</v>
      </c>
      <c r="H131" s="193">
        <f>Balanço_MRE!H131</f>
        <v>85545.12000000001</v>
      </c>
      <c r="I131" s="115"/>
      <c r="J131" s="393"/>
      <c r="K131" s="393"/>
      <c r="L131" s="393"/>
      <c r="M131" s="393"/>
      <c r="N131" s="247"/>
    </row>
    <row r="132" spans="1:14" ht="15" x14ac:dyDescent="0.25">
      <c r="A132" s="167">
        <f>Balanço_MRE!A132</f>
        <v>0</v>
      </c>
      <c r="B132" s="167" t="str">
        <f>Balanço_MRE!B132</f>
        <v>CCE_5_SAFIRA_012019_31012019</v>
      </c>
      <c r="C132" s="167" t="str">
        <f>Balanço_MRE!C132</f>
        <v>Contratos de Compra</v>
      </c>
      <c r="D132" s="192" t="str">
        <f>Balanço_MRE!D132</f>
        <v>SUDESTE</v>
      </c>
      <c r="E132" s="79">
        <f>Balanço_MRE!E132</f>
        <v>5</v>
      </c>
      <c r="F132" s="262">
        <f>Balanço_MRE!F132</f>
        <v>3720</v>
      </c>
      <c r="G132" s="263">
        <f>Balanço_MRE!G132</f>
        <v>114.98</v>
      </c>
      <c r="H132" s="193">
        <f>Balanço_MRE!H132</f>
        <v>427725.60000000003</v>
      </c>
      <c r="I132" s="115"/>
      <c r="J132" s="393"/>
      <c r="K132" s="393"/>
      <c r="L132" s="393"/>
      <c r="M132" s="393"/>
      <c r="N132" s="247"/>
    </row>
    <row r="133" spans="1:14" ht="15" x14ac:dyDescent="0.25">
      <c r="A133" s="167">
        <f>Balanço_MRE!A133</f>
        <v>0</v>
      </c>
      <c r="B133" s="167" t="str">
        <f>Balanço_MRE!B133</f>
        <v>CCE_0,4_MATRIX_012019_31012019</v>
      </c>
      <c r="C133" s="167" t="str">
        <f>Balanço_MRE!C133</f>
        <v>Contratos de Compra</v>
      </c>
      <c r="D133" s="192" t="str">
        <f>Balanço_MRE!D133</f>
        <v>SUDESTE</v>
      </c>
      <c r="E133" s="79">
        <f>Balanço_MRE!E133</f>
        <v>0.4</v>
      </c>
      <c r="F133" s="262">
        <f>Balanço_MRE!F133</f>
        <v>297.60000000000002</v>
      </c>
      <c r="G133" s="263">
        <f>Balanço_MRE!G133</f>
        <v>115.01</v>
      </c>
      <c r="H133" s="193">
        <f>Balanço_MRE!H133</f>
        <v>34226.976000000002</v>
      </c>
      <c r="I133" s="115"/>
      <c r="J133" s="393"/>
      <c r="K133" s="393"/>
      <c r="L133" s="393"/>
      <c r="M133" s="393"/>
      <c r="N133" s="247"/>
    </row>
    <row r="134" spans="1:14" ht="15" x14ac:dyDescent="0.25">
      <c r="A134" s="167">
        <f>Balanço_MRE!A134</f>
        <v>0</v>
      </c>
      <c r="B134" s="167" t="str">
        <f>Balanço_MRE!B134</f>
        <v>CCE_1_NOVA_012019_31012019</v>
      </c>
      <c r="C134" s="167" t="str">
        <f>Balanço_MRE!C134</f>
        <v>Contratos de Compra</v>
      </c>
      <c r="D134" s="192" t="str">
        <f>Balanço_MRE!D134</f>
        <v>SUDESTE</v>
      </c>
      <c r="E134" s="79">
        <f>Balanço_MRE!E134</f>
        <v>1</v>
      </c>
      <c r="F134" s="262">
        <f>Balanço_MRE!F134</f>
        <v>744</v>
      </c>
      <c r="G134" s="263">
        <f>Balanço_MRE!G134</f>
        <v>115.01</v>
      </c>
      <c r="H134" s="193">
        <f>Balanço_MRE!H134</f>
        <v>85567.44</v>
      </c>
      <c r="I134" s="115"/>
      <c r="J134" s="393"/>
      <c r="K134" s="393"/>
      <c r="L134" s="393"/>
      <c r="M134" s="393"/>
      <c r="N134" s="247"/>
    </row>
    <row r="135" spans="1:14" ht="15" x14ac:dyDescent="0.25">
      <c r="A135" s="167">
        <f>Balanço_MRE!A135</f>
        <v>0</v>
      </c>
      <c r="B135" s="167" t="str">
        <f>Balanço_MRE!B135</f>
        <v>CCE_2_ECOM_012019_31012019</v>
      </c>
      <c r="C135" s="167" t="str">
        <f>Balanço_MRE!C135</f>
        <v>Contratos de Compra</v>
      </c>
      <c r="D135" s="192" t="str">
        <f>Balanço_MRE!D135</f>
        <v>SUDESTE</v>
      </c>
      <c r="E135" s="79">
        <f>Balanço_MRE!E135</f>
        <v>2</v>
      </c>
      <c r="F135" s="262">
        <f>Balanço_MRE!F135</f>
        <v>1488</v>
      </c>
      <c r="G135" s="263">
        <f>Balanço_MRE!G135</f>
        <v>115.01</v>
      </c>
      <c r="H135" s="193">
        <f>Balanço_MRE!H135</f>
        <v>171134.88</v>
      </c>
      <c r="I135" s="115"/>
      <c r="J135" s="393"/>
      <c r="K135" s="393"/>
      <c r="L135" s="393"/>
      <c r="M135" s="393"/>
      <c r="N135" s="247"/>
    </row>
    <row r="136" spans="1:14" ht="15" x14ac:dyDescent="0.25">
      <c r="A136" s="167">
        <f>Balanço_MRE!A136</f>
        <v>0</v>
      </c>
      <c r="B136" s="167" t="str">
        <f>Balanço_MRE!B136</f>
        <v>CCE_10_COMERC_012019_31012019</v>
      </c>
      <c r="C136" s="167" t="str">
        <f>Balanço_MRE!C136</f>
        <v>Contratos de Compra</v>
      </c>
      <c r="D136" s="192" t="str">
        <f>Balanço_MRE!D136</f>
        <v>SUDESTE</v>
      </c>
      <c r="E136" s="79">
        <f>Balanço_MRE!E136</f>
        <v>10</v>
      </c>
      <c r="F136" s="262">
        <f>Balanço_MRE!F136</f>
        <v>7440</v>
      </c>
      <c r="G136" s="263">
        <f>Balanço_MRE!G136</f>
        <v>115.01</v>
      </c>
      <c r="H136" s="193">
        <f>Balanço_MRE!H136</f>
        <v>855674.4</v>
      </c>
      <c r="I136" s="115"/>
      <c r="J136" s="393"/>
      <c r="K136" s="393"/>
      <c r="L136" s="393"/>
      <c r="M136" s="393"/>
      <c r="N136" s="247"/>
    </row>
    <row r="137" spans="1:14" ht="15" x14ac:dyDescent="0.25">
      <c r="A137" s="167">
        <f>Balanço_MRE!A137</f>
        <v>0</v>
      </c>
      <c r="B137" s="167" t="str">
        <f>Balanço_MRE!B137</f>
        <v>CCE_1_NOVA_012019_31012019</v>
      </c>
      <c r="C137" s="167" t="str">
        <f>Balanço_MRE!C137</f>
        <v>Contratos de Compra</v>
      </c>
      <c r="D137" s="192" t="str">
        <f>Balanço_MRE!D137</f>
        <v>SUDESTE</v>
      </c>
      <c r="E137" s="79">
        <f>Balanço_MRE!E137</f>
        <v>1</v>
      </c>
      <c r="F137" s="262">
        <f>Balanço_MRE!F137</f>
        <v>744</v>
      </c>
      <c r="G137" s="263">
        <f>Balanço_MRE!G137</f>
        <v>115.01</v>
      </c>
      <c r="H137" s="193">
        <f>Balanço_MRE!H137</f>
        <v>85567.44</v>
      </c>
      <c r="I137" s="115"/>
      <c r="J137" s="393"/>
      <c r="K137" s="393"/>
      <c r="L137" s="393"/>
      <c r="M137" s="393"/>
      <c r="N137" s="247"/>
    </row>
    <row r="138" spans="1:14" ht="15" x14ac:dyDescent="0.25">
      <c r="A138" s="167">
        <f>Balanço_MRE!A138</f>
        <v>0</v>
      </c>
      <c r="B138" s="167" t="str">
        <f>Balanço_MRE!B138</f>
        <v>CCE_20_TARGUS_012019_31012019</v>
      </c>
      <c r="C138" s="167" t="str">
        <f>Balanço_MRE!C138</f>
        <v>Contratos de Compra</v>
      </c>
      <c r="D138" s="192" t="str">
        <f>Balanço_MRE!D138</f>
        <v>SUDESTE</v>
      </c>
      <c r="E138" s="79">
        <f>Balanço_MRE!E138</f>
        <v>20</v>
      </c>
      <c r="F138" s="262">
        <f>Balanço_MRE!F138</f>
        <v>14880</v>
      </c>
      <c r="G138" s="263">
        <f>Balanço_MRE!G138</f>
        <v>80</v>
      </c>
      <c r="H138" s="193">
        <f>Balanço_MRE!H138</f>
        <v>1190400</v>
      </c>
      <c r="I138" s="115"/>
      <c r="J138" s="393"/>
      <c r="K138" s="393"/>
      <c r="L138" s="393"/>
      <c r="M138" s="393"/>
      <c r="N138" s="247"/>
    </row>
    <row r="139" spans="1:14" ht="15" x14ac:dyDescent="0.25">
      <c r="A139" s="167">
        <f>Balanço_MRE!A139</f>
        <v>0</v>
      </c>
      <c r="B139" s="167" t="str">
        <f>Balanço_MRE!B139</f>
        <v>CCE_5_SAFIRA_012019_31012019</v>
      </c>
      <c r="C139" s="167" t="str">
        <f>Balanço_MRE!C139</f>
        <v>Contratos de Compra</v>
      </c>
      <c r="D139" s="192" t="str">
        <f>Balanço_MRE!D139</f>
        <v>SUDESTE</v>
      </c>
      <c r="E139" s="79">
        <f>Balanço_MRE!E139</f>
        <v>5</v>
      </c>
      <c r="F139" s="262">
        <f>Balanço_MRE!F139</f>
        <v>3720</v>
      </c>
      <c r="G139" s="263">
        <f>Balanço_MRE!G139</f>
        <v>82.5</v>
      </c>
      <c r="H139" s="193">
        <f>Balanço_MRE!H139</f>
        <v>306900</v>
      </c>
      <c r="I139" s="115"/>
      <c r="J139" s="393"/>
      <c r="K139" s="393"/>
      <c r="L139" s="393"/>
      <c r="M139" s="393"/>
      <c r="N139" s="247"/>
    </row>
    <row r="140" spans="1:14" ht="15" x14ac:dyDescent="0.25">
      <c r="A140" s="167">
        <f>Balanço_MRE!A140</f>
        <v>0</v>
      </c>
      <c r="B140" s="167" t="str">
        <f>Balanço_MRE!B140</f>
        <v>CCE_53_PRINCIPAL_012019_31012019</v>
      </c>
      <c r="C140" s="167" t="str">
        <f>Balanço_MRE!C140</f>
        <v>Contratos de Compra</v>
      </c>
      <c r="D140" s="192" t="str">
        <f>Balanço_MRE!D140</f>
        <v>NORTE</v>
      </c>
      <c r="E140" s="79">
        <f>Balanço_MRE!E140</f>
        <v>53</v>
      </c>
      <c r="F140" s="262">
        <f>Balanço_MRE!F140</f>
        <v>39432</v>
      </c>
      <c r="G140" s="263">
        <f>Balanço_MRE!G140</f>
        <v>53.472580645161287</v>
      </c>
      <c r="H140" s="193">
        <f>Balanço_MRE!H140</f>
        <v>2108530.7999999998</v>
      </c>
      <c r="I140" s="115"/>
      <c r="J140" s="393"/>
      <c r="K140" s="393"/>
      <c r="L140" s="393"/>
      <c r="M140" s="393"/>
      <c r="N140" s="247"/>
    </row>
    <row r="141" spans="1:14" ht="15" x14ac:dyDescent="0.25">
      <c r="A141" s="167">
        <f>Balanço_MRE!A141</f>
        <v>0</v>
      </c>
      <c r="B141" s="167" t="str">
        <f>Balanço_MRE!B141</f>
        <v>CCE_25_SAMARCO_012019_31012019</v>
      </c>
      <c r="C141" s="167" t="str">
        <f>Balanço_MRE!C141</f>
        <v>Contratos de Compra</v>
      </c>
      <c r="D141" s="192" t="str">
        <f>Balanço_MRE!D141</f>
        <v>sUDESTE</v>
      </c>
      <c r="E141" s="79">
        <f>Balanço_MRE!E141</f>
        <v>25</v>
      </c>
      <c r="F141" s="262">
        <f>Balanço_MRE!F141</f>
        <v>18600</v>
      </c>
      <c r="G141" s="263">
        <f>Balanço_MRE!G141</f>
        <v>196.1</v>
      </c>
      <c r="H141" s="193">
        <f>Balanço_MRE!H141</f>
        <v>3647460</v>
      </c>
      <c r="I141" s="115"/>
      <c r="J141" s="393"/>
      <c r="K141" s="393"/>
      <c r="L141" s="393"/>
      <c r="M141" s="393"/>
      <c r="N141" s="247"/>
    </row>
    <row r="142" spans="1:14" ht="15" x14ac:dyDescent="0.25">
      <c r="A142" s="80" t="s">
        <v>32</v>
      </c>
      <c r="B142" s="16"/>
      <c r="C142" s="16"/>
      <c r="D142" s="17"/>
      <c r="E142" s="81">
        <f>SUM(E99:E141)</f>
        <v>1022.3402838741126</v>
      </c>
      <c r="F142" s="84">
        <f>SUM(F99:F141)</f>
        <v>760621.17120233981</v>
      </c>
      <c r="G142" s="82">
        <f>IFERROR(H142/F142,0)</f>
        <v>141.66215447196805</v>
      </c>
      <c r="H142" s="82">
        <f>SUM(H99:H129)</f>
        <v>107751233.84951513</v>
      </c>
      <c r="I142" s="115"/>
      <c r="N142" s="247"/>
    </row>
    <row r="143" spans="1:14" ht="15" x14ac:dyDescent="0.25">
      <c r="D143" s="106"/>
      <c r="N143" s="247"/>
    </row>
    <row r="144" spans="1:14" ht="15" x14ac:dyDescent="0.25">
      <c r="A144" s="548" t="s">
        <v>76</v>
      </c>
      <c r="B144" s="548"/>
      <c r="C144" s="548"/>
      <c r="D144" s="548"/>
      <c r="E144" s="548"/>
      <c r="F144" s="548"/>
      <c r="G144" s="548"/>
      <c r="H144" s="548"/>
      <c r="I144" s="109"/>
      <c r="N144" s="247"/>
    </row>
    <row r="145" spans="1:14" ht="15" x14ac:dyDescent="0.25">
      <c r="A145" s="10" t="s">
        <v>252</v>
      </c>
      <c r="B145" s="10" t="s">
        <v>1</v>
      </c>
      <c r="C145" s="10" t="s">
        <v>2</v>
      </c>
      <c r="D145" s="10" t="s">
        <v>3</v>
      </c>
      <c r="E145" s="10" t="s">
        <v>137</v>
      </c>
      <c r="F145" s="10" t="s">
        <v>25</v>
      </c>
      <c r="G145" s="10" t="s">
        <v>253</v>
      </c>
      <c r="H145" s="10" t="s">
        <v>254</v>
      </c>
      <c r="J145" s="10" t="s">
        <v>72</v>
      </c>
      <c r="K145" s="10" t="s">
        <v>73</v>
      </c>
      <c r="L145" s="10" t="s">
        <v>74</v>
      </c>
      <c r="M145" s="10" t="s">
        <v>75</v>
      </c>
      <c r="N145" s="247"/>
    </row>
    <row r="146" spans="1:14" ht="15" x14ac:dyDescent="0.25">
      <c r="A146" s="167" t="str">
        <f>Balanço_MRE!A146</f>
        <v>id CCEE</v>
      </c>
      <c r="B146" s="167" t="str">
        <f>Balanço_MRE!B146</f>
        <v>Contrato</v>
      </c>
      <c r="C146" s="167" t="str">
        <f>Balanço_MRE!C146</f>
        <v>Tipo</v>
      </c>
      <c r="D146" s="192" t="str">
        <f>Balanço_MRE!D146</f>
        <v>Submercado</v>
      </c>
      <c r="E146" s="79" t="str">
        <f>Balanço_MRE!E146</f>
        <v>MWm</v>
      </c>
      <c r="F146" s="262" t="str">
        <f>Balanço_MRE!F146</f>
        <v>MWh</v>
      </c>
      <c r="G146" s="263" t="str">
        <f>Balanço_MRE!G146</f>
        <v>R$/MWh</v>
      </c>
      <c r="H146" s="193" t="str">
        <f>Balanço_MRE!H146</f>
        <v>R$</v>
      </c>
      <c r="J146" s="9" t="e">
        <f>VLOOKUP(A146,#REF!,26,FALSE)</f>
        <v>#REF!</v>
      </c>
      <c r="K146" s="9" t="e">
        <f>VLOOKUP(A146,#REF!,8,FALSE)</f>
        <v>#REF!</v>
      </c>
      <c r="L146" s="9" t="e">
        <f>VLOOKUP(A146,#REF!,32,FALSE)</f>
        <v>#REF!</v>
      </c>
      <c r="M146" s="9" t="e">
        <f>VLOOKUP(A146,#REF!,33,FALSE)</f>
        <v>#REF!</v>
      </c>
      <c r="N146" s="247" t="e">
        <f t="shared" ref="N146:N157" si="37">(J146*$B$33)-F146</f>
        <v>#REF!</v>
      </c>
    </row>
    <row r="147" spans="1:14" ht="15" x14ac:dyDescent="0.25">
      <c r="A147" s="167">
        <f>Balanço_MRE!A147</f>
        <v>558367</v>
      </c>
      <c r="B147" s="167" t="str">
        <f>Balanço_MRE!B147</f>
        <v>CVRD &gt;&gt; 0214_0119</v>
      </c>
      <c r="C147" s="167" t="str">
        <f>Balanço_MRE!C147</f>
        <v>Contratos de Venda</v>
      </c>
      <c r="D147" s="192" t="str">
        <f>Balanço_MRE!D147</f>
        <v>NORTE</v>
      </c>
      <c r="E147" s="79">
        <f>Balanço_MRE!E147</f>
        <v>0</v>
      </c>
      <c r="F147" s="262">
        <f>Balanço_MRE!F147</f>
        <v>0</v>
      </c>
      <c r="G147" s="263">
        <f>Balanço_MRE!G147</f>
        <v>0</v>
      </c>
      <c r="H147" s="193">
        <f>Balanço_MRE!H147</f>
        <v>0</v>
      </c>
      <c r="I147" s="83"/>
      <c r="J147" s="9" t="e">
        <f>VLOOKUP(A147,#REF!,26,FALSE)</f>
        <v>#REF!</v>
      </c>
      <c r="K147" s="9" t="e">
        <f>VLOOKUP(A147,#REF!,8,FALSE)</f>
        <v>#REF!</v>
      </c>
      <c r="L147" s="9" t="e">
        <f>VLOOKUP(A147,#REF!,32,FALSE)</f>
        <v>#REF!</v>
      </c>
      <c r="M147" s="9" t="e">
        <f>VLOOKUP(A147,#REF!,33,FALSE)</f>
        <v>#REF!</v>
      </c>
      <c r="N147" s="247" t="e">
        <f t="shared" si="37"/>
        <v>#REF!</v>
      </c>
    </row>
    <row r="148" spans="1:14" ht="15" x14ac:dyDescent="0.25">
      <c r="A148" s="167">
        <f>Balanço_MRE!A148</f>
        <v>567196</v>
      </c>
      <c r="B148" s="167" t="str">
        <f>Balanço_MRE!B148</f>
        <v>CVRD &gt;&gt; 0214_0119 (AP)</v>
      </c>
      <c r="C148" s="167" t="str">
        <f>Balanço_MRE!C148</f>
        <v>Contratos de Venda</v>
      </c>
      <c r="D148" s="192" t="str">
        <f>Balanço_MRE!D148</f>
        <v>NORTE</v>
      </c>
      <c r="E148" s="79">
        <f>Balanço_MRE!E148</f>
        <v>263.06450000000001</v>
      </c>
      <c r="F148" s="262">
        <f>Balanço_MRE!F148</f>
        <v>195719.98814725081</v>
      </c>
      <c r="G148" s="263">
        <f>Balanço_MRE!G148</f>
        <v>0</v>
      </c>
      <c r="H148" s="193">
        <f>Balanço_MRE!H148</f>
        <v>0</v>
      </c>
      <c r="I148" s="143"/>
      <c r="J148" s="9" t="e">
        <f>VLOOKUP(A148,#REF!,26,FALSE)</f>
        <v>#REF!</v>
      </c>
      <c r="K148" s="9" t="e">
        <f>VLOOKUP(A148,#REF!,8,FALSE)</f>
        <v>#REF!</v>
      </c>
      <c r="L148" s="9" t="e">
        <f>VLOOKUP(A148,#REF!,32,FALSE)</f>
        <v>#REF!</v>
      </c>
      <c r="M148" s="9" t="e">
        <f>VLOOKUP(A148,#REF!,33,FALSE)</f>
        <v>#REF!</v>
      </c>
      <c r="N148" s="247" t="e">
        <f t="shared" si="37"/>
        <v>#REF!</v>
      </c>
    </row>
    <row r="149" spans="1:14" ht="15" x14ac:dyDescent="0.25">
      <c r="A149" s="167">
        <f>Balanço_MRE!A149</f>
        <v>566711</v>
      </c>
      <c r="B149" s="167" t="str">
        <f>Balanço_MRE!B149</f>
        <v>SALOBO &gt;&gt; 0214_0119</v>
      </c>
      <c r="C149" s="167" t="str">
        <f>Balanço_MRE!C149</f>
        <v>Contratos de Venda</v>
      </c>
      <c r="D149" s="192" t="str">
        <f>Balanço_MRE!D149</f>
        <v>NORTE</v>
      </c>
      <c r="E149" s="79">
        <f>Balanço_MRE!E149</f>
        <v>0</v>
      </c>
      <c r="F149" s="262">
        <f>Balanço_MRE!F149</f>
        <v>0</v>
      </c>
      <c r="G149" s="263">
        <f>Balanço_MRE!G149</f>
        <v>0</v>
      </c>
      <c r="H149" s="193">
        <f>Balanço_MRE!H149</f>
        <v>0</v>
      </c>
      <c r="I149" s="265"/>
      <c r="J149" s="9" t="e">
        <f>VLOOKUP(A149,#REF!,26,FALSE)</f>
        <v>#REF!</v>
      </c>
      <c r="K149" s="9" t="e">
        <f>VLOOKUP(A149,#REF!,8,FALSE)</f>
        <v>#REF!</v>
      </c>
      <c r="L149" s="9" t="e">
        <f>VLOOKUP(A149,#REF!,32,FALSE)</f>
        <v>#REF!</v>
      </c>
      <c r="M149" s="9" t="e">
        <f>VLOOKUP(A149,#REF!,33,FALSE)</f>
        <v>#REF!</v>
      </c>
      <c r="N149" s="247" t="e">
        <f t="shared" si="37"/>
        <v>#REF!</v>
      </c>
    </row>
    <row r="150" spans="1:14" ht="15" x14ac:dyDescent="0.25">
      <c r="A150" s="167">
        <f>Balanço_MRE!A150</f>
        <v>598099</v>
      </c>
      <c r="B150" s="167" t="str">
        <f>Balanço_MRE!B150</f>
        <v>VALE ENERGIA &gt;&gt; 0214_0119</v>
      </c>
      <c r="C150" s="167" t="str">
        <f>Balanço_MRE!C150</f>
        <v>Contratos de Venda</v>
      </c>
      <c r="D150" s="192" t="str">
        <f>Balanço_MRE!D150</f>
        <v>NORTE</v>
      </c>
      <c r="E150" s="79">
        <f>Balanço_MRE!E150</f>
        <v>0</v>
      </c>
      <c r="F150" s="262">
        <f>Balanço_MRE!F150</f>
        <v>0</v>
      </c>
      <c r="G150" s="263">
        <f>Balanço_MRE!G150</f>
        <v>0</v>
      </c>
      <c r="H150" s="193">
        <f>Balanço_MRE!H150</f>
        <v>0</v>
      </c>
      <c r="I150" s="143"/>
      <c r="J150" s="9" t="e">
        <f>VLOOKUP(A150,#REF!,26,FALSE)</f>
        <v>#REF!</v>
      </c>
      <c r="K150" s="9" t="e">
        <f>VLOOKUP(A150,#REF!,8,FALSE)</f>
        <v>#REF!</v>
      </c>
      <c r="L150" s="9" t="e">
        <f>VLOOKUP(A150,#REF!,32,FALSE)</f>
        <v>#REF!</v>
      </c>
      <c r="M150" s="9" t="e">
        <f>VLOOKUP(A150,#REF!,33,FALSE)</f>
        <v>#REF!</v>
      </c>
      <c r="N150" s="247" t="e">
        <f t="shared" si="37"/>
        <v>#REF!</v>
      </c>
    </row>
    <row r="151" spans="1:14" ht="15" x14ac:dyDescent="0.25">
      <c r="A151" s="167">
        <f>Balanço_MRE!A151</f>
        <v>566680</v>
      </c>
      <c r="B151" s="167" t="str">
        <f>Balanço_MRE!B151</f>
        <v>ALIANÇA GERAÇÃO &gt;&gt; 0214_0119</v>
      </c>
      <c r="C151" s="167" t="str">
        <f>Balanço_MRE!C151</f>
        <v>Contratos de Venda</v>
      </c>
      <c r="D151" s="192" t="str">
        <f>Balanço_MRE!D151</f>
        <v>SUDESTE</v>
      </c>
      <c r="E151" s="79">
        <f>Balanço_MRE!E151</f>
        <v>0</v>
      </c>
      <c r="F151" s="262">
        <f>Balanço_MRE!F151</f>
        <v>0</v>
      </c>
      <c r="G151" s="263">
        <f>Balanço_MRE!G151</f>
        <v>0</v>
      </c>
      <c r="H151" s="193">
        <f>Balanço_MRE!H151</f>
        <v>0</v>
      </c>
      <c r="I151" s="143"/>
      <c r="J151" s="9" t="e">
        <f>VLOOKUP(A151,#REF!,26,FALSE)</f>
        <v>#REF!</v>
      </c>
      <c r="K151" s="9" t="e">
        <f>VLOOKUP(A151,#REF!,8,FALSE)</f>
        <v>#REF!</v>
      </c>
      <c r="L151" s="9" t="e">
        <f>VLOOKUP(A151,#REF!,32,FALSE)</f>
        <v>#REF!</v>
      </c>
      <c r="M151" s="9" t="e">
        <f>VLOOKUP(A151,#REF!,33,FALSE)</f>
        <v>#REF!</v>
      </c>
      <c r="N151" s="247" t="e">
        <f t="shared" si="37"/>
        <v>#REF!</v>
      </c>
    </row>
    <row r="152" spans="1:14" ht="15" x14ac:dyDescent="0.25">
      <c r="A152" s="167">
        <f>Balanço_MRE!A152</f>
        <v>98196</v>
      </c>
      <c r="B152" s="167" t="str">
        <f>Balanço_MRE!B152</f>
        <v>CVRD &gt;&gt; 0112_1219</v>
      </c>
      <c r="C152" s="167" t="str">
        <f>Balanço_MRE!C152</f>
        <v>Contratos de Venda</v>
      </c>
      <c r="D152" s="192" t="str">
        <f>Balanço_MRE!D152</f>
        <v>SUDESTE</v>
      </c>
      <c r="E152" s="79">
        <f>Balanço_MRE!E152</f>
        <v>0</v>
      </c>
      <c r="F152" s="262">
        <f>Balanço_MRE!F152</f>
        <v>0</v>
      </c>
      <c r="G152" s="263">
        <f>Balanço_MRE!G152</f>
        <v>0</v>
      </c>
      <c r="H152" s="193">
        <f>Balanço_MRE!H152</f>
        <v>0</v>
      </c>
      <c r="I152" s="83"/>
      <c r="J152" s="9" t="e">
        <f>VLOOKUP(A152,#REF!,26,FALSE)</f>
        <v>#REF!</v>
      </c>
      <c r="K152" s="9" t="e">
        <f>VLOOKUP(A152,#REF!,8,FALSE)</f>
        <v>#REF!</v>
      </c>
      <c r="L152" s="9" t="e">
        <f>VLOOKUP(A152,#REF!,32,FALSE)</f>
        <v>#REF!</v>
      </c>
      <c r="M152" s="9" t="e">
        <f>VLOOKUP(A152,#REF!,33,FALSE)</f>
        <v>#REF!</v>
      </c>
      <c r="N152" s="247" t="e">
        <f t="shared" si="37"/>
        <v>#REF!</v>
      </c>
    </row>
    <row r="153" spans="1:14" ht="15" x14ac:dyDescent="0.25">
      <c r="A153" s="167">
        <f>Balanço_MRE!A153</f>
        <v>567194</v>
      </c>
      <c r="B153" s="167" t="str">
        <f>Balanço_MRE!B153</f>
        <v>CVRD &gt;&gt; 0214_0119 (AP)</v>
      </c>
      <c r="C153" s="167" t="str">
        <f>Balanço_MRE!C153</f>
        <v>Contratos de Venda</v>
      </c>
      <c r="D153" s="192" t="str">
        <f>Balanço_MRE!D153</f>
        <v>SUDESTE</v>
      </c>
      <c r="E153" s="79">
        <f>Balanço_MRE!E153</f>
        <v>409.45101099999999</v>
      </c>
      <c r="F153" s="262">
        <f>Balanço_MRE!F153</f>
        <v>304631.551992097</v>
      </c>
      <c r="G153" s="263">
        <f>Balanço_MRE!G153</f>
        <v>0</v>
      </c>
      <c r="H153" s="193">
        <f>Balanço_MRE!H153</f>
        <v>0</v>
      </c>
      <c r="I153" s="115"/>
      <c r="J153" s="9" t="e">
        <f>VLOOKUP(A153,#REF!,26,FALSE)</f>
        <v>#REF!</v>
      </c>
      <c r="K153" s="9" t="e">
        <f>VLOOKUP(A153,#REF!,8,FALSE)</f>
        <v>#REF!</v>
      </c>
      <c r="L153" s="9" t="e">
        <f>VLOOKUP(A153,#REF!,32,FALSE)</f>
        <v>#REF!</v>
      </c>
      <c r="M153" s="9" t="e">
        <f>VLOOKUP(A153,#REF!,33,FALSE)</f>
        <v>#REF!</v>
      </c>
      <c r="N153" s="247" t="e">
        <f t="shared" si="37"/>
        <v>#REF!</v>
      </c>
    </row>
    <row r="154" spans="1:14" ht="15" x14ac:dyDescent="0.25">
      <c r="A154" s="167">
        <f>Balanço_MRE!A154</f>
        <v>566657</v>
      </c>
      <c r="B154" s="167" t="str">
        <f>Balanço_MRE!B154</f>
        <v>CVRD CL2 &gt;&gt; 0214_0119</v>
      </c>
      <c r="C154" s="167" t="str">
        <f>Balanço_MRE!C154</f>
        <v>Contratos de Venda</v>
      </c>
      <c r="D154" s="192" t="str">
        <f>Balanço_MRE!D154</f>
        <v>SUDESTE</v>
      </c>
      <c r="E154" s="79">
        <f>Balanço_MRE!E154</f>
        <v>0</v>
      </c>
      <c r="F154" s="262">
        <f>Balanço_MRE!F154</f>
        <v>0</v>
      </c>
      <c r="G154" s="263">
        <f>Balanço_MRE!G154</f>
        <v>0</v>
      </c>
      <c r="H154" s="193">
        <f>Balanço_MRE!H154</f>
        <v>0</v>
      </c>
      <c r="I154" s="247">
        <f>IF(SUM(F383:F388) -SUM(G383:G388) -SUM(F395:F399,F401:F408) &gt;0, SUM(F383:F388) -SUM(G383:G388) -SUM(F395:F399,F401:F408), 0)</f>
        <v>12826.698768224938</v>
      </c>
      <c r="J154" s="9" t="e">
        <f>VLOOKUP(A154,#REF!,26,FALSE)</f>
        <v>#REF!</v>
      </c>
      <c r="K154" s="9" t="e">
        <f>VLOOKUP(A154,#REF!,8,FALSE)</f>
        <v>#REF!</v>
      </c>
      <c r="L154" s="9" t="e">
        <f>VLOOKUP(A154,#REF!,32,FALSE)</f>
        <v>#REF!</v>
      </c>
      <c r="M154" s="9" t="e">
        <f>VLOOKUP(A154,#REF!,33,FALSE)</f>
        <v>#REF!</v>
      </c>
      <c r="N154" s="247" t="e">
        <f t="shared" si="37"/>
        <v>#REF!</v>
      </c>
    </row>
    <row r="155" spans="1:14" ht="15" x14ac:dyDescent="0.25">
      <c r="A155" s="167">
        <f>Balanço_MRE!A155</f>
        <v>567235</v>
      </c>
      <c r="B155" s="167" t="str">
        <f>Balanço_MRE!B155</f>
        <v>CVRD CL2 &gt;&gt; 0214_0119 (AP)</v>
      </c>
      <c r="C155" s="167" t="str">
        <f>Balanço_MRE!C155</f>
        <v>Contratos de Venda</v>
      </c>
      <c r="D155" s="192" t="str">
        <f>Balanço_MRE!D155</f>
        <v>SUDESTE</v>
      </c>
      <c r="E155" s="79">
        <f>Balanço_MRE!E155</f>
        <v>17.411377000000002</v>
      </c>
      <c r="F155" s="262">
        <f>Balanço_MRE!F155</f>
        <v>12954.064768224933</v>
      </c>
      <c r="G155" s="263">
        <f>Balanço_MRE!G155</f>
        <v>0</v>
      </c>
      <c r="H155" s="193">
        <f>Balanço_MRE!H155</f>
        <v>0</v>
      </c>
      <c r="I155" s="247"/>
      <c r="J155" s="9"/>
      <c r="K155" s="9"/>
      <c r="L155" s="9"/>
      <c r="M155" s="9"/>
      <c r="N155" s="247"/>
    </row>
    <row r="156" spans="1:14" ht="15" x14ac:dyDescent="0.25">
      <c r="A156" s="167">
        <f>Balanço_MRE!A156</f>
        <v>1131782</v>
      </c>
      <c r="B156" s="167" t="str">
        <f>Balanço_MRE!B156</f>
        <v>CVRD CL2 &gt;&gt; 0617 (AP)</v>
      </c>
      <c r="C156" s="167" t="str">
        <f>Balanço_MRE!C156</f>
        <v>Contratos de Venda</v>
      </c>
      <c r="D156" s="192" t="str">
        <f>Balanço_MRE!D156</f>
        <v>NORTE</v>
      </c>
      <c r="E156" s="79">
        <f>Balanço_MRE!E156</f>
        <v>31.576284999999999</v>
      </c>
      <c r="F156" s="262">
        <f>Balanço_MRE!F156</f>
        <v>23492.756218247436</v>
      </c>
      <c r="G156" s="263">
        <f>Balanço_MRE!G156</f>
        <v>0</v>
      </c>
      <c r="H156" s="193">
        <f>Balanço_MRE!H156</f>
        <v>0</v>
      </c>
      <c r="I156" s="83"/>
      <c r="J156" s="9" t="e">
        <f>VLOOKUP(A156,#REF!,26,FALSE)</f>
        <v>#REF!</v>
      </c>
      <c r="K156" s="9" t="e">
        <f>VLOOKUP(A156,#REF!,8,FALSE)</f>
        <v>#REF!</v>
      </c>
      <c r="L156" s="9" t="e">
        <f>VLOOKUP(A156,#REF!,32,FALSE)</f>
        <v>#REF!</v>
      </c>
      <c r="M156" s="9" t="e">
        <f>VLOOKUP(A156,#REF!,33,FALSE)</f>
        <v>#REF!</v>
      </c>
      <c r="N156" s="247" t="e">
        <f t="shared" si="37"/>
        <v>#REF!</v>
      </c>
    </row>
    <row r="157" spans="1:14" ht="15" x14ac:dyDescent="0.25">
      <c r="A157" s="167">
        <f>Balanço_MRE!A157</f>
        <v>567197</v>
      </c>
      <c r="B157" s="167" t="str">
        <f>Balanço_MRE!B157</f>
        <v>CVRD CL3 &gt;&gt; 0214_0119 (AP)</v>
      </c>
      <c r="C157" s="167" t="str">
        <f>Balanço_MRE!C157</f>
        <v>Contratos de Venda</v>
      </c>
      <c r="D157" s="192" t="str">
        <f>Balanço_MRE!D157</f>
        <v>SUDESTE</v>
      </c>
      <c r="E157" s="79">
        <f>Balanço_MRE!E157</f>
        <v>196.48257100000001</v>
      </c>
      <c r="F157" s="262">
        <f>Balanço_MRE!F157</f>
        <v>146183.03273195872</v>
      </c>
      <c r="G157" s="263">
        <f>Balanço_MRE!G157</f>
        <v>0</v>
      </c>
      <c r="H157" s="193">
        <f>Balanço_MRE!H157</f>
        <v>0</v>
      </c>
      <c r="I157" s="115"/>
      <c r="J157" s="9" t="e">
        <f>VLOOKUP(A157,#REF!,26,FALSE)</f>
        <v>#REF!</v>
      </c>
      <c r="K157" s="9" t="e">
        <f>VLOOKUP(A157,#REF!,8,FALSE)</f>
        <v>#REF!</v>
      </c>
      <c r="L157" s="9" t="e">
        <f>VLOOKUP(A157,#REF!,32,FALSE)</f>
        <v>#REF!</v>
      </c>
      <c r="M157" s="9" t="e">
        <f>VLOOKUP(A157,#REF!,33,FALSE)</f>
        <v>#REF!</v>
      </c>
      <c r="N157" s="247" t="e">
        <f t="shared" si="37"/>
        <v>#REF!</v>
      </c>
    </row>
    <row r="158" spans="1:14" ht="15" x14ac:dyDescent="0.25">
      <c r="A158" s="167">
        <f>Balanço_MRE!A158</f>
        <v>558732</v>
      </c>
      <c r="B158" s="167" t="str">
        <f>Balanço_MRE!B158</f>
        <v>FERTILIZANTES &gt;&gt; 0214_0119</v>
      </c>
      <c r="C158" s="167" t="str">
        <f>Balanço_MRE!C158</f>
        <v>Contratos de Venda</v>
      </c>
      <c r="D158" s="192" t="str">
        <f>Balanço_MRE!D158</f>
        <v>SUDESTE</v>
      </c>
      <c r="E158" s="79">
        <f>Balanço_MRE!E158</f>
        <v>0</v>
      </c>
      <c r="F158" s="262">
        <f>Balanço_MRE!F158</f>
        <v>0</v>
      </c>
      <c r="G158" s="263">
        <f>Balanço_MRE!G158</f>
        <v>0</v>
      </c>
      <c r="H158" s="193">
        <f>Balanço_MRE!H158</f>
        <v>0</v>
      </c>
      <c r="I158" s="115"/>
      <c r="J158" s="9"/>
      <c r="K158" s="9"/>
      <c r="L158" s="9"/>
      <c r="M158" s="9"/>
      <c r="N158" s="247"/>
    </row>
    <row r="159" spans="1:14" ht="15" x14ac:dyDescent="0.25">
      <c r="A159" s="167">
        <f>Balanço_MRE!A159</f>
        <v>395247</v>
      </c>
      <c r="B159" s="167" t="str">
        <f>Balanço_MRE!B159</f>
        <v>VALE ENERGIA &gt;&gt; 0114_0119</v>
      </c>
      <c r="C159" s="167" t="str">
        <f>Balanço_MRE!C159</f>
        <v>Contratos de Venda</v>
      </c>
      <c r="D159" s="192" t="str">
        <f>Balanço_MRE!D159</f>
        <v>SUDESTE</v>
      </c>
      <c r="E159" s="79">
        <f>Balanço_MRE!E159</f>
        <v>0</v>
      </c>
      <c r="F159" s="262">
        <f>Balanço_MRE!F159</f>
        <v>0</v>
      </c>
      <c r="G159" s="263">
        <f>Balanço_MRE!G159</f>
        <v>0</v>
      </c>
      <c r="H159" s="193">
        <f>Balanço_MRE!H159</f>
        <v>0</v>
      </c>
      <c r="I159" s="115"/>
      <c r="J159" s="9"/>
      <c r="K159" s="9"/>
      <c r="L159" s="9"/>
      <c r="M159" s="9"/>
      <c r="N159" s="247"/>
    </row>
    <row r="160" spans="1:14" ht="15" x14ac:dyDescent="0.25">
      <c r="A160" s="167">
        <f>Balanço_MRE!A160</f>
        <v>291617</v>
      </c>
      <c r="B160" s="167" t="str">
        <f>Balanço_MRE!B160</f>
        <v>VALE ENERGIA &gt;&gt; 0713_0119</v>
      </c>
      <c r="C160" s="167" t="str">
        <f>Balanço_MRE!C160</f>
        <v>Contratos de Venda</v>
      </c>
      <c r="D160" s="192" t="str">
        <f>Balanço_MRE!D160</f>
        <v>SUDESTE</v>
      </c>
      <c r="E160" s="79">
        <f>Balanço_MRE!E160</f>
        <v>0</v>
      </c>
      <c r="F160" s="262">
        <f>Balanço_MRE!F160</f>
        <v>0</v>
      </c>
      <c r="G160" s="263">
        <f>Balanço_MRE!G160</f>
        <v>0</v>
      </c>
      <c r="H160" s="193">
        <f>Balanço_MRE!H160</f>
        <v>0</v>
      </c>
      <c r="I160" s="304"/>
      <c r="J160" s="9"/>
      <c r="K160" s="9"/>
      <c r="L160" s="9"/>
      <c r="M160" s="9"/>
      <c r="N160" s="247"/>
    </row>
    <row r="161" spans="1:14" ht="15" x14ac:dyDescent="0.25">
      <c r="A161" s="167">
        <f>Balanço_MRE!A161</f>
        <v>1097143</v>
      </c>
      <c r="B161" s="167" t="str">
        <f>Balanço_MRE!B161</f>
        <v>CVE_XXX_VALE_01012018_31122018_SALOBO</v>
      </c>
      <c r="C161" s="167" t="str">
        <f>Balanço_MRE!C161</f>
        <v>Contratos de Venda</v>
      </c>
      <c r="D161" s="192" t="str">
        <f>Balanço_MRE!D161</f>
        <v>NORTE</v>
      </c>
      <c r="E161" s="79">
        <f>Balanço_MRE!E161</f>
        <v>101.864163</v>
      </c>
      <c r="F161" s="262">
        <f>Balanço_MRE!F161</f>
        <v>75786.937312061811</v>
      </c>
      <c r="G161" s="263">
        <f>Balanço_MRE!G161</f>
        <v>152.44999999999999</v>
      </c>
      <c r="H161" s="193">
        <f>Balanço_MRE!H161</f>
        <v>11553718.593223821</v>
      </c>
      <c r="I161" s="304"/>
      <c r="J161" s="9"/>
      <c r="K161" s="9"/>
      <c r="L161" s="9"/>
      <c r="M161" s="9"/>
      <c r="N161" s="247"/>
    </row>
    <row r="162" spans="1:14" ht="15" x14ac:dyDescent="0.25">
      <c r="A162" s="167">
        <f>Balanço_MRE!A162</f>
        <v>1097145</v>
      </c>
      <c r="B162" s="167" t="str">
        <f>Balanço_MRE!B162</f>
        <v>CVE_3,02_VALE_01012019_31122019_CPBS</v>
      </c>
      <c r="C162" s="167" t="str">
        <f>Balanço_MRE!C162</f>
        <v>Contratos de Venda</v>
      </c>
      <c r="D162" s="192" t="str">
        <f>Balanço_MRE!D162</f>
        <v>SUDESTE</v>
      </c>
      <c r="E162" s="79">
        <f>Balanço_MRE!E162</f>
        <v>3.2902290000000001</v>
      </c>
      <c r="F162" s="262">
        <f>Balanço_MRE!F162</f>
        <v>2447.9300206185535</v>
      </c>
      <c r="G162" s="263">
        <f>Balanço_MRE!G162</f>
        <v>159.91</v>
      </c>
      <c r="H162" s="193">
        <f>Balanço_MRE!H162</f>
        <v>391448.48959711287</v>
      </c>
      <c r="I162" s="304"/>
      <c r="J162" s="9"/>
      <c r="K162" s="9"/>
      <c r="L162" s="9"/>
      <c r="M162" s="9"/>
      <c r="N162" s="247"/>
    </row>
    <row r="163" spans="1:14" ht="15" x14ac:dyDescent="0.25">
      <c r="A163" s="167">
        <f>Balanço_MRE!A163</f>
        <v>1167486</v>
      </c>
      <c r="B163" s="167" t="str">
        <f>Balanço_MRE!B163</f>
        <v>CVRD TIG</v>
      </c>
      <c r="C163" s="167" t="str">
        <f>Balanço_MRE!C163</f>
        <v>Contratos de Venda</v>
      </c>
      <c r="D163" s="192" t="str">
        <f>Balanço_MRE!D163</f>
        <v>SUDESTE</v>
      </c>
      <c r="E163" s="79">
        <f>Balanço_MRE!E163</f>
        <v>0</v>
      </c>
      <c r="F163" s="262">
        <f>Balanço_MRE!F163</f>
        <v>0</v>
      </c>
      <c r="G163" s="263">
        <f>Balanço_MRE!G163</f>
        <v>0</v>
      </c>
      <c r="H163" s="193">
        <f>Balanço_MRE!H163</f>
        <v>0</v>
      </c>
      <c r="I163" s="304"/>
      <c r="J163" s="9"/>
      <c r="K163" s="9"/>
      <c r="L163" s="9"/>
      <c r="M163" s="9"/>
      <c r="N163" s="247"/>
    </row>
    <row r="164" spans="1:14" ht="15" x14ac:dyDescent="0.25">
      <c r="A164" s="167">
        <f>Balanço_MRE!A164</f>
        <v>0</v>
      </c>
      <c r="B164" s="167">
        <f>Balanço_MRE!B164</f>
        <v>0</v>
      </c>
      <c r="C164" s="167">
        <f>Balanço_MRE!C164</f>
        <v>0</v>
      </c>
      <c r="D164" s="192">
        <f>Balanço_MRE!D164</f>
        <v>0</v>
      </c>
      <c r="E164" s="79">
        <f>Balanço_MRE!E164</f>
        <v>0</v>
      </c>
      <c r="F164" s="262">
        <f>Balanço_MRE!F164</f>
        <v>0</v>
      </c>
      <c r="G164" s="263">
        <f>Balanço_MRE!G164</f>
        <v>0</v>
      </c>
      <c r="H164" s="193">
        <f>Balanço_MRE!H164</f>
        <v>0</v>
      </c>
      <c r="I164" s="304"/>
      <c r="J164" s="9"/>
      <c r="K164" s="9"/>
      <c r="L164" s="9"/>
      <c r="M164" s="9"/>
      <c r="N164" s="247"/>
    </row>
    <row r="165" spans="1:14" ht="15" x14ac:dyDescent="0.25">
      <c r="A165" s="167">
        <f>Balanço_MRE!A165</f>
        <v>0</v>
      </c>
      <c r="B165" s="167">
        <f>Balanço_MRE!B165</f>
        <v>0</v>
      </c>
      <c r="C165" s="167">
        <f>Balanço_MRE!C165</f>
        <v>0</v>
      </c>
      <c r="D165" s="192">
        <f>Balanço_MRE!D165</f>
        <v>0</v>
      </c>
      <c r="E165" s="79">
        <f>Balanço_MRE!E165</f>
        <v>0</v>
      </c>
      <c r="F165" s="262">
        <f>Balanço_MRE!F165</f>
        <v>0</v>
      </c>
      <c r="G165" s="263">
        <f>Balanço_MRE!G165</f>
        <v>0</v>
      </c>
      <c r="H165" s="193">
        <f>Balanço_MRE!H165</f>
        <v>0</v>
      </c>
      <c r="I165" s="304"/>
      <c r="J165" s="9"/>
      <c r="K165" s="9"/>
      <c r="L165" s="9"/>
      <c r="M165" s="9"/>
      <c r="N165" s="247"/>
    </row>
    <row r="166" spans="1:14" ht="15" x14ac:dyDescent="0.25">
      <c r="A166" s="167">
        <f>Balanço_MRE!A166</f>
        <v>0</v>
      </c>
      <c r="B166" s="167">
        <f>Balanço_MRE!B166</f>
        <v>0</v>
      </c>
      <c r="C166" s="167">
        <f>Balanço_MRE!C166</f>
        <v>0</v>
      </c>
      <c r="D166" s="192">
        <f>Balanço_MRE!D166</f>
        <v>0</v>
      </c>
      <c r="E166" s="79">
        <f>Balanço_MRE!E166</f>
        <v>0</v>
      </c>
      <c r="F166" s="262">
        <f>Balanço_MRE!F166</f>
        <v>0</v>
      </c>
      <c r="G166" s="263">
        <f>Balanço_MRE!G166</f>
        <v>0</v>
      </c>
      <c r="H166" s="193">
        <f>Balanço_MRE!H166</f>
        <v>0</v>
      </c>
      <c r="I166" s="304"/>
      <c r="J166" s="9"/>
      <c r="K166" s="9"/>
      <c r="L166" s="9"/>
      <c r="M166" s="9"/>
      <c r="N166" s="247"/>
    </row>
    <row r="167" spans="1:14" ht="15" x14ac:dyDescent="0.25">
      <c r="A167" s="167">
        <f>Balanço_MRE!A167</f>
        <v>0</v>
      </c>
      <c r="B167" s="167">
        <f>Balanço_MRE!B167</f>
        <v>0</v>
      </c>
      <c r="C167" s="167">
        <f>Balanço_MRE!C167</f>
        <v>0</v>
      </c>
      <c r="D167" s="192">
        <f>Balanço_MRE!D167</f>
        <v>0</v>
      </c>
      <c r="E167" s="79">
        <f>Balanço_MRE!E167</f>
        <v>0</v>
      </c>
      <c r="F167" s="262">
        <f>Balanço_MRE!F167</f>
        <v>0</v>
      </c>
      <c r="G167" s="263">
        <f>Balanço_MRE!G167</f>
        <v>0</v>
      </c>
      <c r="H167" s="193">
        <f>Balanço_MRE!H167</f>
        <v>0</v>
      </c>
      <c r="I167" s="304"/>
      <c r="J167" s="9"/>
      <c r="K167" s="9"/>
      <c r="L167" s="9"/>
      <c r="M167" s="9"/>
      <c r="N167" s="247"/>
    </row>
    <row r="168" spans="1:14" ht="15" x14ac:dyDescent="0.25">
      <c r="A168" s="167">
        <f>Balanço_MRE!A168</f>
        <v>0</v>
      </c>
      <c r="B168" s="167">
        <f>Balanço_MRE!B168</f>
        <v>0</v>
      </c>
      <c r="C168" s="167">
        <f>Balanço_MRE!C168</f>
        <v>0</v>
      </c>
      <c r="D168" s="192">
        <f>Balanço_MRE!D168</f>
        <v>0</v>
      </c>
      <c r="E168" s="79">
        <f>Balanço_MRE!E168</f>
        <v>0</v>
      </c>
      <c r="F168" s="262">
        <f>Balanço_MRE!F168</f>
        <v>0</v>
      </c>
      <c r="G168" s="263">
        <f>Balanço_MRE!G168</f>
        <v>0</v>
      </c>
      <c r="H168" s="193">
        <f>Balanço_MRE!H168</f>
        <v>0</v>
      </c>
      <c r="I168" s="304"/>
      <c r="J168" s="9"/>
      <c r="K168" s="9"/>
      <c r="L168" s="9"/>
      <c r="M168" s="9"/>
      <c r="N168" s="247"/>
    </row>
    <row r="169" spans="1:14" ht="15" x14ac:dyDescent="0.25">
      <c r="A169" s="253"/>
      <c r="B169" s="253"/>
      <c r="C169" s="253"/>
      <c r="D169" s="253"/>
      <c r="E169" s="203"/>
      <c r="F169" s="204"/>
      <c r="G169" s="205"/>
      <c r="H169" s="206"/>
      <c r="I169" s="115"/>
      <c r="J169" s="393"/>
      <c r="K169" s="393"/>
      <c r="L169" s="393"/>
      <c r="M169" s="393"/>
      <c r="N169" s="247"/>
    </row>
    <row r="170" spans="1:14" ht="15" x14ac:dyDescent="0.25">
      <c r="A170" s="80" t="s">
        <v>32</v>
      </c>
      <c r="B170" s="16"/>
      <c r="C170" s="16"/>
      <c r="D170" s="17"/>
      <c r="E170" s="81">
        <f>SUM(E146:E169)</f>
        <v>1023.140136</v>
      </c>
      <c r="F170" s="84">
        <f>SUM(F146:F169)</f>
        <v>761216.26119045937</v>
      </c>
      <c r="G170" s="82">
        <f>IFERROR(H170/F170,0)</f>
        <v>15.692212176523912</v>
      </c>
      <c r="H170" s="82">
        <f>SUM(H146:H169)</f>
        <v>11945167.082820933</v>
      </c>
      <c r="I170" s="115"/>
      <c r="N170" s="247"/>
    </row>
    <row r="171" spans="1:14" ht="15" x14ac:dyDescent="0.25">
      <c r="E171" s="144"/>
      <c r="F171" s="109"/>
      <c r="N171" s="247"/>
    </row>
    <row r="172" spans="1:14" ht="15" x14ac:dyDescent="0.25">
      <c r="A172" s="548" t="s">
        <v>233</v>
      </c>
      <c r="B172" s="548"/>
      <c r="C172" s="548"/>
      <c r="E172" s="116" t="s">
        <v>19</v>
      </c>
      <c r="F172" s="116"/>
      <c r="G172" s="117" t="s">
        <v>20</v>
      </c>
      <c r="H172" s="117"/>
      <c r="I172" s="118" t="s">
        <v>21</v>
      </c>
      <c r="J172" s="118"/>
      <c r="K172" s="119" t="s">
        <v>22</v>
      </c>
      <c r="L172" s="119"/>
      <c r="N172" s="247"/>
    </row>
    <row r="173" spans="1:14" ht="15" x14ac:dyDescent="0.25">
      <c r="A173" s="10" t="s">
        <v>2</v>
      </c>
      <c r="B173" s="10" t="s">
        <v>137</v>
      </c>
      <c r="C173" s="10" t="s">
        <v>25</v>
      </c>
      <c r="E173" s="207" t="s">
        <v>137</v>
      </c>
      <c r="F173" s="208" t="s">
        <v>25</v>
      </c>
      <c r="G173" s="209" t="s">
        <v>137</v>
      </c>
      <c r="H173" s="210" t="s">
        <v>25</v>
      </c>
      <c r="I173" s="211" t="s">
        <v>137</v>
      </c>
      <c r="J173" s="212" t="s">
        <v>25</v>
      </c>
      <c r="K173" s="213" t="s">
        <v>137</v>
      </c>
      <c r="L173" s="214" t="s">
        <v>25</v>
      </c>
      <c r="N173" s="247"/>
    </row>
    <row r="174" spans="1:14" ht="15" x14ac:dyDescent="0.25">
      <c r="A174" s="29" t="s">
        <v>69</v>
      </c>
      <c r="B174" s="70">
        <f>E95</f>
        <v>0</v>
      </c>
      <c r="C174" s="83">
        <f>F95</f>
        <v>0</v>
      </c>
      <c r="E174" s="120">
        <f t="shared" ref="E174:E180" si="38">SUMIFS($E$92:$E$169,$C$92:$C$169,$A174,$D$92:$D$169,$E$172)</f>
        <v>0</v>
      </c>
      <c r="F174" s="121">
        <f t="shared" ref="F174:F180" si="39">SUMIFS($F$92:$F$169,$C$92:$C$169,$A174,$D$92:$D$169,$E$172)</f>
        <v>0</v>
      </c>
      <c r="G174" s="122">
        <f t="shared" ref="G174:G180" si="40">SUMIFS($E$92:$E$169,$C$92:$C$169,$A174,$D$92:$D$169,$G$172)</f>
        <v>0</v>
      </c>
      <c r="H174" s="123">
        <f t="shared" ref="H174:H180" si="41">SUMIFS($F$92:$F$169,$C$92:$C$169,$A174,$D$92:$D$169,$G$172)</f>
        <v>0</v>
      </c>
      <c r="I174" s="124">
        <f t="shared" ref="I174:I180" si="42">SUMIFS($E$92:$E$169,$C$92:$C$169,$A174,$D$92:$D$169,$I$172)</f>
        <v>0</v>
      </c>
      <c r="J174" s="125">
        <f t="shared" ref="J174:J180" si="43">SUMIFS($F$92:$F$169,$C$92:$C$169,$A174,$D$92:$D$169,$I$172)</f>
        <v>0</v>
      </c>
      <c r="K174" s="126">
        <f t="shared" ref="K174:K180" si="44">SUMIFS($E$92:$E$169,$C$92:$C$169,$A174,$D$92:$D$169,$K$172)</f>
        <v>0</v>
      </c>
      <c r="L174" s="127">
        <f t="shared" ref="L174:L180" si="45">SUMIFS($F$92:$F$169,$C$92:$C$169,$A174,$D$92:$D$169,$K$172)</f>
        <v>0</v>
      </c>
      <c r="N174" s="247"/>
    </row>
    <row r="175" spans="1:14" ht="15" x14ac:dyDescent="0.25">
      <c r="A175" s="29" t="s">
        <v>47</v>
      </c>
      <c r="B175" s="70">
        <v>0</v>
      </c>
      <c r="C175" s="83">
        <v>0</v>
      </c>
      <c r="E175" s="120">
        <f t="shared" si="38"/>
        <v>0</v>
      </c>
      <c r="F175" s="121">
        <f t="shared" si="39"/>
        <v>0</v>
      </c>
      <c r="G175" s="122">
        <f t="shared" si="40"/>
        <v>0</v>
      </c>
      <c r="H175" s="123">
        <f t="shared" si="41"/>
        <v>0</v>
      </c>
      <c r="I175" s="124">
        <f t="shared" si="42"/>
        <v>0</v>
      </c>
      <c r="J175" s="125">
        <f t="shared" si="43"/>
        <v>0</v>
      </c>
      <c r="K175" s="126">
        <f t="shared" si="44"/>
        <v>0</v>
      </c>
      <c r="L175" s="127">
        <f t="shared" si="45"/>
        <v>0</v>
      </c>
      <c r="N175" s="247"/>
    </row>
    <row r="176" spans="1:14" ht="15" x14ac:dyDescent="0.25">
      <c r="A176" s="29" t="s">
        <v>79</v>
      </c>
      <c r="B176" s="70">
        <v>0</v>
      </c>
      <c r="C176" s="83">
        <v>0</v>
      </c>
      <c r="E176" s="120">
        <f t="shared" si="38"/>
        <v>0</v>
      </c>
      <c r="F176" s="121">
        <f t="shared" si="39"/>
        <v>0</v>
      </c>
      <c r="G176" s="122">
        <f t="shared" si="40"/>
        <v>0</v>
      </c>
      <c r="H176" s="123">
        <f t="shared" si="41"/>
        <v>0</v>
      </c>
      <c r="I176" s="124">
        <f t="shared" si="42"/>
        <v>0</v>
      </c>
      <c r="J176" s="125">
        <f t="shared" si="43"/>
        <v>0</v>
      </c>
      <c r="K176" s="126">
        <f t="shared" si="44"/>
        <v>0</v>
      </c>
      <c r="L176" s="127">
        <f t="shared" si="45"/>
        <v>0</v>
      </c>
      <c r="N176" s="247"/>
    </row>
    <row r="177" spans="1:16" ht="15" x14ac:dyDescent="0.25">
      <c r="A177" s="29" t="s">
        <v>71</v>
      </c>
      <c r="B177" s="70">
        <f>E142</f>
        <v>1022.3402838741126</v>
      </c>
      <c r="C177" s="83">
        <f>F142</f>
        <v>760621.17120233981</v>
      </c>
      <c r="E177" s="120">
        <f t="shared" si="38"/>
        <v>402.68149999999997</v>
      </c>
      <c r="F177" s="121">
        <f t="shared" si="39"/>
        <v>299595.03599999996</v>
      </c>
      <c r="G177" s="122">
        <f t="shared" si="40"/>
        <v>0</v>
      </c>
      <c r="H177" s="123">
        <f t="shared" si="41"/>
        <v>0</v>
      </c>
      <c r="I177" s="124">
        <f t="shared" si="42"/>
        <v>619.6587838741126</v>
      </c>
      <c r="J177" s="125">
        <f t="shared" si="43"/>
        <v>461026.13520233979</v>
      </c>
      <c r="K177" s="126">
        <f t="shared" si="44"/>
        <v>0</v>
      </c>
      <c r="L177" s="127">
        <f t="shared" si="45"/>
        <v>0</v>
      </c>
      <c r="N177" s="247"/>
    </row>
    <row r="178" spans="1:16" ht="15" x14ac:dyDescent="0.25">
      <c r="A178" s="29" t="s">
        <v>9</v>
      </c>
      <c r="B178" s="70">
        <v>0</v>
      </c>
      <c r="C178" s="83">
        <v>0</v>
      </c>
      <c r="E178" s="120">
        <f t="shared" si="38"/>
        <v>0</v>
      </c>
      <c r="F178" s="121">
        <f t="shared" si="39"/>
        <v>0</v>
      </c>
      <c r="G178" s="122">
        <f t="shared" si="40"/>
        <v>0</v>
      </c>
      <c r="H178" s="123">
        <f t="shared" si="41"/>
        <v>0</v>
      </c>
      <c r="I178" s="124">
        <f t="shared" si="42"/>
        <v>0</v>
      </c>
      <c r="J178" s="125">
        <f t="shared" si="43"/>
        <v>0</v>
      </c>
      <c r="K178" s="126">
        <f t="shared" si="44"/>
        <v>0</v>
      </c>
      <c r="L178" s="127">
        <f t="shared" si="45"/>
        <v>0</v>
      </c>
      <c r="N178" s="247"/>
    </row>
    <row r="179" spans="1:16" ht="15" x14ac:dyDescent="0.25">
      <c r="A179" s="29" t="s">
        <v>80</v>
      </c>
      <c r="B179" s="70">
        <v>0</v>
      </c>
      <c r="C179" s="83">
        <v>0</v>
      </c>
      <c r="E179" s="120">
        <f t="shared" si="38"/>
        <v>0</v>
      </c>
      <c r="F179" s="121">
        <f t="shared" si="39"/>
        <v>0</v>
      </c>
      <c r="G179" s="122">
        <f t="shared" si="40"/>
        <v>0</v>
      </c>
      <c r="H179" s="123">
        <f t="shared" si="41"/>
        <v>0</v>
      </c>
      <c r="I179" s="124">
        <f t="shared" si="42"/>
        <v>0</v>
      </c>
      <c r="J179" s="125">
        <f t="shared" si="43"/>
        <v>0</v>
      </c>
      <c r="K179" s="126">
        <f t="shared" si="44"/>
        <v>0</v>
      </c>
      <c r="L179" s="127">
        <f t="shared" si="45"/>
        <v>0</v>
      </c>
      <c r="N179" s="247"/>
    </row>
    <row r="180" spans="1:16" ht="15" x14ac:dyDescent="0.25">
      <c r="A180" s="29" t="s">
        <v>77</v>
      </c>
      <c r="B180" s="70">
        <f>E170</f>
        <v>1023.140136</v>
      </c>
      <c r="C180" s="83">
        <f>F170</f>
        <v>761216.26119045937</v>
      </c>
      <c r="E180" s="120">
        <f t="shared" si="38"/>
        <v>396.50494800000001</v>
      </c>
      <c r="F180" s="121">
        <f t="shared" si="39"/>
        <v>294999.68167756009</v>
      </c>
      <c r="G180" s="122">
        <f t="shared" si="40"/>
        <v>0</v>
      </c>
      <c r="H180" s="123">
        <f t="shared" si="41"/>
        <v>0</v>
      </c>
      <c r="I180" s="124">
        <f t="shared" si="42"/>
        <v>626.63518799999997</v>
      </c>
      <c r="J180" s="125">
        <f t="shared" si="43"/>
        <v>466216.57951289922</v>
      </c>
      <c r="K180" s="126">
        <f t="shared" si="44"/>
        <v>0</v>
      </c>
      <c r="L180" s="127">
        <f t="shared" si="45"/>
        <v>0</v>
      </c>
      <c r="N180" s="247"/>
    </row>
    <row r="181" spans="1:16" ht="15" x14ac:dyDescent="0.25">
      <c r="A181" s="11" t="s">
        <v>81</v>
      </c>
      <c r="B181" s="12">
        <f>SUM(B174:B177)-SUM(B178:B180)</f>
        <v>-0.79985212588735521</v>
      </c>
      <c r="C181" s="12">
        <f>SUM(C174:C177)-SUM(C178:C180)</f>
        <v>-595.08998811955098</v>
      </c>
      <c r="E181" s="128">
        <f>SUM(E174:E177)-SUM(E178:E180)</f>
        <v>6.1765519999999583</v>
      </c>
      <c r="F181" s="129">
        <f>SUM(F174:F177)-SUM(F178:F180)</f>
        <v>4595.3543224398745</v>
      </c>
      <c r="G181" s="130">
        <f t="shared" ref="G181:L181" si="46">SUM(G174:G177)-SUM(G178:G180)</f>
        <v>0</v>
      </c>
      <c r="H181" s="131">
        <f t="shared" si="46"/>
        <v>0</v>
      </c>
      <c r="I181" s="132">
        <f t="shared" si="46"/>
        <v>-6.9764041258873704</v>
      </c>
      <c r="J181" s="133">
        <f t="shared" si="46"/>
        <v>-5190.4443105594255</v>
      </c>
      <c r="K181" s="134">
        <f t="shared" si="46"/>
        <v>0</v>
      </c>
      <c r="L181" s="135">
        <f t="shared" si="46"/>
        <v>0</v>
      </c>
      <c r="N181" s="247"/>
    </row>
    <row r="182" spans="1:16" ht="15" x14ac:dyDescent="0.25">
      <c r="A182" s="11" t="s">
        <v>82</v>
      </c>
      <c r="B182" s="12">
        <f>SUM(B174:B177)-SUM(B178:B181)</f>
        <v>0</v>
      </c>
      <c r="C182" s="12">
        <f>SUM(C174:C177)-SUM(C178:C181)</f>
        <v>0</v>
      </c>
      <c r="E182" s="128">
        <f>SUM(E174:E177)-SUM(E178:E181)</f>
        <v>0</v>
      </c>
      <c r="F182" s="129">
        <f t="shared" ref="F182:L182" si="47">SUM(F174:F177)-SUM(F178:F181)</f>
        <v>0</v>
      </c>
      <c r="G182" s="130">
        <f t="shared" si="47"/>
        <v>0</v>
      </c>
      <c r="H182" s="131">
        <f t="shared" si="47"/>
        <v>0</v>
      </c>
      <c r="I182" s="132">
        <f t="shared" si="47"/>
        <v>0</v>
      </c>
      <c r="J182" s="133">
        <f t="shared" si="47"/>
        <v>0</v>
      </c>
      <c r="K182" s="134">
        <f t="shared" si="47"/>
        <v>0</v>
      </c>
      <c r="L182" s="135">
        <f t="shared" si="47"/>
        <v>0</v>
      </c>
      <c r="N182" s="247"/>
    </row>
    <row r="183" spans="1:16" ht="15" x14ac:dyDescent="0.25">
      <c r="N183" s="247"/>
    </row>
    <row r="184" spans="1:16" ht="15" x14ac:dyDescent="0.25">
      <c r="E184" s="153">
        <f>(F181*$H$5)+(H181*$J$5)+(J181*$L$5)+(L181*$N$5)</f>
        <v>-226723.14442784025</v>
      </c>
      <c r="N184" s="247"/>
    </row>
    <row r="185" spans="1:16" ht="15" x14ac:dyDescent="0.25">
      <c r="N185" s="247"/>
    </row>
    <row r="186" spans="1:16" ht="15" x14ac:dyDescent="0.25">
      <c r="N186" s="247"/>
    </row>
    <row r="187" spans="1:16" ht="15" x14ac:dyDescent="0.25">
      <c r="A187" s="564" t="s">
        <v>291</v>
      </c>
      <c r="B187" s="564"/>
      <c r="C187" s="564"/>
      <c r="D187" s="564"/>
      <c r="E187" s="564"/>
      <c r="F187" s="564"/>
      <c r="G187" s="564"/>
      <c r="H187" s="564"/>
      <c r="N187" s="247"/>
    </row>
    <row r="188" spans="1:16" ht="15" x14ac:dyDescent="0.25">
      <c r="A188" s="564"/>
      <c r="B188" s="564"/>
      <c r="C188" s="564"/>
      <c r="D188" s="564"/>
      <c r="E188" s="564"/>
      <c r="F188" s="564"/>
      <c r="G188" s="564"/>
      <c r="H188" s="564"/>
      <c r="N188" s="247"/>
    </row>
    <row r="189" spans="1:16" s="114" customFormat="1" ht="3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06"/>
      <c r="J189" s="106"/>
      <c r="K189" s="106"/>
      <c r="L189" s="106"/>
      <c r="M189" s="106"/>
      <c r="N189" s="247"/>
      <c r="O189" s="106"/>
      <c r="P189" s="106"/>
    </row>
    <row r="190" spans="1:16" ht="15" x14ac:dyDescent="0.25">
      <c r="A190" s="548" t="s">
        <v>70</v>
      </c>
      <c r="B190" s="548"/>
      <c r="C190" s="548"/>
      <c r="D190" s="548"/>
      <c r="E190" s="548"/>
      <c r="F190" s="548"/>
      <c r="G190" s="548"/>
      <c r="H190" s="548"/>
      <c r="N190" s="247"/>
    </row>
    <row r="191" spans="1:16" ht="15" x14ac:dyDescent="0.25">
      <c r="A191" s="10" t="s">
        <v>252</v>
      </c>
      <c r="B191" s="10" t="s">
        <v>1</v>
      </c>
      <c r="C191" s="10" t="s">
        <v>2</v>
      </c>
      <c r="D191" s="10" t="s">
        <v>3</v>
      </c>
      <c r="E191" s="10" t="s">
        <v>137</v>
      </c>
      <c r="F191" s="10" t="s">
        <v>25</v>
      </c>
      <c r="G191" s="10" t="s">
        <v>253</v>
      </c>
      <c r="H191" s="10" t="s">
        <v>254</v>
      </c>
      <c r="J191" s="10" t="s">
        <v>72</v>
      </c>
      <c r="K191" s="10" t="s">
        <v>73</v>
      </c>
      <c r="L191" s="10" t="s">
        <v>74</v>
      </c>
      <c r="M191" s="10" t="s">
        <v>75</v>
      </c>
      <c r="N191" s="247"/>
    </row>
    <row r="192" spans="1:16" ht="15" x14ac:dyDescent="0.25">
      <c r="A192" s="167">
        <f>Balanço_MRE!A192</f>
        <v>558735</v>
      </c>
      <c r="B192" s="167" t="str">
        <f>Balanço_MRE!B192</f>
        <v>VALE ENE I5 &gt;&gt; 0214_0119</v>
      </c>
      <c r="C192" s="167" t="str">
        <f>Balanço_MRE!C192</f>
        <v>Contratos de Compra</v>
      </c>
      <c r="D192" s="192" t="str">
        <f>Balanço_MRE!D192</f>
        <v>NORDESTE</v>
      </c>
      <c r="E192" s="79">
        <f>Balanço_MRE!E192</f>
        <v>0</v>
      </c>
      <c r="F192" s="262">
        <f>Balanço_MRE!F192</f>
        <v>0</v>
      </c>
      <c r="G192" s="263">
        <f>Balanço_MRE!G192</f>
        <v>0</v>
      </c>
      <c r="H192" s="193">
        <f>Balanço_MRE!H192</f>
        <v>0</v>
      </c>
      <c r="J192" s="9" t="str">
        <f>VLOOKUP(A192,[11]RelatorioContratos_070717_09210!$A$2:$AB$150,26,FALSE)</f>
        <v>0,000000</v>
      </c>
      <c r="K192" s="9" t="str">
        <f>VLOOKUP(A192,[11]RelatorioContratos_070717_09210!$A$2:$AB$150,8,FALSE)</f>
        <v>31/01/2019 23</v>
      </c>
      <c r="L192" s="9" t="str">
        <f>VLOOKUP(A192,[11]RelatorioContratos_070717_09210!$A$2:$AZ$150,32,FALSE)</f>
        <v>FLAT</v>
      </c>
      <c r="M192" s="9" t="str">
        <f>VLOOKUP(A192,[11]RelatorioContratos_070717_09210!$A$2:$AZ$150,33,FALSE)</f>
        <v>Validado</v>
      </c>
      <c r="N192" s="247">
        <f>(J192*$B$33)-F192</f>
        <v>0</v>
      </c>
    </row>
    <row r="193" spans="1:14" ht="15" x14ac:dyDescent="0.25">
      <c r="A193" s="167">
        <f>Balanço_MRE!A193</f>
        <v>584517</v>
      </c>
      <c r="B193" s="167" t="str">
        <f>Balanço_MRE!B193</f>
        <v>VALE ENE I5 &gt;&gt; 0214_0119</v>
      </c>
      <c r="C193" s="167" t="str">
        <f>Balanço_MRE!C193</f>
        <v>Contratos de Compra</v>
      </c>
      <c r="D193" s="192" t="str">
        <f>Balanço_MRE!D193</f>
        <v>NORTE</v>
      </c>
      <c r="E193" s="79">
        <f>Balanço_MRE!E193</f>
        <v>0</v>
      </c>
      <c r="F193" s="262">
        <f>Balanço_MRE!F193</f>
        <v>0</v>
      </c>
      <c r="G193" s="263">
        <f>Balanço_MRE!G193</f>
        <v>0</v>
      </c>
      <c r="H193" s="193">
        <f>Balanço_MRE!H193</f>
        <v>0</v>
      </c>
      <c r="J193" s="9" t="str">
        <f>VLOOKUP(A193,[11]RelatorioContratos_070717_09210!$A$2:$AB$150,26,FALSE)</f>
        <v>0,000000</v>
      </c>
      <c r="K193" s="9" t="str">
        <f>VLOOKUP(A193,[11]RelatorioContratos_070717_09210!$A$2:$AB$150,8,FALSE)</f>
        <v>31/01/2019 23</v>
      </c>
      <c r="L193" s="9" t="str">
        <f>VLOOKUP(A193,[11]RelatorioContratos_070717_09210!$A$2:$AZ$150,32,FALSE)</f>
        <v>FLAT</v>
      </c>
      <c r="M193" s="9" t="str">
        <f>VLOOKUP(A193,[11]RelatorioContratos_070717_09210!$A$2:$AZ$150,33,FALSE)</f>
        <v>Validado</v>
      </c>
      <c r="N193" s="247">
        <f>(J193*$B$33)-F193</f>
        <v>0</v>
      </c>
    </row>
    <row r="194" spans="1:14" ht="15" x14ac:dyDescent="0.25">
      <c r="A194" s="167">
        <f>Balanço_MRE!A194</f>
        <v>558364</v>
      </c>
      <c r="B194" s="167" t="str">
        <f>Balanço_MRE!B194</f>
        <v>CVRD APE I5 &gt;&gt; 0214_0119</v>
      </c>
      <c r="C194" s="167" t="str">
        <f>Balanço_MRE!C194</f>
        <v>Contratos de Compra</v>
      </c>
      <c r="D194" s="192" t="str">
        <f>Balanço_MRE!D194</f>
        <v>SUDESTE</v>
      </c>
      <c r="E194" s="79">
        <f>Balanço_MRE!E194</f>
        <v>0</v>
      </c>
      <c r="F194" s="262">
        <f>Balanço_MRE!F194</f>
        <v>0</v>
      </c>
      <c r="G194" s="263">
        <f>Balanço_MRE!G194</f>
        <v>0</v>
      </c>
      <c r="H194" s="193">
        <f>Balanço_MRE!H194</f>
        <v>0</v>
      </c>
      <c r="J194" s="9" t="str">
        <f>VLOOKUP(A194,[11]RelatorioContratos_070717_09210!$A$2:$AB$150,26,FALSE)</f>
        <v>0,000000</v>
      </c>
      <c r="K194" s="9" t="str">
        <f>VLOOKUP(A194,[11]RelatorioContratos_070717_09210!$A$2:$AB$150,8,FALSE)</f>
        <v>31/01/2019 23</v>
      </c>
      <c r="L194" s="9" t="str">
        <f>VLOOKUP(A194,[11]RelatorioContratos_070717_09210!$A$2:$AZ$150,32,FALSE)</f>
        <v>FLAT</v>
      </c>
      <c r="M194" s="9" t="str">
        <f>VLOOKUP(A194,[11]RelatorioContratos_070717_09210!$A$2:$AZ$150,33,FALSE)</f>
        <v>Validado</v>
      </c>
      <c r="N194" s="247">
        <f>(J194*$B$33)-F194</f>
        <v>0</v>
      </c>
    </row>
    <row r="195" spans="1:14" ht="15" x14ac:dyDescent="0.25">
      <c r="A195" s="167">
        <f>Balanço_MRE!A195</f>
        <v>558733</v>
      </c>
      <c r="B195" s="167" t="str">
        <f>Balanço_MRE!B195</f>
        <v>VALE ENE I5 &gt;&gt; 0214_0119</v>
      </c>
      <c r="C195" s="167" t="str">
        <f>Balanço_MRE!C195</f>
        <v>Contratos de Compra</v>
      </c>
      <c r="D195" s="192" t="str">
        <f>Balanço_MRE!D195</f>
        <v>SUDESTE</v>
      </c>
      <c r="E195" s="79">
        <f>Balanço_MRE!E195</f>
        <v>0</v>
      </c>
      <c r="F195" s="262">
        <f>Balanço_MRE!F195</f>
        <v>0</v>
      </c>
      <c r="G195" s="263">
        <f>Balanço_MRE!G195</f>
        <v>0</v>
      </c>
      <c r="H195" s="193">
        <f>Balanço_MRE!H195</f>
        <v>0</v>
      </c>
      <c r="J195" s="9" t="str">
        <f>VLOOKUP(A195,[11]RelatorioContratos_070717_09210!$A$2:$AB$150,26,FALSE)</f>
        <v>0,000000</v>
      </c>
      <c r="K195" s="9" t="str">
        <f>VLOOKUP(A195,[11]RelatorioContratos_070717_09210!$A$2:$AB$150,8,FALSE)</f>
        <v>31/01/2019 23</v>
      </c>
      <c r="L195" s="9" t="str">
        <f>VLOOKUP(A195,[11]RelatorioContratos_070717_09210!$A$2:$AZ$150,32,FALSE)</f>
        <v>FLAT</v>
      </c>
      <c r="M195" s="9" t="str">
        <f>VLOOKUP(A195,[11]RelatorioContratos_070717_09210!$A$2:$AZ$150,33,FALSE)</f>
        <v>Validado</v>
      </c>
      <c r="N195" s="247">
        <f>(J195*$B$33)-F195</f>
        <v>0</v>
      </c>
    </row>
    <row r="196" spans="1:14" ht="15" x14ac:dyDescent="0.25">
      <c r="A196" s="167">
        <f>Balanço_MRE!A196</f>
        <v>966776</v>
      </c>
      <c r="B196" s="167" t="str">
        <f>Balanço_MRE!B196</f>
        <v>ALIANÇA I5 &gt;&gt; 0417_0817</v>
      </c>
      <c r="C196" s="167" t="str">
        <f>Balanço_MRE!C196</f>
        <v>Contratos de Compra</v>
      </c>
      <c r="D196" s="192" t="str">
        <f>Balanço_MRE!D196</f>
        <v>NORDESTE</v>
      </c>
      <c r="E196" s="79">
        <f>Balanço_MRE!E196</f>
        <v>0</v>
      </c>
      <c r="F196" s="262">
        <f>Balanço_MRE!F196</f>
        <v>0</v>
      </c>
      <c r="G196" s="263">
        <f>Balanço_MRE!G196</f>
        <v>0</v>
      </c>
      <c r="H196" s="193">
        <f>Balanço_MRE!H196</f>
        <v>0</v>
      </c>
      <c r="J196" s="9"/>
      <c r="K196" s="9"/>
      <c r="L196" s="9"/>
      <c r="M196" s="9"/>
      <c r="N196" s="247"/>
    </row>
    <row r="197" spans="1:14" ht="15" x14ac:dyDescent="0.25">
      <c r="A197" s="253"/>
      <c r="B197" s="253"/>
      <c r="C197" s="253"/>
      <c r="D197" s="253"/>
      <c r="E197" s="203"/>
      <c r="F197" s="204"/>
      <c r="G197" s="205"/>
      <c r="H197" s="206"/>
      <c r="J197" s="393"/>
      <c r="K197" s="393"/>
      <c r="L197" s="393"/>
      <c r="M197" s="393"/>
      <c r="N197" s="247"/>
    </row>
    <row r="198" spans="1:14" ht="15" x14ac:dyDescent="0.25">
      <c r="A198" s="80" t="s">
        <v>32</v>
      </c>
      <c r="B198" s="16"/>
      <c r="C198" s="16"/>
      <c r="D198" s="17"/>
      <c r="E198" s="81">
        <f>SUM(E192:E197)</f>
        <v>0</v>
      </c>
      <c r="F198" s="84">
        <f>SUM(F192:F197)</f>
        <v>0</v>
      </c>
      <c r="G198" s="82">
        <f>IFERROR(H198/F198,0)</f>
        <v>0</v>
      </c>
      <c r="H198" s="82">
        <f>SUM(H192:H197)</f>
        <v>0</v>
      </c>
      <c r="I198" s="115"/>
      <c r="N198" s="247"/>
    </row>
    <row r="199" spans="1:14" ht="15" x14ac:dyDescent="0.25">
      <c r="N199" s="247"/>
    </row>
    <row r="200" spans="1:14" ht="15" x14ac:dyDescent="0.25">
      <c r="A200" s="548" t="s">
        <v>76</v>
      </c>
      <c r="B200" s="548"/>
      <c r="C200" s="548"/>
      <c r="D200" s="548"/>
      <c r="E200" s="548"/>
      <c r="F200" s="548"/>
      <c r="G200" s="548"/>
      <c r="H200" s="548"/>
      <c r="N200" s="247"/>
    </row>
    <row r="201" spans="1:14" ht="15" x14ac:dyDescent="0.25">
      <c r="A201" s="10" t="s">
        <v>252</v>
      </c>
      <c r="B201" s="10" t="s">
        <v>1</v>
      </c>
      <c r="C201" s="10" t="s">
        <v>2</v>
      </c>
      <c r="D201" s="10" t="s">
        <v>3</v>
      </c>
      <c r="E201" s="10" t="s">
        <v>137</v>
      </c>
      <c r="F201" s="10" t="s">
        <v>25</v>
      </c>
      <c r="G201" s="10" t="s">
        <v>253</v>
      </c>
      <c r="H201" s="10" t="s">
        <v>254</v>
      </c>
      <c r="J201" s="10" t="s">
        <v>72</v>
      </c>
      <c r="K201" s="10" t="s">
        <v>73</v>
      </c>
      <c r="L201" s="10" t="s">
        <v>74</v>
      </c>
      <c r="M201" s="10" t="s">
        <v>75</v>
      </c>
      <c r="N201" s="247"/>
    </row>
    <row r="202" spans="1:14" ht="15" x14ac:dyDescent="0.25">
      <c r="A202" s="167">
        <f>Balanço_MRE!A202</f>
        <v>569436</v>
      </c>
      <c r="B202" s="167" t="str">
        <f>Balanço_MRE!B202</f>
        <v>FERTILIZANTE NE &gt;&gt; 0214_0119</v>
      </c>
      <c r="C202" s="167" t="str">
        <f>Balanço_MRE!C202</f>
        <v>Contratos de Venda</v>
      </c>
      <c r="D202" s="192" t="str">
        <f>Balanço_MRE!D202</f>
        <v>NORDESTE</v>
      </c>
      <c r="E202" s="79">
        <f>Balanço_MRE!E202</f>
        <v>0</v>
      </c>
      <c r="F202" s="262">
        <f>Balanço_MRE!F202</f>
        <v>0</v>
      </c>
      <c r="G202" s="263">
        <f>Balanço_MRE!G202</f>
        <v>0</v>
      </c>
      <c r="H202" s="193">
        <f>Balanço_MRE!H202</f>
        <v>0</v>
      </c>
      <c r="I202" s="143"/>
      <c r="J202" s="9" t="str">
        <f>VLOOKUP(A202,[11]RelatorioContratos_070717_09210!$A$2:$AB$150,26,FALSE)</f>
        <v>0,000000</v>
      </c>
      <c r="K202" s="9" t="str">
        <f>VLOOKUP(A202,[11]RelatorioContratos_070717_09210!$A$2:$AB$150,8,FALSE)</f>
        <v>31/01/2019 23</v>
      </c>
      <c r="L202" s="9" t="str">
        <f>VLOOKUP(A202,[11]RelatorioContratos_070717_09210!$A$2:$AZ$150,32,FALSE)</f>
        <v>FLAT</v>
      </c>
      <c r="M202" s="9" t="str">
        <f>VLOOKUP(A202,[11]RelatorioContratos_070717_09210!$A$2:$AZ$150,33,FALSE)</f>
        <v>Validado</v>
      </c>
      <c r="N202" s="247">
        <f>(J202*$B$33)-F202</f>
        <v>0</v>
      </c>
    </row>
    <row r="203" spans="1:14" ht="15" x14ac:dyDescent="0.25">
      <c r="A203" s="167">
        <f>Balanço_MRE!A203</f>
        <v>566784</v>
      </c>
      <c r="B203" s="167" t="str">
        <f>Balanço_MRE!B203</f>
        <v>ALIANÇA GERAÇÃO &gt;&gt; 0214_0119</v>
      </c>
      <c r="C203" s="167" t="str">
        <f>Balanço_MRE!C203</f>
        <v>Contratos de Venda</v>
      </c>
      <c r="D203" s="192" t="str">
        <f>Balanço_MRE!D203</f>
        <v>SUDESTE</v>
      </c>
      <c r="E203" s="79">
        <f>Balanço_MRE!E203</f>
        <v>0</v>
      </c>
      <c r="F203" s="262">
        <f>Balanço_MRE!F203</f>
        <v>0</v>
      </c>
      <c r="G203" s="263">
        <f>Balanço_MRE!G203</f>
        <v>0</v>
      </c>
      <c r="H203" s="193">
        <f>Balanço_MRE!H203</f>
        <v>0</v>
      </c>
      <c r="I203" s="143"/>
      <c r="J203" s="9" t="str">
        <f>VLOOKUP(A203,[11]RelatorioContratos_070717_09210!$A$2:$AB$150,26,FALSE)</f>
        <v>0,000000</v>
      </c>
      <c r="K203" s="9" t="str">
        <f>VLOOKUP(A203,[11]RelatorioContratos_070717_09210!$A$2:$AB$150,8,FALSE)</f>
        <v>31/01/2019 23</v>
      </c>
      <c r="L203" s="9" t="str">
        <f>VLOOKUP(A203,[11]RelatorioContratos_070717_09210!$A$2:$AZ$150,32,FALSE)</f>
        <v>FLAT</v>
      </c>
      <c r="M203" s="9" t="str">
        <f>VLOOKUP(A203,[11]RelatorioContratos_070717_09210!$A$2:$AZ$150,33,FALSE)</f>
        <v>Validado</v>
      </c>
      <c r="N203" s="247">
        <f>(J203*$B$33)-F203</f>
        <v>0</v>
      </c>
    </row>
    <row r="204" spans="1:14" ht="15" x14ac:dyDescent="0.25">
      <c r="A204" s="167">
        <f>Balanço_MRE!A204</f>
        <v>566840</v>
      </c>
      <c r="B204" s="167" t="str">
        <f>Balanço_MRE!B204</f>
        <v>CVRD &gt;&gt; 0214_0119</v>
      </c>
      <c r="C204" s="167" t="str">
        <f>Balanço_MRE!C204</f>
        <v>Contratos de Venda</v>
      </c>
      <c r="D204" s="192" t="str">
        <f>Balanço_MRE!D204</f>
        <v>SUDESTE</v>
      </c>
      <c r="E204" s="79">
        <f>Balanço_MRE!E204</f>
        <v>0</v>
      </c>
      <c r="F204" s="262">
        <f>Balanço_MRE!F204</f>
        <v>0</v>
      </c>
      <c r="G204" s="263">
        <f>Balanço_MRE!G204</f>
        <v>0</v>
      </c>
      <c r="H204" s="193">
        <f>Balanço_MRE!H204</f>
        <v>0</v>
      </c>
      <c r="I204" s="143"/>
      <c r="J204" s="9" t="str">
        <f>VLOOKUP(A204,[11]RelatorioContratos_070717_09210!$A$2:$AB$150,26,FALSE)</f>
        <v>0,000000</v>
      </c>
      <c r="K204" s="9" t="str">
        <f>VLOOKUP(A204,[11]RelatorioContratos_070717_09210!$A$2:$AB$150,8,FALSE)</f>
        <v>31/01/2019 23</v>
      </c>
      <c r="L204" s="9" t="str">
        <f>VLOOKUP(A204,[11]RelatorioContratos_070717_09210!$A$2:$AZ$150,32,FALSE)</f>
        <v>FLAT</v>
      </c>
      <c r="M204" s="9" t="str">
        <f>VLOOKUP(A204,[11]RelatorioContratos_070717_09210!$A$2:$AZ$150,33,FALSE)</f>
        <v>Validado</v>
      </c>
      <c r="N204" s="247">
        <f>(J204*$B$33)-F204</f>
        <v>0</v>
      </c>
    </row>
    <row r="205" spans="1:14" ht="15" x14ac:dyDescent="0.25">
      <c r="A205" s="167">
        <f>Balanço_MRE!A205</f>
        <v>558365</v>
      </c>
      <c r="B205" s="167" t="str">
        <f>Balanço_MRE!B205</f>
        <v>CVRD APE I5G &gt;&gt; 0215_0119</v>
      </c>
      <c r="C205" s="167" t="str">
        <f>Balanço_MRE!C205</f>
        <v>Contratos de Venda</v>
      </c>
      <c r="D205" s="192" t="str">
        <f>Balanço_MRE!D205</f>
        <v>SUDESTE</v>
      </c>
      <c r="E205" s="79">
        <f>Balanço_MRE!E205</f>
        <v>0</v>
      </c>
      <c r="F205" s="262">
        <f>Balanço_MRE!F205</f>
        <v>0</v>
      </c>
      <c r="G205" s="263">
        <f>Balanço_MRE!G205</f>
        <v>0</v>
      </c>
      <c r="H205" s="193">
        <f>Balanço_MRE!H205</f>
        <v>0</v>
      </c>
      <c r="I205" s="143"/>
      <c r="J205" s="9"/>
      <c r="K205" s="9"/>
      <c r="L205" s="9"/>
      <c r="M205" s="9"/>
      <c r="N205" s="247"/>
    </row>
    <row r="206" spans="1:14" ht="15" x14ac:dyDescent="0.25">
      <c r="A206" s="167">
        <f>Balanço_MRE!A206</f>
        <v>947188</v>
      </c>
      <c r="B206" s="167" t="str">
        <f>Balanço_MRE!B206</f>
        <v>CVRD CE &gt;&gt;</v>
      </c>
      <c r="C206" s="167" t="str">
        <f>Balanço_MRE!C206</f>
        <v>Contratos de Venda</v>
      </c>
      <c r="D206" s="192" t="str">
        <f>Balanço_MRE!D206</f>
        <v>SUDESTE</v>
      </c>
      <c r="E206" s="79">
        <f>Balanço_MRE!E206</f>
        <v>0</v>
      </c>
      <c r="F206" s="262">
        <f>Balanço_MRE!F206</f>
        <v>0</v>
      </c>
      <c r="G206" s="263">
        <f>Balanço_MRE!G206</f>
        <v>0</v>
      </c>
      <c r="H206" s="193">
        <f>Balanço_MRE!H206</f>
        <v>0</v>
      </c>
      <c r="I206" s="143"/>
      <c r="J206" s="9" t="str">
        <f>VLOOKUP(A206,[11]RelatorioContratos_070717_09210!$A$2:$AB$150,26,FALSE)</f>
        <v>0,000000</v>
      </c>
      <c r="K206" s="9" t="str">
        <f>VLOOKUP(A206,[11]RelatorioContratos_070717_09210!$A$2:$AB$150,8,FALSE)</f>
        <v>31/12/2017 23</v>
      </c>
      <c r="L206" s="9" t="str">
        <f>VLOOKUP(A206,[11]RelatorioContratos_070717_09210!$A$2:$AZ$150,32,FALSE)</f>
        <v>FLAT</v>
      </c>
      <c r="M206" s="9" t="str">
        <f>VLOOKUP(A206,[11]RelatorioContratos_070717_09210!$A$2:$AZ$150,33,FALSE)</f>
        <v>Validado</v>
      </c>
      <c r="N206" s="247">
        <f t="shared" ref="N206:N212" si="48">(J206*$B$33)-F206</f>
        <v>0</v>
      </c>
    </row>
    <row r="207" spans="1:14" ht="15" x14ac:dyDescent="0.25">
      <c r="A207" s="167">
        <f>Balanço_MRE!A207</f>
        <v>558366</v>
      </c>
      <c r="B207" s="167" t="str">
        <f>Balanço_MRE!B207</f>
        <v>CVRD CL2 &gt;&gt; 0214_0119</v>
      </c>
      <c r="C207" s="167" t="str">
        <f>Balanço_MRE!C207</f>
        <v>Contratos de Venda</v>
      </c>
      <c r="D207" s="192" t="str">
        <f>Balanço_MRE!D207</f>
        <v>SUDESTE</v>
      </c>
      <c r="E207" s="79">
        <f>Balanço_MRE!E207</f>
        <v>0</v>
      </c>
      <c r="F207" s="262">
        <f>Balanço_MRE!F207</f>
        <v>0</v>
      </c>
      <c r="G207" s="263">
        <f>Balanço_MRE!G207</f>
        <v>0</v>
      </c>
      <c r="H207" s="193">
        <f>Balanço_MRE!H207</f>
        <v>0</v>
      </c>
      <c r="I207" s="143"/>
      <c r="J207" s="9" t="str">
        <f>VLOOKUP(A207,[11]RelatorioContratos_070717_09210!$A$2:$AB$150,26,FALSE)</f>
        <v>0,000000</v>
      </c>
      <c r="K207" s="9" t="str">
        <f>VLOOKUP(A207,[11]RelatorioContratos_070717_09210!$A$2:$AB$150,8,FALSE)</f>
        <v>31/01/2019 23</v>
      </c>
      <c r="L207" s="9" t="str">
        <f>VLOOKUP(A207,[11]RelatorioContratos_070717_09210!$A$2:$AZ$150,32,FALSE)</f>
        <v>FLAT</v>
      </c>
      <c r="M207" s="9" t="str">
        <f>VLOOKUP(A207,[11]RelatorioContratos_070717_09210!$A$2:$AZ$150,33,FALSE)</f>
        <v>Validado</v>
      </c>
      <c r="N207" s="247">
        <f t="shared" si="48"/>
        <v>0</v>
      </c>
    </row>
    <row r="208" spans="1:14" ht="15" x14ac:dyDescent="0.25">
      <c r="A208" s="167">
        <f>Balanço_MRE!A208</f>
        <v>395153</v>
      </c>
      <c r="B208" s="167" t="str">
        <f>Balanço_MRE!B208</f>
        <v>CVRD CL3 &gt;&gt;  1213_0119</v>
      </c>
      <c r="C208" s="167" t="str">
        <f>Balanço_MRE!C208</f>
        <v>Contratos de Venda</v>
      </c>
      <c r="D208" s="192" t="str">
        <f>Balanço_MRE!D208</f>
        <v>SUDESTE</v>
      </c>
      <c r="E208" s="79">
        <f>Balanço_MRE!E208</f>
        <v>0</v>
      </c>
      <c r="F208" s="262">
        <f>Balanço_MRE!F208</f>
        <v>0</v>
      </c>
      <c r="G208" s="263">
        <f>Balanço_MRE!G208</f>
        <v>0</v>
      </c>
      <c r="H208" s="193">
        <f>Balanço_MRE!H208</f>
        <v>0</v>
      </c>
      <c r="I208" s="143"/>
      <c r="J208" s="9" t="str">
        <f>VLOOKUP(A208,[11]RelatorioContratos_070717_09210!$A$2:$AB$150,26,FALSE)</f>
        <v>0,000000</v>
      </c>
      <c r="K208" s="9" t="str">
        <f>VLOOKUP(A208,[11]RelatorioContratos_070717_09210!$A$2:$AB$150,8,FALSE)</f>
        <v>31/01/2019 23</v>
      </c>
      <c r="L208" s="9" t="str">
        <f>VLOOKUP(A208,[11]RelatorioContratos_070717_09210!$A$2:$AZ$150,32,FALSE)</f>
        <v>FLAT</v>
      </c>
      <c r="M208" s="9" t="str">
        <f>VLOOKUP(A208,[11]RelatorioContratos_070717_09210!$A$2:$AZ$150,33,FALSE)</f>
        <v>Validado</v>
      </c>
      <c r="N208" s="247">
        <f t="shared" si="48"/>
        <v>0</v>
      </c>
    </row>
    <row r="209" spans="1:14" ht="15" x14ac:dyDescent="0.25">
      <c r="A209" s="167">
        <f>Balanço_MRE!A209</f>
        <v>558736</v>
      </c>
      <c r="B209" s="167" t="str">
        <f>Balanço_MRE!B209</f>
        <v>FERTILIZANTE EI &gt;&gt; 0214_0119</v>
      </c>
      <c r="C209" s="167" t="str">
        <f>Balanço_MRE!C209</f>
        <v>Contratos de Venda</v>
      </c>
      <c r="D209" s="192" t="str">
        <f>Balanço_MRE!D209</f>
        <v>SUDESTE</v>
      </c>
      <c r="E209" s="79">
        <f>Balanço_MRE!E209</f>
        <v>0</v>
      </c>
      <c r="F209" s="262">
        <f>Balanço_MRE!F209</f>
        <v>0</v>
      </c>
      <c r="G209" s="263">
        <f>Balanço_MRE!G209</f>
        <v>0</v>
      </c>
      <c r="H209" s="193">
        <f>Balanço_MRE!H209</f>
        <v>0</v>
      </c>
      <c r="I209" s="143"/>
      <c r="J209" s="9" t="str">
        <f>VLOOKUP(A209,[11]RelatorioContratos_070717_09210!$A$2:$AB$150,26,FALSE)</f>
        <v>0,000000</v>
      </c>
      <c r="K209" s="9" t="str">
        <f>VLOOKUP(A209,[11]RelatorioContratos_070717_09210!$A$2:$AB$150,8,FALSE)</f>
        <v>31/01/2019 23</v>
      </c>
      <c r="L209" s="9" t="str">
        <f>VLOOKUP(A209,[11]RelatorioContratos_070717_09210!$A$2:$AZ$150,32,FALSE)</f>
        <v>FLAT</v>
      </c>
      <c r="M209" s="9" t="str">
        <f>VLOOKUP(A209,[11]RelatorioContratos_070717_09210!$A$2:$AZ$150,33,FALSE)</f>
        <v>Validado</v>
      </c>
      <c r="N209" s="247">
        <f t="shared" si="48"/>
        <v>0</v>
      </c>
    </row>
    <row r="210" spans="1:14" ht="15" x14ac:dyDescent="0.25">
      <c r="A210" s="167">
        <f>Balanço_MRE!A210</f>
        <v>746825</v>
      </c>
      <c r="B210" s="167" t="str">
        <f>Balanço_MRE!B210</f>
        <v>FERTILIZANTES EI &gt;&gt; 0115_0117</v>
      </c>
      <c r="C210" s="167" t="str">
        <f>Balanço_MRE!C210</f>
        <v>Contratos de Venda</v>
      </c>
      <c r="D210" s="192" t="str">
        <f>Balanço_MRE!D210</f>
        <v>SUDESTE</v>
      </c>
      <c r="E210" s="79">
        <f>Balanço_MRE!E210</f>
        <v>0</v>
      </c>
      <c r="F210" s="262">
        <f>Balanço_MRE!F210</f>
        <v>0</v>
      </c>
      <c r="G210" s="263">
        <f>Balanço_MRE!G210</f>
        <v>0</v>
      </c>
      <c r="H210" s="193">
        <f>Balanço_MRE!H210</f>
        <v>0</v>
      </c>
      <c r="I210" s="143"/>
      <c r="J210" s="9" t="e">
        <f>VLOOKUP(A210,[11]RelatorioContratos_070717_09210!$A$2:$AB$150,26,FALSE)</f>
        <v>#N/A</v>
      </c>
      <c r="K210" s="9" t="e">
        <f>VLOOKUP(A210,[11]RelatorioContratos_070717_09210!$A$2:$AB$150,8,FALSE)</f>
        <v>#N/A</v>
      </c>
      <c r="L210" s="9" t="e">
        <f>VLOOKUP(A210,[11]RelatorioContratos_070717_09210!$A$2:$AZ$150,32,FALSE)</f>
        <v>#N/A</v>
      </c>
      <c r="M210" s="9" t="e">
        <f>VLOOKUP(A210,[11]RelatorioContratos_070717_09210!$A$2:$AZ$150,33,FALSE)</f>
        <v>#N/A</v>
      </c>
      <c r="N210" s="247" t="e">
        <f t="shared" si="48"/>
        <v>#N/A</v>
      </c>
    </row>
    <row r="211" spans="1:14" ht="15" x14ac:dyDescent="0.25">
      <c r="A211" s="167">
        <f>Balanço_MRE!A211</f>
        <v>747625</v>
      </c>
      <c r="B211" s="167" t="str">
        <f>Balanço_MRE!B211</f>
        <v>RIO DOCE SE D &gt;&gt; 0115_0119</v>
      </c>
      <c r="C211" s="167" t="str">
        <f>Balanço_MRE!C211</f>
        <v>Contratos de Venda</v>
      </c>
      <c r="D211" s="192" t="str">
        <f>Balanço_MRE!D211</f>
        <v>SUDESTE</v>
      </c>
      <c r="E211" s="79">
        <f>Balanço_MRE!E211</f>
        <v>0</v>
      </c>
      <c r="F211" s="262">
        <f>Balanço_MRE!F211</f>
        <v>0</v>
      </c>
      <c r="G211" s="263">
        <f>Balanço_MRE!G211</f>
        <v>0</v>
      </c>
      <c r="H211" s="193">
        <f>Balanço_MRE!H211</f>
        <v>0</v>
      </c>
      <c r="J211" s="9" t="str">
        <f>VLOOKUP(A211,[11]RelatorioContratos_070717_09210!$A$2:$AB$150,26,FALSE)</f>
        <v>0,000000</v>
      </c>
      <c r="K211" s="9" t="str">
        <f>VLOOKUP(A211,[11]RelatorioContratos_070717_09210!$A$2:$AB$150,8,FALSE)</f>
        <v>31/01/2019 23</v>
      </c>
      <c r="L211" s="9" t="str">
        <f>VLOOKUP(A211,[11]RelatorioContratos_070717_09210!$A$2:$AZ$150,32,FALSE)</f>
        <v>FLAT</v>
      </c>
      <c r="M211" s="9" t="str">
        <f>VLOOKUP(A211,[11]RelatorioContratos_070717_09210!$A$2:$AZ$150,33,FALSE)</f>
        <v>Validado</v>
      </c>
      <c r="N211" s="247">
        <f t="shared" si="48"/>
        <v>0</v>
      </c>
    </row>
    <row r="212" spans="1:14" ht="15" x14ac:dyDescent="0.25">
      <c r="A212" s="167">
        <f>Balanço_MRE!A212</f>
        <v>566783</v>
      </c>
      <c r="B212" s="167" t="str">
        <f>Balanço_MRE!B212</f>
        <v>VALE ENE I5 &gt;&gt; 0214_0119</v>
      </c>
      <c r="C212" s="167" t="str">
        <f>Balanço_MRE!C212</f>
        <v>Contratos de Venda</v>
      </c>
      <c r="D212" s="192" t="str">
        <f>Balanço_MRE!D212</f>
        <v>SUDESTE</v>
      </c>
      <c r="E212" s="79">
        <f>Balanço_MRE!E212</f>
        <v>0</v>
      </c>
      <c r="F212" s="262">
        <f>Balanço_MRE!F212</f>
        <v>0</v>
      </c>
      <c r="G212" s="263">
        <f>Balanço_MRE!G212</f>
        <v>0</v>
      </c>
      <c r="H212" s="193">
        <f>Balanço_MRE!H212</f>
        <v>0</v>
      </c>
      <c r="J212" s="9" t="str">
        <f>VLOOKUP(A212,[11]RelatorioContratos_070717_09210!$A$2:$AB$150,26,FALSE)</f>
        <v>0,000000</v>
      </c>
      <c r="K212" s="9" t="str">
        <f>VLOOKUP(A212,[11]RelatorioContratos_070717_09210!$A$2:$AB$150,8,FALSE)</f>
        <v>31/01/2019 23</v>
      </c>
      <c r="L212" s="9" t="str">
        <f>VLOOKUP(A212,[11]RelatorioContratos_070717_09210!$A$2:$AZ$150,32,FALSE)</f>
        <v>FLAT</v>
      </c>
      <c r="M212" s="9" t="str">
        <f>VLOOKUP(A212,[11]RelatorioContratos_070717_09210!$A$2:$AZ$150,33,FALSE)</f>
        <v>Validado</v>
      </c>
      <c r="N212" s="247">
        <f t="shared" si="48"/>
        <v>0</v>
      </c>
    </row>
    <row r="213" spans="1:14" ht="15" x14ac:dyDescent="0.25">
      <c r="A213" s="167">
        <f>Balanço_MRE!A213</f>
        <v>966736</v>
      </c>
      <c r="B213" s="167" t="str">
        <f>Balanço_MRE!B213</f>
        <v>ALIANÇA I5 &gt;&gt; 0417_0817</v>
      </c>
      <c r="C213" s="167" t="str">
        <f>Balanço_MRE!C213</f>
        <v>Contratos de Venda</v>
      </c>
      <c r="D213" s="192" t="str">
        <f>Balanço_MRE!D213</f>
        <v>NORDESTE</v>
      </c>
      <c r="E213" s="79">
        <f>Balanço_MRE!E213</f>
        <v>0</v>
      </c>
      <c r="F213" s="262">
        <f>Balanço_MRE!F213</f>
        <v>0</v>
      </c>
      <c r="G213" s="263">
        <f>Balanço_MRE!G213</f>
        <v>0</v>
      </c>
      <c r="H213" s="193">
        <f>Balanço_MRE!H213</f>
        <v>0</v>
      </c>
      <c r="J213" s="9"/>
      <c r="K213" s="9"/>
      <c r="L213" s="9"/>
      <c r="M213" s="9"/>
      <c r="N213" s="247"/>
    </row>
    <row r="214" spans="1:14" ht="15" x14ac:dyDescent="0.25">
      <c r="A214" s="167">
        <f>Balanço_MRE!A214</f>
        <v>1167491</v>
      </c>
      <c r="B214" s="167" t="str">
        <f>Balanço_MRE!B214</f>
        <v>CVRD TIG</v>
      </c>
      <c r="C214" s="167" t="str">
        <f>Balanço_MRE!C214</f>
        <v>Contratos de Venda</v>
      </c>
      <c r="D214" s="192" t="str">
        <f>Balanço_MRE!D214</f>
        <v>SUDESTE</v>
      </c>
      <c r="E214" s="79">
        <f>Balanço_MRE!E214</f>
        <v>0</v>
      </c>
      <c r="F214" s="262">
        <f>Balanço_MRE!F214</f>
        <v>0</v>
      </c>
      <c r="G214" s="263">
        <f>Balanço_MRE!G214</f>
        <v>0</v>
      </c>
      <c r="H214" s="193">
        <f>Balanço_MRE!H214</f>
        <v>0</v>
      </c>
      <c r="J214" s="9"/>
      <c r="K214" s="9"/>
      <c r="L214" s="9"/>
      <c r="M214" s="9"/>
      <c r="N214" s="247"/>
    </row>
    <row r="215" spans="1:14" ht="15" x14ac:dyDescent="0.25">
      <c r="A215" s="253"/>
      <c r="B215" s="253"/>
      <c r="C215" s="253"/>
      <c r="D215" s="253"/>
      <c r="E215" s="203"/>
      <c r="F215" s="204"/>
      <c r="G215" s="205"/>
      <c r="H215" s="206"/>
      <c r="J215" s="393"/>
      <c r="K215" s="393"/>
      <c r="L215" s="393"/>
      <c r="M215" s="393"/>
      <c r="N215" s="247"/>
    </row>
    <row r="216" spans="1:14" ht="15" x14ac:dyDescent="0.25">
      <c r="A216" s="80" t="s">
        <v>32</v>
      </c>
      <c r="B216" s="16"/>
      <c r="C216" s="16"/>
      <c r="D216" s="17"/>
      <c r="E216" s="81">
        <f>SUM(E202:E215)</f>
        <v>0</v>
      </c>
      <c r="F216" s="84">
        <f>SUM(F202:F215)</f>
        <v>0</v>
      </c>
      <c r="G216" s="82">
        <f>IFERROR(H216/F216,0)</f>
        <v>0</v>
      </c>
      <c r="H216" s="82">
        <f>SUM(H202:H215)</f>
        <v>0</v>
      </c>
      <c r="I216" s="115"/>
      <c r="N216" s="247"/>
    </row>
    <row r="217" spans="1:14" ht="15" x14ac:dyDescent="0.25">
      <c r="N217" s="247"/>
    </row>
    <row r="218" spans="1:14" ht="15" x14ac:dyDescent="0.25">
      <c r="A218" s="548" t="s">
        <v>233</v>
      </c>
      <c r="B218" s="548"/>
      <c r="C218" s="548"/>
      <c r="E218" s="116" t="s">
        <v>19</v>
      </c>
      <c r="F218" s="116"/>
      <c r="G218" s="117" t="s">
        <v>20</v>
      </c>
      <c r="H218" s="117"/>
      <c r="I218" s="118" t="s">
        <v>21</v>
      </c>
      <c r="J218" s="118"/>
      <c r="K218" s="119" t="s">
        <v>22</v>
      </c>
      <c r="L218" s="119"/>
      <c r="N218" s="247"/>
    </row>
    <row r="219" spans="1:14" ht="15" x14ac:dyDescent="0.25">
      <c r="A219" s="10" t="s">
        <v>2</v>
      </c>
      <c r="B219" s="10" t="s">
        <v>137</v>
      </c>
      <c r="C219" s="10" t="s">
        <v>25</v>
      </c>
      <c r="E219" s="207" t="s">
        <v>137</v>
      </c>
      <c r="F219" s="208" t="s">
        <v>25</v>
      </c>
      <c r="G219" s="209" t="s">
        <v>137</v>
      </c>
      <c r="H219" s="210" t="s">
        <v>25</v>
      </c>
      <c r="I219" s="211" t="s">
        <v>137</v>
      </c>
      <c r="J219" s="212" t="s">
        <v>25</v>
      </c>
      <c r="K219" s="213" t="s">
        <v>137</v>
      </c>
      <c r="L219" s="214" t="s">
        <v>25</v>
      </c>
      <c r="N219" s="247"/>
    </row>
    <row r="220" spans="1:14" ht="15" x14ac:dyDescent="0.25">
      <c r="A220" s="29" t="s">
        <v>69</v>
      </c>
      <c r="B220" s="70">
        <v>0</v>
      </c>
      <c r="C220" s="83">
        <v>0</v>
      </c>
      <c r="E220" s="120">
        <f t="shared" ref="E220:E226" si="49">SUMIFS($E$192:$E$215,$C$192:$C$215,$A220,$D$192:$D$215,$E$218)</f>
        <v>0</v>
      </c>
      <c r="F220" s="121">
        <f t="shared" ref="F220:F226" si="50">SUMIFS($F$192:$F$215,$C$192:$C$215,$A220,$D$192:$D$215,$E$218)</f>
        <v>0</v>
      </c>
      <c r="G220" s="122">
        <f t="shared" ref="G220:G226" si="51">SUMIFS($E$192:$E$215,$C$192:$C$215,$A220,$D$192:$D$215,$E$218)</f>
        <v>0</v>
      </c>
      <c r="H220" s="123">
        <f t="shared" ref="H220:H226" si="52">SUMIFS($F$192:$F$215,$C$192:$C$215,$A220,$D$192:$D$215,$E$218)</f>
        <v>0</v>
      </c>
      <c r="I220" s="124">
        <f t="shared" ref="I220:I226" si="53">SUMIFS($E$192:$E$215,$C$192:$C$215,$A220,$D$192:$D$215,$E$218)</f>
        <v>0</v>
      </c>
      <c r="J220" s="125">
        <f t="shared" ref="J220:J226" si="54">SUMIFS($F$192:$F$215,$C$192:$C$215,$A220,$D$192:$D$215,$E$218)</f>
        <v>0</v>
      </c>
      <c r="K220" s="126">
        <f t="shared" ref="K220:K226" si="55">SUMIFS($E$192:$E$215,$C$192:$C$215,$A220,$D$192:$D$215,$E$218)</f>
        <v>0</v>
      </c>
      <c r="L220" s="127">
        <f t="shared" ref="L220:L226" si="56">SUMIFS($F$192:$F$215,$C$192:$C$215,$A220,$D$192:$D$215,$E$218)</f>
        <v>0</v>
      </c>
      <c r="N220" s="247"/>
    </row>
    <row r="221" spans="1:14" ht="15" x14ac:dyDescent="0.25">
      <c r="A221" s="29" t="s">
        <v>47</v>
      </c>
      <c r="B221" s="70">
        <v>0</v>
      </c>
      <c r="C221" s="83">
        <v>0</v>
      </c>
      <c r="E221" s="120">
        <f t="shared" si="49"/>
        <v>0</v>
      </c>
      <c r="F221" s="121">
        <f t="shared" si="50"/>
        <v>0</v>
      </c>
      <c r="G221" s="122">
        <f t="shared" si="51"/>
        <v>0</v>
      </c>
      <c r="H221" s="123">
        <f t="shared" si="52"/>
        <v>0</v>
      </c>
      <c r="I221" s="124">
        <f t="shared" si="53"/>
        <v>0</v>
      </c>
      <c r="J221" s="125">
        <f t="shared" si="54"/>
        <v>0</v>
      </c>
      <c r="K221" s="126">
        <f t="shared" si="55"/>
        <v>0</v>
      </c>
      <c r="L221" s="127">
        <f t="shared" si="56"/>
        <v>0</v>
      </c>
      <c r="N221" s="247"/>
    </row>
    <row r="222" spans="1:14" ht="15" x14ac:dyDescent="0.25">
      <c r="A222" s="29" t="s">
        <v>79</v>
      </c>
      <c r="B222" s="70">
        <v>0</v>
      </c>
      <c r="C222" s="83">
        <v>0</v>
      </c>
      <c r="E222" s="120">
        <f t="shared" si="49"/>
        <v>0</v>
      </c>
      <c r="F222" s="121">
        <f t="shared" si="50"/>
        <v>0</v>
      </c>
      <c r="G222" s="122">
        <f t="shared" si="51"/>
        <v>0</v>
      </c>
      <c r="H222" s="123">
        <f t="shared" si="52"/>
        <v>0</v>
      </c>
      <c r="I222" s="124">
        <f t="shared" si="53"/>
        <v>0</v>
      </c>
      <c r="J222" s="125">
        <f t="shared" si="54"/>
        <v>0</v>
      </c>
      <c r="K222" s="126">
        <f t="shared" si="55"/>
        <v>0</v>
      </c>
      <c r="L222" s="127">
        <f t="shared" si="56"/>
        <v>0</v>
      </c>
      <c r="N222" s="247"/>
    </row>
    <row r="223" spans="1:14" ht="15" x14ac:dyDescent="0.25">
      <c r="A223" s="29" t="s">
        <v>71</v>
      </c>
      <c r="B223" s="70">
        <f>E198</f>
        <v>0</v>
      </c>
      <c r="C223" s="83">
        <f>F198</f>
        <v>0</v>
      </c>
      <c r="E223" s="120">
        <f t="shared" si="49"/>
        <v>0</v>
      </c>
      <c r="F223" s="121">
        <f t="shared" si="50"/>
        <v>0</v>
      </c>
      <c r="G223" s="122">
        <f t="shared" si="51"/>
        <v>0</v>
      </c>
      <c r="H223" s="123">
        <f t="shared" si="52"/>
        <v>0</v>
      </c>
      <c r="I223" s="124">
        <f t="shared" si="53"/>
        <v>0</v>
      </c>
      <c r="J223" s="125">
        <f t="shared" si="54"/>
        <v>0</v>
      </c>
      <c r="K223" s="126">
        <f t="shared" si="55"/>
        <v>0</v>
      </c>
      <c r="L223" s="127">
        <f t="shared" si="56"/>
        <v>0</v>
      </c>
      <c r="N223" s="247"/>
    </row>
    <row r="224" spans="1:14" ht="15" x14ac:dyDescent="0.25">
      <c r="A224" s="29" t="s">
        <v>9</v>
      </c>
      <c r="B224" s="70">
        <v>0</v>
      </c>
      <c r="C224" s="83">
        <v>0</v>
      </c>
      <c r="E224" s="120">
        <f t="shared" si="49"/>
        <v>0</v>
      </c>
      <c r="F224" s="121">
        <f t="shared" si="50"/>
        <v>0</v>
      </c>
      <c r="G224" s="122">
        <f t="shared" si="51"/>
        <v>0</v>
      </c>
      <c r="H224" s="123">
        <f t="shared" si="52"/>
        <v>0</v>
      </c>
      <c r="I224" s="124">
        <f t="shared" si="53"/>
        <v>0</v>
      </c>
      <c r="J224" s="125">
        <f t="shared" si="54"/>
        <v>0</v>
      </c>
      <c r="K224" s="126">
        <f t="shared" si="55"/>
        <v>0</v>
      </c>
      <c r="L224" s="127">
        <f t="shared" si="56"/>
        <v>0</v>
      </c>
      <c r="N224" s="247"/>
    </row>
    <row r="225" spans="1:14" ht="15" x14ac:dyDescent="0.25">
      <c r="A225" s="29" t="s">
        <v>80</v>
      </c>
      <c r="B225" s="70">
        <v>0</v>
      </c>
      <c r="C225" s="83">
        <v>0</v>
      </c>
      <c r="E225" s="120">
        <f t="shared" si="49"/>
        <v>0</v>
      </c>
      <c r="F225" s="121">
        <f t="shared" si="50"/>
        <v>0</v>
      </c>
      <c r="G225" s="122">
        <f t="shared" si="51"/>
        <v>0</v>
      </c>
      <c r="H225" s="123">
        <f t="shared" si="52"/>
        <v>0</v>
      </c>
      <c r="I225" s="124">
        <f t="shared" si="53"/>
        <v>0</v>
      </c>
      <c r="J225" s="125">
        <f t="shared" si="54"/>
        <v>0</v>
      </c>
      <c r="K225" s="126">
        <f t="shared" si="55"/>
        <v>0</v>
      </c>
      <c r="L225" s="127">
        <f t="shared" si="56"/>
        <v>0</v>
      </c>
      <c r="N225" s="247"/>
    </row>
    <row r="226" spans="1:14" ht="15" x14ac:dyDescent="0.25">
      <c r="A226" s="29" t="s">
        <v>77</v>
      </c>
      <c r="B226" s="70">
        <f>E216</f>
        <v>0</v>
      </c>
      <c r="C226" s="83">
        <f>F216</f>
        <v>0</v>
      </c>
      <c r="E226" s="120">
        <f t="shared" si="49"/>
        <v>0</v>
      </c>
      <c r="F226" s="121">
        <f t="shared" si="50"/>
        <v>0</v>
      </c>
      <c r="G226" s="122">
        <f t="shared" si="51"/>
        <v>0</v>
      </c>
      <c r="H226" s="123">
        <f t="shared" si="52"/>
        <v>0</v>
      </c>
      <c r="I226" s="124">
        <f t="shared" si="53"/>
        <v>0</v>
      </c>
      <c r="J226" s="125">
        <f t="shared" si="54"/>
        <v>0</v>
      </c>
      <c r="K226" s="126">
        <f t="shared" si="55"/>
        <v>0</v>
      </c>
      <c r="L226" s="127">
        <f t="shared" si="56"/>
        <v>0</v>
      </c>
      <c r="N226" s="247"/>
    </row>
    <row r="227" spans="1:14" ht="15" x14ac:dyDescent="0.25">
      <c r="A227" s="11" t="s">
        <v>81</v>
      </c>
      <c r="B227" s="12">
        <f>SUM(B220:B223)-SUM(B224:B226)</f>
        <v>0</v>
      </c>
      <c r="C227" s="12">
        <f>SUM(C220:C223)-SUM(C224:C226)</f>
        <v>0</v>
      </c>
      <c r="E227" s="128">
        <f>SUM(E220:E223)-SUM(E224:E226)</f>
        <v>0</v>
      </c>
      <c r="F227" s="129">
        <f>SUM(F220:F223)-SUM(F224:F226)</f>
        <v>0</v>
      </c>
      <c r="G227" s="130">
        <f t="shared" ref="G227:L227" si="57">SUM(G220:G223)-SUM(G224:G226)</f>
        <v>0</v>
      </c>
      <c r="H227" s="131">
        <f t="shared" si="57"/>
        <v>0</v>
      </c>
      <c r="I227" s="132">
        <f t="shared" si="57"/>
        <v>0</v>
      </c>
      <c r="J227" s="133">
        <f t="shared" si="57"/>
        <v>0</v>
      </c>
      <c r="K227" s="134">
        <f t="shared" si="57"/>
        <v>0</v>
      </c>
      <c r="L227" s="135">
        <f t="shared" si="57"/>
        <v>0</v>
      </c>
      <c r="N227" s="247"/>
    </row>
    <row r="228" spans="1:14" ht="15" x14ac:dyDescent="0.25">
      <c r="A228" s="11" t="s">
        <v>82</v>
      </c>
      <c r="B228" s="12">
        <f>SUM(B220:B223)-SUM(B224:B227)</f>
        <v>0</v>
      </c>
      <c r="C228" s="12">
        <f>SUM(C220:C223)-SUM(C224:C227)</f>
        <v>0</v>
      </c>
      <c r="E228" s="128">
        <f>SUM(E220:E223)-SUM(E224:E227)</f>
        <v>0</v>
      </c>
      <c r="F228" s="129">
        <f t="shared" ref="F228:L228" si="58">SUM(F220:F223)-SUM(F224:F227)</f>
        <v>0</v>
      </c>
      <c r="G228" s="130">
        <f t="shared" si="58"/>
        <v>0</v>
      </c>
      <c r="H228" s="131">
        <f t="shared" si="58"/>
        <v>0</v>
      </c>
      <c r="I228" s="132">
        <f t="shared" si="58"/>
        <v>0</v>
      </c>
      <c r="J228" s="133">
        <f t="shared" si="58"/>
        <v>0</v>
      </c>
      <c r="K228" s="134">
        <f t="shared" si="58"/>
        <v>0</v>
      </c>
      <c r="L228" s="135">
        <f t="shared" si="58"/>
        <v>0</v>
      </c>
      <c r="N228" s="247"/>
    </row>
    <row r="229" spans="1:14" ht="15" x14ac:dyDescent="0.25">
      <c r="N229" s="247"/>
    </row>
    <row r="230" spans="1:14" ht="15" x14ac:dyDescent="0.25">
      <c r="E230" s="153">
        <f>(F227*$H$5)+(H227*$J$5)+(J227*$L$5)+(L227*$N$5)</f>
        <v>0</v>
      </c>
      <c r="N230" s="247"/>
    </row>
    <row r="231" spans="1:14" ht="15" x14ac:dyDescent="0.25">
      <c r="N231" s="247"/>
    </row>
    <row r="232" spans="1:14" ht="15" x14ac:dyDescent="0.25">
      <c r="N232" s="247"/>
    </row>
    <row r="233" spans="1:14" ht="15" x14ac:dyDescent="0.25">
      <c r="A233" s="564" t="s">
        <v>228</v>
      </c>
      <c r="B233" s="564"/>
      <c r="C233" s="564"/>
      <c r="D233" s="564"/>
      <c r="E233" s="564"/>
      <c r="F233" s="564"/>
      <c r="G233" s="564"/>
      <c r="H233" s="564"/>
      <c r="N233" s="247"/>
    </row>
    <row r="234" spans="1:14" ht="15" x14ac:dyDescent="0.25">
      <c r="A234" s="564"/>
      <c r="B234" s="564"/>
      <c r="C234" s="564"/>
      <c r="D234" s="564"/>
      <c r="E234" s="564"/>
      <c r="F234" s="564"/>
      <c r="G234" s="564"/>
      <c r="H234" s="564"/>
      <c r="N234" s="247"/>
    </row>
    <row r="235" spans="1:14" ht="4.5" customHeight="1" x14ac:dyDescent="0.25">
      <c r="N235" s="247"/>
    </row>
    <row r="236" spans="1:14" ht="15" x14ac:dyDescent="0.25">
      <c r="A236" s="7"/>
      <c r="B236" s="7"/>
      <c r="C236" s="7"/>
      <c r="D236" s="13" t="s">
        <v>85</v>
      </c>
      <c r="E236" s="7"/>
      <c r="F236" s="7"/>
      <c r="G236" s="7"/>
      <c r="H236" s="7"/>
      <c r="N236" s="247"/>
    </row>
    <row r="237" spans="1:14" ht="15" x14ac:dyDescent="0.25">
      <c r="A237" s="10" t="s">
        <v>8</v>
      </c>
      <c r="B237" s="10"/>
      <c r="C237" s="10" t="s">
        <v>2</v>
      </c>
      <c r="D237" s="10" t="s">
        <v>3</v>
      </c>
      <c r="E237" s="10" t="s">
        <v>11</v>
      </c>
      <c r="F237" s="10" t="s">
        <v>12</v>
      </c>
      <c r="G237" s="10" t="s">
        <v>13</v>
      </c>
      <c r="H237" s="10" t="s">
        <v>10</v>
      </c>
      <c r="N237" s="247"/>
    </row>
    <row r="238" spans="1:14" ht="15" x14ac:dyDescent="0.25">
      <c r="A238" s="167" t="str">
        <f>Balanço_MRE!A238</f>
        <v>CPBS</v>
      </c>
      <c r="B238" s="167">
        <f>Balanço_MRE!B238</f>
        <v>0</v>
      </c>
      <c r="C238" s="167" t="str">
        <f>Balanço_MRE!C238</f>
        <v>Carga</v>
      </c>
      <c r="D238" s="192" t="str">
        <f>Balanço_MRE!D238</f>
        <v>SUDESTE</v>
      </c>
      <c r="E238" s="79">
        <f>Balanço_MRE!E238</f>
        <v>3.2902290000000001</v>
      </c>
      <c r="F238" s="262">
        <f>Balanço_MRE!F238</f>
        <v>2447.9300206185535</v>
      </c>
      <c r="G238" s="263">
        <f>Balanço_MRE!G238</f>
        <v>50.860999999999997</v>
      </c>
      <c r="H238" s="193">
        <f>Balanço_MRE!H238</f>
        <v>0.03</v>
      </c>
      <c r="N238" s="247"/>
    </row>
    <row r="239" spans="1:14" ht="15" x14ac:dyDescent="0.25">
      <c r="A239" s="215"/>
      <c r="B239" s="215"/>
      <c r="C239" s="215"/>
      <c r="D239" s="216"/>
      <c r="E239" s="174"/>
      <c r="F239" s="175"/>
      <c r="G239" s="175"/>
      <c r="H239" s="267"/>
      <c r="N239" s="247"/>
    </row>
    <row r="240" spans="1:14" ht="15" x14ac:dyDescent="0.25">
      <c r="A240" s="80" t="s">
        <v>32</v>
      </c>
      <c r="B240" s="16"/>
      <c r="C240" s="16"/>
      <c r="D240" s="17"/>
      <c r="E240" s="81">
        <f>SUM(E238:E239)</f>
        <v>3.2902290000000001</v>
      </c>
      <c r="F240" s="84">
        <f>SUM(F238:F239)</f>
        <v>2447.9300206185535</v>
      </c>
      <c r="G240" s="84">
        <f>SUM(G238:G239)</f>
        <v>50.860999999999997</v>
      </c>
      <c r="H240" s="84"/>
      <c r="I240" s="115"/>
      <c r="N240" s="247"/>
    </row>
    <row r="241" spans="1:14" ht="15" x14ac:dyDescent="0.25">
      <c r="G241" s="109"/>
      <c r="N241" s="247"/>
    </row>
    <row r="242" spans="1:14" ht="15" x14ac:dyDescent="0.25">
      <c r="A242" s="396"/>
      <c r="B242" s="396"/>
      <c r="C242" s="396"/>
      <c r="D242" s="396" t="s">
        <v>70</v>
      </c>
      <c r="E242" s="396"/>
      <c r="F242" s="396"/>
      <c r="G242" s="396"/>
      <c r="H242" s="396"/>
      <c r="N242" s="247"/>
    </row>
    <row r="243" spans="1:14" ht="15" x14ac:dyDescent="0.25">
      <c r="A243" s="10" t="s">
        <v>0</v>
      </c>
      <c r="B243" s="10" t="s">
        <v>1</v>
      </c>
      <c r="C243" s="10" t="s">
        <v>2</v>
      </c>
      <c r="D243" s="10" t="s">
        <v>3</v>
      </c>
      <c r="E243" s="10" t="s">
        <v>4</v>
      </c>
      <c r="F243" s="10" t="s">
        <v>5</v>
      </c>
      <c r="G243" s="10" t="s">
        <v>6</v>
      </c>
      <c r="H243" s="10" t="s">
        <v>7</v>
      </c>
      <c r="J243" s="10" t="s">
        <v>72</v>
      </c>
      <c r="K243" s="10" t="s">
        <v>73</v>
      </c>
      <c r="L243" s="10" t="s">
        <v>74</v>
      </c>
      <c r="M243" s="10" t="s">
        <v>75</v>
      </c>
      <c r="N243" s="247"/>
    </row>
    <row r="244" spans="1:14" ht="15" x14ac:dyDescent="0.25">
      <c r="A244" s="167">
        <f>Balanço_MRE!A244</f>
        <v>932977</v>
      </c>
      <c r="B244" s="167" t="str">
        <f>Balanço_MRE!B244</f>
        <v>PROINFA | ACEP &gt;&gt; 0117_1225</v>
      </c>
      <c r="C244" s="167" t="str">
        <f>Balanço_MRE!C244</f>
        <v>Contratos de Compra</v>
      </c>
      <c r="D244" s="192" t="str">
        <f>Balanço_MRE!D244</f>
        <v>SUDESTE</v>
      </c>
      <c r="E244" s="79">
        <f>Balanço_MRE!E244</f>
        <v>6.8362000000000006E-2</v>
      </c>
      <c r="F244" s="262">
        <f>Balanço_MRE!F244</f>
        <v>50.860999999999997</v>
      </c>
      <c r="G244" s="263">
        <f>Balanço_MRE!G244</f>
        <v>0</v>
      </c>
      <c r="H244" s="193">
        <f>Balanço_MRE!H244</f>
        <v>0</v>
      </c>
      <c r="J244" s="247"/>
      <c r="K244" s="247"/>
      <c r="L244" s="247"/>
      <c r="M244" s="247"/>
      <c r="N244" s="247"/>
    </row>
    <row r="245" spans="1:14" ht="15" x14ac:dyDescent="0.25">
      <c r="A245" s="167">
        <f>Balanço_MRE!A245</f>
        <v>947189</v>
      </c>
      <c r="B245" s="167" t="str">
        <f>Balanço_MRE!B245</f>
        <v>VALE ENE I5 &gt;&gt; 0117_1217</v>
      </c>
      <c r="C245" s="167" t="str">
        <f>Balanço_MRE!C245</f>
        <v>Contratos de Compra</v>
      </c>
      <c r="D245" s="192" t="str">
        <f>Balanço_MRE!D245</f>
        <v>SUDESTE</v>
      </c>
      <c r="E245" s="79">
        <f>Balanço_MRE!E245</f>
        <v>0</v>
      </c>
      <c r="F245" s="262">
        <f>Balanço_MRE!F245</f>
        <v>0</v>
      </c>
      <c r="G245" s="263">
        <f>Balanço_MRE!G245</f>
        <v>0</v>
      </c>
      <c r="H245" s="193">
        <f>Balanço_MRE!H245</f>
        <v>0</v>
      </c>
      <c r="J245" s="9"/>
      <c r="K245" s="9"/>
      <c r="L245" s="9"/>
      <c r="M245" s="9"/>
      <c r="N245" s="247"/>
    </row>
    <row r="246" spans="1:14" ht="15" x14ac:dyDescent="0.25">
      <c r="A246" s="167">
        <f>Balanço_MRE!A246</f>
        <v>1229926</v>
      </c>
      <c r="B246" s="167" t="str">
        <f>Balanço_MRE!B246</f>
        <v>CVE_3,02_VALE_01012019_31122019_CPBS</v>
      </c>
      <c r="C246" s="167" t="str">
        <f>Balanço_MRE!C246</f>
        <v>Contratos de Compra</v>
      </c>
      <c r="D246" s="192" t="str">
        <f>Balanço_MRE!D246</f>
        <v>SUDESTE</v>
      </c>
      <c r="E246" s="79">
        <f>Balanço_MRE!E246</f>
        <v>3.2902290000000001</v>
      </c>
      <c r="F246" s="262">
        <f>Balanço_MRE!F246</f>
        <v>2447.9300206185535</v>
      </c>
      <c r="G246" s="263">
        <f>Balanço_MRE!G246</f>
        <v>159.91</v>
      </c>
      <c r="H246" s="193">
        <f>Balanço_MRE!H246</f>
        <v>391448.48959711287</v>
      </c>
      <c r="J246" s="9"/>
      <c r="K246" s="9"/>
      <c r="L246" s="9"/>
      <c r="M246" s="9"/>
      <c r="N246" s="247"/>
    </row>
    <row r="247" spans="1:14" ht="15" x14ac:dyDescent="0.25">
      <c r="A247" s="198"/>
      <c r="B247" s="198"/>
      <c r="C247" s="198"/>
      <c r="D247" s="261"/>
      <c r="E247" s="85"/>
      <c r="F247" s="86"/>
      <c r="G247" s="86"/>
      <c r="H247" s="86"/>
      <c r="J247" s="393"/>
      <c r="K247" s="393"/>
      <c r="L247" s="393"/>
      <c r="M247" s="393"/>
      <c r="N247" s="247"/>
    </row>
    <row r="248" spans="1:14" ht="15" x14ac:dyDescent="0.25">
      <c r="A248" s="80" t="s">
        <v>32</v>
      </c>
      <c r="B248" s="16"/>
      <c r="C248" s="16"/>
      <c r="D248" s="17"/>
      <c r="E248" s="81">
        <f>SUM(E244:E247)</f>
        <v>3.3585910000000001</v>
      </c>
      <c r="F248" s="84">
        <f>SUM(F244:F247)</f>
        <v>2498.7910206185534</v>
      </c>
      <c r="G248" s="82">
        <f>IFERROR(H248/F248,0)</f>
        <v>156.65515297882465</v>
      </c>
      <c r="H248" s="82">
        <f>SUM(H244:H247)</f>
        <v>391448.48959711287</v>
      </c>
      <c r="I248" s="115"/>
      <c r="N248" s="247"/>
    </row>
    <row r="249" spans="1:14" ht="15" x14ac:dyDescent="0.25">
      <c r="C249" s="108"/>
      <c r="N249" s="247"/>
    </row>
    <row r="250" spans="1:14" ht="15" x14ac:dyDescent="0.25">
      <c r="C250" s="108"/>
      <c r="N250" s="247"/>
    </row>
    <row r="251" spans="1:14" ht="15" x14ac:dyDescent="0.25">
      <c r="A251" s="548" t="s">
        <v>233</v>
      </c>
      <c r="B251" s="548"/>
      <c r="C251" s="548"/>
      <c r="E251" s="116" t="s">
        <v>19</v>
      </c>
      <c r="F251" s="116"/>
      <c r="G251" s="117" t="s">
        <v>20</v>
      </c>
      <c r="H251" s="117"/>
      <c r="I251" s="118" t="s">
        <v>21</v>
      </c>
      <c r="J251" s="118"/>
      <c r="K251" s="119" t="s">
        <v>22</v>
      </c>
      <c r="L251" s="119"/>
      <c r="N251" s="247"/>
    </row>
    <row r="252" spans="1:14" ht="15" x14ac:dyDescent="0.25">
      <c r="A252" s="10" t="s">
        <v>2</v>
      </c>
      <c r="B252" s="10" t="s">
        <v>137</v>
      </c>
      <c r="C252" s="10" t="s">
        <v>25</v>
      </c>
      <c r="E252" s="207" t="s">
        <v>137</v>
      </c>
      <c r="F252" s="208" t="s">
        <v>25</v>
      </c>
      <c r="G252" s="209" t="s">
        <v>137</v>
      </c>
      <c r="H252" s="210" t="s">
        <v>25</v>
      </c>
      <c r="I252" s="211" t="s">
        <v>137</v>
      </c>
      <c r="J252" s="212" t="s">
        <v>25</v>
      </c>
      <c r="K252" s="213" t="s">
        <v>137</v>
      </c>
      <c r="L252" s="214" t="s">
        <v>25</v>
      </c>
      <c r="N252" s="247"/>
    </row>
    <row r="253" spans="1:14" ht="15" x14ac:dyDescent="0.25">
      <c r="A253" s="29" t="s">
        <v>69</v>
      </c>
      <c r="B253" s="70">
        <v>0</v>
      </c>
      <c r="C253" s="83">
        <v>0</v>
      </c>
      <c r="E253" s="120">
        <f t="shared" ref="E253:E259" si="59">SUMIFS($E$238:$E$247,$C$238:$C$247,$A253,$D$238:$D$247,$E$251)</f>
        <v>0</v>
      </c>
      <c r="F253" s="121">
        <f t="shared" ref="F253:F259" si="60">SUMIFS($F$238:$F$247,$C$238:$C$247,$A253,$D$238:$D$247,$E$251)</f>
        <v>0</v>
      </c>
      <c r="G253" s="122">
        <f t="shared" ref="G253:G259" si="61">SUMIFS($E$238:$E$247,$C$238:$C$247,$A253,$D$238:$D$247,$G$251)</f>
        <v>0</v>
      </c>
      <c r="H253" s="123">
        <f t="shared" ref="H253:H259" si="62">SUMIFS($F$238:$F$247,$C$238:$C$247,$A253,$D$238:$D$247,$G$251)</f>
        <v>0</v>
      </c>
      <c r="I253" s="124">
        <f t="shared" ref="I253:I259" si="63">SUMIFS($E$238:$E$247,$C$238:$C$247,$A253,$D$238:$D$247,$I$251)</f>
        <v>0</v>
      </c>
      <c r="J253" s="125">
        <f t="shared" ref="J253:J259" si="64">SUMIFS($F$238:$F$247,$C$238:$C$247,$A253,$D$238:$D$247,$I$251)</f>
        <v>0</v>
      </c>
      <c r="K253" s="126">
        <f t="shared" ref="K253:K259" si="65">SUMIFS($E$238:$E$247,$C$238:$C$247,$A253,$D$238:$D$247,$K$251)</f>
        <v>0</v>
      </c>
      <c r="L253" s="127">
        <f t="shared" ref="L253:L259" si="66">SUMIFS($F$238:$F$247,$C$238:$C$247,$A253,$D$238:$D$247,$K$251)</f>
        <v>0</v>
      </c>
      <c r="N253" s="247"/>
    </row>
    <row r="254" spans="1:14" ht="15" x14ac:dyDescent="0.25">
      <c r="A254" s="29" t="s">
        <v>47</v>
      </c>
      <c r="B254" s="70">
        <v>0</v>
      </c>
      <c r="C254" s="83">
        <v>0</v>
      </c>
      <c r="E254" s="120">
        <f t="shared" si="59"/>
        <v>0</v>
      </c>
      <c r="F254" s="121">
        <f t="shared" si="60"/>
        <v>0</v>
      </c>
      <c r="G254" s="122">
        <f t="shared" si="61"/>
        <v>0</v>
      </c>
      <c r="H254" s="123">
        <f t="shared" si="62"/>
        <v>0</v>
      </c>
      <c r="I254" s="124">
        <f t="shared" si="63"/>
        <v>0</v>
      </c>
      <c r="J254" s="125">
        <f t="shared" si="64"/>
        <v>0</v>
      </c>
      <c r="K254" s="126">
        <f t="shared" si="65"/>
        <v>0</v>
      </c>
      <c r="L254" s="127">
        <f t="shared" si="66"/>
        <v>0</v>
      </c>
      <c r="N254" s="247"/>
    </row>
    <row r="255" spans="1:14" ht="15" x14ac:dyDescent="0.25">
      <c r="A255" s="29" t="s">
        <v>79</v>
      </c>
      <c r="B255" s="70">
        <v>0</v>
      </c>
      <c r="C255" s="83">
        <v>0</v>
      </c>
      <c r="E255" s="120">
        <f t="shared" si="59"/>
        <v>0</v>
      </c>
      <c r="F255" s="121">
        <f t="shared" si="60"/>
        <v>0</v>
      </c>
      <c r="G255" s="122">
        <f t="shared" si="61"/>
        <v>0</v>
      </c>
      <c r="H255" s="123">
        <f t="shared" si="62"/>
        <v>0</v>
      </c>
      <c r="I255" s="124">
        <f t="shared" si="63"/>
        <v>0</v>
      </c>
      <c r="J255" s="125">
        <f t="shared" si="64"/>
        <v>0</v>
      </c>
      <c r="K255" s="126">
        <f t="shared" si="65"/>
        <v>0</v>
      </c>
      <c r="L255" s="127">
        <f t="shared" si="66"/>
        <v>0</v>
      </c>
      <c r="N255" s="247"/>
    </row>
    <row r="256" spans="1:14" ht="15" x14ac:dyDescent="0.25">
      <c r="A256" s="29" t="s">
        <v>71</v>
      </c>
      <c r="B256" s="70">
        <f>E248</f>
        <v>3.3585910000000001</v>
      </c>
      <c r="C256" s="83">
        <f>F248</f>
        <v>2498.7910206185534</v>
      </c>
      <c r="E256" s="120">
        <f t="shared" si="59"/>
        <v>0</v>
      </c>
      <c r="F256" s="121">
        <f t="shared" si="60"/>
        <v>0</v>
      </c>
      <c r="G256" s="122">
        <f t="shared" si="61"/>
        <v>0</v>
      </c>
      <c r="H256" s="123">
        <f t="shared" si="62"/>
        <v>0</v>
      </c>
      <c r="I256" s="124">
        <f t="shared" si="63"/>
        <v>3.3585910000000001</v>
      </c>
      <c r="J256" s="125">
        <f t="shared" si="64"/>
        <v>2498.7910206185534</v>
      </c>
      <c r="K256" s="126">
        <f t="shared" si="65"/>
        <v>0</v>
      </c>
      <c r="L256" s="127">
        <f t="shared" si="66"/>
        <v>0</v>
      </c>
      <c r="N256" s="247"/>
    </row>
    <row r="257" spans="1:14" ht="15" x14ac:dyDescent="0.25">
      <c r="A257" s="29" t="s">
        <v>9</v>
      </c>
      <c r="B257" s="70">
        <f>E240</f>
        <v>3.2902290000000001</v>
      </c>
      <c r="C257" s="83">
        <f>F240</f>
        <v>2447.9300206185535</v>
      </c>
      <c r="E257" s="120">
        <f t="shared" si="59"/>
        <v>0</v>
      </c>
      <c r="F257" s="121">
        <f t="shared" si="60"/>
        <v>0</v>
      </c>
      <c r="G257" s="122">
        <f t="shared" si="61"/>
        <v>0</v>
      </c>
      <c r="H257" s="123">
        <f t="shared" si="62"/>
        <v>0</v>
      </c>
      <c r="I257" s="124">
        <f t="shared" si="63"/>
        <v>3.2902290000000001</v>
      </c>
      <c r="J257" s="125">
        <f t="shared" si="64"/>
        <v>2447.9300206185535</v>
      </c>
      <c r="K257" s="126">
        <f t="shared" si="65"/>
        <v>0</v>
      </c>
      <c r="L257" s="127">
        <f t="shared" si="66"/>
        <v>0</v>
      </c>
      <c r="N257" s="247"/>
    </row>
    <row r="258" spans="1:14" ht="15" x14ac:dyDescent="0.25">
      <c r="A258" s="29" t="s">
        <v>80</v>
      </c>
      <c r="B258" s="70">
        <v>0</v>
      </c>
      <c r="C258" s="83">
        <v>0</v>
      </c>
      <c r="E258" s="120">
        <f t="shared" si="59"/>
        <v>0</v>
      </c>
      <c r="F258" s="121">
        <f t="shared" si="60"/>
        <v>0</v>
      </c>
      <c r="G258" s="122">
        <f t="shared" si="61"/>
        <v>0</v>
      </c>
      <c r="H258" s="123">
        <f t="shared" si="62"/>
        <v>0</v>
      </c>
      <c r="I258" s="124">
        <f t="shared" si="63"/>
        <v>0</v>
      </c>
      <c r="J258" s="125">
        <f t="shared" si="64"/>
        <v>0</v>
      </c>
      <c r="K258" s="126">
        <f t="shared" si="65"/>
        <v>0</v>
      </c>
      <c r="L258" s="127">
        <f t="shared" si="66"/>
        <v>0</v>
      </c>
      <c r="N258" s="247"/>
    </row>
    <row r="259" spans="1:14" ht="15" x14ac:dyDescent="0.25">
      <c r="A259" s="29" t="s">
        <v>77</v>
      </c>
      <c r="B259" s="70">
        <v>0</v>
      </c>
      <c r="C259" s="83">
        <v>0</v>
      </c>
      <c r="E259" s="120">
        <f t="shared" si="59"/>
        <v>0</v>
      </c>
      <c r="F259" s="121">
        <f t="shared" si="60"/>
        <v>0</v>
      </c>
      <c r="G259" s="122">
        <f t="shared" si="61"/>
        <v>0</v>
      </c>
      <c r="H259" s="123">
        <f t="shared" si="62"/>
        <v>0</v>
      </c>
      <c r="I259" s="124">
        <f t="shared" si="63"/>
        <v>0</v>
      </c>
      <c r="J259" s="125">
        <f t="shared" si="64"/>
        <v>0</v>
      </c>
      <c r="K259" s="126">
        <f t="shared" si="65"/>
        <v>0</v>
      </c>
      <c r="L259" s="127">
        <f t="shared" si="66"/>
        <v>0</v>
      </c>
      <c r="N259" s="247"/>
    </row>
    <row r="260" spans="1:14" ht="15" x14ac:dyDescent="0.25">
      <c r="A260" s="11" t="s">
        <v>81</v>
      </c>
      <c r="B260" s="12">
        <f>SUM(B253:B256)-SUM(B257:B259)</f>
        <v>6.8362000000000034E-2</v>
      </c>
      <c r="C260" s="12">
        <f>SUM(C253:C256)-SUM(C257:C259)</f>
        <v>50.860999999999876</v>
      </c>
      <c r="E260" s="128">
        <f>SUMIFS($E$238:$E$247,$C$238:$C$247,A260,$D$238:$D$247,$E$251)</f>
        <v>0</v>
      </c>
      <c r="F260" s="129">
        <f t="shared" ref="F260:L260" si="67">SUM(F253:F256)-SUM(F257:F259)</f>
        <v>0</v>
      </c>
      <c r="G260" s="130">
        <f t="shared" si="67"/>
        <v>0</v>
      </c>
      <c r="H260" s="131">
        <f t="shared" si="67"/>
        <v>0</v>
      </c>
      <c r="I260" s="132">
        <f t="shared" si="67"/>
        <v>6.8362000000000034E-2</v>
      </c>
      <c r="J260" s="133">
        <f t="shared" si="67"/>
        <v>50.860999999999876</v>
      </c>
      <c r="K260" s="134">
        <f t="shared" si="67"/>
        <v>0</v>
      </c>
      <c r="L260" s="135">
        <f t="shared" si="67"/>
        <v>0</v>
      </c>
      <c r="N260" s="247"/>
    </row>
    <row r="261" spans="1:14" ht="15" x14ac:dyDescent="0.25">
      <c r="A261" s="11" t="s">
        <v>82</v>
      </c>
      <c r="B261" s="12">
        <f>SUM(B253:B256)-SUM(B257:B260)</f>
        <v>0</v>
      </c>
      <c r="C261" s="12">
        <f>SUM(C253:C256)-SUM(C257:C260)</f>
        <v>0</v>
      </c>
      <c r="E261" s="128">
        <f>SUMIFS($E$238:$E$247,$C$238:$C$247,A261,$D$238:$D$247,$E$251)</f>
        <v>0</v>
      </c>
      <c r="F261" s="129">
        <f t="shared" ref="F261:L261" si="68">SUM(F253:F256)-SUM(F257:F260)</f>
        <v>0</v>
      </c>
      <c r="G261" s="130">
        <f t="shared" si="68"/>
        <v>0</v>
      </c>
      <c r="H261" s="131">
        <f t="shared" si="68"/>
        <v>0</v>
      </c>
      <c r="I261" s="132">
        <f t="shared" si="68"/>
        <v>0</v>
      </c>
      <c r="J261" s="133">
        <f t="shared" si="68"/>
        <v>0</v>
      </c>
      <c r="K261" s="134">
        <f t="shared" si="68"/>
        <v>0</v>
      </c>
      <c r="L261" s="135">
        <f t="shared" si="68"/>
        <v>0</v>
      </c>
      <c r="N261" s="247"/>
    </row>
    <row r="262" spans="1:14" ht="15" x14ac:dyDescent="0.25">
      <c r="N262" s="247"/>
    </row>
    <row r="263" spans="1:14" ht="15" x14ac:dyDescent="0.25">
      <c r="E263" s="153">
        <f>(F260*$H$5)+(H260*$J$5)+(J260*$L$5)+(L260*$N$5)</f>
        <v>4408.8632256854735</v>
      </c>
      <c r="N263" s="247"/>
    </row>
    <row r="264" spans="1:14" ht="15" x14ac:dyDescent="0.25">
      <c r="N264" s="247"/>
    </row>
    <row r="265" spans="1:14" ht="15" x14ac:dyDescent="0.25">
      <c r="N265" s="247"/>
    </row>
    <row r="266" spans="1:14" ht="15" x14ac:dyDescent="0.25">
      <c r="A266" s="564" t="s">
        <v>269</v>
      </c>
      <c r="B266" s="564"/>
      <c r="C266" s="564"/>
      <c r="D266" s="564"/>
      <c r="E266" s="564"/>
      <c r="F266" s="564"/>
      <c r="G266" s="564"/>
      <c r="H266" s="564"/>
      <c r="N266" s="247"/>
    </row>
    <row r="267" spans="1:14" ht="15" x14ac:dyDescent="0.25">
      <c r="A267" s="564"/>
      <c r="B267" s="564"/>
      <c r="C267" s="564"/>
      <c r="D267" s="564"/>
      <c r="E267" s="564"/>
      <c r="F267" s="564"/>
      <c r="G267" s="564"/>
      <c r="H267" s="564"/>
      <c r="N267" s="247"/>
    </row>
    <row r="268" spans="1:14" ht="3.75" customHeight="1" x14ac:dyDescent="0.25">
      <c r="A268" s="14"/>
      <c r="B268" s="14"/>
      <c r="C268" s="14"/>
      <c r="D268" s="14"/>
      <c r="E268" s="14"/>
      <c r="F268" s="14"/>
      <c r="G268" s="14"/>
      <c r="H268" s="14"/>
      <c r="N268" s="247"/>
    </row>
    <row r="269" spans="1:14" ht="15" x14ac:dyDescent="0.25">
      <c r="A269" s="548" t="s">
        <v>85</v>
      </c>
      <c r="B269" s="548"/>
      <c r="C269" s="548"/>
      <c r="D269" s="548"/>
      <c r="E269" s="548"/>
      <c r="F269" s="548"/>
      <c r="G269" s="548"/>
      <c r="H269" s="548"/>
      <c r="N269" s="247"/>
    </row>
    <row r="270" spans="1:14" ht="15" x14ac:dyDescent="0.25">
      <c r="A270" s="10" t="s">
        <v>8</v>
      </c>
      <c r="B270" s="10"/>
      <c r="C270" s="10" t="s">
        <v>2</v>
      </c>
      <c r="D270" s="10" t="s">
        <v>3</v>
      </c>
      <c r="E270" s="10" t="s">
        <v>137</v>
      </c>
      <c r="F270" s="10" t="s">
        <v>25</v>
      </c>
      <c r="G270" s="10" t="s">
        <v>95</v>
      </c>
      <c r="H270" s="10" t="s">
        <v>240</v>
      </c>
      <c r="N270" s="247"/>
    </row>
    <row r="271" spans="1:14" ht="15" x14ac:dyDescent="0.25">
      <c r="A271" s="167" t="str">
        <f>Balanço_MRE!A271</f>
        <v>Carajás</v>
      </c>
      <c r="B271" s="167">
        <f>Balanço_MRE!B271</f>
        <v>0</v>
      </c>
      <c r="C271" s="167" t="str">
        <f>Balanço_MRE!C271</f>
        <v>Carga</v>
      </c>
      <c r="D271" s="192" t="str">
        <f>Balanço_MRE!D271</f>
        <v>NORTE</v>
      </c>
      <c r="E271" s="79">
        <f>Balanço_MRE!E271</f>
        <v>53.674325000000003</v>
      </c>
      <c r="F271" s="262">
        <f>Balanço_MRE!F271</f>
        <v>39933.697600790336</v>
      </c>
      <c r="G271" s="263">
        <f>Balanço_MRE!G271</f>
        <v>794.83100000000002</v>
      </c>
      <c r="H271" s="193">
        <f>Balanço_MRE!H271</f>
        <v>0.03</v>
      </c>
      <c r="N271" s="247"/>
    </row>
    <row r="272" spans="1:14" ht="15" x14ac:dyDescent="0.25">
      <c r="A272" s="167" t="str">
        <f>Balanço_MRE!A272</f>
        <v>Onça Puma</v>
      </c>
      <c r="B272" s="167">
        <f>Balanço_MRE!B272</f>
        <v>0</v>
      </c>
      <c r="C272" s="167" t="str">
        <f>Balanço_MRE!C272</f>
        <v>Carga</v>
      </c>
      <c r="D272" s="192" t="str">
        <f>Balanço_MRE!D272</f>
        <v>NORTE</v>
      </c>
      <c r="E272" s="79">
        <f>Balanço_MRE!E272</f>
        <v>105.190932</v>
      </c>
      <c r="F272" s="262">
        <f>Balanço_MRE!F272</f>
        <v>78262.053178109927</v>
      </c>
      <c r="G272" s="263">
        <f>Balanço_MRE!G272</f>
        <v>1432.36</v>
      </c>
      <c r="H272" s="193">
        <f>Balanço_MRE!H272</f>
        <v>0.03</v>
      </c>
      <c r="N272" s="247"/>
    </row>
    <row r="273" spans="1:14" ht="15" x14ac:dyDescent="0.25">
      <c r="A273" s="167" t="str">
        <f>Balanço_MRE!A273</f>
        <v>Porto São Luís</v>
      </c>
      <c r="B273" s="167">
        <f>Balanço_MRE!B273</f>
        <v>0</v>
      </c>
      <c r="C273" s="167" t="str">
        <f>Balanço_MRE!C273</f>
        <v>Carga</v>
      </c>
      <c r="D273" s="192" t="str">
        <f>Balanço_MRE!D273</f>
        <v>NORTE</v>
      </c>
      <c r="E273" s="79">
        <f>Balanço_MRE!E273</f>
        <v>39.208869</v>
      </c>
      <c r="F273" s="262">
        <f>Balanço_MRE!F273</f>
        <v>29171.398192336783</v>
      </c>
      <c r="G273" s="263">
        <f>Balanço_MRE!G273</f>
        <v>423.87299999999999</v>
      </c>
      <c r="H273" s="193">
        <f>Balanço_MRE!H273</f>
        <v>0.03</v>
      </c>
      <c r="N273" s="247"/>
    </row>
    <row r="274" spans="1:14" ht="15" x14ac:dyDescent="0.25">
      <c r="A274" s="167" t="str">
        <f>Balanço_MRE!A274</f>
        <v>Sossego</v>
      </c>
      <c r="B274" s="167">
        <f>Balanço_MRE!B274</f>
        <v>0</v>
      </c>
      <c r="C274" s="167" t="str">
        <f>Balanço_MRE!C274</f>
        <v>Carga</v>
      </c>
      <c r="D274" s="192" t="str">
        <f>Balanço_MRE!D274</f>
        <v>NORTE</v>
      </c>
      <c r="E274" s="79">
        <f>Balanço_MRE!E274</f>
        <v>47.544255999999997</v>
      </c>
      <c r="F274" s="262">
        <f>Balanço_MRE!F274</f>
        <v>35372.926533883205</v>
      </c>
      <c r="G274" s="263">
        <f>Balanço_MRE!G274</f>
        <v>681.64</v>
      </c>
      <c r="H274" s="193">
        <f>Balanço_MRE!H274</f>
        <v>0.03</v>
      </c>
      <c r="N274" s="247"/>
    </row>
    <row r="275" spans="1:14" ht="15" x14ac:dyDescent="0.25">
      <c r="A275" s="167" t="str">
        <f>Balanço_MRE!A275</f>
        <v>Pelotização São Luis</v>
      </c>
      <c r="B275" s="167">
        <f>Balanço_MRE!B275</f>
        <v>0</v>
      </c>
      <c r="C275" s="167" t="str">
        <f>Balanço_MRE!C275</f>
        <v>Carga</v>
      </c>
      <c r="D275" s="192" t="str">
        <f>Balanço_MRE!D275</f>
        <v>NORTE</v>
      </c>
      <c r="E275" s="79">
        <f>Balanço_MRE!E275</f>
        <v>21.925560000000001</v>
      </c>
      <c r="F275" s="262">
        <f>Balanço_MRE!F275</f>
        <v>16312.616642130582</v>
      </c>
      <c r="G275" s="263">
        <f>Balanço_MRE!G275</f>
        <v>0</v>
      </c>
      <c r="H275" s="193">
        <f>Balanço_MRE!H275</f>
        <v>0.03</v>
      </c>
      <c r="N275" s="247"/>
    </row>
    <row r="276" spans="1:14" ht="15" x14ac:dyDescent="0.25">
      <c r="A276" s="167" t="str">
        <f>Balanço_MRE!A276</f>
        <v>Água Limpa</v>
      </c>
      <c r="B276" s="167">
        <f>Balanço_MRE!B276</f>
        <v>0</v>
      </c>
      <c r="C276" s="167" t="str">
        <f>Balanço_MRE!C276</f>
        <v>Carga</v>
      </c>
      <c r="D276" s="192" t="str">
        <f>Balanço_MRE!D276</f>
        <v>SUDESTE</v>
      </c>
      <c r="E276" s="79">
        <f>Balanço_MRE!E276</f>
        <v>6.8174929999999998</v>
      </c>
      <c r="F276" s="262">
        <f>Balanço_MRE!F276</f>
        <v>5072.2151177663209</v>
      </c>
      <c r="G276" s="263">
        <f>Balanço_MRE!G276</f>
        <v>1.655</v>
      </c>
      <c r="H276" s="193">
        <f>Balanço_MRE!H276</f>
        <v>0.03</v>
      </c>
      <c r="N276" s="247"/>
    </row>
    <row r="277" spans="1:14" ht="15" x14ac:dyDescent="0.25">
      <c r="A277" s="167" t="str">
        <f>Balanço_MRE!A277</f>
        <v>Alegria</v>
      </c>
      <c r="B277" s="167">
        <f>Balanço_MRE!B277</f>
        <v>0</v>
      </c>
      <c r="C277" s="167" t="str">
        <f>Balanço_MRE!C277</f>
        <v>Carga</v>
      </c>
      <c r="D277" s="192" t="str">
        <f>Balanço_MRE!D277</f>
        <v>SUDESTE</v>
      </c>
      <c r="E277" s="79">
        <f>Balanço_MRE!E277</f>
        <v>3.0305589999999998</v>
      </c>
      <c r="F277" s="262">
        <f>Balanço_MRE!F277</f>
        <v>2254.7359166666647</v>
      </c>
      <c r="G277" s="263">
        <f>Balanço_MRE!G277</f>
        <v>34.72</v>
      </c>
      <c r="H277" s="193">
        <f>Balanço_MRE!H277</f>
        <v>0.03</v>
      </c>
      <c r="N277" s="247"/>
    </row>
    <row r="278" spans="1:14" ht="15" x14ac:dyDescent="0.25">
      <c r="A278" s="167" t="str">
        <f>Balanço_MRE!A278</f>
        <v>Brucutu</v>
      </c>
      <c r="B278" s="167">
        <f>Balanço_MRE!B278</f>
        <v>0</v>
      </c>
      <c r="C278" s="167" t="str">
        <f>Balanço_MRE!C278</f>
        <v>Carga</v>
      </c>
      <c r="D278" s="192" t="str">
        <f>Balanço_MRE!D278</f>
        <v>SUDESTE</v>
      </c>
      <c r="E278" s="79">
        <f>Balanço_MRE!E278</f>
        <v>62.141632999999999</v>
      </c>
      <c r="F278" s="262">
        <f>Balanço_MRE!F278</f>
        <v>46233.374725944981</v>
      </c>
      <c r="G278" s="263">
        <f>Balanço_MRE!G278</f>
        <v>39.67</v>
      </c>
      <c r="H278" s="193">
        <f>Balanço_MRE!H278</f>
        <v>0.03</v>
      </c>
      <c r="K278" s="115"/>
      <c r="N278" s="247"/>
    </row>
    <row r="279" spans="1:14" ht="15" x14ac:dyDescent="0.25">
      <c r="A279" s="167" t="str">
        <f>Balanço_MRE!A279</f>
        <v>Fábrica (Ferrosos Sul)</v>
      </c>
      <c r="B279" s="167">
        <f>Balanço_MRE!B279</f>
        <v>0</v>
      </c>
      <c r="C279" s="167" t="str">
        <f>Balanço_MRE!C279</f>
        <v>Carga</v>
      </c>
      <c r="D279" s="192" t="str">
        <f>Balanço_MRE!D279</f>
        <v>SUDESTE</v>
      </c>
      <c r="E279" s="79">
        <f>Balanço_MRE!E279</f>
        <v>9.2619260000000008</v>
      </c>
      <c r="F279" s="262">
        <f>Balanço_MRE!F279</f>
        <v>6890.872674501682</v>
      </c>
      <c r="G279" s="263">
        <f>Balanço_MRE!G279</f>
        <v>117.5347262161534</v>
      </c>
      <c r="H279" s="193">
        <f>Balanço_MRE!H279</f>
        <v>0.03</v>
      </c>
      <c r="N279" s="247"/>
    </row>
    <row r="280" spans="1:14" ht="15" x14ac:dyDescent="0.25">
      <c r="A280" s="167" t="str">
        <f>Balanço_MRE!A280</f>
        <v>Fábrica (Pelotização)</v>
      </c>
      <c r="B280" s="167">
        <f>Balanço_MRE!B280</f>
        <v>0</v>
      </c>
      <c r="C280" s="167" t="str">
        <f>Balanço_MRE!C280</f>
        <v>Carga</v>
      </c>
      <c r="D280" s="192" t="str">
        <f>Balanço_MRE!D280</f>
        <v>SUDESTE</v>
      </c>
      <c r="E280" s="79">
        <f>Balanço_MRE!E280</f>
        <v>23.296378000000001</v>
      </c>
      <c r="F280" s="262">
        <f>Balanço_MRE!F280</f>
        <v>17332.505154639173</v>
      </c>
      <c r="G280" s="263">
        <f>Balanço_MRE!G280</f>
        <v>295.63327378384662</v>
      </c>
      <c r="H280" s="193">
        <f>Balanço_MRE!H280</f>
        <v>0.03</v>
      </c>
      <c r="N280" s="247"/>
    </row>
    <row r="281" spans="1:14" ht="15" x14ac:dyDescent="0.25">
      <c r="A281" s="167" t="str">
        <f>Balanço_MRE!A281</f>
        <v>Fábrica Nova</v>
      </c>
      <c r="B281" s="167">
        <f>Balanço_MRE!B281</f>
        <v>0</v>
      </c>
      <c r="C281" s="167" t="str">
        <f>Balanço_MRE!C281</f>
        <v>Carga</v>
      </c>
      <c r="D281" s="192" t="str">
        <f>Balanço_MRE!D281</f>
        <v>SUDESTE</v>
      </c>
      <c r="E281" s="79">
        <f>Balanço_MRE!E281</f>
        <v>6.5167510000000002</v>
      </c>
      <c r="F281" s="262">
        <f>Balanço_MRE!F281</f>
        <v>4848.46297687285</v>
      </c>
      <c r="G281" s="263">
        <f>Balanço_MRE!G281</f>
        <v>45.36</v>
      </c>
      <c r="H281" s="193">
        <f>Balanço_MRE!H281</f>
        <v>0.03</v>
      </c>
      <c r="N281" s="247"/>
    </row>
    <row r="282" spans="1:14" ht="15" x14ac:dyDescent="0.25">
      <c r="A282" s="167" t="str">
        <f>Balanço_MRE!A282</f>
        <v>Itabira</v>
      </c>
      <c r="B282" s="167">
        <f>Balanço_MRE!B282</f>
        <v>0</v>
      </c>
      <c r="C282" s="167" t="str">
        <f>Balanço_MRE!C282</f>
        <v>Carga</v>
      </c>
      <c r="D282" s="192" t="str">
        <f>Balanço_MRE!D282</f>
        <v>SUDESTE</v>
      </c>
      <c r="E282" s="79">
        <f>Balanço_MRE!E282</f>
        <v>89.607456999999997</v>
      </c>
      <c r="F282" s="262">
        <f>Balanço_MRE!F282</f>
        <v>66667.947817525768</v>
      </c>
      <c r="G282" s="263">
        <f>Balanço_MRE!G282</f>
        <v>25.646999999999998</v>
      </c>
      <c r="H282" s="193">
        <f>Balanço_MRE!H282</f>
        <v>0.03</v>
      </c>
      <c r="N282" s="247"/>
    </row>
    <row r="283" spans="1:14" ht="15" x14ac:dyDescent="0.25">
      <c r="A283" s="167" t="str">
        <f>Balanço_MRE!A283</f>
        <v>Itabiritos Conceição</v>
      </c>
      <c r="B283" s="167">
        <f>Balanço_MRE!B283</f>
        <v>0</v>
      </c>
      <c r="C283" s="167" t="str">
        <f>Balanço_MRE!C283</f>
        <v>Carga</v>
      </c>
      <c r="D283" s="192" t="str">
        <f>Balanço_MRE!D283</f>
        <v>SUDESTE</v>
      </c>
      <c r="E283" s="79">
        <f>Balanço_MRE!E283</f>
        <v>91.082241999999994</v>
      </c>
      <c r="F283" s="262">
        <f>Balanço_MRE!F283</f>
        <v>67765.18814515468</v>
      </c>
      <c r="G283" s="263">
        <f>Balanço_MRE!G283</f>
        <v>30.512</v>
      </c>
      <c r="H283" s="193">
        <f>Balanço_MRE!H283</f>
        <v>0.03</v>
      </c>
      <c r="N283" s="247"/>
    </row>
    <row r="284" spans="1:14" ht="15" x14ac:dyDescent="0.25">
      <c r="A284" s="167" t="str">
        <f>Balanço_MRE!A284</f>
        <v>Pico do Itabirito</v>
      </c>
      <c r="B284" s="167">
        <f>Balanço_MRE!B284</f>
        <v>0</v>
      </c>
      <c r="C284" s="167" t="str">
        <f>Balanço_MRE!C284</f>
        <v>Carga</v>
      </c>
      <c r="D284" s="192" t="str">
        <f>Balanço_MRE!D284</f>
        <v>SUDESTE</v>
      </c>
      <c r="E284" s="79">
        <f>Balanço_MRE!E284</f>
        <v>14.792946000000001</v>
      </c>
      <c r="F284" s="262">
        <f>Balanço_MRE!F284</f>
        <v>11005.95195404183</v>
      </c>
      <c r="G284" s="263">
        <f>Balanço_MRE!G284</f>
        <v>0</v>
      </c>
      <c r="H284" s="193">
        <f>Balanço_MRE!H284</f>
        <v>0.03</v>
      </c>
      <c r="N284" s="247"/>
    </row>
    <row r="285" spans="1:14" ht="15" x14ac:dyDescent="0.25">
      <c r="A285" s="167" t="str">
        <f>Balanço_MRE!A285</f>
        <v>Tamanduá</v>
      </c>
      <c r="B285" s="167">
        <f>Balanço_MRE!B285</f>
        <v>0</v>
      </c>
      <c r="C285" s="167" t="str">
        <f>Balanço_MRE!C285</f>
        <v>Carga</v>
      </c>
      <c r="D285" s="192" t="str">
        <f>Balanço_MRE!D285</f>
        <v>SUDESTE</v>
      </c>
      <c r="E285" s="79">
        <f>Balanço_MRE!E285</f>
        <v>13.084414000000001</v>
      </c>
      <c r="F285" s="262">
        <f>Balanço_MRE!F285</f>
        <v>9734.8036478350568</v>
      </c>
      <c r="G285" s="263">
        <f>Balanço_MRE!G285</f>
        <v>155.11699999999999</v>
      </c>
      <c r="H285" s="193">
        <f>Balanço_MRE!H285</f>
        <v>0.03</v>
      </c>
      <c r="N285" s="247"/>
    </row>
    <row r="286" spans="1:14" ht="15" x14ac:dyDescent="0.25">
      <c r="A286" s="167" t="str">
        <f>Balanço_MRE!A286</f>
        <v>Usina VIII</v>
      </c>
      <c r="B286" s="167">
        <f>Balanço_MRE!B286</f>
        <v>0</v>
      </c>
      <c r="C286" s="167" t="str">
        <f>Balanço_MRE!C286</f>
        <v>Carga</v>
      </c>
      <c r="D286" s="192" t="str">
        <f>Balanço_MRE!D286</f>
        <v>SUDESTE</v>
      </c>
      <c r="E286" s="79">
        <f>Balanço_MRE!E286</f>
        <v>42.106852000000003</v>
      </c>
      <c r="F286" s="262">
        <f>Balanço_MRE!F286</f>
        <v>31327.498061855651</v>
      </c>
      <c r="G286" s="263">
        <f>Balanço_MRE!G286</f>
        <v>116.32899999999999</v>
      </c>
      <c r="H286" s="193">
        <f>Balanço_MRE!H286</f>
        <v>0.03</v>
      </c>
      <c r="N286" s="247"/>
    </row>
    <row r="287" spans="1:14" ht="15" x14ac:dyDescent="0.25">
      <c r="A287" s="167" t="str">
        <f>Balanço_MRE!A287</f>
        <v>Vargem Grande 1</v>
      </c>
      <c r="B287" s="167">
        <f>Balanço_MRE!B287</f>
        <v>0</v>
      </c>
      <c r="C287" s="167" t="str">
        <f>Balanço_MRE!C287</f>
        <v>Carga</v>
      </c>
      <c r="D287" s="192" t="str">
        <f>Balanço_MRE!D287</f>
        <v>SUDESTE</v>
      </c>
      <c r="E287" s="79">
        <f>Balanço_MRE!E287</f>
        <v>9.9846869999999992</v>
      </c>
      <c r="F287" s="262">
        <f>Balanço_MRE!F287</f>
        <v>7428.6074481987253</v>
      </c>
      <c r="G287" s="263">
        <f>Balanço_MRE!G287</f>
        <v>0</v>
      </c>
      <c r="H287" s="193">
        <f>Balanço_MRE!H287</f>
        <v>0.03</v>
      </c>
      <c r="N287" s="247"/>
    </row>
    <row r="288" spans="1:14" ht="15" x14ac:dyDescent="0.25">
      <c r="A288" s="167" t="str">
        <f>Balanço_MRE!A288</f>
        <v>Vargem Grande 2</v>
      </c>
      <c r="B288" s="167">
        <f>Balanço_MRE!B288</f>
        <v>0</v>
      </c>
      <c r="C288" s="167" t="str">
        <f>Balanço_MRE!C288</f>
        <v>Carga</v>
      </c>
      <c r="D288" s="192" t="str">
        <f>Balanço_MRE!D288</f>
        <v>SUDESTE</v>
      </c>
      <c r="E288" s="79">
        <f>Balanço_MRE!E288</f>
        <v>27.2562</v>
      </c>
      <c r="F288" s="262">
        <f>Balanço_MRE!F288</f>
        <v>20278.612628521179</v>
      </c>
      <c r="G288" s="263">
        <f>Balanço_MRE!G288</f>
        <v>0</v>
      </c>
      <c r="H288" s="193">
        <f>Balanço_MRE!H288</f>
        <v>0.03</v>
      </c>
      <c r="N288" s="247"/>
    </row>
    <row r="289" spans="1:14" ht="15" x14ac:dyDescent="0.25">
      <c r="A289" s="167" t="str">
        <f>Balanço_MRE!A289</f>
        <v>Vargem Grande (Pelotização)</v>
      </c>
      <c r="B289" s="167">
        <f>Balanço_MRE!B289</f>
        <v>0</v>
      </c>
      <c r="C289" s="167" t="str">
        <f>Balanço_MRE!C289</f>
        <v>Carga</v>
      </c>
      <c r="D289" s="192" t="str">
        <f>Balanço_MRE!D289</f>
        <v>SUDESTE</v>
      </c>
      <c r="E289" s="79">
        <f>Balanço_MRE!E289</f>
        <v>44.850189999999998</v>
      </c>
      <c r="F289" s="262">
        <f>Balanço_MRE!F289</f>
        <v>33368.541398482281</v>
      </c>
      <c r="G289" s="263">
        <f>Balanço_MRE!G289</f>
        <v>0</v>
      </c>
      <c r="H289" s="193">
        <f>Balanço_MRE!H289</f>
        <v>0.03</v>
      </c>
      <c r="N289" s="247"/>
    </row>
    <row r="290" spans="1:14" ht="15" x14ac:dyDescent="0.25">
      <c r="A290" s="217"/>
      <c r="B290" s="217"/>
      <c r="C290" s="217"/>
      <c r="D290" s="217"/>
      <c r="E290" s="218"/>
      <c r="F290" s="219"/>
      <c r="G290" s="220"/>
      <c r="H290" s="221"/>
      <c r="N290" s="247"/>
    </row>
    <row r="291" spans="1:14" ht="15" x14ac:dyDescent="0.25">
      <c r="A291" s="80" t="s">
        <v>32</v>
      </c>
      <c r="B291" s="16"/>
      <c r="C291" s="16"/>
      <c r="D291" s="17"/>
      <c r="E291" s="81">
        <f>SUM(E271:E290)</f>
        <v>711.37367000000017</v>
      </c>
      <c r="F291" s="84">
        <f>SUM(F271:F290)</f>
        <v>529262.00981525762</v>
      </c>
      <c r="G291" s="82">
        <f>SUM(G271:G290)</f>
        <v>4194.8820000000005</v>
      </c>
      <c r="H291" s="82"/>
      <c r="N291" s="247"/>
    </row>
    <row r="292" spans="1:14" ht="15" x14ac:dyDescent="0.25">
      <c r="N292" s="247"/>
    </row>
    <row r="293" spans="1:14" ht="15" x14ac:dyDescent="0.25">
      <c r="F293" s="115"/>
      <c r="G293" s="141" t="s">
        <v>21</v>
      </c>
      <c r="H293" s="20">
        <f>SUMIF(D271:D290,"SUDESTE",F271:F290)</f>
        <v>330209.31766800681</v>
      </c>
      <c r="N293" s="247"/>
    </row>
    <row r="294" spans="1:14" ht="15" x14ac:dyDescent="0.25">
      <c r="G294" s="141" t="s">
        <v>19</v>
      </c>
      <c r="H294" s="20">
        <f>SUMIF(D271:D290,"NORTE",F271:F290)</f>
        <v>199052.69214725081</v>
      </c>
      <c r="I294" s="115"/>
      <c r="K294" s="115"/>
      <c r="N294" s="247"/>
    </row>
    <row r="295" spans="1:14" ht="15" x14ac:dyDescent="0.25">
      <c r="F295" s="142"/>
      <c r="H295" s="115"/>
      <c r="N295" s="247"/>
    </row>
    <row r="296" spans="1:14" ht="15" x14ac:dyDescent="0.25">
      <c r="A296" s="548" t="s">
        <v>70</v>
      </c>
      <c r="B296" s="548"/>
      <c r="C296" s="548"/>
      <c r="D296" s="548"/>
      <c r="E296" s="548"/>
      <c r="F296" s="548"/>
      <c r="G296" s="548"/>
      <c r="H296" s="548"/>
      <c r="J296" s="142"/>
      <c r="N296" s="247"/>
    </row>
    <row r="297" spans="1:14" ht="15" x14ac:dyDescent="0.25">
      <c r="A297" s="10" t="s">
        <v>252</v>
      </c>
      <c r="B297" s="10" t="s">
        <v>1</v>
      </c>
      <c r="C297" s="10" t="s">
        <v>2</v>
      </c>
      <c r="D297" s="10" t="s">
        <v>3</v>
      </c>
      <c r="E297" s="10" t="s">
        <v>137</v>
      </c>
      <c r="F297" s="10" t="s">
        <v>25</v>
      </c>
      <c r="G297" s="10" t="s">
        <v>253</v>
      </c>
      <c r="H297" s="10" t="s">
        <v>254</v>
      </c>
      <c r="J297" s="10" t="s">
        <v>72</v>
      </c>
      <c r="K297" s="10" t="s">
        <v>73</v>
      </c>
      <c r="L297" s="10" t="s">
        <v>74</v>
      </c>
      <c r="M297" s="10" t="s">
        <v>75</v>
      </c>
      <c r="N297" s="247"/>
    </row>
    <row r="298" spans="1:14" ht="15" x14ac:dyDescent="0.25">
      <c r="A298" s="167" t="str">
        <f>Balanço_MRE!A298</f>
        <v>ACEP G | 1165</v>
      </c>
      <c r="B298" s="167" t="str">
        <f>Balanço_MRE!B298</f>
        <v>PROINFA CVRD</v>
      </c>
      <c r="C298" s="167" t="str">
        <f>Balanço_MRE!C298</f>
        <v>Contratos de Compra</v>
      </c>
      <c r="D298" s="192" t="str">
        <f>Balanço_MRE!D298</f>
        <v>NORTE</v>
      </c>
      <c r="E298" s="79">
        <f>Balanço_MRE!E298</f>
        <v>4.4794409999999996</v>
      </c>
      <c r="F298" s="262">
        <f>Balanço_MRE!F298</f>
        <v>3332.7039999999997</v>
      </c>
      <c r="G298" s="263">
        <f>Balanço_MRE!G298</f>
        <v>0</v>
      </c>
      <c r="H298" s="193">
        <f>Balanço_MRE!H298</f>
        <v>0</v>
      </c>
      <c r="I298" s="142"/>
      <c r="J298" s="247" t="e">
        <f>SUMIF([12]Contratos!$L$3:$L$21,"SUDESTE",[12]Contratos!$W$3:$W$21)</f>
        <v>#VALUE!</v>
      </c>
      <c r="K298" s="247" t="str">
        <f>[12]Contratos!$X$6</f>
        <v>Ajustado e Validado</v>
      </c>
      <c r="L298" s="247"/>
      <c r="M298" s="247"/>
      <c r="N298" s="247"/>
    </row>
    <row r="299" spans="1:14" ht="15" x14ac:dyDescent="0.25">
      <c r="A299" s="167" t="str">
        <f>Balanço_MRE!A299</f>
        <v>ACEP G | 1165</v>
      </c>
      <c r="B299" s="167" t="str">
        <f>Balanço_MRE!B299</f>
        <v>PROINFA CVRD</v>
      </c>
      <c r="C299" s="167" t="str">
        <f>Balanço_MRE!C299</f>
        <v>Contratos de Compra</v>
      </c>
      <c r="D299" s="192" t="str">
        <f>Balanço_MRE!D299</f>
        <v>SUDESTE</v>
      </c>
      <c r="E299" s="79">
        <f>Balanço_MRE!E299</f>
        <v>1.158841</v>
      </c>
      <c r="F299" s="262">
        <f>Balanço_MRE!F299</f>
        <v>862.17799999999988</v>
      </c>
      <c r="G299" s="263">
        <f>Balanço_MRE!G299</f>
        <v>0</v>
      </c>
      <c r="H299" s="193">
        <f>Balanço_MRE!H299</f>
        <v>0</v>
      </c>
      <c r="J299" s="247" t="e">
        <f>SUMIF([12]Contratos!$L$3:$L$21,"NORTE",[12]Contratos!$W$3:$W$21)</f>
        <v>#VALUE!</v>
      </c>
      <c r="K299" s="247" t="str">
        <f>K298</f>
        <v>Ajustado e Validado</v>
      </c>
      <c r="L299" s="247"/>
      <c r="M299" s="247"/>
      <c r="N299" s="247"/>
    </row>
    <row r="300" spans="1:14" ht="15" x14ac:dyDescent="0.25">
      <c r="A300" s="167">
        <f>Balanço_MRE!A300</f>
        <v>43705</v>
      </c>
      <c r="B300" s="167" t="str">
        <f>Balanço_MRE!B300</f>
        <v>CHESF &gt;&gt; 0109_1217</v>
      </c>
      <c r="C300" s="167" t="str">
        <f>Balanço_MRE!C300</f>
        <v>Contratos de Compra</v>
      </c>
      <c r="D300" s="192" t="str">
        <f>Balanço_MRE!D300</f>
        <v>NORDESTE</v>
      </c>
      <c r="E300" s="79">
        <f>Balanço_MRE!E300</f>
        <v>0</v>
      </c>
      <c r="F300" s="262">
        <f>Balanço_MRE!F300</f>
        <v>0</v>
      </c>
      <c r="G300" s="263">
        <f>Balanço_MRE!G300</f>
        <v>0</v>
      </c>
      <c r="H300" s="193">
        <f>Balanço_MRE!H300</f>
        <v>0</v>
      </c>
      <c r="I300" s="142"/>
      <c r="J300" s="9" t="str">
        <f>VLOOKUP(A300,[13]RelatorioContratos_080817_10335!$A$1:$BZ$65536,26,FALSE)</f>
        <v>0,000000</v>
      </c>
      <c r="K300" s="9" t="str">
        <f>VLOOKUP(A300,[13]RelatorioContratos_080817_10335!$A$1:$BZ$65536,10,FALSE)</f>
        <v>Validado</v>
      </c>
      <c r="L300" s="9" t="str">
        <f>VLOOKUP(A300,[13]RelatorioContratos_080817_10335!$A$1:$BZ$65536,32,FALSE)</f>
        <v>FLAT</v>
      </c>
      <c r="M300" s="9" t="str">
        <f>VLOOKUP(A300,[13]RelatorioContratos_080817_10335!$A$1:$BZ$65536,33,FALSE)</f>
        <v>Validado</v>
      </c>
      <c r="N300" s="247">
        <f t="shared" ref="N300:N311" si="69">(J300*$B$33)-F300</f>
        <v>0</v>
      </c>
    </row>
    <row r="301" spans="1:14" ht="15" x14ac:dyDescent="0.25">
      <c r="A301" s="167">
        <f>Balanço_MRE!A301</f>
        <v>558367</v>
      </c>
      <c r="B301" s="167" t="str">
        <f>Balanço_MRE!B301</f>
        <v>CVRD PIE &gt;&gt; 0214_0119</v>
      </c>
      <c r="C301" s="167" t="str">
        <f>Balanço_MRE!C301</f>
        <v>Contratos de Compra</v>
      </c>
      <c r="D301" s="192" t="str">
        <f>Balanço_MRE!D301</f>
        <v>NORTE</v>
      </c>
      <c r="E301" s="79">
        <f>Balanço_MRE!E301</f>
        <v>0</v>
      </c>
      <c r="F301" s="262">
        <f>Balanço_MRE!F301</f>
        <v>0</v>
      </c>
      <c r="G301" s="263">
        <f>Balanço_MRE!G301</f>
        <v>0</v>
      </c>
      <c r="H301" s="193">
        <f>Balanço_MRE!H301</f>
        <v>0</v>
      </c>
      <c r="I301" s="142"/>
      <c r="J301" s="9" t="str">
        <f>VLOOKUP(A301,[13]RelatorioContratos_080817_10335!$A$1:$BZ$65536,26,FALSE)</f>
        <v>0,000000</v>
      </c>
      <c r="K301" s="9" t="str">
        <f>VLOOKUP(A301,[13]RelatorioContratos_080817_10335!$A$1:$BZ$65536,10,FALSE)</f>
        <v>Validado</v>
      </c>
      <c r="L301" s="9" t="str">
        <f>VLOOKUP(A301,[13]RelatorioContratos_080817_10335!$A$1:$BZ$65536,32,FALSE)</f>
        <v>FLAT</v>
      </c>
      <c r="M301" s="9" t="str">
        <f>VLOOKUP(A301,[13]RelatorioContratos_080817_10335!$A$1:$BZ$65536,33,FALSE)</f>
        <v>Validado</v>
      </c>
      <c r="N301" s="247">
        <f t="shared" si="69"/>
        <v>0</v>
      </c>
    </row>
    <row r="302" spans="1:14" ht="15" x14ac:dyDescent="0.25">
      <c r="A302" s="167">
        <f>Balanço_MRE!A302</f>
        <v>567196</v>
      </c>
      <c r="B302" s="167" t="str">
        <f>Balanço_MRE!B302</f>
        <v>CVRD PIE &gt;&gt; 0214_0119 (AP)</v>
      </c>
      <c r="C302" s="167" t="str">
        <f>Balanço_MRE!C302</f>
        <v>Contratos de Compra</v>
      </c>
      <c r="D302" s="192" t="str">
        <f>Balanço_MRE!D302</f>
        <v>NORTE</v>
      </c>
      <c r="E302" s="79">
        <f>Balanço_MRE!E302</f>
        <v>263.06450000000001</v>
      </c>
      <c r="F302" s="262">
        <f>Balanço_MRE!F302</f>
        <v>195719.98814725081</v>
      </c>
      <c r="G302" s="263">
        <f>Balanço_MRE!G302</f>
        <v>0</v>
      </c>
      <c r="H302" s="193">
        <f>Balanço_MRE!H302</f>
        <v>0</v>
      </c>
      <c r="I302" s="142"/>
      <c r="J302" s="9" t="str">
        <f>VLOOKUP(A302,[13]RelatorioContratos_080817_10335!$A$1:$BZ$65536,26,FALSE)</f>
        <v>244,069221</v>
      </c>
      <c r="K302" s="9" t="str">
        <f>VLOOKUP(A302,[13]RelatorioContratos_080817_10335!$A$1:$BZ$65536,10,FALSE)</f>
        <v>Validado</v>
      </c>
      <c r="L302" s="9" t="str">
        <f>VLOOKUP(A302,[13]RelatorioContratos_080817_10335!$A$1:$BZ$65536,32,FALSE)</f>
        <v>FLAT</v>
      </c>
      <c r="M302" s="9" t="str">
        <f>VLOOKUP(A302,[13]RelatorioContratos_080817_10335!$A$1:$BZ$65536,33,FALSE)</f>
        <v>Ajustado Validado</v>
      </c>
      <c r="N302" s="247">
        <f t="shared" si="69"/>
        <v>-14132.487723250815</v>
      </c>
    </row>
    <row r="303" spans="1:14" ht="15" x14ac:dyDescent="0.25">
      <c r="A303" s="167">
        <f>Balanço_MRE!A303</f>
        <v>76527</v>
      </c>
      <c r="B303" s="167" t="str">
        <f>Balanço_MRE!B303</f>
        <v>VALE ENERGIA &gt;&gt; 1110_0119</v>
      </c>
      <c r="C303" s="167" t="str">
        <f>Balanço_MRE!C303</f>
        <v>Contratos de Compra</v>
      </c>
      <c r="D303" s="192" t="str">
        <f>Balanço_MRE!D303</f>
        <v>NORTE</v>
      </c>
      <c r="E303" s="79">
        <f>Balanço_MRE!E303</f>
        <v>0</v>
      </c>
      <c r="F303" s="262">
        <f>Balanço_MRE!F303</f>
        <v>0</v>
      </c>
      <c r="G303" s="263">
        <f>Balanço_MRE!G303</f>
        <v>0</v>
      </c>
      <c r="H303" s="193">
        <f>Balanço_MRE!H303</f>
        <v>0</v>
      </c>
      <c r="I303" s="142"/>
      <c r="J303" s="9" t="str">
        <f>VLOOKUP(A303,[13]RelatorioContratos_080817_10335!$A$1:$BZ$65536,26,FALSE)</f>
        <v>0,000000</v>
      </c>
      <c r="K303" s="9" t="str">
        <f>VLOOKUP(A303,[13]RelatorioContratos_080817_10335!$A$1:$BZ$65536,10,FALSE)</f>
        <v>Validado</v>
      </c>
      <c r="L303" s="9" t="str">
        <f>VLOOKUP(A303,[13]RelatorioContratos_080817_10335!$A$1:$BZ$65536,32,FALSE)</f>
        <v>FLAT</v>
      </c>
      <c r="M303" s="9" t="str">
        <f>VLOOKUP(A303,[13]RelatorioContratos_080817_10335!$A$1:$BZ$65536,33,FALSE)</f>
        <v>Validado</v>
      </c>
      <c r="N303" s="247">
        <f t="shared" si="69"/>
        <v>0</v>
      </c>
    </row>
    <row r="304" spans="1:14" ht="15" x14ac:dyDescent="0.25">
      <c r="A304" s="167">
        <f>Balanço_MRE!A304</f>
        <v>341850</v>
      </c>
      <c r="B304" s="167" t="str">
        <f>Balanço_MRE!B304</f>
        <v>ALIANÇA GERAÇÃO &gt;&gt; 0713_0119</v>
      </c>
      <c r="C304" s="167" t="str">
        <f>Balanço_MRE!C304</f>
        <v>Contratos de Compra</v>
      </c>
      <c r="D304" s="192" t="str">
        <f>Balanço_MRE!D304</f>
        <v>SUDESTE</v>
      </c>
      <c r="E304" s="79">
        <f>Balanço_MRE!E304</f>
        <v>0</v>
      </c>
      <c r="F304" s="262">
        <f>Balanço_MRE!F304</f>
        <v>0</v>
      </c>
      <c r="G304" s="263">
        <f>Balanço_MRE!G304</f>
        <v>0</v>
      </c>
      <c r="H304" s="193">
        <f>Balanço_MRE!H304</f>
        <v>0</v>
      </c>
      <c r="I304" s="142"/>
      <c r="J304" s="9" t="str">
        <f>VLOOKUP(A304,[13]RelatorioContratos_080817_10335!$A$1:$BZ$65536,26,FALSE)</f>
        <v>0,000000</v>
      </c>
      <c r="K304" s="9" t="str">
        <f>VLOOKUP(A304,[13]RelatorioContratos_080817_10335!$A$1:$BZ$65536,10,FALSE)</f>
        <v>Validado</v>
      </c>
      <c r="L304" s="9" t="str">
        <f>VLOOKUP(A304,[13]RelatorioContratos_080817_10335!$A$1:$BZ$65536,32,FALSE)</f>
        <v>FLAT</v>
      </c>
      <c r="M304" s="9" t="str">
        <f>VLOOKUP(A304,[13]RelatorioContratos_080817_10335!$A$1:$BZ$65536,33,FALSE)</f>
        <v>Validado</v>
      </c>
      <c r="N304" s="247">
        <f t="shared" si="69"/>
        <v>0</v>
      </c>
    </row>
    <row r="305" spans="1:14" ht="15" x14ac:dyDescent="0.25">
      <c r="A305" s="167">
        <f>Balanço_MRE!A305</f>
        <v>567305</v>
      </c>
      <c r="B305" s="167" t="str">
        <f>Balanço_MRE!B305</f>
        <v>CVRD APE I5 &gt;&gt; 0214_0119 (AP)</v>
      </c>
      <c r="C305" s="167" t="str">
        <f>Balanço_MRE!C305</f>
        <v>Contratos de Compra</v>
      </c>
      <c r="D305" s="192" t="str">
        <f>Balanço_MRE!D305</f>
        <v>SUDESTE</v>
      </c>
      <c r="E305" s="79">
        <f>Balanço_MRE!E305</f>
        <v>0</v>
      </c>
      <c r="F305" s="262">
        <f>Balanço_MRE!F305</f>
        <v>0</v>
      </c>
      <c r="G305" s="263">
        <f>Balanço_MRE!G305</f>
        <v>0</v>
      </c>
      <c r="H305" s="193">
        <f>Balanço_MRE!H305</f>
        <v>0</v>
      </c>
      <c r="I305" s="142"/>
      <c r="J305" s="9" t="str">
        <f>VLOOKUP(A305,[13]RelatorioContratos_080817_10335!$A$1:$BZ$65536,26,FALSE)</f>
        <v>19,112984</v>
      </c>
      <c r="K305" s="9" t="str">
        <f>VLOOKUP(A305,[13]RelatorioContratos_080817_10335!$A$1:$BZ$65536,10,FALSE)</f>
        <v>Validado</v>
      </c>
      <c r="L305" s="9" t="str">
        <f>VLOOKUP(A305,[13]RelatorioContratos_080817_10335!$A$1:$BZ$65536,32,FALSE)</f>
        <v>FLAT</v>
      </c>
      <c r="M305" s="9" t="str">
        <f>VLOOKUP(A305,[13]RelatorioContratos_080817_10335!$A$1:$BZ$65536,33,FALSE)</f>
        <v>Ajustado Validado</v>
      </c>
      <c r="N305" s="247">
        <f t="shared" si="69"/>
        <v>14220.060096000001</v>
      </c>
    </row>
    <row r="306" spans="1:14" ht="15" x14ac:dyDescent="0.25">
      <c r="A306" s="167">
        <f>Balanço_MRE!A306</f>
        <v>98196</v>
      </c>
      <c r="B306" s="167" t="str">
        <f>Balanço_MRE!B306</f>
        <v>CVRD PIE &gt;&gt; 0112_1219</v>
      </c>
      <c r="C306" s="167" t="str">
        <f>Balanço_MRE!C306</f>
        <v>Contratos de Compra</v>
      </c>
      <c r="D306" s="192" t="str">
        <f>Balanço_MRE!D306</f>
        <v>SUDESTE</v>
      </c>
      <c r="E306" s="79">
        <f>Balanço_MRE!E306</f>
        <v>0</v>
      </c>
      <c r="F306" s="262">
        <f>Balanço_MRE!F306</f>
        <v>0</v>
      </c>
      <c r="G306" s="263">
        <f>Balanço_MRE!G306</f>
        <v>0</v>
      </c>
      <c r="H306" s="193">
        <f>Balanço_MRE!H306</f>
        <v>0</v>
      </c>
      <c r="I306" s="142"/>
      <c r="J306" s="9" t="str">
        <f>VLOOKUP(A306,[13]RelatorioContratos_080817_10335!$A$1:$BZ$65536,26,FALSE)</f>
        <v>0,000000</v>
      </c>
      <c r="K306" s="9" t="str">
        <f>VLOOKUP(A306,[13]RelatorioContratos_080817_10335!$A$1:$BZ$65536,10,FALSE)</f>
        <v>Validado</v>
      </c>
      <c r="L306" s="9" t="str">
        <f>VLOOKUP(A306,[13]RelatorioContratos_080817_10335!$A$1:$BZ$65536,32,FALSE)</f>
        <v>FLAT</v>
      </c>
      <c r="M306" s="9" t="str">
        <f>VLOOKUP(A306,[13]RelatorioContratos_080817_10335!$A$1:$BZ$65536,33,FALSE)</f>
        <v>Validado</v>
      </c>
      <c r="N306" s="247">
        <f t="shared" si="69"/>
        <v>0</v>
      </c>
    </row>
    <row r="307" spans="1:14" ht="15" x14ac:dyDescent="0.25">
      <c r="A307" s="167">
        <f>Balanço_MRE!A307</f>
        <v>567194</v>
      </c>
      <c r="B307" s="167" t="str">
        <f>Balanço_MRE!B307</f>
        <v>CVRD PIE &gt;&gt; 0214_0119 (AP)</v>
      </c>
      <c r="C307" s="167" t="str">
        <f>Balanço_MRE!C307</f>
        <v>Contratos de Compra</v>
      </c>
      <c r="D307" s="192" t="str">
        <f>Balanço_MRE!D307</f>
        <v>SUDESTE</v>
      </c>
      <c r="E307" s="79">
        <f>Balanço_MRE!E307</f>
        <v>409.45101099999999</v>
      </c>
      <c r="F307" s="262">
        <f>Balanço_MRE!F307</f>
        <v>304631.551992097</v>
      </c>
      <c r="G307" s="263">
        <f>Balanço_MRE!G307</f>
        <v>0</v>
      </c>
      <c r="H307" s="193">
        <f>Balanço_MRE!H307</f>
        <v>0</v>
      </c>
      <c r="I307" s="142"/>
      <c r="J307" s="9" t="str">
        <f>VLOOKUP(A307,[13]RelatorioContratos_080817_10335!$A$1:$BZ$65536,26,FALSE)</f>
        <v>378,989869</v>
      </c>
      <c r="K307" s="9" t="str">
        <f>VLOOKUP(A307,[13]RelatorioContratos_080817_10335!$A$1:$BZ$65536,10,FALSE)</f>
        <v>Validado</v>
      </c>
      <c r="L307" s="9" t="str">
        <f>VLOOKUP(A307,[13]RelatorioContratos_080817_10335!$A$1:$BZ$65536,32,FALSE)</f>
        <v>FLAT</v>
      </c>
      <c r="M307" s="9" t="str">
        <f>VLOOKUP(A307,[13]RelatorioContratos_080817_10335!$A$1:$BZ$65536,33,FALSE)</f>
        <v>Ajustado Validado</v>
      </c>
      <c r="N307" s="247">
        <f t="shared" si="69"/>
        <v>-22663.08945609699</v>
      </c>
    </row>
    <row r="308" spans="1:14" ht="15" x14ac:dyDescent="0.25">
      <c r="A308" s="167">
        <f>Balanço_MRE!A308</f>
        <v>566840</v>
      </c>
      <c r="B308" s="167" t="str">
        <f>Balanço_MRE!B308</f>
        <v>CVRD PIE I5 &gt;&gt; 0214_0119</v>
      </c>
      <c r="C308" s="167" t="str">
        <f>Balanço_MRE!C308</f>
        <v>Contratos de Compra</v>
      </c>
      <c r="D308" s="192" t="str">
        <f>Balanço_MRE!D308</f>
        <v>SUDESTE</v>
      </c>
      <c r="E308" s="79">
        <f>Balanço_MRE!E308</f>
        <v>0</v>
      </c>
      <c r="F308" s="262">
        <f>Balanço_MRE!F308</f>
        <v>0</v>
      </c>
      <c r="G308" s="263">
        <f>Balanço_MRE!G308</f>
        <v>0</v>
      </c>
      <c r="H308" s="193">
        <f>Balanço_MRE!H308</f>
        <v>0</v>
      </c>
      <c r="I308" s="142"/>
      <c r="J308" s="9" t="str">
        <f>VLOOKUP(A308,[13]RelatorioContratos_080817_10335!$A$1:$BZ$65536,26,FALSE)</f>
        <v>0,000000</v>
      </c>
      <c r="K308" s="9" t="str">
        <f>VLOOKUP(A308,[13]RelatorioContratos_080817_10335!$A$1:$BZ$65536,10,FALSE)</f>
        <v>Validado</v>
      </c>
      <c r="L308" s="9" t="str">
        <f>VLOOKUP(A308,[13]RelatorioContratos_080817_10335!$A$1:$BZ$65536,32,FALSE)</f>
        <v>FLAT</v>
      </c>
      <c r="M308" s="9" t="str">
        <f>VLOOKUP(A308,[13]RelatorioContratos_080817_10335!$A$1:$BZ$65536,33,FALSE)</f>
        <v>Validado</v>
      </c>
      <c r="N308" s="247">
        <f t="shared" si="69"/>
        <v>0</v>
      </c>
    </row>
    <row r="309" spans="1:14" ht="15" x14ac:dyDescent="0.25">
      <c r="A309" s="167">
        <f>Balanço_MRE!A309</f>
        <v>246531</v>
      </c>
      <c r="B309" s="167" t="str">
        <f>Balanço_MRE!B309</f>
        <v>ENGIE &gt;&gt; 0213_0732 (AP)</v>
      </c>
      <c r="C309" s="167" t="str">
        <f>Balanço_MRE!C309</f>
        <v>Contratos de Compra</v>
      </c>
      <c r="D309" s="192" t="str">
        <f>Balanço_MRE!D309</f>
        <v>SUDESTE</v>
      </c>
      <c r="E309" s="79">
        <f>Balanço_MRE!E309</f>
        <v>38.283084000000002</v>
      </c>
      <c r="F309" s="262">
        <f>Balanço_MRE!F309</f>
        <v>28482.614496000002</v>
      </c>
      <c r="G309" s="263">
        <f>Balanço_MRE!G309</f>
        <v>0</v>
      </c>
      <c r="H309" s="193">
        <f>Balanço_MRE!H309</f>
        <v>0</v>
      </c>
      <c r="I309" s="142"/>
      <c r="J309" s="9" t="str">
        <f>VLOOKUP(A309,[13]RelatorioContratos_080817_10335!$A$1:$BZ$65536,26,FALSE)</f>
        <v>38,322308</v>
      </c>
      <c r="K309" s="9" t="str">
        <f>VLOOKUP(A309,[13]RelatorioContratos_080817_10335!$A$1:$BZ$65536,10,FALSE)</f>
        <v>Validado</v>
      </c>
      <c r="L309" s="9" t="str">
        <f>VLOOKUP(A309,[13]RelatorioContratos_080817_10335!$A$1:$BZ$65536,32,FALSE)</f>
        <v>DECLARADA</v>
      </c>
      <c r="M309" s="9" t="str">
        <f>VLOOKUP(A309,[13]RelatorioContratos_080817_10335!$A$1:$BZ$65536,33,FALSE)</f>
        <v>Ajustado Validado</v>
      </c>
      <c r="N309" s="247">
        <f t="shared" si="69"/>
        <v>29.182655999997223</v>
      </c>
    </row>
    <row r="310" spans="1:14" ht="15" x14ac:dyDescent="0.25">
      <c r="A310" s="167">
        <f>Balanço_MRE!A310</f>
        <v>558731</v>
      </c>
      <c r="B310" s="167" t="str">
        <f>Balanço_MRE!B310</f>
        <v>VALE ENE I5 &gt;&gt; 0214_0119</v>
      </c>
      <c r="C310" s="167" t="str">
        <f>Balanço_MRE!C310</f>
        <v>Contratos de Compra</v>
      </c>
      <c r="D310" s="192" t="str">
        <f>Balanço_MRE!D310</f>
        <v>SUDESTE</v>
      </c>
      <c r="E310" s="79">
        <f>Balanço_MRE!E310</f>
        <v>0</v>
      </c>
      <c r="F310" s="262">
        <f>Balanço_MRE!F310</f>
        <v>0</v>
      </c>
      <c r="G310" s="263">
        <f>Balanço_MRE!G310</f>
        <v>0</v>
      </c>
      <c r="H310" s="193">
        <f>Balanço_MRE!H310</f>
        <v>0</v>
      </c>
      <c r="I310" s="142"/>
      <c r="J310" s="9" t="str">
        <f>VLOOKUP(A310,[13]RelatorioContratos_080817_10335!$A$1:$BZ$65536,26,FALSE)</f>
        <v>0,000000</v>
      </c>
      <c r="K310" s="9" t="str">
        <f>VLOOKUP(A310,[13]RelatorioContratos_080817_10335!$A$1:$BZ$65536,10,FALSE)</f>
        <v>Validado</v>
      </c>
      <c r="L310" s="9" t="str">
        <f>VLOOKUP(A310,[13]RelatorioContratos_080817_10335!$A$1:$BZ$65536,32,FALSE)</f>
        <v>FLAT</v>
      </c>
      <c r="M310" s="9" t="str">
        <f>VLOOKUP(A310,[13]RelatorioContratos_080817_10335!$A$1:$BZ$65536,33,FALSE)</f>
        <v>Validado</v>
      </c>
      <c r="N310" s="247">
        <f t="shared" si="69"/>
        <v>0</v>
      </c>
    </row>
    <row r="311" spans="1:14" ht="15" x14ac:dyDescent="0.25">
      <c r="A311" s="167">
        <f>Balanço_MRE!A311</f>
        <v>558730</v>
      </c>
      <c r="B311" s="167" t="str">
        <f>Balanço_MRE!B311</f>
        <v>VALE ENERGIA &gt;&gt; 0214_0119</v>
      </c>
      <c r="C311" s="167" t="str">
        <f>Balanço_MRE!C311</f>
        <v>Contratos de Compra</v>
      </c>
      <c r="D311" s="192" t="str">
        <f>Balanço_MRE!D311</f>
        <v>SUDESTE</v>
      </c>
      <c r="E311" s="79">
        <f>Balanço_MRE!E311</f>
        <v>0</v>
      </c>
      <c r="F311" s="262">
        <f>Balanço_MRE!F311</f>
        <v>0</v>
      </c>
      <c r="G311" s="263">
        <f>Balanço_MRE!G311</f>
        <v>0</v>
      </c>
      <c r="H311" s="193">
        <f>Balanço_MRE!H311</f>
        <v>0</v>
      </c>
      <c r="I311" s="142"/>
      <c r="J311" s="9" t="str">
        <f>VLOOKUP(A311,[13]RelatorioContratos_080817_10335!$A$1:$BZ$65536,26,FALSE)</f>
        <v>0,000000</v>
      </c>
      <c r="K311" s="9" t="str">
        <f>VLOOKUP(A311,[13]RelatorioContratos_080817_10335!$A$1:$BZ$65536,10,FALSE)</f>
        <v>Validado</v>
      </c>
      <c r="L311" s="9" t="str">
        <f>VLOOKUP(A311,[13]RelatorioContratos_080817_10335!$A$1:$BZ$65536,32,FALSE)</f>
        <v>FLAT</v>
      </c>
      <c r="M311" s="9" t="str">
        <f>VLOOKUP(A311,[13]RelatorioContratos_080817_10335!$A$1:$BZ$65536,33,FALSE)</f>
        <v>Validado</v>
      </c>
      <c r="N311" s="247">
        <f t="shared" si="69"/>
        <v>0</v>
      </c>
    </row>
    <row r="312" spans="1:14" ht="15" x14ac:dyDescent="0.25">
      <c r="A312" s="167">
        <f>Balanço_MRE!A312</f>
        <v>0</v>
      </c>
      <c r="B312" s="167">
        <f>Balanço_MRE!B312</f>
        <v>0</v>
      </c>
      <c r="C312" s="167">
        <f>Balanço_MRE!C312</f>
        <v>0</v>
      </c>
      <c r="D312" s="192">
        <f>Balanço_MRE!D312</f>
        <v>0</v>
      </c>
      <c r="E312" s="79">
        <f>Balanço_MRE!E312</f>
        <v>0</v>
      </c>
      <c r="F312" s="262">
        <f>Balanço_MRE!F312</f>
        <v>0</v>
      </c>
      <c r="G312" s="263">
        <f>Balanço_MRE!G312</f>
        <v>0</v>
      </c>
      <c r="H312" s="193">
        <f>Balanço_MRE!H312</f>
        <v>0</v>
      </c>
      <c r="I312" s="142"/>
      <c r="J312" s="9"/>
      <c r="K312" s="9"/>
      <c r="L312" s="9"/>
      <c r="M312" s="9"/>
      <c r="N312" s="247"/>
    </row>
    <row r="313" spans="1:14" ht="15" x14ac:dyDescent="0.25">
      <c r="A313" s="167">
        <f>Balanço_MRE!A313</f>
        <v>0</v>
      </c>
      <c r="B313" s="167">
        <f>Balanço_MRE!B313</f>
        <v>0</v>
      </c>
      <c r="C313" s="167">
        <f>Balanço_MRE!C313</f>
        <v>0</v>
      </c>
      <c r="D313" s="192">
        <f>Balanço_MRE!D313</f>
        <v>0</v>
      </c>
      <c r="E313" s="79">
        <f>Balanço_MRE!E313</f>
        <v>0</v>
      </c>
      <c r="F313" s="262">
        <f>Balanço_MRE!F313</f>
        <v>0</v>
      </c>
      <c r="G313" s="263">
        <f>Balanço_MRE!G313</f>
        <v>0</v>
      </c>
      <c r="H313" s="193">
        <f>Balanço_MRE!H313</f>
        <v>0</v>
      </c>
      <c r="I313" s="142"/>
      <c r="J313" s="9"/>
      <c r="K313" s="9"/>
      <c r="L313" s="9"/>
      <c r="M313" s="9"/>
      <c r="N313" s="247"/>
    </row>
    <row r="314" spans="1:14" ht="15" x14ac:dyDescent="0.25">
      <c r="A314" s="167">
        <f>Balanço_MRE!A314</f>
        <v>0</v>
      </c>
      <c r="B314" s="167">
        <f>Balanço_MRE!B314</f>
        <v>0</v>
      </c>
      <c r="C314" s="167">
        <f>Balanço_MRE!C314</f>
        <v>0</v>
      </c>
      <c r="D314" s="192">
        <f>Balanço_MRE!D314</f>
        <v>0</v>
      </c>
      <c r="E314" s="79">
        <f>Balanço_MRE!E314</f>
        <v>0</v>
      </c>
      <c r="F314" s="262">
        <f>Balanço_MRE!F314</f>
        <v>0</v>
      </c>
      <c r="G314" s="263">
        <f>Balanço_MRE!G314</f>
        <v>0</v>
      </c>
      <c r="H314" s="193">
        <f>Balanço_MRE!H314</f>
        <v>0</v>
      </c>
      <c r="I314" s="142"/>
      <c r="J314" s="9"/>
      <c r="K314" s="9"/>
      <c r="L314" s="9"/>
      <c r="M314" s="9"/>
      <c r="N314" s="247"/>
    </row>
    <row r="315" spans="1:14" ht="15" x14ac:dyDescent="0.25">
      <c r="A315" s="167">
        <f>Balanço_MRE!A315</f>
        <v>0</v>
      </c>
      <c r="B315" s="167">
        <f>Balanço_MRE!B315</f>
        <v>0</v>
      </c>
      <c r="C315" s="167">
        <f>Balanço_MRE!C315</f>
        <v>0</v>
      </c>
      <c r="D315" s="192">
        <f>Balanço_MRE!D315</f>
        <v>0</v>
      </c>
      <c r="E315" s="79">
        <f>Balanço_MRE!E315</f>
        <v>0</v>
      </c>
      <c r="F315" s="262">
        <f>Balanço_MRE!F315</f>
        <v>0</v>
      </c>
      <c r="G315" s="263">
        <f>Balanço_MRE!G315</f>
        <v>0</v>
      </c>
      <c r="H315" s="193">
        <f>Balanço_MRE!H315</f>
        <v>0</v>
      </c>
      <c r="I315" s="142"/>
      <c r="J315" s="9"/>
      <c r="K315" s="9"/>
      <c r="L315" s="9"/>
      <c r="M315" s="9"/>
      <c r="N315" s="247"/>
    </row>
    <row r="316" spans="1:14" ht="15" x14ac:dyDescent="0.25">
      <c r="A316" s="167">
        <f>Balanço_MRE!A316</f>
        <v>0</v>
      </c>
      <c r="B316" s="167">
        <f>Balanço_MRE!B316</f>
        <v>0</v>
      </c>
      <c r="C316" s="167">
        <f>Balanço_MRE!C316</f>
        <v>0</v>
      </c>
      <c r="D316" s="192">
        <f>Balanço_MRE!D316</f>
        <v>0</v>
      </c>
      <c r="E316" s="79">
        <f>Balanço_MRE!E316</f>
        <v>0</v>
      </c>
      <c r="F316" s="262">
        <f>Balanço_MRE!F316</f>
        <v>0</v>
      </c>
      <c r="G316" s="263">
        <f>Balanço_MRE!G316</f>
        <v>0</v>
      </c>
      <c r="H316" s="193">
        <f>Balanço_MRE!H316</f>
        <v>0</v>
      </c>
      <c r="I316" s="142"/>
      <c r="J316" s="9"/>
      <c r="K316" s="9"/>
      <c r="L316" s="9"/>
      <c r="M316" s="9"/>
      <c r="N316" s="247"/>
    </row>
    <row r="317" spans="1:14" ht="15" x14ac:dyDescent="0.25">
      <c r="A317" s="253"/>
      <c r="B317" s="253"/>
      <c r="C317" s="253"/>
      <c r="D317" s="253"/>
      <c r="E317" s="203"/>
      <c r="F317" s="204"/>
      <c r="G317" s="205"/>
      <c r="H317" s="206"/>
      <c r="J317" s="393"/>
      <c r="K317" s="393"/>
      <c r="L317" s="393"/>
      <c r="M317" s="393"/>
      <c r="N317" s="247"/>
    </row>
    <row r="318" spans="1:14" ht="15" x14ac:dyDescent="0.25">
      <c r="A318" s="80" t="s">
        <v>32</v>
      </c>
      <c r="B318" s="16"/>
      <c r="C318" s="16"/>
      <c r="D318" s="17"/>
      <c r="E318" s="81">
        <f>SUM(E298:E317)</f>
        <v>716.43687699999998</v>
      </c>
      <c r="F318" s="84">
        <f>SUM(F298:F317)</f>
        <v>533029.03663534787</v>
      </c>
      <c r="G318" s="82">
        <f>IFERROR(H318/F318,0)</f>
        <v>0</v>
      </c>
      <c r="H318" s="82">
        <f>SUM(H298:H317)</f>
        <v>0</v>
      </c>
      <c r="I318" s="115"/>
      <c r="N318" s="247"/>
    </row>
    <row r="319" spans="1:14" ht="15" x14ac:dyDescent="0.25">
      <c r="N319" s="247"/>
    </row>
    <row r="320" spans="1:14" customFormat="1" ht="16.5" customHeight="1" x14ac:dyDescent="0.25">
      <c r="A320" s="548" t="s">
        <v>76</v>
      </c>
      <c r="B320" s="548"/>
      <c r="C320" s="548"/>
      <c r="D320" s="548"/>
      <c r="E320" s="548"/>
      <c r="F320" s="548"/>
      <c r="G320" s="548"/>
      <c r="H320" s="548"/>
    </row>
    <row r="321" spans="1:14" ht="15" x14ac:dyDescent="0.25">
      <c r="A321" s="10" t="s">
        <v>252</v>
      </c>
      <c r="B321" s="10" t="s">
        <v>1</v>
      </c>
      <c r="C321" s="10" t="s">
        <v>2</v>
      </c>
      <c r="D321" s="10" t="s">
        <v>3</v>
      </c>
      <c r="E321" s="10" t="s">
        <v>137</v>
      </c>
      <c r="F321" s="10" t="s">
        <v>25</v>
      </c>
      <c r="G321" s="10" t="s">
        <v>253</v>
      </c>
      <c r="H321" s="10" t="s">
        <v>254</v>
      </c>
      <c r="J321" s="10" t="s">
        <v>72</v>
      </c>
      <c r="K321" s="10" t="s">
        <v>73</v>
      </c>
      <c r="L321" s="10" t="s">
        <v>74</v>
      </c>
      <c r="M321" s="10" t="s">
        <v>75</v>
      </c>
      <c r="N321" s="247"/>
    </row>
    <row r="322" spans="1:14" ht="15" x14ac:dyDescent="0.25">
      <c r="A322" s="167">
        <f>Balanço_MRE!A322</f>
        <v>1229956</v>
      </c>
      <c r="B322" s="167" t="str">
        <f>Balanço_MRE!B322</f>
        <v>CVRD D&gt;&gt; CVRD TIG</v>
      </c>
      <c r="C322" s="167" t="str">
        <f>Balanço_MRE!C322</f>
        <v>Contratos de venda</v>
      </c>
      <c r="D322" s="192" t="str">
        <f>Balanço_MRE!D322</f>
        <v>SUDESTE</v>
      </c>
      <c r="E322" s="79">
        <f>Balanço_MRE!E322</f>
        <v>5.0632080000000004</v>
      </c>
      <c r="F322" s="262">
        <f>Balanço_MRE!F322</f>
        <v>3767.026820090171</v>
      </c>
      <c r="G322" s="263">
        <f>Balanço_MRE!G322</f>
        <v>0</v>
      </c>
      <c r="H322" s="193">
        <f>Balanço_MRE!H322</f>
        <v>0</v>
      </c>
      <c r="I322" s="142"/>
      <c r="J322" s="247" t="e">
        <f>SUMIF([12]Contratos!$L$3:$L$21,"SUDESTE",[12]Contratos!$W$3:$W$21)</f>
        <v>#VALUE!</v>
      </c>
      <c r="K322" s="247" t="str">
        <f>[12]Contratos!$X$6</f>
        <v>Ajustado e Validado</v>
      </c>
      <c r="L322" s="247"/>
      <c r="M322" s="247"/>
      <c r="N322" s="247"/>
    </row>
    <row r="323" spans="1:14" ht="15" x14ac:dyDescent="0.25">
      <c r="A323" s="167">
        <f>Balanço_MRE!A323</f>
        <v>0</v>
      </c>
      <c r="B323" s="167">
        <f>Balanço_MRE!B323</f>
        <v>0</v>
      </c>
      <c r="C323" s="167">
        <f>Balanço_MRE!C323</f>
        <v>0</v>
      </c>
      <c r="D323" s="192">
        <f>Balanço_MRE!D323</f>
        <v>0</v>
      </c>
      <c r="E323" s="79">
        <f>Balanço_MRE!E323</f>
        <v>0</v>
      </c>
      <c r="F323" s="262">
        <f>Balanço_MRE!F323</f>
        <v>0</v>
      </c>
      <c r="G323" s="263">
        <f>Balanço_MRE!G323</f>
        <v>0</v>
      </c>
      <c r="H323" s="193">
        <f>Balanço_MRE!H323</f>
        <v>0</v>
      </c>
      <c r="J323" s="247" t="e">
        <f>SUMIF([12]Contratos!$L$3:$L$21,"NORTE",[12]Contratos!$W$3:$W$21)</f>
        <v>#VALUE!</v>
      </c>
      <c r="K323" s="247" t="str">
        <f>K322</f>
        <v>Ajustado e Validado</v>
      </c>
      <c r="L323" s="247"/>
      <c r="M323" s="247"/>
      <c r="N323" s="247"/>
    </row>
    <row r="324" spans="1:14" ht="15" x14ac:dyDescent="0.25">
      <c r="A324" s="80" t="s">
        <v>32</v>
      </c>
      <c r="B324" s="16"/>
      <c r="C324" s="16"/>
      <c r="D324" s="17"/>
      <c r="E324" s="81">
        <f>SUM(E322:E323)</f>
        <v>5.0632080000000004</v>
      </c>
      <c r="F324" s="84">
        <f>SUM(F322:F323)</f>
        <v>3767.026820090171</v>
      </c>
      <c r="G324" s="82">
        <f>IFERROR(H324/F324,0)</f>
        <v>0</v>
      </c>
      <c r="H324" s="82">
        <f>SUM(H304:H323)</f>
        <v>0</v>
      </c>
      <c r="I324" s="115"/>
      <c r="N324" s="247"/>
    </row>
    <row r="325" spans="1:14" ht="15" x14ac:dyDescent="0.25">
      <c r="E325" s="316"/>
      <c r="F325" s="316"/>
      <c r="N325" s="247"/>
    </row>
    <row r="326" spans="1:14" customFormat="1" ht="15" x14ac:dyDescent="0.25"/>
    <row r="327" spans="1:14" ht="15" x14ac:dyDescent="0.25">
      <c r="A327" s="548" t="s">
        <v>233</v>
      </c>
      <c r="B327" s="548"/>
      <c r="C327" s="548"/>
      <c r="E327" s="116" t="s">
        <v>19</v>
      </c>
      <c r="F327" s="116"/>
      <c r="G327" s="117" t="s">
        <v>20</v>
      </c>
      <c r="H327" s="117"/>
      <c r="I327" s="118" t="s">
        <v>21</v>
      </c>
      <c r="J327" s="118"/>
      <c r="K327" s="119" t="s">
        <v>22</v>
      </c>
      <c r="L327" s="119"/>
      <c r="N327" s="247"/>
    </row>
    <row r="328" spans="1:14" ht="15" x14ac:dyDescent="0.25">
      <c r="A328" s="10" t="s">
        <v>2</v>
      </c>
      <c r="B328" s="10" t="s">
        <v>137</v>
      </c>
      <c r="C328" s="10" t="s">
        <v>25</v>
      </c>
      <c r="E328" s="207" t="s">
        <v>137</v>
      </c>
      <c r="F328" s="208" t="s">
        <v>25</v>
      </c>
      <c r="G328" s="209" t="s">
        <v>137</v>
      </c>
      <c r="H328" s="210" t="s">
        <v>25</v>
      </c>
      <c r="I328" s="211" t="s">
        <v>137</v>
      </c>
      <c r="J328" s="212" t="s">
        <v>25</v>
      </c>
      <c r="K328" s="213" t="s">
        <v>137</v>
      </c>
      <c r="L328" s="214" t="s">
        <v>25</v>
      </c>
      <c r="N328" s="247"/>
    </row>
    <row r="329" spans="1:14" ht="15" x14ac:dyDescent="0.25">
      <c r="A329" s="29" t="s">
        <v>69</v>
      </c>
      <c r="B329" s="70">
        <v>0</v>
      </c>
      <c r="C329" s="83">
        <v>0</v>
      </c>
      <c r="E329" s="120">
        <f t="shared" ref="E329:E335" si="70">SUMIFS($E$269:$E$317,$C$269:$C$317,$A329,$D$269:$D$317,$E$327)</f>
        <v>0</v>
      </c>
      <c r="F329" s="121">
        <f t="shared" ref="F329:F335" si="71">SUMIFS($F$269:$F$317,$C$269:$C$317,$A329,$D$269:$D$317,$E$327)</f>
        <v>0</v>
      </c>
      <c r="G329" s="122">
        <f t="shared" ref="G329:G335" si="72">SUMIFS($E$269:$E$317,$C$269:$C$317,$A329,$D$269:$D$317,$G$327)</f>
        <v>0</v>
      </c>
      <c r="H329" s="123">
        <f t="shared" ref="H329:H335" si="73">SUMIFS($F$269:$F$317,$C$269:$C$317,$A329,$D$269:$D$317,$G$327)</f>
        <v>0</v>
      </c>
      <c r="I329" s="124">
        <f t="shared" ref="I329:I335" si="74">SUMIFS($E$269:$E$317,$C$269:$C$317,$A329,$D$269:$D$317,$I$327)</f>
        <v>0</v>
      </c>
      <c r="J329" s="125">
        <f t="shared" ref="J329:J335" si="75">SUMIFS($F$269:$F$317,$C$269:$C$317,$A329,$D$269:$D$317,$I$327)</f>
        <v>0</v>
      </c>
      <c r="K329" s="126">
        <f t="shared" ref="K329:K335" si="76">SUMIFS($E$269:$E$317,$C$269:$C$317,$A329,$D$269:$D$317,$K$327)</f>
        <v>0</v>
      </c>
      <c r="L329" s="127">
        <f t="shared" ref="L329:L335" si="77">SUMIFS($F$269:$F$317,$C$269:$C$317,$A329,$D$269:$D$317,$K$327)</f>
        <v>0</v>
      </c>
      <c r="N329" s="247"/>
    </row>
    <row r="330" spans="1:14" ht="15" x14ac:dyDescent="0.25">
      <c r="A330" s="29" t="s">
        <v>47</v>
      </c>
      <c r="B330" s="70">
        <v>0</v>
      </c>
      <c r="C330" s="83">
        <v>0</v>
      </c>
      <c r="E330" s="120">
        <f t="shared" si="70"/>
        <v>0</v>
      </c>
      <c r="F330" s="121">
        <f t="shared" si="71"/>
        <v>0</v>
      </c>
      <c r="G330" s="122">
        <f t="shared" si="72"/>
        <v>0</v>
      </c>
      <c r="H330" s="123">
        <f t="shared" si="73"/>
        <v>0</v>
      </c>
      <c r="I330" s="124">
        <f t="shared" si="74"/>
        <v>0</v>
      </c>
      <c r="J330" s="125">
        <f t="shared" si="75"/>
        <v>0</v>
      </c>
      <c r="K330" s="126">
        <f t="shared" si="76"/>
        <v>0</v>
      </c>
      <c r="L330" s="127">
        <f t="shared" si="77"/>
        <v>0</v>
      </c>
      <c r="N330" s="247"/>
    </row>
    <row r="331" spans="1:14" ht="15" x14ac:dyDescent="0.25">
      <c r="A331" s="29" t="s">
        <v>79</v>
      </c>
      <c r="B331" s="70">
        <v>0</v>
      </c>
      <c r="C331" s="83">
        <v>0</v>
      </c>
      <c r="E331" s="120">
        <f t="shared" si="70"/>
        <v>0</v>
      </c>
      <c r="F331" s="121">
        <f t="shared" si="71"/>
        <v>0</v>
      </c>
      <c r="G331" s="122">
        <f t="shared" si="72"/>
        <v>0</v>
      </c>
      <c r="H331" s="123">
        <f t="shared" si="73"/>
        <v>0</v>
      </c>
      <c r="I331" s="124">
        <f t="shared" si="74"/>
        <v>0</v>
      </c>
      <c r="J331" s="125">
        <f t="shared" si="75"/>
        <v>0</v>
      </c>
      <c r="K331" s="126">
        <f t="shared" si="76"/>
        <v>0</v>
      </c>
      <c r="L331" s="127">
        <f t="shared" si="77"/>
        <v>0</v>
      </c>
      <c r="N331" s="247"/>
    </row>
    <row r="332" spans="1:14" ht="15" x14ac:dyDescent="0.25">
      <c r="A332" s="29" t="s">
        <v>71</v>
      </c>
      <c r="B332" s="70">
        <f>E318</f>
        <v>716.43687699999998</v>
      </c>
      <c r="C332" s="83">
        <f>F318</f>
        <v>533029.03663534787</v>
      </c>
      <c r="E332" s="120">
        <f t="shared" si="70"/>
        <v>267.54394100000002</v>
      </c>
      <c r="F332" s="121">
        <f t="shared" si="71"/>
        <v>199052.69214725081</v>
      </c>
      <c r="G332" s="122">
        <f t="shared" si="72"/>
        <v>0</v>
      </c>
      <c r="H332" s="123">
        <f t="shared" si="73"/>
        <v>0</v>
      </c>
      <c r="I332" s="124">
        <f t="shared" si="74"/>
        <v>448.89293599999996</v>
      </c>
      <c r="J332" s="125">
        <f t="shared" si="75"/>
        <v>333976.34448809701</v>
      </c>
      <c r="K332" s="126">
        <f t="shared" si="76"/>
        <v>0</v>
      </c>
      <c r="L332" s="127">
        <f t="shared" si="77"/>
        <v>0</v>
      </c>
      <c r="N332" s="247"/>
    </row>
    <row r="333" spans="1:14" ht="15" x14ac:dyDescent="0.25">
      <c r="A333" s="29" t="s">
        <v>9</v>
      </c>
      <c r="B333" s="70">
        <f>E291</f>
        <v>711.37367000000017</v>
      </c>
      <c r="C333" s="83">
        <f>F291</f>
        <v>529262.00981525762</v>
      </c>
      <c r="E333" s="120">
        <f t="shared" si="70"/>
        <v>267.54394200000002</v>
      </c>
      <c r="F333" s="121">
        <f t="shared" si="71"/>
        <v>199052.69214725081</v>
      </c>
      <c r="G333" s="122">
        <f t="shared" si="72"/>
        <v>0</v>
      </c>
      <c r="H333" s="123">
        <f t="shared" si="73"/>
        <v>0</v>
      </c>
      <c r="I333" s="124">
        <f t="shared" si="74"/>
        <v>443.82972799999993</v>
      </c>
      <c r="J333" s="125">
        <f t="shared" si="75"/>
        <v>330209.31766800681</v>
      </c>
      <c r="K333" s="126">
        <f t="shared" si="76"/>
        <v>0</v>
      </c>
      <c r="L333" s="127">
        <f t="shared" si="77"/>
        <v>0</v>
      </c>
      <c r="N333" s="247"/>
    </row>
    <row r="334" spans="1:14" ht="15" x14ac:dyDescent="0.25">
      <c r="A334" s="29" t="s">
        <v>80</v>
      </c>
      <c r="B334" s="70">
        <v>0</v>
      </c>
      <c r="C334" s="83">
        <v>0</v>
      </c>
      <c r="E334" s="120">
        <f t="shared" si="70"/>
        <v>0</v>
      </c>
      <c r="F334" s="121">
        <f t="shared" si="71"/>
        <v>0</v>
      </c>
      <c r="G334" s="122">
        <f t="shared" si="72"/>
        <v>0</v>
      </c>
      <c r="H334" s="123">
        <f t="shared" si="73"/>
        <v>0</v>
      </c>
      <c r="I334" s="124">
        <f t="shared" si="74"/>
        <v>0</v>
      </c>
      <c r="J334" s="125">
        <f t="shared" si="75"/>
        <v>0</v>
      </c>
      <c r="K334" s="126">
        <f t="shared" si="76"/>
        <v>0</v>
      </c>
      <c r="L334" s="127">
        <f t="shared" si="77"/>
        <v>0</v>
      </c>
      <c r="N334" s="247"/>
    </row>
    <row r="335" spans="1:14" ht="15" x14ac:dyDescent="0.25">
      <c r="A335" s="29" t="s">
        <v>77</v>
      </c>
      <c r="B335" s="70">
        <f>E322</f>
        <v>5.0632080000000004</v>
      </c>
      <c r="C335" s="83">
        <f>F324</f>
        <v>3767.026820090171</v>
      </c>
      <c r="E335" s="120">
        <f t="shared" si="70"/>
        <v>0</v>
      </c>
      <c r="F335" s="121">
        <f t="shared" si="71"/>
        <v>0</v>
      </c>
      <c r="G335" s="122">
        <f t="shared" si="72"/>
        <v>0</v>
      </c>
      <c r="H335" s="123">
        <f t="shared" si="73"/>
        <v>0</v>
      </c>
      <c r="I335" s="124">
        <f t="shared" si="74"/>
        <v>0</v>
      </c>
      <c r="J335" s="125">
        <f t="shared" si="75"/>
        <v>0</v>
      </c>
      <c r="K335" s="126">
        <f t="shared" si="76"/>
        <v>0</v>
      </c>
      <c r="L335" s="127">
        <f t="shared" si="77"/>
        <v>0</v>
      </c>
      <c r="N335" s="247"/>
    </row>
    <row r="336" spans="1:14" ht="15" x14ac:dyDescent="0.25">
      <c r="A336" s="11" t="s">
        <v>81</v>
      </c>
      <c r="B336" s="12">
        <f>SUM(B329:B332)-SUM(B333:B335)</f>
        <v>-1.0000002248489182E-6</v>
      </c>
      <c r="C336" s="12">
        <f>SUM(C329:C332)-SUM(C333:C335)</f>
        <v>0</v>
      </c>
      <c r="E336" s="128">
        <f>SUM(E329:E332)-SUM(E333:E335)</f>
        <v>-9.9999999747524271E-7</v>
      </c>
      <c r="F336" s="129">
        <f>SUM(F329:F332)-SUM(F333:F335)</f>
        <v>0</v>
      </c>
      <c r="G336" s="130">
        <f t="shared" ref="G336:L336" si="78">SUM(G329:G332)-SUM(G333:G335)</f>
        <v>0</v>
      </c>
      <c r="H336" s="131">
        <f t="shared" si="78"/>
        <v>0</v>
      </c>
      <c r="I336" s="132">
        <f>SUM(I329:I332)-SUM(I333:I335)</f>
        <v>5.0632080000000315</v>
      </c>
      <c r="J336" s="133">
        <f t="shared" si="78"/>
        <v>3767.0268200901919</v>
      </c>
      <c r="K336" s="134">
        <f t="shared" si="78"/>
        <v>0</v>
      </c>
      <c r="L336" s="135">
        <f t="shared" si="78"/>
        <v>0</v>
      </c>
      <c r="N336" s="247"/>
    </row>
    <row r="337" spans="1:23" ht="15" x14ac:dyDescent="0.25">
      <c r="A337" s="11" t="s">
        <v>82</v>
      </c>
      <c r="B337" s="12">
        <f>SUM(B329:B332)-SUM(B333:B336)</f>
        <v>0</v>
      </c>
      <c r="C337" s="12">
        <f>SUM(C329:C332)-SUM(C333:C336)</f>
        <v>0</v>
      </c>
      <c r="E337" s="128">
        <f>SUM(E329:E332)-SUM(E333:E336)</f>
        <v>0</v>
      </c>
      <c r="F337" s="129">
        <f t="shared" ref="F337:L337" si="79">SUM(F329:F332)-SUM(F333:F336)</f>
        <v>0</v>
      </c>
      <c r="G337" s="130">
        <f t="shared" si="79"/>
        <v>0</v>
      </c>
      <c r="H337" s="131">
        <f t="shared" si="79"/>
        <v>0</v>
      </c>
      <c r="I337" s="132">
        <f t="shared" si="79"/>
        <v>0</v>
      </c>
      <c r="J337" s="133">
        <f t="shared" si="79"/>
        <v>0</v>
      </c>
      <c r="K337" s="134">
        <f t="shared" si="79"/>
        <v>0</v>
      </c>
      <c r="L337" s="135">
        <f t="shared" si="79"/>
        <v>0</v>
      </c>
      <c r="N337" s="247"/>
    </row>
    <row r="338" spans="1:23" ht="15" x14ac:dyDescent="0.25">
      <c r="N338" s="247"/>
    </row>
    <row r="339" spans="1:23" ht="15" x14ac:dyDescent="0.25">
      <c r="E339" s="153">
        <f>(F336*$H$5)+(H336*$J$5)+(J336*$L$5)+(L336*$N$5)</f>
        <v>326543.0490408481</v>
      </c>
      <c r="N339" s="247"/>
    </row>
    <row r="340" spans="1:23" ht="15" x14ac:dyDescent="0.25">
      <c r="N340" s="247"/>
    </row>
    <row r="341" spans="1:23" ht="15" x14ac:dyDescent="0.25">
      <c r="N341" s="247"/>
    </row>
    <row r="342" spans="1:23" ht="15" x14ac:dyDescent="0.25">
      <c r="A342" s="564" t="s">
        <v>365</v>
      </c>
      <c r="B342" s="564"/>
      <c r="C342" s="564"/>
      <c r="D342" s="564"/>
      <c r="E342" s="564"/>
      <c r="F342" s="564"/>
      <c r="G342" s="564"/>
      <c r="H342" s="564"/>
      <c r="N342" s="247"/>
    </row>
    <row r="343" spans="1:23" ht="15" x14ac:dyDescent="0.25">
      <c r="A343" s="564"/>
      <c r="B343" s="564"/>
      <c r="C343" s="564"/>
      <c r="D343" s="564"/>
      <c r="E343" s="564"/>
      <c r="F343" s="564"/>
      <c r="G343" s="564"/>
      <c r="H343" s="564"/>
      <c r="N343" s="247"/>
    </row>
    <row r="344" spans="1:23" s="114" customFormat="1" ht="3.75" customHeight="1" x14ac:dyDescent="0.25">
      <c r="A344" s="14"/>
      <c r="B344" s="14"/>
      <c r="C344" s="14"/>
      <c r="D344" s="14"/>
      <c r="E344" s="14"/>
      <c r="F344" s="14"/>
      <c r="G344" s="14"/>
      <c r="H344" s="14"/>
      <c r="I344" s="106"/>
      <c r="J344" s="106"/>
      <c r="K344" s="106"/>
      <c r="L344" s="106"/>
      <c r="M344" s="106"/>
      <c r="N344" s="247"/>
      <c r="O344" s="106"/>
      <c r="P344" s="106"/>
    </row>
    <row r="345" spans="1:23" ht="15" x14ac:dyDescent="0.25">
      <c r="A345" s="548" t="s">
        <v>85</v>
      </c>
      <c r="B345" s="548"/>
      <c r="C345" s="548"/>
      <c r="D345" s="548"/>
      <c r="E345" s="548"/>
      <c r="F345" s="548"/>
      <c r="G345" s="548"/>
      <c r="H345" s="548"/>
      <c r="N345" s="247"/>
    </row>
    <row r="346" spans="1:23" ht="15" x14ac:dyDescent="0.25">
      <c r="A346" s="10" t="s">
        <v>8</v>
      </c>
      <c r="B346" s="10"/>
      <c r="C346" s="10" t="s">
        <v>2</v>
      </c>
      <c r="D346" s="10" t="s">
        <v>3</v>
      </c>
      <c r="E346" s="10" t="s">
        <v>137</v>
      </c>
      <c r="F346" s="10" t="s">
        <v>25</v>
      </c>
      <c r="G346" s="10" t="s">
        <v>95</v>
      </c>
      <c r="H346" s="10" t="s">
        <v>240</v>
      </c>
      <c r="N346" s="247"/>
    </row>
    <row r="347" spans="1:23" ht="15" x14ac:dyDescent="0.25">
      <c r="A347" s="167" t="str">
        <f>Balanço_MRE!A347</f>
        <v>Jangada</v>
      </c>
      <c r="B347" s="167">
        <f>Balanço_MRE!B347</f>
        <v>0</v>
      </c>
      <c r="C347" s="167" t="str">
        <f>Balanço_MRE!C347</f>
        <v>Carga</v>
      </c>
      <c r="D347" s="192" t="str">
        <f>Balanço_MRE!D347</f>
        <v>SUDESTE</v>
      </c>
      <c r="E347" s="79">
        <f>Balanço_MRE!E347</f>
        <v>0.38121899999999997</v>
      </c>
      <c r="F347" s="262">
        <f>Balanço_MRE!F347</f>
        <v>283.62727518900368</v>
      </c>
      <c r="G347" s="263">
        <f>Balanço_MRE!G347</f>
        <v>7.5940000000000003</v>
      </c>
      <c r="H347" s="193">
        <f>Balanço_MRE!H347</f>
        <v>0.03</v>
      </c>
      <c r="N347" s="247"/>
    </row>
    <row r="348" spans="1:23" ht="15" x14ac:dyDescent="0.25">
      <c r="A348" s="167" t="str">
        <f>Balanço_MRE!A348</f>
        <v>MAC</v>
      </c>
      <c r="B348" s="167">
        <f>Balanço_MRE!B348</f>
        <v>0</v>
      </c>
      <c r="C348" s="167" t="str">
        <f>Balanço_MRE!C348</f>
        <v>Carga</v>
      </c>
      <c r="D348" s="192" t="str">
        <f>Balanço_MRE!D348</f>
        <v>SUDESTE</v>
      </c>
      <c r="E348" s="79">
        <f>Balanço_MRE!E348</f>
        <v>0.53253499999999998</v>
      </c>
      <c r="F348" s="262">
        <f>Balanço_MRE!F348</f>
        <v>396.20619340206184</v>
      </c>
      <c r="G348" s="263">
        <f>Balanço_MRE!G348</f>
        <v>2.2530000000000001</v>
      </c>
      <c r="H348" s="193">
        <f>Balanço_MRE!H348</f>
        <v>0.03</v>
      </c>
      <c r="N348" s="247"/>
    </row>
    <row r="349" spans="1:23" ht="15" x14ac:dyDescent="0.25">
      <c r="A349" s="217"/>
      <c r="B349" s="217"/>
      <c r="C349" s="217"/>
      <c r="D349" s="217"/>
      <c r="E349" s="218"/>
      <c r="F349" s="219"/>
      <c r="G349" s="220">
        <f>'[8]2019'!$F$31</f>
        <v>2.2530000000000001</v>
      </c>
      <c r="H349" s="221"/>
      <c r="N349" s="247"/>
    </row>
    <row r="350" spans="1:23" ht="15" x14ac:dyDescent="0.25">
      <c r="A350" s="80" t="s">
        <v>32</v>
      </c>
      <c r="B350" s="16"/>
      <c r="C350" s="16"/>
      <c r="D350" s="17"/>
      <c r="E350" s="81">
        <f>SUM(E347:E349)</f>
        <v>0.91375399999999996</v>
      </c>
      <c r="F350" s="84">
        <f>SUM(F347:F349)</f>
        <v>679.83346859106553</v>
      </c>
      <c r="G350" s="84">
        <f>SUM(G347:G349)</f>
        <v>12.100000000000001</v>
      </c>
      <c r="H350" s="84"/>
      <c r="I350" s="115"/>
      <c r="N350" s="247"/>
    </row>
    <row r="351" spans="1:23" ht="15" x14ac:dyDescent="0.25">
      <c r="N351" s="247"/>
    </row>
    <row r="352" spans="1:23" ht="15" x14ac:dyDescent="0.25">
      <c r="A352" s="548" t="s">
        <v>70</v>
      </c>
      <c r="B352" s="548"/>
      <c r="C352" s="548"/>
      <c r="D352" s="548"/>
      <c r="E352" s="548"/>
      <c r="F352" s="548"/>
      <c r="G352" s="548"/>
      <c r="H352" s="548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</row>
    <row r="353" spans="1:23" ht="15" x14ac:dyDescent="0.25">
      <c r="A353" s="10" t="s">
        <v>252</v>
      </c>
      <c r="B353" s="10" t="s">
        <v>1</v>
      </c>
      <c r="C353" s="10" t="s">
        <v>2</v>
      </c>
      <c r="D353" s="10" t="s">
        <v>3</v>
      </c>
      <c r="E353" s="10" t="s">
        <v>137</v>
      </c>
      <c r="F353" s="10" t="s">
        <v>25</v>
      </c>
      <c r="G353" s="10" t="s">
        <v>253</v>
      </c>
      <c r="H353" s="10" t="s">
        <v>254</v>
      </c>
      <c r="I353" s="247"/>
      <c r="J353" s="10">
        <f>SUM([14]Contratos!$W$3:$W$4)</f>
        <v>261.19299999999998</v>
      </c>
      <c r="K353" s="10"/>
      <c r="L353" s="10"/>
      <c r="M353" s="10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</row>
    <row r="354" spans="1:23" ht="15" x14ac:dyDescent="0.25">
      <c r="A354" s="167">
        <f>Balanço_MRE!A354</f>
        <v>0</v>
      </c>
      <c r="B354" s="167" t="str">
        <f>Balanço_MRE!B354</f>
        <v>PROINFA CVRD CE</v>
      </c>
      <c r="C354" s="167" t="str">
        <f>Balanço_MRE!C354</f>
        <v>Contratos de Compra</v>
      </c>
      <c r="D354" s="192" t="str">
        <f>Balanço_MRE!D354</f>
        <v>SUDESTE</v>
      </c>
      <c r="E354" s="79">
        <f>Balanço_MRE!E354</f>
        <v>1.3235E-2</v>
      </c>
      <c r="F354" s="262">
        <f>Balanço_MRE!F354</f>
        <v>9.8470000000000013</v>
      </c>
      <c r="G354" s="263">
        <f>Balanço_MRE!G354</f>
        <v>0</v>
      </c>
      <c r="H354" s="193">
        <f>Balanço_MRE!H354</f>
        <v>0</v>
      </c>
      <c r="I354" s="139"/>
      <c r="N354" s="247"/>
    </row>
    <row r="355" spans="1:23" ht="15" x14ac:dyDescent="0.25">
      <c r="A355" s="167">
        <f>Balanço_MRE!A355</f>
        <v>956730</v>
      </c>
      <c r="B355" s="167" t="str">
        <f>Balanço_MRE!B355</f>
        <v xml:space="preserve">CVRD APE I5 &gt;&gt; </v>
      </c>
      <c r="C355" s="167" t="str">
        <f>Balanço_MRE!C355</f>
        <v>Contratos de Compra</v>
      </c>
      <c r="D355" s="192" t="str">
        <f>Balanço_MRE!D355</f>
        <v>SUDESTE</v>
      </c>
      <c r="E355" s="79">
        <f>Balanço_MRE!E355</f>
        <v>0</v>
      </c>
      <c r="F355" s="262">
        <f>Balanço_MRE!F355</f>
        <v>0</v>
      </c>
      <c r="G355" s="263">
        <f>Balanço_MRE!G355</f>
        <v>0</v>
      </c>
      <c r="H355" s="193">
        <f>Balanço_MRE!H355</f>
        <v>0</v>
      </c>
      <c r="I355" s="139"/>
      <c r="J355" s="9" t="str">
        <f>VLOOKUP(A355,[15]RelatorioContratos_080817_10365!$A$1:$BZ$65536,26,FALSE)</f>
        <v>0,000000</v>
      </c>
      <c r="K355" s="9" t="str">
        <f>VLOOKUP(A355,[15]RelatorioContratos_080817_10365!$A$1:$BZ$65536,10,FALSE)</f>
        <v>Validado</v>
      </c>
      <c r="L355" s="9" t="str">
        <f>VLOOKUP(A355,[15]RelatorioContratos_080817_10365!$A$1:$BZ$65536,32,FALSE)</f>
        <v>FLAT</v>
      </c>
      <c r="M355" s="9" t="str">
        <f>VLOOKUP(A355,[15]RelatorioContratos_080817_10365!$A$1:$BZ$65536,33,FALSE)</f>
        <v>Validado</v>
      </c>
      <c r="N355" s="247">
        <f>(J355*$B$33)-F355</f>
        <v>0</v>
      </c>
    </row>
    <row r="356" spans="1:23" ht="15" x14ac:dyDescent="0.25">
      <c r="A356" s="167">
        <f>Balanço_MRE!A356</f>
        <v>1119574</v>
      </c>
      <c r="B356" s="167" t="str">
        <f>Balanço_MRE!B356</f>
        <v xml:space="preserve">VALE ENE I5 &gt;&gt; </v>
      </c>
      <c r="C356" s="167" t="str">
        <f>Balanço_MRE!C356</f>
        <v>Contratos de Compra</v>
      </c>
      <c r="D356" s="192" t="str">
        <f>Balanço_MRE!D356</f>
        <v>SUDESTE</v>
      </c>
      <c r="E356" s="79">
        <f>Balanço_MRE!E356</f>
        <v>0.90051899999999996</v>
      </c>
      <c r="F356" s="262">
        <f>Balanço_MRE!F356</f>
        <v>669.98646859106555</v>
      </c>
      <c r="G356" s="263">
        <f>Balanço_MRE!G356</f>
        <v>246.72</v>
      </c>
      <c r="H356" s="193">
        <f>Balanço_MRE!H356</f>
        <v>165299.0615307877</v>
      </c>
      <c r="I356" s="115"/>
      <c r="J356" s="9" t="e">
        <f>VLOOKUP(A356,[15]RelatorioContratos_080817_10365!$A$1:$BZ$65536,26,FALSE)</f>
        <v>#N/A</v>
      </c>
      <c r="K356" s="9" t="e">
        <f>VLOOKUP(A356,[15]RelatorioContratos_080817_10365!$A$1:$BZ$65536,10,FALSE)</f>
        <v>#N/A</v>
      </c>
      <c r="L356" s="9" t="e">
        <f>VLOOKUP(A356,[15]RelatorioContratos_080817_10365!$A$1:$BZ$65536,32,FALSE)</f>
        <v>#N/A</v>
      </c>
      <c r="M356" s="9" t="e">
        <f>VLOOKUP(A356,[15]RelatorioContratos_080817_10365!$A$1:$BZ$65536,33,FALSE)</f>
        <v>#N/A</v>
      </c>
      <c r="N356" s="247" t="e">
        <f>(J356*$B$33)-F356</f>
        <v>#N/A</v>
      </c>
    </row>
    <row r="357" spans="1:23" ht="15" x14ac:dyDescent="0.25">
      <c r="A357" s="167">
        <f>Balanço_MRE!A357</f>
        <v>0</v>
      </c>
      <c r="B357" s="167">
        <f>Balanço_MRE!B357</f>
        <v>0</v>
      </c>
      <c r="C357" s="167">
        <f>Balanço_MRE!C357</f>
        <v>0</v>
      </c>
      <c r="D357" s="192">
        <f>Balanço_MRE!D357</f>
        <v>0</v>
      </c>
      <c r="E357" s="79">
        <f>Balanço_MRE!E357</f>
        <v>0</v>
      </c>
      <c r="F357" s="262">
        <f>Balanço_MRE!F357</f>
        <v>0</v>
      </c>
      <c r="G357" s="263">
        <f>Balanço_MRE!G357</f>
        <v>0</v>
      </c>
      <c r="H357" s="193">
        <f>Balanço_MRE!H357</f>
        <v>0</v>
      </c>
      <c r="I357" s="115"/>
      <c r="J357" s="247"/>
      <c r="K357" s="247"/>
      <c r="L357" s="247"/>
      <c r="M357" s="247"/>
      <c r="N357" s="247"/>
    </row>
    <row r="358" spans="1:23" ht="15" x14ac:dyDescent="0.25">
      <c r="A358" s="167">
        <f>Balanço_MRE!A358</f>
        <v>0</v>
      </c>
      <c r="B358" s="167">
        <f>Balanço_MRE!B358</f>
        <v>0</v>
      </c>
      <c r="C358" s="167">
        <f>Balanço_MRE!C358</f>
        <v>0</v>
      </c>
      <c r="D358" s="192">
        <f>Balanço_MRE!D358</f>
        <v>0</v>
      </c>
      <c r="E358" s="79">
        <f>Balanço_MRE!E358</f>
        <v>0</v>
      </c>
      <c r="F358" s="262">
        <f>Balanço_MRE!F358</f>
        <v>0</v>
      </c>
      <c r="G358" s="263">
        <f>Balanço_MRE!G358</f>
        <v>0</v>
      </c>
      <c r="H358" s="193">
        <f>Balanço_MRE!H358</f>
        <v>0</v>
      </c>
      <c r="I358" s="115"/>
      <c r="J358" s="247"/>
      <c r="K358" s="247"/>
      <c r="L358" s="247"/>
      <c r="M358" s="247"/>
      <c r="N358" s="247"/>
    </row>
    <row r="359" spans="1:23" ht="15" x14ac:dyDescent="0.25">
      <c r="A359" s="167">
        <f>Balanço_MRE!A359</f>
        <v>0</v>
      </c>
      <c r="B359" s="167">
        <f>Balanço_MRE!B359</f>
        <v>0</v>
      </c>
      <c r="C359" s="167">
        <f>Balanço_MRE!C359</f>
        <v>0</v>
      </c>
      <c r="D359" s="192">
        <f>Balanço_MRE!D359</f>
        <v>0</v>
      </c>
      <c r="E359" s="79">
        <f>Balanço_MRE!E359</f>
        <v>0</v>
      </c>
      <c r="F359" s="262">
        <f>Balanço_MRE!F359</f>
        <v>0</v>
      </c>
      <c r="G359" s="263">
        <f>Balanço_MRE!G359</f>
        <v>0</v>
      </c>
      <c r="H359" s="193">
        <f>Balanço_MRE!H359</f>
        <v>0</v>
      </c>
      <c r="I359" s="115"/>
      <c r="J359" s="247"/>
      <c r="K359" s="247"/>
      <c r="L359" s="247"/>
      <c r="M359" s="247"/>
      <c r="N359" s="247"/>
    </row>
    <row r="360" spans="1:23" ht="15" x14ac:dyDescent="0.25">
      <c r="A360" s="253"/>
      <c r="B360" s="253"/>
      <c r="C360" s="253"/>
      <c r="D360" s="253"/>
      <c r="E360" s="203"/>
      <c r="F360" s="204"/>
      <c r="G360" s="205"/>
      <c r="H360" s="206"/>
      <c r="I360" s="115"/>
      <c r="J360" s="393"/>
      <c r="K360" s="393"/>
      <c r="L360" s="393"/>
      <c r="M360" s="393"/>
      <c r="N360" s="247"/>
    </row>
    <row r="361" spans="1:23" ht="15" x14ac:dyDescent="0.25">
      <c r="A361" s="80" t="s">
        <v>32</v>
      </c>
      <c r="B361" s="16"/>
      <c r="C361" s="16"/>
      <c r="D361" s="17"/>
      <c r="E361" s="81">
        <f>SUM(E354:E360)</f>
        <v>0.91375399999999996</v>
      </c>
      <c r="F361" s="84">
        <f>SUM(F354:F360)</f>
        <v>679.83346859106553</v>
      </c>
      <c r="G361" s="82">
        <f>IFERROR(H361/F361,0)</f>
        <v>243.14640153472445</v>
      </c>
      <c r="H361" s="82">
        <f>SUM(H354:H360)</f>
        <v>165299.0615307877</v>
      </c>
      <c r="I361" s="115"/>
      <c r="N361" s="247"/>
    </row>
    <row r="362" spans="1:23" ht="15" x14ac:dyDescent="0.25">
      <c r="B362" s="397"/>
      <c r="N362" s="247"/>
    </row>
    <row r="363" spans="1:23" ht="15" x14ac:dyDescent="0.25">
      <c r="A363" s="548" t="s">
        <v>233</v>
      </c>
      <c r="B363" s="548"/>
      <c r="C363" s="548"/>
      <c r="E363" s="116" t="s">
        <v>19</v>
      </c>
      <c r="F363" s="116"/>
      <c r="G363" s="117" t="s">
        <v>20</v>
      </c>
      <c r="H363" s="117"/>
      <c r="I363" s="118" t="s">
        <v>21</v>
      </c>
      <c r="J363" s="118"/>
      <c r="K363" s="119" t="s">
        <v>22</v>
      </c>
      <c r="L363" s="119"/>
      <c r="N363" s="247"/>
    </row>
    <row r="364" spans="1:23" ht="15" x14ac:dyDescent="0.25">
      <c r="A364" s="10" t="s">
        <v>2</v>
      </c>
      <c r="B364" s="10" t="s">
        <v>137</v>
      </c>
      <c r="C364" s="10" t="s">
        <v>25</v>
      </c>
      <c r="E364" s="207" t="s">
        <v>137</v>
      </c>
      <c r="F364" s="208" t="s">
        <v>25</v>
      </c>
      <c r="G364" s="209" t="s">
        <v>137</v>
      </c>
      <c r="H364" s="210" t="s">
        <v>25</v>
      </c>
      <c r="I364" s="211" t="s">
        <v>137</v>
      </c>
      <c r="J364" s="212" t="s">
        <v>25</v>
      </c>
      <c r="K364" s="213" t="s">
        <v>137</v>
      </c>
      <c r="L364" s="214" t="s">
        <v>25</v>
      </c>
      <c r="N364" s="247"/>
    </row>
    <row r="365" spans="1:23" ht="15" x14ac:dyDescent="0.25">
      <c r="A365" s="29" t="s">
        <v>69</v>
      </c>
      <c r="B365" s="70">
        <v>0</v>
      </c>
      <c r="C365" s="83">
        <v>0</v>
      </c>
      <c r="E365" s="120">
        <f t="shared" ref="E365:E371" si="80">SUMIFS($E$347:$E$360,$C$347:$C$360,$A365,$D$347:$D$360,$E$363)</f>
        <v>0</v>
      </c>
      <c r="F365" s="121">
        <f t="shared" ref="F365:F371" si="81">SUMIFS($F$347:$F$360,$C$347:$C$360,$A365,$D$347:$D$360,$E$363)</f>
        <v>0</v>
      </c>
      <c r="G365" s="122">
        <f t="shared" ref="G365:G371" si="82">SUMIFS($E$347:$E$360,$C$347:$C$360,$A365,$D$347:$D$360,$G$363)</f>
        <v>0</v>
      </c>
      <c r="H365" s="123">
        <f t="shared" ref="H365:H371" si="83">SUMIFS($F$347:$F$360,$C$347:$C$360,$A365,$D$347:$D$360,$G$363)</f>
        <v>0</v>
      </c>
      <c r="I365" s="124">
        <f t="shared" ref="I365:I371" si="84">SUMIFS($E$347:$E$360,$C$347:$C$360,$A365,$D$347:$D$360,$I$363)</f>
        <v>0</v>
      </c>
      <c r="J365" s="125">
        <f t="shared" ref="J365:J371" si="85">SUMIFS($F$347:$F$360,$C$347:$C$360,$A365,$D$347:$D$360,$I$363)</f>
        <v>0</v>
      </c>
      <c r="K365" s="126">
        <f t="shared" ref="K365:K371" si="86">SUMIFS($E$347:$E$360,$C$347:$C$360,$A365,$D$347:$D$360,$K$363)</f>
        <v>0</v>
      </c>
      <c r="L365" s="127">
        <f t="shared" ref="L365:L371" si="87">SUMIFS($F$347:$F$360,$C$347:$C$360,$A365,$D$347:$D$360,$K$363)</f>
        <v>0</v>
      </c>
      <c r="N365" s="247"/>
    </row>
    <row r="366" spans="1:23" ht="15" x14ac:dyDescent="0.25">
      <c r="A366" s="29" t="s">
        <v>47</v>
      </c>
      <c r="B366" s="70">
        <v>0</v>
      </c>
      <c r="C366" s="83">
        <v>0</v>
      </c>
      <c r="E366" s="120">
        <f t="shared" si="80"/>
        <v>0</v>
      </c>
      <c r="F366" s="121">
        <f t="shared" si="81"/>
        <v>0</v>
      </c>
      <c r="G366" s="122">
        <f t="shared" si="82"/>
        <v>0</v>
      </c>
      <c r="H366" s="123">
        <f t="shared" si="83"/>
        <v>0</v>
      </c>
      <c r="I366" s="124">
        <f t="shared" si="84"/>
        <v>0</v>
      </c>
      <c r="J366" s="125">
        <f t="shared" si="85"/>
        <v>0</v>
      </c>
      <c r="K366" s="126">
        <f t="shared" si="86"/>
        <v>0</v>
      </c>
      <c r="L366" s="127">
        <f t="shared" si="87"/>
        <v>0</v>
      </c>
      <c r="N366" s="247"/>
    </row>
    <row r="367" spans="1:23" ht="15" x14ac:dyDescent="0.25">
      <c r="A367" s="29" t="s">
        <v>79</v>
      </c>
      <c r="B367" s="70">
        <v>0</v>
      </c>
      <c r="C367" s="83">
        <v>0</v>
      </c>
      <c r="E367" s="120">
        <f t="shared" si="80"/>
        <v>0</v>
      </c>
      <c r="F367" s="121">
        <f t="shared" si="81"/>
        <v>0</v>
      </c>
      <c r="G367" s="122">
        <f t="shared" si="82"/>
        <v>0</v>
      </c>
      <c r="H367" s="123">
        <f t="shared" si="83"/>
        <v>0</v>
      </c>
      <c r="I367" s="124">
        <f t="shared" si="84"/>
        <v>0</v>
      </c>
      <c r="J367" s="125">
        <f t="shared" si="85"/>
        <v>0</v>
      </c>
      <c r="K367" s="126">
        <f t="shared" si="86"/>
        <v>0</v>
      </c>
      <c r="L367" s="127">
        <f t="shared" si="87"/>
        <v>0</v>
      </c>
      <c r="N367" s="247"/>
    </row>
    <row r="368" spans="1:23" ht="15" x14ac:dyDescent="0.25">
      <c r="A368" s="29" t="s">
        <v>71</v>
      </c>
      <c r="B368" s="70">
        <f>E361</f>
        <v>0.91375399999999996</v>
      </c>
      <c r="C368" s="83">
        <f>F361</f>
        <v>679.83346859106553</v>
      </c>
      <c r="E368" s="120">
        <f t="shared" si="80"/>
        <v>0</v>
      </c>
      <c r="F368" s="121">
        <f t="shared" si="81"/>
        <v>0</v>
      </c>
      <c r="G368" s="122">
        <f t="shared" si="82"/>
        <v>0</v>
      </c>
      <c r="H368" s="123">
        <f t="shared" si="83"/>
        <v>0</v>
      </c>
      <c r="I368" s="124">
        <f t="shared" si="84"/>
        <v>0.91375399999999996</v>
      </c>
      <c r="J368" s="125">
        <f t="shared" si="85"/>
        <v>679.83346859106553</v>
      </c>
      <c r="K368" s="126">
        <f t="shared" si="86"/>
        <v>0</v>
      </c>
      <c r="L368" s="127">
        <f t="shared" si="87"/>
        <v>0</v>
      </c>
      <c r="N368" s="247"/>
    </row>
    <row r="369" spans="1:16" ht="15" x14ac:dyDescent="0.25">
      <c r="A369" s="29" t="s">
        <v>9</v>
      </c>
      <c r="B369" s="70">
        <f>E350</f>
        <v>0.91375399999999996</v>
      </c>
      <c r="C369" s="83">
        <f>F350</f>
        <v>679.83346859106553</v>
      </c>
      <c r="E369" s="120">
        <f t="shared" si="80"/>
        <v>0</v>
      </c>
      <c r="F369" s="121">
        <f t="shared" si="81"/>
        <v>0</v>
      </c>
      <c r="G369" s="122">
        <f t="shared" si="82"/>
        <v>0</v>
      </c>
      <c r="H369" s="123">
        <f t="shared" si="83"/>
        <v>0</v>
      </c>
      <c r="I369" s="124">
        <f t="shared" si="84"/>
        <v>0.91375399999999996</v>
      </c>
      <c r="J369" s="125">
        <f t="shared" si="85"/>
        <v>679.83346859106553</v>
      </c>
      <c r="K369" s="126">
        <f t="shared" si="86"/>
        <v>0</v>
      </c>
      <c r="L369" s="127">
        <f t="shared" si="87"/>
        <v>0</v>
      </c>
      <c r="M369" s="140"/>
      <c r="N369" s="247"/>
    </row>
    <row r="370" spans="1:16" ht="15" x14ac:dyDescent="0.25">
      <c r="A370" s="29" t="s">
        <v>80</v>
      </c>
      <c r="B370" s="70">
        <v>0</v>
      </c>
      <c r="C370" s="83">
        <v>0</v>
      </c>
      <c r="E370" s="120">
        <f t="shared" si="80"/>
        <v>0</v>
      </c>
      <c r="F370" s="121">
        <f t="shared" si="81"/>
        <v>0</v>
      </c>
      <c r="G370" s="122">
        <f t="shared" si="82"/>
        <v>0</v>
      </c>
      <c r="H370" s="123">
        <f t="shared" si="83"/>
        <v>0</v>
      </c>
      <c r="I370" s="124">
        <f t="shared" si="84"/>
        <v>0</v>
      </c>
      <c r="J370" s="125">
        <f t="shared" si="85"/>
        <v>0</v>
      </c>
      <c r="K370" s="126">
        <f t="shared" si="86"/>
        <v>0</v>
      </c>
      <c r="L370" s="127">
        <f t="shared" si="87"/>
        <v>0</v>
      </c>
      <c r="N370" s="247"/>
    </row>
    <row r="371" spans="1:16" ht="15" x14ac:dyDescent="0.25">
      <c r="A371" s="29" t="s">
        <v>77</v>
      </c>
      <c r="B371" s="70">
        <v>0</v>
      </c>
      <c r="C371" s="83">
        <v>0</v>
      </c>
      <c r="E371" s="120">
        <f t="shared" si="80"/>
        <v>0</v>
      </c>
      <c r="F371" s="121">
        <f t="shared" si="81"/>
        <v>0</v>
      </c>
      <c r="G371" s="122">
        <f t="shared" si="82"/>
        <v>0</v>
      </c>
      <c r="H371" s="123">
        <f t="shared" si="83"/>
        <v>0</v>
      </c>
      <c r="I371" s="124">
        <f t="shared" si="84"/>
        <v>0</v>
      </c>
      <c r="J371" s="125">
        <f t="shared" si="85"/>
        <v>0</v>
      </c>
      <c r="K371" s="126">
        <f t="shared" si="86"/>
        <v>0</v>
      </c>
      <c r="L371" s="127">
        <f t="shared" si="87"/>
        <v>0</v>
      </c>
      <c r="N371" s="247"/>
    </row>
    <row r="372" spans="1:16" ht="15" x14ac:dyDescent="0.25">
      <c r="A372" s="11" t="s">
        <v>81</v>
      </c>
      <c r="B372" s="12">
        <f>SUM(B365:B368)-SUM(B369:B371)</f>
        <v>0</v>
      </c>
      <c r="C372" s="12">
        <f>SUM(C365:C368)-SUM(C369:C371)</f>
        <v>0</v>
      </c>
      <c r="E372" s="128">
        <f>SUMIFS($E$347:$E$356,$C$347:$C$356,A372,$D$347:$D$356,$E$21)</f>
        <v>0</v>
      </c>
      <c r="F372" s="129">
        <f>SUMIFS($F$347:$F$356,$C$347:$C$356,A372,$D$347:$D$356,$E$465)</f>
        <v>0</v>
      </c>
      <c r="G372" s="130">
        <f t="shared" ref="G372:L372" si="88">SUM(G365:G368)-SUM(G369:G371)</f>
        <v>0</v>
      </c>
      <c r="H372" s="131">
        <f t="shared" si="88"/>
        <v>0</v>
      </c>
      <c r="I372" s="132">
        <f t="shared" si="88"/>
        <v>0</v>
      </c>
      <c r="J372" s="133">
        <f t="shared" si="88"/>
        <v>0</v>
      </c>
      <c r="K372" s="134">
        <f t="shared" si="88"/>
        <v>0</v>
      </c>
      <c r="L372" s="135">
        <f t="shared" si="88"/>
        <v>0</v>
      </c>
      <c r="N372" s="247"/>
    </row>
    <row r="373" spans="1:16" ht="15" x14ac:dyDescent="0.25">
      <c r="A373" s="11" t="s">
        <v>82</v>
      </c>
      <c r="B373" s="12">
        <f>SUM(B365:B368)-SUM(B369:B372)</f>
        <v>0</v>
      </c>
      <c r="C373" s="12">
        <f>SUM(C365:C368)-SUM(C369:C372)</f>
        <v>0</v>
      </c>
      <c r="E373" s="128">
        <f>SUMIFS($E$347:$E$356,$C$347:$C$356,A373,$D$347:$D$356,$E$21)</f>
        <v>0</v>
      </c>
      <c r="F373" s="129">
        <f>SUMIFS($F$347:$F$356,$C$347:$C$356,A373,$D$347:$D$356,$E$465)</f>
        <v>0</v>
      </c>
      <c r="G373" s="130">
        <f t="shared" ref="G373:L373" si="89">SUM(G365:G368)-SUM(G369:G372)</f>
        <v>0</v>
      </c>
      <c r="H373" s="131">
        <f t="shared" si="89"/>
        <v>0</v>
      </c>
      <c r="I373" s="132">
        <f t="shared" si="89"/>
        <v>0</v>
      </c>
      <c r="J373" s="133">
        <f t="shared" si="89"/>
        <v>0</v>
      </c>
      <c r="K373" s="134">
        <f t="shared" si="89"/>
        <v>0</v>
      </c>
      <c r="L373" s="135">
        <f t="shared" si="89"/>
        <v>0</v>
      </c>
      <c r="N373" s="247"/>
    </row>
    <row r="374" spans="1:16" ht="15" x14ac:dyDescent="0.25">
      <c r="N374" s="247"/>
    </row>
    <row r="375" spans="1:16" ht="15" x14ac:dyDescent="0.25">
      <c r="E375" s="153">
        <f>(F372*$H$5)+(H372*$J$5)+(J372*$L$5)+(L372*$N$5)</f>
        <v>0</v>
      </c>
      <c r="N375" s="247"/>
    </row>
    <row r="376" spans="1:16" ht="15" x14ac:dyDescent="0.25">
      <c r="N376" s="247"/>
    </row>
    <row r="377" spans="1:16" ht="15" x14ac:dyDescent="0.25">
      <c r="N377" s="247"/>
    </row>
    <row r="378" spans="1:16" ht="15" x14ac:dyDescent="0.25">
      <c r="A378" s="564" t="s">
        <v>83</v>
      </c>
      <c r="B378" s="564"/>
      <c r="C378" s="564"/>
      <c r="D378" s="564"/>
      <c r="E378" s="564"/>
      <c r="F378" s="564"/>
      <c r="G378" s="564"/>
      <c r="H378" s="564"/>
      <c r="N378" s="247"/>
    </row>
    <row r="379" spans="1:16" ht="15" x14ac:dyDescent="0.25">
      <c r="A379" s="564"/>
      <c r="B379" s="564"/>
      <c r="C379" s="564"/>
      <c r="D379" s="564"/>
      <c r="E379" s="564"/>
      <c r="F379" s="564"/>
      <c r="G379" s="564"/>
      <c r="H379" s="564"/>
      <c r="N379" s="247"/>
    </row>
    <row r="380" spans="1:16" s="114" customFormat="1" ht="3.75" customHeight="1" x14ac:dyDescent="0.25">
      <c r="A380" s="14"/>
      <c r="B380" s="14"/>
      <c r="C380" s="14"/>
      <c r="D380" s="14"/>
      <c r="E380" s="14"/>
      <c r="F380" s="14"/>
      <c r="G380" s="14"/>
      <c r="H380" s="14"/>
      <c r="I380" s="106"/>
      <c r="J380" s="106"/>
      <c r="K380" s="106"/>
      <c r="L380" s="106"/>
      <c r="M380" s="106"/>
      <c r="N380" s="247"/>
      <c r="O380" s="106"/>
      <c r="P380" s="106"/>
    </row>
    <row r="381" spans="1:16" ht="15" x14ac:dyDescent="0.25">
      <c r="A381" s="548" t="s">
        <v>85</v>
      </c>
      <c r="B381" s="548"/>
      <c r="C381" s="548"/>
      <c r="D381" s="548"/>
      <c r="E381" s="548"/>
      <c r="F381" s="548"/>
      <c r="G381" s="548"/>
      <c r="H381" s="548"/>
      <c r="N381" s="247"/>
    </row>
    <row r="382" spans="1:16" ht="15" x14ac:dyDescent="0.25">
      <c r="A382" s="10" t="s">
        <v>8</v>
      </c>
      <c r="B382" s="10"/>
      <c r="C382" s="10" t="s">
        <v>2</v>
      </c>
      <c r="D382" s="10" t="s">
        <v>3</v>
      </c>
      <c r="E382" s="10" t="s">
        <v>137</v>
      </c>
      <c r="F382" s="10" t="s">
        <v>25</v>
      </c>
      <c r="G382" s="10" t="s">
        <v>95</v>
      </c>
      <c r="H382" s="10" t="s">
        <v>240</v>
      </c>
      <c r="N382" s="247"/>
    </row>
    <row r="383" spans="1:16" ht="15" x14ac:dyDescent="0.25">
      <c r="A383" s="167" t="str">
        <f>Balanço_MRE!A383</f>
        <v>S11D</v>
      </c>
      <c r="B383" s="167">
        <f>Balanço_MRE!B383</f>
        <v>0</v>
      </c>
      <c r="C383" s="167" t="str">
        <f>Balanço_MRE!C383</f>
        <v>Carga</v>
      </c>
      <c r="D383" s="192" t="str">
        <f>Balanço_MRE!D383</f>
        <v>NORTE</v>
      </c>
      <c r="E383" s="79">
        <f>Balanço_MRE!E383</f>
        <v>32.051420999999998</v>
      </c>
      <c r="F383" s="262">
        <f>Balanço_MRE!F383</f>
        <v>23846.257218247436</v>
      </c>
      <c r="G383" s="263">
        <f>Balanço_MRE!G383</f>
        <v>353.50099999999998</v>
      </c>
      <c r="H383" s="193">
        <f>Balanço_MRE!H383</f>
        <v>0.03</v>
      </c>
      <c r="I383" s="109"/>
      <c r="N383" s="247"/>
    </row>
    <row r="384" spans="1:16" ht="15" x14ac:dyDescent="0.25">
      <c r="A384" s="167" t="str">
        <f>Balanço_MRE!A384</f>
        <v>CDM</v>
      </c>
      <c r="B384" s="167">
        <f>Balanço_MRE!B384</f>
        <v>0</v>
      </c>
      <c r="C384" s="167" t="str">
        <f>Balanço_MRE!C384</f>
        <v>Carga</v>
      </c>
      <c r="D384" s="192" t="str">
        <f>Balanço_MRE!D384</f>
        <v>SUDESTE</v>
      </c>
      <c r="E384" s="79">
        <f>Balanço_MRE!E384</f>
        <v>0.23676700000000001</v>
      </c>
      <c r="F384" s="262">
        <f>Balanço_MRE!F384</f>
        <v>176.15496104279239</v>
      </c>
      <c r="G384" s="263">
        <f>Balanço_MRE!G384</f>
        <v>2.4510000000000001</v>
      </c>
      <c r="H384" s="193">
        <f>Balanço_MRE!H384</f>
        <v>0.03</v>
      </c>
      <c r="N384" s="247"/>
    </row>
    <row r="385" spans="1:14" ht="15" x14ac:dyDescent="0.25">
      <c r="A385" s="167" t="str">
        <f>Balanço_MRE!A385</f>
        <v>Córrego do Feijão</v>
      </c>
      <c r="B385" s="167">
        <f>Balanço_MRE!B385</f>
        <v>0</v>
      </c>
      <c r="C385" s="167" t="str">
        <f>Balanço_MRE!C385</f>
        <v>Carga</v>
      </c>
      <c r="D385" s="192" t="str">
        <f>Balanço_MRE!D385</f>
        <v>SUDESTE</v>
      </c>
      <c r="E385" s="79">
        <f>Balanço_MRE!E385</f>
        <v>2.1350509999999998</v>
      </c>
      <c r="F385" s="262">
        <f>Balanço_MRE!F385</f>
        <v>1588.4779670103098</v>
      </c>
      <c r="G385" s="263">
        <f>Balanço_MRE!G385</f>
        <v>21.87</v>
      </c>
      <c r="H385" s="193">
        <f>Balanço_MRE!H385</f>
        <v>0.03</v>
      </c>
      <c r="N385" s="247"/>
    </row>
    <row r="386" spans="1:14" ht="15" x14ac:dyDescent="0.25">
      <c r="A386" s="167" t="str">
        <f>Balanço_MRE!A386</f>
        <v>Gongo Soco</v>
      </c>
      <c r="B386" s="167">
        <f>Balanço_MRE!B386</f>
        <v>0</v>
      </c>
      <c r="C386" s="167" t="str">
        <f>Balanço_MRE!C386</f>
        <v>Carga</v>
      </c>
      <c r="D386" s="192" t="str">
        <f>Balanço_MRE!D386</f>
        <v>SUDESTE</v>
      </c>
      <c r="E386" s="79">
        <f>Balanço_MRE!E386</f>
        <v>0.453928</v>
      </c>
      <c r="F386" s="262">
        <f>Balanço_MRE!F386</f>
        <v>337.7225713402068</v>
      </c>
      <c r="G386" s="263">
        <f>Balanço_MRE!G386</f>
        <v>4.0990000000000002</v>
      </c>
      <c r="H386" s="193">
        <f>Balanço_MRE!H386</f>
        <v>0.03</v>
      </c>
      <c r="N386" s="247"/>
    </row>
    <row r="387" spans="1:14" ht="15" x14ac:dyDescent="0.25">
      <c r="A387" s="167" t="str">
        <f>Balanço_MRE!A387</f>
        <v>Timbopeba</v>
      </c>
      <c r="B387" s="167">
        <f>Balanço_MRE!B387</f>
        <v>0</v>
      </c>
      <c r="C387" s="167" t="str">
        <f>Balanço_MRE!C387</f>
        <v>Carga</v>
      </c>
      <c r="D387" s="192" t="str">
        <f>Balanço_MRE!D387</f>
        <v>SUDESTE</v>
      </c>
      <c r="E387" s="79">
        <f>Balanço_MRE!E387</f>
        <v>14.795021</v>
      </c>
      <c r="F387" s="262">
        <f>Balanço_MRE!F387</f>
        <v>11007.495268831624</v>
      </c>
      <c r="G387" s="263">
        <f>Balanço_MRE!G387</f>
        <v>127.366</v>
      </c>
      <c r="H387" s="193">
        <f>Balanço_MRE!H387</f>
        <v>0.03</v>
      </c>
      <c r="N387" s="247"/>
    </row>
    <row r="388" spans="1:14" ht="15" x14ac:dyDescent="0.25">
      <c r="A388" s="202"/>
      <c r="B388" s="202"/>
      <c r="C388" s="202"/>
      <c r="D388" s="202"/>
      <c r="E388" s="203"/>
      <c r="F388" s="204"/>
      <c r="G388" s="205">
        <f>'[8]2019'!$F$3</f>
        <v>127.366</v>
      </c>
      <c r="H388" s="206"/>
      <c r="N388" s="247"/>
    </row>
    <row r="389" spans="1:14" ht="15" x14ac:dyDescent="0.25">
      <c r="A389" s="80" t="s">
        <v>32</v>
      </c>
      <c r="B389" s="16"/>
      <c r="C389" s="16"/>
      <c r="D389" s="17"/>
      <c r="E389" s="81">
        <f>SUM(E383:E388)</f>
        <v>49.672187999999991</v>
      </c>
      <c r="F389" s="84">
        <f>SUM(F383:F388)</f>
        <v>36956.107986472372</v>
      </c>
      <c r="G389" s="84">
        <f>SUM(G383:G388)</f>
        <v>636.65300000000002</v>
      </c>
      <c r="H389" s="84"/>
      <c r="I389" s="115"/>
      <c r="N389" s="247"/>
    </row>
    <row r="390" spans="1:14" ht="15" x14ac:dyDescent="0.25">
      <c r="F390" s="109"/>
      <c r="G390" s="137"/>
      <c r="N390" s="247"/>
    </row>
    <row r="391" spans="1:14" ht="15" x14ac:dyDescent="0.25">
      <c r="A391" s="548" t="s">
        <v>70</v>
      </c>
      <c r="B391" s="548"/>
      <c r="C391" s="548"/>
      <c r="D391" s="548"/>
      <c r="E391" s="548"/>
      <c r="F391" s="548"/>
      <c r="G391" s="548"/>
      <c r="H391" s="548"/>
      <c r="N391" s="247"/>
    </row>
    <row r="392" spans="1:14" ht="15" x14ac:dyDescent="0.25">
      <c r="A392" s="10" t="s">
        <v>252</v>
      </c>
      <c r="B392" s="10" t="s">
        <v>1</v>
      </c>
      <c r="C392" s="10" t="s">
        <v>2</v>
      </c>
      <c r="D392" s="10" t="s">
        <v>3</v>
      </c>
      <c r="E392" s="10" t="s">
        <v>137</v>
      </c>
      <c r="F392" s="10" t="s">
        <v>25</v>
      </c>
      <c r="G392" s="10" t="s">
        <v>253</v>
      </c>
      <c r="H392" s="10" t="s">
        <v>254</v>
      </c>
      <c r="J392" s="10" t="s">
        <v>72</v>
      </c>
      <c r="K392" s="10" t="s">
        <v>73</v>
      </c>
      <c r="L392" s="10" t="s">
        <v>74</v>
      </c>
      <c r="M392" s="10" t="s">
        <v>75</v>
      </c>
      <c r="N392" s="247"/>
    </row>
    <row r="393" spans="1:14" ht="15" x14ac:dyDescent="0.25">
      <c r="A393" s="167" t="str">
        <f>Balanço_MRE!A393</f>
        <v>ACEP G | 4384</v>
      </c>
      <c r="B393" s="167" t="str">
        <f>Balanço_MRE!B393</f>
        <v>PROINFA CVRD CL2</v>
      </c>
      <c r="C393" s="167" t="str">
        <f>Balanço_MRE!C393</f>
        <v>Contratos de Compra</v>
      </c>
      <c r="D393" s="192" t="str">
        <f>Balanço_MRE!D393</f>
        <v>NORTE</v>
      </c>
      <c r="E393" s="79">
        <f>Balanço_MRE!E393</f>
        <v>0.475136</v>
      </c>
      <c r="F393" s="262">
        <f>Balanço_MRE!F393</f>
        <v>353.50099999999998</v>
      </c>
      <c r="G393" s="263">
        <f>Balanço_MRE!G393</f>
        <v>0</v>
      </c>
      <c r="H393" s="193">
        <f>Balanço_MRE!H393</f>
        <v>0</v>
      </c>
      <c r="J393" s="247">
        <f>SUM([16]Contratos!$W$3:$W$5)</f>
        <v>2.9539999999999997</v>
      </c>
      <c r="K393" s="247" t="str">
        <f>[17]RelatorioContratos_080817_10404!$X$3</f>
        <v>01/07/2017 00</v>
      </c>
      <c r="L393" s="247"/>
      <c r="M393" s="247"/>
      <c r="N393" s="247"/>
    </row>
    <row r="394" spans="1:14" ht="15" x14ac:dyDescent="0.25">
      <c r="A394" s="167" t="str">
        <f>Balanço_MRE!A394</f>
        <v>ACEP G | 4384</v>
      </c>
      <c r="B394" s="167" t="str">
        <f>Balanço_MRE!B394</f>
        <v>PROINFA CVRD CL2</v>
      </c>
      <c r="C394" s="167" t="str">
        <f>Balanço_MRE!C394</f>
        <v>Contratos de Compra</v>
      </c>
      <c r="D394" s="192" t="str">
        <f>Balanço_MRE!D394</f>
        <v>SUDESTE</v>
      </c>
      <c r="E394" s="79">
        <f>Balanço_MRE!E394</f>
        <v>0.20938999999999999</v>
      </c>
      <c r="F394" s="262">
        <f>Balanço_MRE!F394</f>
        <v>155.786</v>
      </c>
      <c r="G394" s="263">
        <f>Balanço_MRE!G394</f>
        <v>0</v>
      </c>
      <c r="H394" s="193">
        <f>Balanço_MRE!H394</f>
        <v>0</v>
      </c>
      <c r="J394" s="247">
        <f>[16]Contratos!$W$6</f>
        <v>2.1949999999999998</v>
      </c>
      <c r="K394" s="247" t="str">
        <f>[17]RelatorioContratos_080817_10404!$X$7</f>
        <v>01/07/2017 00</v>
      </c>
      <c r="L394" s="247"/>
      <c r="M394" s="247"/>
      <c r="N394" s="247"/>
    </row>
    <row r="395" spans="1:14" ht="15" x14ac:dyDescent="0.25">
      <c r="A395" s="167">
        <f>Balanço_MRE!A395</f>
        <v>637036</v>
      </c>
      <c r="B395" s="167" t="str">
        <f>Balanço_MRE!B395</f>
        <v>VALE ENE I5 &gt;&gt; 0414_0119</v>
      </c>
      <c r="C395" s="167" t="str">
        <f>Balanço_MRE!C395</f>
        <v>Contratos de Compra</v>
      </c>
      <c r="D395" s="192" t="str">
        <f>Balanço_MRE!D395</f>
        <v>NORDESTE</v>
      </c>
      <c r="E395" s="79">
        <f>Balanço_MRE!E395</f>
        <v>0</v>
      </c>
      <c r="F395" s="262">
        <f>Balanço_MRE!F395</f>
        <v>0</v>
      </c>
      <c r="G395" s="263">
        <f>Balanço_MRE!G395</f>
        <v>0</v>
      </c>
      <c r="H395" s="193">
        <f>Balanço_MRE!H395</f>
        <v>0</v>
      </c>
      <c r="J395" s="9" t="str">
        <f>VLOOKUP(A395,[17]RelatorioContratos_080817_10404!$A$3:$AC$218,26,FALSE)</f>
        <v>0,000000</v>
      </c>
      <c r="K395" s="9" t="str">
        <f>VLOOKUP(A395,[17]RelatorioContratos_080817_10404!$A$3:$AC$218,8,FALSE)</f>
        <v>31/01/2019 23</v>
      </c>
      <c r="L395" s="9" t="str">
        <f>VLOOKUP(A395,[17]RelatorioContratos_080817_10404!$A$3:$AZ$218,32,FALSE)</f>
        <v>FLAT</v>
      </c>
      <c r="M395" s="9" t="str">
        <f>VLOOKUP(A395,[17]RelatorioContratos_080817_10404!$A$3:$AZ$218,33,FALSE)</f>
        <v>Validado</v>
      </c>
      <c r="N395" s="247">
        <f t="shared" ref="N395:N403" si="90">(J395*$B$33)-F395</f>
        <v>0</v>
      </c>
    </row>
    <row r="396" spans="1:14" ht="15" x14ac:dyDescent="0.25">
      <c r="A396" s="167">
        <f>Balanço_MRE!A396</f>
        <v>880826</v>
      </c>
      <c r="B396" s="167" t="str">
        <f>Balanço_MRE!B396</f>
        <v>VALE ENE I5 &gt;&gt; 0216_0119</v>
      </c>
      <c r="C396" s="167" t="str">
        <f>Balanço_MRE!C396</f>
        <v>Contratos de Compra</v>
      </c>
      <c r="D396" s="192" t="str">
        <f>Balanço_MRE!D396</f>
        <v>NORTE</v>
      </c>
      <c r="E396" s="79">
        <f>Balanço_MRE!E396</f>
        <v>0</v>
      </c>
      <c r="F396" s="262">
        <f>Balanço_MRE!F396</f>
        <v>0</v>
      </c>
      <c r="G396" s="263">
        <f>Balanço_MRE!G396</f>
        <v>0</v>
      </c>
      <c r="H396" s="193">
        <f>Balanço_MRE!H396</f>
        <v>0</v>
      </c>
      <c r="J396" s="9" t="str">
        <f>VLOOKUP(A396,[17]RelatorioContratos_080817_10404!$A$3:$AC$218,26,FALSE)</f>
        <v>0,000000</v>
      </c>
      <c r="K396" s="9" t="str">
        <f>VLOOKUP(A396,[17]RelatorioContratos_080817_10404!$A$3:$AC$218,8,FALSE)</f>
        <v>31/12/2019 23</v>
      </c>
      <c r="L396" s="9" t="str">
        <f>VLOOKUP(A396,[17]RelatorioContratos_080817_10404!$A$3:$AZ$218,32,FALSE)</f>
        <v>FLAT</v>
      </c>
      <c r="M396" s="9" t="str">
        <f>VLOOKUP(A396,[17]RelatorioContratos_080817_10404!$A$3:$AZ$218,33,FALSE)</f>
        <v>Validado</v>
      </c>
      <c r="N396" s="247">
        <f t="shared" si="90"/>
        <v>0</v>
      </c>
    </row>
    <row r="397" spans="1:14" ht="15" x14ac:dyDescent="0.25">
      <c r="A397" s="167">
        <f>Balanço_MRE!A397</f>
        <v>566601</v>
      </c>
      <c r="B397" s="167" t="str">
        <f>Balanço_MRE!B397</f>
        <v>CVRD APE I5 &gt;&gt; 0214_0119</v>
      </c>
      <c r="C397" s="167" t="str">
        <f>Balanço_MRE!C397</f>
        <v>Contratos de Compra</v>
      </c>
      <c r="D397" s="192" t="str">
        <f>Balanço_MRE!D397</f>
        <v>SUDESTE</v>
      </c>
      <c r="E397" s="79">
        <f>Balanço_MRE!E397</f>
        <v>0</v>
      </c>
      <c r="F397" s="262">
        <f>Balanço_MRE!F397</f>
        <v>0</v>
      </c>
      <c r="G397" s="263">
        <f>Balanço_MRE!G397</f>
        <v>0</v>
      </c>
      <c r="H397" s="193">
        <f>Balanço_MRE!H397</f>
        <v>0</v>
      </c>
      <c r="J397" s="9" t="str">
        <f>VLOOKUP(A397,[17]RelatorioContratos_080817_10404!$A$3:$AC$218,26,FALSE)</f>
        <v>0,000000</v>
      </c>
      <c r="K397" s="9" t="str">
        <f>VLOOKUP(A397,[17]RelatorioContratos_080817_10404!$A$3:$AC$218,8,FALSE)</f>
        <v>31/01/2019 23</v>
      </c>
      <c r="L397" s="9" t="str">
        <f>VLOOKUP(A397,[17]RelatorioContratos_080817_10404!$A$3:$AZ$218,32,FALSE)</f>
        <v>FLAT</v>
      </c>
      <c r="M397" s="9" t="str">
        <f>VLOOKUP(A397,[17]RelatorioContratos_080817_10404!$A$3:$AZ$218,33,FALSE)</f>
        <v>Validado</v>
      </c>
      <c r="N397" s="247">
        <f t="shared" si="90"/>
        <v>0</v>
      </c>
    </row>
    <row r="398" spans="1:14" ht="15" x14ac:dyDescent="0.25">
      <c r="A398" s="167">
        <f>Balanço_MRE!A398</f>
        <v>567046</v>
      </c>
      <c r="B398" s="167" t="str">
        <f>Balanço_MRE!B398</f>
        <v>CVRD APE I5 &gt;&gt; 0214_0119 (AP)</v>
      </c>
      <c r="C398" s="167" t="str">
        <f>Balanço_MRE!C398</f>
        <v>Contratos de Compra</v>
      </c>
      <c r="D398" s="192" t="str">
        <f>Balanço_MRE!D398</f>
        <v>SUDESTE</v>
      </c>
      <c r="E398" s="79">
        <f>Balanço_MRE!E398</f>
        <v>0</v>
      </c>
      <c r="F398" s="262">
        <f>Balanço_MRE!F398</f>
        <v>0</v>
      </c>
      <c r="G398" s="263">
        <f>Balanço_MRE!G398</f>
        <v>0</v>
      </c>
      <c r="H398" s="193">
        <f>Balanço_MRE!H398</f>
        <v>0</v>
      </c>
      <c r="J398" s="9" t="str">
        <f>VLOOKUP(A398,[17]RelatorioContratos_080817_10404!$A$3:$AC$218,26,FALSE)</f>
        <v>0,000000</v>
      </c>
      <c r="K398" s="9" t="str">
        <f>VLOOKUP(A398,[17]RelatorioContratos_080817_10404!$A$3:$AC$218,8,FALSE)</f>
        <v>31/01/2019 23</v>
      </c>
      <c r="L398" s="9" t="str">
        <f>VLOOKUP(A398,[17]RelatorioContratos_080817_10404!$A$3:$AZ$218,32,FALSE)</f>
        <v>FLAT</v>
      </c>
      <c r="M398" s="9" t="str">
        <f>VLOOKUP(A398,[17]RelatorioContratos_080817_10404!$A$3:$AZ$218,33,FALSE)</f>
        <v>Validado</v>
      </c>
      <c r="N398" s="247">
        <f t="shared" si="90"/>
        <v>0</v>
      </c>
    </row>
    <row r="399" spans="1:14" ht="15" x14ac:dyDescent="0.25">
      <c r="A399" s="167">
        <f>Balanço_MRE!A399</f>
        <v>566657</v>
      </c>
      <c r="B399" s="167" t="str">
        <f>Balanço_MRE!B399</f>
        <v>CVRD PIE &gt;&gt; 0214_0119</v>
      </c>
      <c r="C399" s="167" t="str">
        <f>Balanço_MRE!C399</f>
        <v>Contratos de Compra</v>
      </c>
      <c r="D399" s="192" t="str">
        <f>Balanço_MRE!D399</f>
        <v>SUDESTE</v>
      </c>
      <c r="E399" s="79">
        <f>Balanço_MRE!E399</f>
        <v>0</v>
      </c>
      <c r="F399" s="262">
        <f>Balanço_MRE!F399</f>
        <v>0</v>
      </c>
      <c r="G399" s="263">
        <f>Balanço_MRE!G399</f>
        <v>0</v>
      </c>
      <c r="H399" s="193">
        <f>Balanço_MRE!H399</f>
        <v>0</v>
      </c>
      <c r="J399" s="9" t="str">
        <f>VLOOKUP(A399,[17]RelatorioContratos_080817_10404!$A$3:$AC$218,26,FALSE)</f>
        <v>0,000000</v>
      </c>
      <c r="K399" s="9" t="str">
        <f>VLOOKUP(A399,[17]RelatorioContratos_080817_10404!$A$3:$AC$218,8,FALSE)</f>
        <v>31/01/2019 23</v>
      </c>
      <c r="L399" s="9" t="str">
        <f>VLOOKUP(A399,[17]RelatorioContratos_080817_10404!$A$3:$AZ$218,32,FALSE)</f>
        <v>FLAT</v>
      </c>
      <c r="M399" s="9" t="str">
        <f>VLOOKUP(A399,[17]RelatorioContratos_080817_10404!$A$3:$AZ$218,33,FALSE)</f>
        <v>Validado</v>
      </c>
      <c r="N399" s="247">
        <f t="shared" si="90"/>
        <v>0</v>
      </c>
    </row>
    <row r="400" spans="1:14" ht="15" x14ac:dyDescent="0.25">
      <c r="A400" s="167">
        <f>Balanço_MRE!A400</f>
        <v>567235</v>
      </c>
      <c r="B400" s="167" t="str">
        <f>Balanço_MRE!B400</f>
        <v>CVRD PIE &gt;&gt; 0214_0119 (AP)</v>
      </c>
      <c r="C400" s="167" t="str">
        <f>Balanço_MRE!C400</f>
        <v>Contratos de Compra</v>
      </c>
      <c r="D400" s="192" t="str">
        <f>Balanço_MRE!D400</f>
        <v>SUDESTE</v>
      </c>
      <c r="E400" s="79">
        <f>Balanço_MRE!E400</f>
        <v>17.411377000000002</v>
      </c>
      <c r="F400" s="262">
        <f>Balanço_MRE!F400</f>
        <v>12954.064768224933</v>
      </c>
      <c r="G400" s="263">
        <f>Balanço_MRE!G400</f>
        <v>0</v>
      </c>
      <c r="H400" s="193">
        <f>Balanço_MRE!H400</f>
        <v>0</v>
      </c>
      <c r="J400" s="9" t="str">
        <f>VLOOKUP(A400,[17]RelatorioContratos_080817_10404!$A$3:$AC$218,26,FALSE)</f>
        <v>17,747725</v>
      </c>
      <c r="K400" s="9" t="str">
        <f>VLOOKUP(A400,[17]RelatorioContratos_080817_10404!$A$3:$AC$218,8,FALSE)</f>
        <v>31/01/2019 23</v>
      </c>
      <c r="L400" s="9" t="str">
        <f>VLOOKUP(A400,[17]RelatorioContratos_080817_10404!$A$3:$AZ$218,32,FALSE)</f>
        <v>FLAT</v>
      </c>
      <c r="M400" s="9" t="str">
        <f>VLOOKUP(A400,[17]RelatorioContratos_080817_10404!$A$3:$AZ$218,33,FALSE)</f>
        <v>Ajustado Validado</v>
      </c>
      <c r="N400" s="247">
        <f t="shared" si="90"/>
        <v>250.24263177506691</v>
      </c>
    </row>
    <row r="401" spans="1:14" ht="15" x14ac:dyDescent="0.25">
      <c r="A401" s="167">
        <f>Balanço_MRE!A401</f>
        <v>558366</v>
      </c>
      <c r="B401" s="167" t="str">
        <f>Balanço_MRE!B401</f>
        <v>CVRD PIE I5 &gt;&gt; 0214_0119</v>
      </c>
      <c r="C401" s="167" t="str">
        <f>Balanço_MRE!C401</f>
        <v>Contratos de Compra</v>
      </c>
      <c r="D401" s="192" t="str">
        <f>Balanço_MRE!D401</f>
        <v>SUDESTE</v>
      </c>
      <c r="E401" s="79">
        <f>Balanço_MRE!E401</f>
        <v>0</v>
      </c>
      <c r="F401" s="262">
        <f>Balanço_MRE!F401</f>
        <v>0</v>
      </c>
      <c r="G401" s="263">
        <f>Balanço_MRE!G401</f>
        <v>0</v>
      </c>
      <c r="H401" s="193">
        <f>Balanço_MRE!H401</f>
        <v>0</v>
      </c>
      <c r="J401" s="9" t="str">
        <f>VLOOKUP(A401,[17]RelatorioContratos_080817_10404!$A$3:$AC$218,26,FALSE)</f>
        <v>0,000000</v>
      </c>
      <c r="K401" s="9" t="str">
        <f>VLOOKUP(A401,[17]RelatorioContratos_080817_10404!$A$3:$AC$218,8,FALSE)</f>
        <v>31/01/2019 23</v>
      </c>
      <c r="L401" s="9" t="str">
        <f>VLOOKUP(A401,[17]RelatorioContratos_080817_10404!$A$3:$AZ$218,32,FALSE)</f>
        <v>FLAT</v>
      </c>
      <c r="M401" s="9" t="str">
        <f>VLOOKUP(A401,[17]RelatorioContratos_080817_10404!$A$3:$AZ$218,33,FALSE)</f>
        <v>Validado</v>
      </c>
      <c r="N401" s="247">
        <f t="shared" si="90"/>
        <v>0</v>
      </c>
    </row>
    <row r="402" spans="1:14" ht="15" x14ac:dyDescent="0.25">
      <c r="A402" s="167">
        <f>Balanço_MRE!A402</f>
        <v>73396</v>
      </c>
      <c r="B402" s="167" t="str">
        <f>Balanço_MRE!B402</f>
        <v>VALE ENE I5 &gt;&gt; 0111_0119</v>
      </c>
      <c r="C402" s="167" t="str">
        <f>Balanço_MRE!C402</f>
        <v>Contratos de Compra</v>
      </c>
      <c r="D402" s="192" t="str">
        <f>Balanço_MRE!D402</f>
        <v>SUDESTE</v>
      </c>
      <c r="E402" s="79">
        <f>Balanço_MRE!E402</f>
        <v>0</v>
      </c>
      <c r="F402" s="262">
        <f>Balanço_MRE!F402</f>
        <v>0</v>
      </c>
      <c r="G402" s="263">
        <f>Balanço_MRE!G402</f>
        <v>0</v>
      </c>
      <c r="H402" s="193">
        <f>Balanço_MRE!H402</f>
        <v>0</v>
      </c>
      <c r="J402" s="9" t="str">
        <f>VLOOKUP(A402,[17]RelatorioContratos_080817_10404!$A$3:$AC$218,26,FALSE)</f>
        <v>0,000000</v>
      </c>
      <c r="K402" s="9" t="str">
        <f>VLOOKUP(A402,[17]RelatorioContratos_080817_10404!$A$3:$AC$218,8,FALSE)</f>
        <v>31/01/2019 23</v>
      </c>
      <c r="L402" s="9" t="str">
        <f>VLOOKUP(A402,[17]RelatorioContratos_080817_10404!$A$3:$AZ$218,32,FALSE)</f>
        <v>FLAT</v>
      </c>
      <c r="M402" s="9" t="str">
        <f>VLOOKUP(A402,[17]RelatorioContratos_080817_10404!$A$3:$AZ$218,33,FALSE)</f>
        <v>Validado</v>
      </c>
      <c r="N402" s="247">
        <f t="shared" si="90"/>
        <v>0</v>
      </c>
    </row>
    <row r="403" spans="1:14" ht="15" x14ac:dyDescent="0.25">
      <c r="A403" s="167">
        <f>Balanço_MRE!A403</f>
        <v>566830</v>
      </c>
      <c r="B403" s="167" t="str">
        <f>Balanço_MRE!B403</f>
        <v>VALE ENERGIA &gt;&gt; 0214_0119</v>
      </c>
      <c r="C403" s="167" t="str">
        <f>Balanço_MRE!C403</f>
        <v>Contratos de Compra</v>
      </c>
      <c r="D403" s="192" t="str">
        <f>Balanço_MRE!D403</f>
        <v>SUDESTE</v>
      </c>
      <c r="E403" s="79">
        <f>Balanço_MRE!E403</f>
        <v>0</v>
      </c>
      <c r="F403" s="262">
        <f>Balanço_MRE!F403</f>
        <v>0</v>
      </c>
      <c r="G403" s="263">
        <f>Balanço_MRE!G403</f>
        <v>0</v>
      </c>
      <c r="H403" s="193">
        <f>Balanço_MRE!H403</f>
        <v>0</v>
      </c>
      <c r="I403" s="138"/>
      <c r="J403" s="9" t="str">
        <f>VLOOKUP(A403,[17]RelatorioContratos_080817_10404!$A$3:$AC$218,26,FALSE)</f>
        <v>0,000000</v>
      </c>
      <c r="K403" s="9" t="str">
        <f>VLOOKUP(A403,[17]RelatorioContratos_080817_10404!$A$3:$AC$218,8,FALSE)</f>
        <v>31/01/2019 23</v>
      </c>
      <c r="L403" s="9" t="str">
        <f>VLOOKUP(A403,[17]RelatorioContratos_080817_10404!$A$3:$AZ$218,32,FALSE)</f>
        <v>FLAT</v>
      </c>
      <c r="M403" s="9" t="str">
        <f>VLOOKUP(A403,[17]RelatorioContratos_080817_10404!$A$3:$AZ$218,33,FALSE)</f>
        <v>Validado</v>
      </c>
      <c r="N403" s="247">
        <f t="shared" si="90"/>
        <v>0</v>
      </c>
    </row>
    <row r="404" spans="1:14" ht="15" x14ac:dyDescent="0.25">
      <c r="A404" s="167">
        <f>Balanço_MRE!A404</f>
        <v>1131782</v>
      </c>
      <c r="B404" s="167" t="str">
        <f>Balanço_MRE!B404</f>
        <v>CVRD PIE &gt;&gt; 0617 (AP)</v>
      </c>
      <c r="C404" s="167" t="str">
        <f>Balanço_MRE!C404</f>
        <v>Contratos de Compra</v>
      </c>
      <c r="D404" s="192" t="str">
        <f>Balanço_MRE!D404</f>
        <v>NORTE</v>
      </c>
      <c r="E404" s="79">
        <f>Balanço_MRE!E404</f>
        <v>31.576284999999999</v>
      </c>
      <c r="F404" s="262">
        <f>Balanço_MRE!F404</f>
        <v>23492.756218247436</v>
      </c>
      <c r="G404" s="263">
        <f>Balanço_MRE!G404</f>
        <v>0</v>
      </c>
      <c r="H404" s="193">
        <f>Balanço_MRE!H404</f>
        <v>0</v>
      </c>
      <c r="I404" s="138"/>
      <c r="J404" s="9"/>
      <c r="K404" s="9"/>
      <c r="L404" s="9"/>
      <c r="M404" s="9"/>
      <c r="N404" s="247"/>
    </row>
    <row r="405" spans="1:14" ht="15" x14ac:dyDescent="0.25">
      <c r="A405" s="167">
        <f>Balanço_MRE!A405</f>
        <v>1154877</v>
      </c>
      <c r="B405" s="167">
        <f>Balanço_MRE!B405</f>
        <v>0</v>
      </c>
      <c r="C405" s="167">
        <f>Balanço_MRE!C405</f>
        <v>0</v>
      </c>
      <c r="D405" s="192">
        <f>Balanço_MRE!D405</f>
        <v>0</v>
      </c>
      <c r="E405" s="79">
        <f>Balanço_MRE!E405</f>
        <v>0</v>
      </c>
      <c r="F405" s="262">
        <f>Balanço_MRE!F405</f>
        <v>0</v>
      </c>
      <c r="G405" s="263">
        <f>Balanço_MRE!G405</f>
        <v>0</v>
      </c>
      <c r="H405" s="193">
        <f>Balanço_MRE!H405</f>
        <v>0</v>
      </c>
      <c r="I405" s="138"/>
      <c r="J405" s="9"/>
      <c r="K405" s="9"/>
      <c r="L405" s="9"/>
      <c r="M405" s="9"/>
      <c r="N405" s="247"/>
    </row>
    <row r="406" spans="1:14" ht="15" x14ac:dyDescent="0.25">
      <c r="A406" s="167">
        <f>Balanço_MRE!A406</f>
        <v>0</v>
      </c>
      <c r="B406" s="167">
        <f>Balanço_MRE!B406</f>
        <v>0</v>
      </c>
      <c r="C406" s="167">
        <f>Balanço_MRE!C406</f>
        <v>0</v>
      </c>
      <c r="D406" s="192">
        <f>Balanço_MRE!D406</f>
        <v>0</v>
      </c>
      <c r="E406" s="79">
        <f>Balanço_MRE!E406</f>
        <v>0</v>
      </c>
      <c r="F406" s="262">
        <f>Balanço_MRE!F406</f>
        <v>0</v>
      </c>
      <c r="G406" s="263">
        <f>Balanço_MRE!G406</f>
        <v>0</v>
      </c>
      <c r="H406" s="193">
        <f>Balanço_MRE!H406</f>
        <v>0</v>
      </c>
      <c r="I406" s="138"/>
      <c r="J406" s="9"/>
      <c r="K406" s="9"/>
      <c r="L406" s="9"/>
      <c r="M406" s="9"/>
      <c r="N406" s="247"/>
    </row>
    <row r="407" spans="1:14" ht="15" x14ac:dyDescent="0.25">
      <c r="A407" s="167">
        <f>Balanço_MRE!A407</f>
        <v>0</v>
      </c>
      <c r="B407" s="167">
        <f>Balanço_MRE!B407</f>
        <v>0</v>
      </c>
      <c r="C407" s="167">
        <f>Balanço_MRE!C407</f>
        <v>0</v>
      </c>
      <c r="D407" s="192">
        <f>Balanço_MRE!D407</f>
        <v>0</v>
      </c>
      <c r="E407" s="79">
        <f>Balanço_MRE!E407</f>
        <v>0</v>
      </c>
      <c r="F407" s="262">
        <f>Balanço_MRE!F407</f>
        <v>0</v>
      </c>
      <c r="G407" s="263">
        <f>Balanço_MRE!G407</f>
        <v>0</v>
      </c>
      <c r="H407" s="193">
        <f>Balanço_MRE!H407</f>
        <v>0</v>
      </c>
      <c r="I407" s="138"/>
      <c r="J407" s="9"/>
      <c r="K407" s="9"/>
      <c r="L407" s="9"/>
      <c r="M407" s="9"/>
      <c r="N407" s="247"/>
    </row>
    <row r="408" spans="1:14" ht="15" x14ac:dyDescent="0.25">
      <c r="A408" s="202"/>
      <c r="B408" s="202"/>
      <c r="C408" s="202"/>
      <c r="D408" s="202"/>
      <c r="E408" s="203"/>
      <c r="F408" s="204"/>
      <c r="G408" s="205"/>
      <c r="H408" s="206"/>
      <c r="J408" s="393"/>
      <c r="K408" s="393"/>
      <c r="L408" s="393"/>
      <c r="M408" s="393"/>
      <c r="N408" s="247"/>
    </row>
    <row r="409" spans="1:14" ht="15" x14ac:dyDescent="0.25">
      <c r="A409" s="80" t="s">
        <v>32</v>
      </c>
      <c r="B409" s="16"/>
      <c r="C409" s="16"/>
      <c r="D409" s="17"/>
      <c r="E409" s="81">
        <f>SUM(E393:E408)</f>
        <v>49.672187999999998</v>
      </c>
      <c r="F409" s="84">
        <f>SUM(F393:F408)</f>
        <v>36956.107986472372</v>
      </c>
      <c r="G409" s="82">
        <f>IFERROR(H409/F409,0)</f>
        <v>0</v>
      </c>
      <c r="H409" s="82">
        <f>SUM(H393:H408)</f>
        <v>0</v>
      </c>
      <c r="I409" s="115"/>
      <c r="N409" s="247"/>
    </row>
    <row r="410" spans="1:14" ht="15" x14ac:dyDescent="0.25">
      <c r="N410" s="247"/>
    </row>
    <row r="411" spans="1:14" ht="15" x14ac:dyDescent="0.25">
      <c r="A411" s="548" t="s">
        <v>233</v>
      </c>
      <c r="B411" s="548"/>
      <c r="C411" s="548"/>
      <c r="E411" s="116" t="s">
        <v>19</v>
      </c>
      <c r="F411" s="116"/>
      <c r="G411" s="117" t="s">
        <v>20</v>
      </c>
      <c r="H411" s="117"/>
      <c r="I411" s="118" t="s">
        <v>21</v>
      </c>
      <c r="J411" s="118"/>
      <c r="K411" s="119" t="s">
        <v>22</v>
      </c>
      <c r="L411" s="119"/>
      <c r="N411" s="247"/>
    </row>
    <row r="412" spans="1:14" ht="15" x14ac:dyDescent="0.25">
      <c r="A412" s="10" t="s">
        <v>2</v>
      </c>
      <c r="B412" s="10" t="s">
        <v>137</v>
      </c>
      <c r="C412" s="10" t="s">
        <v>25</v>
      </c>
      <c r="E412" s="207" t="s">
        <v>137</v>
      </c>
      <c r="F412" s="208" t="s">
        <v>25</v>
      </c>
      <c r="G412" s="209" t="s">
        <v>137</v>
      </c>
      <c r="H412" s="210" t="s">
        <v>25</v>
      </c>
      <c r="I412" s="211" t="s">
        <v>137</v>
      </c>
      <c r="J412" s="212" t="s">
        <v>25</v>
      </c>
      <c r="K412" s="213" t="s">
        <v>137</v>
      </c>
      <c r="L412" s="214" t="s">
        <v>25</v>
      </c>
      <c r="N412" s="247"/>
    </row>
    <row r="413" spans="1:14" ht="15" x14ac:dyDescent="0.25">
      <c r="A413" s="29" t="s">
        <v>69</v>
      </c>
      <c r="B413" s="70">
        <v>0</v>
      </c>
      <c r="C413" s="83">
        <v>0</v>
      </c>
      <c r="E413" s="120">
        <f t="shared" ref="E413:E419" si="91">SUMIFS($E$383:$E$408,$C$383:$C$408,$A413,$D$383:$D$408,$E$411)</f>
        <v>0</v>
      </c>
      <c r="F413" s="121">
        <f t="shared" ref="F413:F419" si="92">SUMIFS($F$383:$F$408,$C$383:$C$408,$A413,$D$383:$D$408,$E$411)</f>
        <v>0</v>
      </c>
      <c r="G413" s="122">
        <f t="shared" ref="G413:G419" si="93">SUMIFS($E$383:$E$408,$C$383:$C$408,$A413,$D$383:$D$408,$G$411)</f>
        <v>0</v>
      </c>
      <c r="H413" s="123">
        <f t="shared" ref="H413:H419" si="94">SUMIFS($F$383:$F$408,$C$383:$C$408,$A413,$D$383:$D$408,$G$411)</f>
        <v>0</v>
      </c>
      <c r="I413" s="124">
        <f t="shared" ref="I413:I419" si="95">SUMIFS($E$383:$E$408,$C$383:$C$408,$A413,$D$383:$D$408,$I$411)</f>
        <v>0</v>
      </c>
      <c r="J413" s="125">
        <f t="shared" ref="J413:J419" si="96">SUMIFS($F$383:$F$408,$C$383:$C$408,$A413,$D$383:$D$408,$I$411)</f>
        <v>0</v>
      </c>
      <c r="K413" s="126">
        <f t="shared" ref="K413:K419" si="97">SUMIFS($E$383:$E$408,$C$383:$C$408,$A413,$D$383:$D$408,$K$411)</f>
        <v>0</v>
      </c>
      <c r="L413" s="127">
        <f t="shared" ref="L413:L419" si="98">SUMIFS($F$383:$F$408,$C$383:$C$408,$A413,$D$383:$D$408,$K$411)</f>
        <v>0</v>
      </c>
      <c r="N413" s="247"/>
    </row>
    <row r="414" spans="1:14" ht="15" x14ac:dyDescent="0.25">
      <c r="A414" s="29" t="s">
        <v>47</v>
      </c>
      <c r="B414" s="70">
        <v>0</v>
      </c>
      <c r="C414" s="83">
        <v>0</v>
      </c>
      <c r="E414" s="120">
        <f t="shared" si="91"/>
        <v>0</v>
      </c>
      <c r="F414" s="121">
        <f t="shared" si="92"/>
        <v>0</v>
      </c>
      <c r="G414" s="122">
        <f t="shared" si="93"/>
        <v>0</v>
      </c>
      <c r="H414" s="123">
        <f t="shared" si="94"/>
        <v>0</v>
      </c>
      <c r="I414" s="124">
        <f t="shared" si="95"/>
        <v>0</v>
      </c>
      <c r="J414" s="125">
        <f t="shared" si="96"/>
        <v>0</v>
      </c>
      <c r="K414" s="126">
        <f t="shared" si="97"/>
        <v>0</v>
      </c>
      <c r="L414" s="127">
        <f t="shared" si="98"/>
        <v>0</v>
      </c>
      <c r="N414" s="247"/>
    </row>
    <row r="415" spans="1:14" ht="15" x14ac:dyDescent="0.25">
      <c r="A415" s="29" t="s">
        <v>79</v>
      </c>
      <c r="B415" s="70">
        <v>0</v>
      </c>
      <c r="C415" s="83">
        <v>0</v>
      </c>
      <c r="E415" s="120">
        <f t="shared" si="91"/>
        <v>0</v>
      </c>
      <c r="F415" s="121">
        <f t="shared" si="92"/>
        <v>0</v>
      </c>
      <c r="G415" s="122">
        <f t="shared" si="93"/>
        <v>0</v>
      </c>
      <c r="H415" s="123">
        <f t="shared" si="94"/>
        <v>0</v>
      </c>
      <c r="I415" s="124">
        <f t="shared" si="95"/>
        <v>0</v>
      </c>
      <c r="J415" s="125">
        <f t="shared" si="96"/>
        <v>0</v>
      </c>
      <c r="K415" s="126">
        <f t="shared" si="97"/>
        <v>0</v>
      </c>
      <c r="L415" s="127">
        <f t="shared" si="98"/>
        <v>0</v>
      </c>
      <c r="N415" s="247"/>
    </row>
    <row r="416" spans="1:14" ht="15" x14ac:dyDescent="0.25">
      <c r="A416" s="29" t="s">
        <v>71</v>
      </c>
      <c r="B416" s="70">
        <f>E409</f>
        <v>49.672187999999998</v>
      </c>
      <c r="C416" s="83">
        <f>F409</f>
        <v>36956.107986472372</v>
      </c>
      <c r="E416" s="120">
        <f t="shared" si="91"/>
        <v>32.051420999999998</v>
      </c>
      <c r="F416" s="121">
        <f t="shared" si="92"/>
        <v>23846.257218247436</v>
      </c>
      <c r="G416" s="122">
        <f t="shared" si="93"/>
        <v>0</v>
      </c>
      <c r="H416" s="123">
        <f t="shared" si="94"/>
        <v>0</v>
      </c>
      <c r="I416" s="124">
        <f t="shared" si="95"/>
        <v>17.620767000000001</v>
      </c>
      <c r="J416" s="125">
        <f t="shared" si="96"/>
        <v>13109.850768224933</v>
      </c>
      <c r="K416" s="126">
        <f t="shared" si="97"/>
        <v>0</v>
      </c>
      <c r="L416" s="127">
        <f t="shared" si="98"/>
        <v>0</v>
      </c>
      <c r="N416" s="247"/>
    </row>
    <row r="417" spans="1:16" ht="15" x14ac:dyDescent="0.25">
      <c r="A417" s="29" t="s">
        <v>9</v>
      </c>
      <c r="B417" s="70">
        <f>E389</f>
        <v>49.672187999999991</v>
      </c>
      <c r="C417" s="83">
        <f>F389</f>
        <v>36956.107986472372</v>
      </c>
      <c r="E417" s="120">
        <f t="shared" si="91"/>
        <v>32.051420999999998</v>
      </c>
      <c r="F417" s="121">
        <f t="shared" si="92"/>
        <v>23846.257218247436</v>
      </c>
      <c r="G417" s="122">
        <f t="shared" si="93"/>
        <v>0</v>
      </c>
      <c r="H417" s="123">
        <f t="shared" si="94"/>
        <v>0</v>
      </c>
      <c r="I417" s="124">
        <f t="shared" si="95"/>
        <v>17.620767000000001</v>
      </c>
      <c r="J417" s="125">
        <f t="shared" si="96"/>
        <v>13109.850768224933</v>
      </c>
      <c r="K417" s="126">
        <f t="shared" si="97"/>
        <v>0</v>
      </c>
      <c r="L417" s="127">
        <f t="shared" si="98"/>
        <v>0</v>
      </c>
      <c r="N417" s="247"/>
    </row>
    <row r="418" spans="1:16" ht="15" x14ac:dyDescent="0.25">
      <c r="A418" s="29" t="s">
        <v>80</v>
      </c>
      <c r="B418" s="70">
        <v>0</v>
      </c>
      <c r="C418" s="83">
        <v>0</v>
      </c>
      <c r="E418" s="120">
        <f t="shared" si="91"/>
        <v>0</v>
      </c>
      <c r="F418" s="121">
        <f t="shared" si="92"/>
        <v>0</v>
      </c>
      <c r="G418" s="122">
        <f t="shared" si="93"/>
        <v>0</v>
      </c>
      <c r="H418" s="123">
        <f t="shared" si="94"/>
        <v>0</v>
      </c>
      <c r="I418" s="124">
        <f t="shared" si="95"/>
        <v>0</v>
      </c>
      <c r="J418" s="125">
        <f t="shared" si="96"/>
        <v>0</v>
      </c>
      <c r="K418" s="126">
        <f t="shared" si="97"/>
        <v>0</v>
      </c>
      <c r="L418" s="127">
        <f t="shared" si="98"/>
        <v>0</v>
      </c>
      <c r="N418" s="247"/>
    </row>
    <row r="419" spans="1:16" ht="15" x14ac:dyDescent="0.25">
      <c r="A419" s="29" t="s">
        <v>77</v>
      </c>
      <c r="B419" s="70">
        <v>0</v>
      </c>
      <c r="C419" s="83">
        <v>0</v>
      </c>
      <c r="E419" s="120">
        <f t="shared" si="91"/>
        <v>0</v>
      </c>
      <c r="F419" s="121">
        <f t="shared" si="92"/>
        <v>0</v>
      </c>
      <c r="G419" s="122">
        <f t="shared" si="93"/>
        <v>0</v>
      </c>
      <c r="H419" s="123">
        <f t="shared" si="94"/>
        <v>0</v>
      </c>
      <c r="I419" s="124">
        <f t="shared" si="95"/>
        <v>0</v>
      </c>
      <c r="J419" s="125">
        <f t="shared" si="96"/>
        <v>0</v>
      </c>
      <c r="K419" s="126">
        <f t="shared" si="97"/>
        <v>0</v>
      </c>
      <c r="L419" s="127">
        <f t="shared" si="98"/>
        <v>0</v>
      </c>
      <c r="N419" s="247"/>
    </row>
    <row r="420" spans="1:16" ht="15" x14ac:dyDescent="0.25">
      <c r="A420" s="11" t="s">
        <v>81</v>
      </c>
      <c r="B420" s="12">
        <f>SUM(B413:B416)-SUM(B417:B419)</f>
        <v>0</v>
      </c>
      <c r="C420" s="12">
        <f>SUM(C413:C416)-SUM(C417:C419)</f>
        <v>0</v>
      </c>
      <c r="E420" s="128">
        <f>SUM(E413:E416)-SUM(E417:E419)</f>
        <v>0</v>
      </c>
      <c r="F420" s="129">
        <f>SUM(F413:F416)-SUM(F417:F419)</f>
        <v>0</v>
      </c>
      <c r="G420" s="130">
        <f t="shared" ref="G420:L420" si="99">SUM(G413:G416)-SUM(G417:G419)</f>
        <v>0</v>
      </c>
      <c r="H420" s="131">
        <f t="shared" si="99"/>
        <v>0</v>
      </c>
      <c r="I420" s="132">
        <f t="shared" si="99"/>
        <v>0</v>
      </c>
      <c r="J420" s="133">
        <f t="shared" si="99"/>
        <v>0</v>
      </c>
      <c r="K420" s="134">
        <f t="shared" si="99"/>
        <v>0</v>
      </c>
      <c r="L420" s="135">
        <f t="shared" si="99"/>
        <v>0</v>
      </c>
      <c r="N420" s="247"/>
    </row>
    <row r="421" spans="1:16" ht="15" x14ac:dyDescent="0.25">
      <c r="A421" s="11" t="s">
        <v>82</v>
      </c>
      <c r="B421" s="12">
        <f>SUM(B413:B416)-SUM(B417:B420)</f>
        <v>0</v>
      </c>
      <c r="C421" s="12">
        <f>SUM(C413:C416)-SUM(C417:C420)</f>
        <v>0</v>
      </c>
      <c r="E421" s="128">
        <f>SUM(E413:E416)-SUM(E417:E420)</f>
        <v>0</v>
      </c>
      <c r="F421" s="129">
        <f>SUM(F413:F416)-SUM(F417:F420)</f>
        <v>0</v>
      </c>
      <c r="G421" s="130">
        <f t="shared" ref="G421:L421" si="100">SUM(G413:G416)-SUM(G417:G420)</f>
        <v>0</v>
      </c>
      <c r="H421" s="131">
        <f t="shared" si="100"/>
        <v>0</v>
      </c>
      <c r="I421" s="132">
        <f t="shared" si="100"/>
        <v>0</v>
      </c>
      <c r="J421" s="133">
        <f t="shared" si="100"/>
        <v>0</v>
      </c>
      <c r="K421" s="134">
        <f t="shared" si="100"/>
        <v>0</v>
      </c>
      <c r="L421" s="135">
        <f t="shared" si="100"/>
        <v>0</v>
      </c>
      <c r="N421" s="247"/>
    </row>
    <row r="422" spans="1:16" ht="15" x14ac:dyDescent="0.25">
      <c r="N422" s="247"/>
    </row>
    <row r="423" spans="1:16" ht="15" x14ac:dyDescent="0.25">
      <c r="E423" s="153">
        <f>(F420*$H$5)+(H420*$J$5)+(J420*$L$5)+(L420*$N$5)</f>
        <v>0</v>
      </c>
      <c r="N423" s="247"/>
    </row>
    <row r="424" spans="1:16" ht="15" x14ac:dyDescent="0.25">
      <c r="D424" s="106"/>
      <c r="N424" s="247"/>
    </row>
    <row r="425" spans="1:16" ht="15" x14ac:dyDescent="0.25">
      <c r="N425" s="247"/>
    </row>
    <row r="426" spans="1:16" ht="15" x14ac:dyDescent="0.25">
      <c r="A426" s="564" t="s">
        <v>87</v>
      </c>
      <c r="B426" s="564"/>
      <c r="C426" s="564"/>
      <c r="D426" s="564"/>
      <c r="E426" s="564"/>
      <c r="F426" s="564"/>
      <c r="G426" s="564"/>
      <c r="H426" s="564"/>
      <c r="N426" s="247"/>
    </row>
    <row r="427" spans="1:16" ht="15" x14ac:dyDescent="0.25">
      <c r="A427" s="564"/>
      <c r="B427" s="564"/>
      <c r="C427" s="564"/>
      <c r="D427" s="564"/>
      <c r="E427" s="564"/>
      <c r="F427" s="564"/>
      <c r="G427" s="564"/>
      <c r="H427" s="564"/>
      <c r="N427" s="247"/>
    </row>
    <row r="428" spans="1:16" s="114" customFormat="1" ht="3.75" customHeight="1" x14ac:dyDescent="0.25">
      <c r="A428" s="14"/>
      <c r="B428" s="14"/>
      <c r="C428" s="14"/>
      <c r="D428" s="14"/>
      <c r="E428" s="14"/>
      <c r="F428" s="14"/>
      <c r="G428" s="14"/>
      <c r="H428" s="14"/>
      <c r="I428" s="106"/>
      <c r="J428" s="106"/>
      <c r="K428" s="106"/>
      <c r="L428" s="106"/>
      <c r="M428" s="106"/>
      <c r="N428" s="247"/>
      <c r="O428" s="106"/>
      <c r="P428" s="106"/>
    </row>
    <row r="429" spans="1:16" ht="15" x14ac:dyDescent="0.25">
      <c r="A429" s="548" t="s">
        <v>85</v>
      </c>
      <c r="B429" s="548"/>
      <c r="C429" s="548"/>
      <c r="D429" s="548"/>
      <c r="E429" s="548"/>
      <c r="F429" s="548"/>
      <c r="G429" s="548"/>
      <c r="H429" s="548"/>
      <c r="N429" s="247"/>
    </row>
    <row r="430" spans="1:16" ht="15" x14ac:dyDescent="0.25">
      <c r="A430" s="10" t="s">
        <v>8</v>
      </c>
      <c r="B430" s="10"/>
      <c r="C430" s="10" t="s">
        <v>2</v>
      </c>
      <c r="D430" s="10" t="s">
        <v>3</v>
      </c>
      <c r="E430" s="10" t="s">
        <v>137</v>
      </c>
      <c r="F430" s="10" t="s">
        <v>25</v>
      </c>
      <c r="G430" s="10" t="s">
        <v>95</v>
      </c>
      <c r="H430" s="10" t="s">
        <v>240</v>
      </c>
      <c r="N430" s="247"/>
    </row>
    <row r="431" spans="1:16" ht="15" x14ac:dyDescent="0.25">
      <c r="A431" s="167" t="str">
        <f>Balanço_MRE!A431</f>
        <v>Pelotização 1 e 2</v>
      </c>
      <c r="B431" s="167">
        <f>Balanço_MRE!B431</f>
        <v>0</v>
      </c>
      <c r="C431" s="167" t="str">
        <f>Balanço_MRE!C431</f>
        <v>Carga</v>
      </c>
      <c r="D431" s="192" t="str">
        <f>Balanço_MRE!D431</f>
        <v>SUDESTE</v>
      </c>
      <c r="E431" s="79">
        <f>Balanço_MRE!E431</f>
        <v>38.052754999999998</v>
      </c>
      <c r="F431" s="262">
        <f>Balanço_MRE!F431</f>
        <v>28311.249703916314</v>
      </c>
      <c r="G431" s="263">
        <f>Balanço_MRE!G431</f>
        <v>92.328075976894084</v>
      </c>
      <c r="H431" s="193">
        <f>Balanço_MRE!H431</f>
        <v>0.03</v>
      </c>
      <c r="N431" s="247"/>
    </row>
    <row r="432" spans="1:16" ht="15" x14ac:dyDescent="0.25">
      <c r="A432" s="167" t="str">
        <f>Balanço_MRE!A432</f>
        <v>Pelotização 3 - Itabrasco</v>
      </c>
      <c r="B432" s="167">
        <f>Balanço_MRE!B432</f>
        <v>0</v>
      </c>
      <c r="C432" s="167" t="str">
        <f>Balanço_MRE!C432</f>
        <v>Carga</v>
      </c>
      <c r="D432" s="192" t="str">
        <f>Balanço_MRE!D432</f>
        <v>SUDESTE</v>
      </c>
      <c r="E432" s="79">
        <f>Balanço_MRE!E432</f>
        <v>11.993679</v>
      </c>
      <c r="F432" s="262">
        <f>Balanço_MRE!F432</f>
        <v>8923.2970783960081</v>
      </c>
      <c r="G432" s="263">
        <f>Balanço_MRE!G432</f>
        <v>29.100476285389018</v>
      </c>
      <c r="H432" s="193">
        <f>Balanço_MRE!H432</f>
        <v>0.03</v>
      </c>
      <c r="N432" s="247"/>
    </row>
    <row r="433" spans="1:14" ht="15" x14ac:dyDescent="0.25">
      <c r="A433" s="167" t="str">
        <f>Balanço_MRE!A433</f>
        <v>Pelotização 4 - Hispanobrás</v>
      </c>
      <c r="B433" s="167">
        <f>Balanço_MRE!B433</f>
        <v>0</v>
      </c>
      <c r="C433" s="167" t="str">
        <f>Balanço_MRE!C433</f>
        <v>Carga</v>
      </c>
      <c r="D433" s="192" t="str">
        <f>Balanço_MRE!D433</f>
        <v>SUDESTE</v>
      </c>
      <c r="E433" s="79">
        <f>Balanço_MRE!E433</f>
        <v>24.104158000000002</v>
      </c>
      <c r="F433" s="262">
        <f>Balanço_MRE!F433</f>
        <v>17933.493259595933</v>
      </c>
      <c r="G433" s="263">
        <f>Balanço_MRE!G433</f>
        <v>58.484346170492358</v>
      </c>
      <c r="H433" s="193">
        <f>Balanço_MRE!H433</f>
        <v>0.03</v>
      </c>
      <c r="N433" s="247"/>
    </row>
    <row r="434" spans="1:14" ht="15" x14ac:dyDescent="0.25">
      <c r="A434" s="167" t="str">
        <f>Balanço_MRE!A434</f>
        <v>Utilidades SER1</v>
      </c>
      <c r="B434" s="167">
        <f>Balanço_MRE!B434</f>
        <v>0</v>
      </c>
      <c r="C434" s="167" t="str">
        <f>Balanço_MRE!C434</f>
        <v>Carga</v>
      </c>
      <c r="D434" s="192" t="str">
        <f>Balanço_MRE!D434</f>
        <v>SUDESTE</v>
      </c>
      <c r="E434" s="79">
        <f>Balanço_MRE!E434</f>
        <v>4.0982219999999998</v>
      </c>
      <c r="F434" s="262">
        <f>Balanço_MRE!F434</f>
        <v>3049.0774121557156</v>
      </c>
      <c r="G434" s="263">
        <f>Balanço_MRE!G434</f>
        <v>9.9435897006694933</v>
      </c>
      <c r="H434" s="193">
        <f>Balanço_MRE!H434</f>
        <v>0.03</v>
      </c>
      <c r="N434" s="247"/>
    </row>
    <row r="435" spans="1:14" ht="15" x14ac:dyDescent="0.25">
      <c r="A435" s="167" t="str">
        <f>Balanço_MRE!A435</f>
        <v>Pelotização 5 e 6 - Nibrasco</v>
      </c>
      <c r="B435" s="167">
        <f>Balanço_MRE!B435</f>
        <v>0</v>
      </c>
      <c r="C435" s="167" t="str">
        <f>Balanço_MRE!C435</f>
        <v>Carga</v>
      </c>
      <c r="D435" s="192" t="str">
        <f>Balanço_MRE!D435</f>
        <v>SUDESTE</v>
      </c>
      <c r="E435" s="79">
        <f>Balanço_MRE!E435</f>
        <v>59.836216999999998</v>
      </c>
      <c r="F435" s="262">
        <f>Balanço_MRE!F435</f>
        <v>44518.145673019433</v>
      </c>
      <c r="G435" s="263">
        <f>Balanço_MRE!G435</f>
        <v>157.10725809202594</v>
      </c>
      <c r="H435" s="193">
        <f>Balanço_MRE!H435</f>
        <v>0.03</v>
      </c>
      <c r="N435" s="247"/>
    </row>
    <row r="436" spans="1:14" ht="15" x14ac:dyDescent="0.25">
      <c r="A436" s="167" t="str">
        <f>Balanço_MRE!A436</f>
        <v>Pelotização 7 - Kobrasco</v>
      </c>
      <c r="B436" s="167">
        <f>Balanço_MRE!B436</f>
        <v>0</v>
      </c>
      <c r="C436" s="167" t="str">
        <f>Balanço_MRE!C436</f>
        <v>Carga</v>
      </c>
      <c r="D436" s="192" t="str">
        <f>Balanço_MRE!D436</f>
        <v>SUDESTE</v>
      </c>
      <c r="E436" s="79">
        <f>Balanço_MRE!E436</f>
        <v>28.554013999999999</v>
      </c>
      <c r="F436" s="262">
        <f>Balanço_MRE!F436</f>
        <v>21244.186535895598</v>
      </c>
      <c r="G436" s="263">
        <f>Balanço_MRE!G436</f>
        <v>74.972033237064508</v>
      </c>
      <c r="H436" s="193">
        <f>Balanço_MRE!H436</f>
        <v>0.03</v>
      </c>
      <c r="N436" s="247"/>
    </row>
    <row r="437" spans="1:14" ht="15" x14ac:dyDescent="0.25">
      <c r="A437" s="167" t="str">
        <f>Balanço_MRE!A437</f>
        <v>Utilidades SER2</v>
      </c>
      <c r="B437" s="167">
        <f>Balanço_MRE!B437</f>
        <v>0</v>
      </c>
      <c r="C437" s="167" t="str">
        <f>Balanço_MRE!C437</f>
        <v>Carga</v>
      </c>
      <c r="D437" s="192" t="str">
        <f>Balanço_MRE!D437</f>
        <v>SUDESTE</v>
      </c>
      <c r="E437" s="79">
        <f>Balanço_MRE!E437</f>
        <v>6.4414119999999997</v>
      </c>
      <c r="F437" s="262">
        <f>Balanço_MRE!F437</f>
        <v>4792.4102137653254</v>
      </c>
      <c r="G437" s="263">
        <f>Balanço_MRE!G437</f>
        <v>16.912708670909549</v>
      </c>
      <c r="H437" s="193">
        <f>Balanço_MRE!H437</f>
        <v>0.03</v>
      </c>
      <c r="N437" s="247"/>
    </row>
    <row r="438" spans="1:14" ht="15" x14ac:dyDescent="0.25">
      <c r="A438" s="167" t="str">
        <f>Balanço_MRE!A438</f>
        <v>Terminal de Carga Geral</v>
      </c>
      <c r="B438" s="167">
        <f>Balanço_MRE!B438</f>
        <v>0</v>
      </c>
      <c r="C438" s="167" t="str">
        <f>Balanço_MRE!C438</f>
        <v>Carga</v>
      </c>
      <c r="D438" s="192" t="str">
        <f>Balanço_MRE!D438</f>
        <v>SUDESTE</v>
      </c>
      <c r="E438" s="79">
        <f>Balanço_MRE!E438</f>
        <v>5.9208410000000002</v>
      </c>
      <c r="F438" s="262">
        <f>Balanço_MRE!F438</f>
        <v>4405.1060721649501</v>
      </c>
      <c r="G438" s="263">
        <f>Balanço_MRE!G438</f>
        <v>0</v>
      </c>
      <c r="H438" s="193">
        <f>Balanço_MRE!H438</f>
        <v>0.03</v>
      </c>
      <c r="N438" s="247"/>
    </row>
    <row r="439" spans="1:14" ht="15" x14ac:dyDescent="0.25">
      <c r="A439" s="167" t="str">
        <f>Balanço_MRE!A439</f>
        <v>Terminal de Minério</v>
      </c>
      <c r="B439" s="167">
        <f>Balanço_MRE!B439</f>
        <v>0</v>
      </c>
      <c r="C439" s="167" t="str">
        <f>Balanço_MRE!C439</f>
        <v>Carga</v>
      </c>
      <c r="D439" s="192" t="str">
        <f>Balanço_MRE!D439</f>
        <v>SUDESTE</v>
      </c>
      <c r="E439" s="79">
        <f>Balanço_MRE!E439</f>
        <v>14.053288999999999</v>
      </c>
      <c r="F439" s="262">
        <f>Balanço_MRE!F439</f>
        <v>10455.646762886599</v>
      </c>
      <c r="G439" s="263">
        <f>Balanço_MRE!G439</f>
        <v>55.343000000000004</v>
      </c>
      <c r="H439" s="193">
        <f>Balanço_MRE!H439</f>
        <v>0.03</v>
      </c>
      <c r="I439" s="115"/>
      <c r="N439" s="247"/>
    </row>
    <row r="440" spans="1:14" ht="15" x14ac:dyDescent="0.25">
      <c r="A440" s="167" t="str">
        <f>Balanço_MRE!A440</f>
        <v>Utilidades Portuárias</v>
      </c>
      <c r="B440" s="167">
        <f>Balanço_MRE!B440</f>
        <v>0</v>
      </c>
      <c r="C440" s="167" t="str">
        <f>Balanço_MRE!C440</f>
        <v>Carga</v>
      </c>
      <c r="D440" s="192" t="str">
        <f>Balanço_MRE!D440</f>
        <v>SUDESTE</v>
      </c>
      <c r="E440" s="79">
        <f>Balanço_MRE!E440</f>
        <v>4.1056090000000003</v>
      </c>
      <c r="F440" s="262">
        <f>Balanço_MRE!F440</f>
        <v>3054.5730201628498</v>
      </c>
      <c r="G440" s="263">
        <f>Balanço_MRE!G440</f>
        <v>9.9615118665550817</v>
      </c>
      <c r="H440" s="193">
        <f>Balanço_MRE!H440</f>
        <v>0.03</v>
      </c>
      <c r="I440" s="115"/>
      <c r="N440" s="247"/>
    </row>
    <row r="441" spans="1:14" ht="15" x14ac:dyDescent="0.25">
      <c r="A441" s="215"/>
      <c r="B441" s="215"/>
      <c r="C441" s="215"/>
      <c r="D441" s="216"/>
      <c r="E441" s="174"/>
      <c r="F441" s="175"/>
      <c r="G441" s="175"/>
      <c r="H441" s="175"/>
      <c r="I441" s="115"/>
      <c r="N441" s="247"/>
    </row>
    <row r="442" spans="1:14" ht="15" x14ac:dyDescent="0.25">
      <c r="A442" s="80" t="s">
        <v>32</v>
      </c>
      <c r="B442" s="16"/>
      <c r="C442" s="16"/>
      <c r="D442" s="17"/>
      <c r="E442" s="81">
        <f>SUM(E431:E441)</f>
        <v>197.16019600000001</v>
      </c>
      <c r="F442" s="84">
        <f>SUM(F431:F441)</f>
        <v>146687.18573195871</v>
      </c>
      <c r="G442" s="84">
        <f>SUM(G431:G441)</f>
        <v>504.15300000000008</v>
      </c>
      <c r="H442" s="84"/>
      <c r="I442" s="115"/>
      <c r="N442" s="247"/>
    </row>
    <row r="443" spans="1:14" ht="15" x14ac:dyDescent="0.25">
      <c r="N443" s="247"/>
    </row>
    <row r="444" spans="1:14" ht="15" x14ac:dyDescent="0.25">
      <c r="A444" s="548" t="s">
        <v>70</v>
      </c>
      <c r="B444" s="548"/>
      <c r="C444" s="548"/>
      <c r="D444" s="548"/>
      <c r="E444" s="548"/>
      <c r="F444" s="548"/>
      <c r="G444" s="548"/>
      <c r="H444" s="548"/>
      <c r="N444" s="247"/>
    </row>
    <row r="445" spans="1:14" ht="15" x14ac:dyDescent="0.25">
      <c r="A445" s="10" t="s">
        <v>252</v>
      </c>
      <c r="B445" s="10" t="s">
        <v>1</v>
      </c>
      <c r="C445" s="10" t="s">
        <v>2</v>
      </c>
      <c r="D445" s="10" t="s">
        <v>3</v>
      </c>
      <c r="E445" s="10" t="s">
        <v>137</v>
      </c>
      <c r="F445" s="10" t="s">
        <v>25</v>
      </c>
      <c r="G445" s="10" t="s">
        <v>253</v>
      </c>
      <c r="H445" s="10" t="s">
        <v>254</v>
      </c>
      <c r="J445" s="10" t="s">
        <v>72</v>
      </c>
      <c r="K445" s="10" t="s">
        <v>73</v>
      </c>
      <c r="L445" s="10" t="s">
        <v>74</v>
      </c>
      <c r="M445" s="10" t="s">
        <v>75</v>
      </c>
      <c r="N445" s="247"/>
    </row>
    <row r="446" spans="1:14" ht="15" x14ac:dyDescent="0.25">
      <c r="A446" s="167" t="str">
        <f>Balanço_MRE!A446</f>
        <v>ACEP G | 4384</v>
      </c>
      <c r="B446" s="167" t="str">
        <f>Balanço_MRE!B446</f>
        <v>PROINFA CVRD CL3</v>
      </c>
      <c r="C446" s="167" t="str">
        <f>Balanço_MRE!C446</f>
        <v>Contratos de Compra</v>
      </c>
      <c r="D446" s="192" t="str">
        <f>Balanço_MRE!D446</f>
        <v>SUDESTE</v>
      </c>
      <c r="E446" s="79">
        <f>Balanço_MRE!E446</f>
        <v>0.67762500000000003</v>
      </c>
      <c r="F446" s="262">
        <f>Balanço_MRE!F446</f>
        <v>504.15300000000008</v>
      </c>
      <c r="G446" s="263">
        <f>Balanço_MRE!G446</f>
        <v>0</v>
      </c>
      <c r="H446" s="193">
        <f>Balanço_MRE!H446</f>
        <v>0</v>
      </c>
      <c r="I446" s="139"/>
      <c r="J446" s="247">
        <f>SUM([14]Contratos!$W$3:$W$4)</f>
        <v>261.19299999999998</v>
      </c>
      <c r="K446" s="247"/>
      <c r="L446" s="247"/>
      <c r="M446" s="247"/>
      <c r="N446" s="247"/>
    </row>
    <row r="447" spans="1:14" ht="15" x14ac:dyDescent="0.25">
      <c r="A447" s="167">
        <f>Balanço_MRE!A447</f>
        <v>637037</v>
      </c>
      <c r="B447" s="167" t="str">
        <f>Balanço_MRE!B447</f>
        <v>VALE ENE I5 &gt;&gt; 0414_0119</v>
      </c>
      <c r="C447" s="167" t="str">
        <f>Balanço_MRE!C447</f>
        <v>Contratos de Compra</v>
      </c>
      <c r="D447" s="192" t="str">
        <f>Balanço_MRE!D447</f>
        <v>NORDESTE</v>
      </c>
      <c r="E447" s="79">
        <f>Balanço_MRE!E447</f>
        <v>0</v>
      </c>
      <c r="F447" s="262">
        <f>Balanço_MRE!F447</f>
        <v>0</v>
      </c>
      <c r="G447" s="263">
        <f>Balanço_MRE!G447</f>
        <v>0</v>
      </c>
      <c r="H447" s="193">
        <f>Balanço_MRE!H447</f>
        <v>0</v>
      </c>
      <c r="I447" s="115"/>
      <c r="J447" s="9" t="str">
        <f>VLOOKUP(A447,[18]RelatorioContratos_080817_10422!$A$2:$AB$196,26,FALSE)</f>
        <v>0,000000</v>
      </c>
      <c r="K447" s="9" t="str">
        <f>VLOOKUP(A447,[18]RelatorioContratos_080817_10422!$A$2:$AB$196,8,FALSE)</f>
        <v>31/01/2019 23</v>
      </c>
      <c r="L447" s="9" t="str">
        <f>VLOOKUP(A447,[18]RelatorioContratos_080817_10422!$A$2:$AZ$196,32,FALSE)</f>
        <v>FLAT</v>
      </c>
      <c r="M447" s="9" t="str">
        <f>VLOOKUP(A447,[18]RelatorioContratos_080817_10422!$A$2:$AZ$196,33,FALSE)</f>
        <v>Validado</v>
      </c>
      <c r="N447" s="247">
        <f t="shared" ref="N447:N452" si="101">(J447*$B$33)-F447</f>
        <v>0</v>
      </c>
    </row>
    <row r="448" spans="1:14" ht="15" x14ac:dyDescent="0.25">
      <c r="A448" s="167">
        <f>Balanço_MRE!A448</f>
        <v>567025</v>
      </c>
      <c r="B448" s="167" t="str">
        <f>Balanço_MRE!B448</f>
        <v>CVRD APE I5G &gt;&gt; 0214_0119 (AP)</v>
      </c>
      <c r="C448" s="167" t="str">
        <f>Balanço_MRE!C448</f>
        <v>Contratos de Compra</v>
      </c>
      <c r="D448" s="192" t="str">
        <f>Balanço_MRE!D448</f>
        <v>SUDESTE</v>
      </c>
      <c r="E448" s="79">
        <f>Balanço_MRE!E448</f>
        <v>0</v>
      </c>
      <c r="F448" s="262">
        <f>Balanço_MRE!F448</f>
        <v>0</v>
      </c>
      <c r="G448" s="263">
        <f>Balanço_MRE!G448</f>
        <v>0</v>
      </c>
      <c r="H448" s="193">
        <f>Balanço_MRE!H448</f>
        <v>0</v>
      </c>
      <c r="I448" s="115"/>
      <c r="J448" s="9" t="str">
        <f>VLOOKUP(A448,[18]RelatorioContratos_080817_10422!$A$2:$AB$196,26,FALSE)</f>
        <v>0,000000</v>
      </c>
      <c r="K448" s="9" t="str">
        <f>VLOOKUP(A448,[18]RelatorioContratos_080817_10422!$A$2:$AB$196,8,FALSE)</f>
        <v>31/01/2019 23</v>
      </c>
      <c r="L448" s="9" t="str">
        <f>VLOOKUP(A448,[18]RelatorioContratos_080817_10422!$A$2:$AZ$196,32,FALSE)</f>
        <v>FLAT</v>
      </c>
      <c r="M448" s="9" t="str">
        <f>VLOOKUP(A448,[18]RelatorioContratos_080817_10422!$A$2:$AZ$196,33,FALSE)</f>
        <v>Validado</v>
      </c>
      <c r="N448" s="247">
        <f t="shared" si="101"/>
        <v>0</v>
      </c>
    </row>
    <row r="449" spans="1:14" ht="15" x14ac:dyDescent="0.25">
      <c r="A449" s="167">
        <f>Balanço_MRE!A449</f>
        <v>567197</v>
      </c>
      <c r="B449" s="167" t="str">
        <f>Balanço_MRE!B449</f>
        <v>CVRD PIE &gt;&gt; 0214_0119 (AP)</v>
      </c>
      <c r="C449" s="167" t="str">
        <f>Balanço_MRE!C449</f>
        <v>Contratos de Compra</v>
      </c>
      <c r="D449" s="192" t="str">
        <f>Balanço_MRE!D449</f>
        <v>SUDESTE</v>
      </c>
      <c r="E449" s="79">
        <f>Balanço_MRE!E449</f>
        <v>196.48257100000001</v>
      </c>
      <c r="F449" s="262">
        <f>Balanço_MRE!F449</f>
        <v>146183.03273195872</v>
      </c>
      <c r="G449" s="263">
        <f>Balanço_MRE!G449</f>
        <v>0</v>
      </c>
      <c r="H449" s="193">
        <f>Balanço_MRE!H449</f>
        <v>0</v>
      </c>
      <c r="I449" s="115"/>
      <c r="J449" s="9" t="str">
        <f>VLOOKUP(A449,[18]RelatorioContratos_080817_10422!$A$2:$AB$196,26,FALSE)</f>
        <v>169,507669</v>
      </c>
      <c r="K449" s="9" t="str">
        <f>VLOOKUP(A449,[18]RelatorioContratos_080817_10422!$A$2:$AB$196,8,FALSE)</f>
        <v>31/01/2019 23</v>
      </c>
      <c r="L449" s="9" t="str">
        <f>VLOOKUP(A449,[18]RelatorioContratos_080817_10422!$A$2:$AZ$196,32,FALSE)</f>
        <v>FLAT</v>
      </c>
      <c r="M449" s="9" t="str">
        <f>VLOOKUP(A449,[18]RelatorioContratos_080817_10422!$A$2:$AZ$196,33,FALSE)</f>
        <v>Ajustado Validado</v>
      </c>
      <c r="N449" s="247">
        <f t="shared" si="101"/>
        <v>-20069.326995958734</v>
      </c>
    </row>
    <row r="450" spans="1:14" ht="15" x14ac:dyDescent="0.25">
      <c r="A450" s="167">
        <f>Balanço_MRE!A450</f>
        <v>395153</v>
      </c>
      <c r="B450" s="167" t="str">
        <f>Balanço_MRE!B450</f>
        <v>CVRD PIE I5 &gt;&gt; 1213_0119</v>
      </c>
      <c r="C450" s="167" t="str">
        <f>Balanço_MRE!C450</f>
        <v>Contratos de Compra</v>
      </c>
      <c r="D450" s="192" t="str">
        <f>Balanço_MRE!D450</f>
        <v>SUDESTE</v>
      </c>
      <c r="E450" s="79">
        <f>Balanço_MRE!E450</f>
        <v>0</v>
      </c>
      <c r="F450" s="262">
        <f>Balanço_MRE!F450</f>
        <v>0</v>
      </c>
      <c r="G450" s="263">
        <f>Balanço_MRE!G450</f>
        <v>0</v>
      </c>
      <c r="H450" s="193">
        <f>Balanço_MRE!H450</f>
        <v>0</v>
      </c>
      <c r="I450" s="115"/>
      <c r="J450" s="9" t="str">
        <f>VLOOKUP(A450,[18]RelatorioContratos_080817_10422!$A$2:$AB$196,26,FALSE)</f>
        <v>0,000000</v>
      </c>
      <c r="K450" s="9" t="str">
        <f>VLOOKUP(A450,[18]RelatorioContratos_080817_10422!$A$2:$AB$196,8,FALSE)</f>
        <v>31/01/2019 23</v>
      </c>
      <c r="L450" s="9" t="str">
        <f>VLOOKUP(A450,[18]RelatorioContratos_080817_10422!$A$2:$AZ$196,32,FALSE)</f>
        <v>FLAT</v>
      </c>
      <c r="M450" s="9" t="str">
        <f>VLOOKUP(A450,[18]RelatorioContratos_080817_10422!$A$2:$AZ$196,33,FALSE)</f>
        <v>Validado</v>
      </c>
      <c r="N450" s="247">
        <f t="shared" si="101"/>
        <v>0</v>
      </c>
    </row>
    <row r="451" spans="1:14" ht="15" x14ac:dyDescent="0.25">
      <c r="A451" s="167">
        <f>Balanço_MRE!A451</f>
        <v>395160</v>
      </c>
      <c r="B451" s="167" t="str">
        <f>Balanço_MRE!B451</f>
        <v>VALE ENE I5 &gt;&gt; 1213_0119</v>
      </c>
      <c r="C451" s="167" t="str">
        <f>Balanço_MRE!C451</f>
        <v>Contratos de Compra</v>
      </c>
      <c r="D451" s="192" t="str">
        <f>Balanço_MRE!D451</f>
        <v>SUDESTE</v>
      </c>
      <c r="E451" s="79">
        <f>Balanço_MRE!E451</f>
        <v>0</v>
      </c>
      <c r="F451" s="262">
        <f>Balanço_MRE!F451</f>
        <v>0</v>
      </c>
      <c r="G451" s="263">
        <f>Balanço_MRE!G451</f>
        <v>0</v>
      </c>
      <c r="H451" s="193">
        <f>Balanço_MRE!H451</f>
        <v>0</v>
      </c>
      <c r="I451" s="115"/>
      <c r="J451" s="9" t="str">
        <f>VLOOKUP(A451,[18]RelatorioContratos_080817_10422!$A$2:$AB$196,26,FALSE)</f>
        <v>0,000000</v>
      </c>
      <c r="K451" s="9" t="str">
        <f>VLOOKUP(A451,[18]RelatorioContratos_080817_10422!$A$2:$AB$196,8,FALSE)</f>
        <v>31/01/2019 23</v>
      </c>
      <c r="L451" s="9" t="str">
        <f>VLOOKUP(A451,[18]RelatorioContratos_080817_10422!$A$2:$AZ$196,32,FALSE)</f>
        <v>FLAT</v>
      </c>
      <c r="M451" s="9" t="str">
        <f>VLOOKUP(A451,[18]RelatorioContratos_080817_10422!$A$2:$AZ$196,33,FALSE)</f>
        <v>Validado</v>
      </c>
      <c r="N451" s="247">
        <f t="shared" si="101"/>
        <v>0</v>
      </c>
    </row>
    <row r="452" spans="1:14" ht="15" x14ac:dyDescent="0.25">
      <c r="A452" s="167">
        <f>Balanço_MRE!A452</f>
        <v>566824</v>
      </c>
      <c r="B452" s="167" t="str">
        <f>Balanço_MRE!B452</f>
        <v>VALE ENERGIA &gt;&gt; 0214_0119</v>
      </c>
      <c r="C452" s="167" t="str">
        <f>Balanço_MRE!C452</f>
        <v>Contratos de Compra</v>
      </c>
      <c r="D452" s="192" t="str">
        <f>Balanço_MRE!D452</f>
        <v>SUDESTE</v>
      </c>
      <c r="E452" s="79">
        <f>Balanço_MRE!E452</f>
        <v>0</v>
      </c>
      <c r="F452" s="262">
        <f>Balanço_MRE!F452</f>
        <v>0</v>
      </c>
      <c r="G452" s="263">
        <f>Balanço_MRE!G452</f>
        <v>0</v>
      </c>
      <c r="H452" s="193">
        <f>Balanço_MRE!H452</f>
        <v>0</v>
      </c>
      <c r="I452" s="115"/>
      <c r="J452" s="9" t="str">
        <f>VLOOKUP(A452,[18]RelatorioContratos_080817_10422!$A$2:$AB$196,26,FALSE)</f>
        <v>0,000000</v>
      </c>
      <c r="K452" s="9" t="str">
        <f>VLOOKUP(A452,[18]RelatorioContratos_080817_10422!$A$2:$AB$196,8,FALSE)</f>
        <v>31/01/2019 23</v>
      </c>
      <c r="L452" s="9" t="str">
        <f>VLOOKUP(A452,[18]RelatorioContratos_080817_10422!$A$2:$AZ$196,32,FALSE)</f>
        <v>FLAT</v>
      </c>
      <c r="M452" s="9" t="str">
        <f>VLOOKUP(A452,[18]RelatorioContratos_080817_10422!$A$2:$AZ$196,33,FALSE)</f>
        <v>Validado</v>
      </c>
      <c r="N452" s="247">
        <f t="shared" si="101"/>
        <v>0</v>
      </c>
    </row>
    <row r="453" spans="1:14" ht="15" x14ac:dyDescent="0.25">
      <c r="A453" s="167">
        <f>Balanço_MRE!A453</f>
        <v>0</v>
      </c>
      <c r="B453" s="167">
        <f>Balanço_MRE!B453</f>
        <v>0</v>
      </c>
      <c r="C453" s="167">
        <f>Balanço_MRE!C453</f>
        <v>0</v>
      </c>
      <c r="D453" s="192">
        <f>Balanço_MRE!D453</f>
        <v>0</v>
      </c>
      <c r="E453" s="79">
        <f>Balanço_MRE!E453</f>
        <v>0</v>
      </c>
      <c r="F453" s="262">
        <f>Balanço_MRE!F453</f>
        <v>0</v>
      </c>
      <c r="G453" s="263">
        <f>Balanço_MRE!G453</f>
        <v>0</v>
      </c>
      <c r="H453" s="193">
        <f>Balanço_MRE!H453</f>
        <v>0</v>
      </c>
      <c r="I453" s="115"/>
      <c r="J453" s="9"/>
      <c r="K453" s="9"/>
      <c r="L453" s="9"/>
      <c r="M453" s="9"/>
      <c r="N453" s="247"/>
    </row>
    <row r="454" spans="1:14" ht="15" x14ac:dyDescent="0.25">
      <c r="A454" s="167">
        <f>Balanço_MRE!A454</f>
        <v>0</v>
      </c>
      <c r="B454" s="167">
        <f>Balanço_MRE!B454</f>
        <v>0</v>
      </c>
      <c r="C454" s="167">
        <f>Balanço_MRE!C454</f>
        <v>0</v>
      </c>
      <c r="D454" s="192">
        <f>Balanço_MRE!D454</f>
        <v>0</v>
      </c>
      <c r="E454" s="79">
        <f>Balanço_MRE!E454</f>
        <v>0</v>
      </c>
      <c r="F454" s="262">
        <f>Balanço_MRE!F454</f>
        <v>0</v>
      </c>
      <c r="G454" s="263">
        <f>Balanço_MRE!G454</f>
        <v>0</v>
      </c>
      <c r="H454" s="193">
        <f>Balanço_MRE!H454</f>
        <v>0</v>
      </c>
      <c r="I454" s="115"/>
      <c r="J454" s="9"/>
      <c r="K454" s="9"/>
      <c r="L454" s="9"/>
      <c r="M454" s="9"/>
      <c r="N454" s="247"/>
    </row>
    <row r="455" spans="1:14" ht="15" x14ac:dyDescent="0.25">
      <c r="A455" s="167">
        <f>Balanço_MRE!A455</f>
        <v>0</v>
      </c>
      <c r="B455" s="167">
        <f>Balanço_MRE!B455</f>
        <v>0</v>
      </c>
      <c r="C455" s="167">
        <f>Balanço_MRE!C455</f>
        <v>0</v>
      </c>
      <c r="D455" s="192">
        <f>Balanço_MRE!D455</f>
        <v>0</v>
      </c>
      <c r="E455" s="79">
        <f>Balanço_MRE!E455</f>
        <v>0</v>
      </c>
      <c r="F455" s="262">
        <f>Balanço_MRE!F455</f>
        <v>0</v>
      </c>
      <c r="G455" s="263">
        <f>Balanço_MRE!G455</f>
        <v>0</v>
      </c>
      <c r="H455" s="193">
        <f>Balanço_MRE!H455</f>
        <v>0</v>
      </c>
      <c r="I455" s="115"/>
      <c r="J455" s="9"/>
      <c r="K455" s="9"/>
      <c r="L455" s="9"/>
      <c r="M455" s="9"/>
      <c r="N455" s="247"/>
    </row>
    <row r="456" spans="1:14" ht="15" x14ac:dyDescent="0.25">
      <c r="A456" s="167">
        <f>Balanço_MRE!A456</f>
        <v>0</v>
      </c>
      <c r="B456" s="167">
        <f>Balanço_MRE!B456</f>
        <v>0</v>
      </c>
      <c r="C456" s="167">
        <f>Balanço_MRE!C456</f>
        <v>0</v>
      </c>
      <c r="D456" s="192">
        <f>Balanço_MRE!D456</f>
        <v>0</v>
      </c>
      <c r="E456" s="79">
        <f>Balanço_MRE!E456</f>
        <v>0</v>
      </c>
      <c r="F456" s="262">
        <f>Balanço_MRE!F456</f>
        <v>0</v>
      </c>
      <c r="G456" s="263">
        <f>Balanço_MRE!G456</f>
        <v>0</v>
      </c>
      <c r="H456" s="193">
        <f>Balanço_MRE!H456</f>
        <v>0</v>
      </c>
      <c r="I456" s="115"/>
      <c r="J456" s="9"/>
      <c r="K456" s="9"/>
      <c r="L456" s="9"/>
      <c r="M456" s="9"/>
      <c r="N456" s="247"/>
    </row>
    <row r="457" spans="1:14" ht="15" x14ac:dyDescent="0.25">
      <c r="A457" s="167">
        <f>Balanço_MRE!A457</f>
        <v>0</v>
      </c>
      <c r="B457" s="167">
        <f>Balanço_MRE!B457</f>
        <v>0</v>
      </c>
      <c r="C457" s="167">
        <f>Balanço_MRE!C457</f>
        <v>0</v>
      </c>
      <c r="D457" s="192">
        <f>Balanço_MRE!D457</f>
        <v>0</v>
      </c>
      <c r="E457" s="79">
        <f>Balanço_MRE!E457</f>
        <v>0</v>
      </c>
      <c r="F457" s="262">
        <f>Balanço_MRE!F457</f>
        <v>0</v>
      </c>
      <c r="G457" s="263">
        <f>Balanço_MRE!G457</f>
        <v>0</v>
      </c>
      <c r="H457" s="193">
        <f>Balanço_MRE!H457</f>
        <v>0</v>
      </c>
      <c r="I457" s="115"/>
      <c r="J457" s="9"/>
      <c r="K457" s="9"/>
      <c r="L457" s="9"/>
      <c r="M457" s="9"/>
      <c r="N457" s="247"/>
    </row>
    <row r="458" spans="1:14" ht="15" x14ac:dyDescent="0.25">
      <c r="A458" s="167">
        <f>Balanço_MRE!A458</f>
        <v>0</v>
      </c>
      <c r="B458" s="167">
        <f>Balanço_MRE!B458</f>
        <v>0</v>
      </c>
      <c r="C458" s="167">
        <f>Balanço_MRE!C458</f>
        <v>0</v>
      </c>
      <c r="D458" s="192">
        <f>Balanço_MRE!D458</f>
        <v>0</v>
      </c>
      <c r="E458" s="79">
        <f>Balanço_MRE!E458</f>
        <v>0</v>
      </c>
      <c r="F458" s="262">
        <f>Balanço_MRE!F458</f>
        <v>0</v>
      </c>
      <c r="G458" s="263">
        <f>Balanço_MRE!G458</f>
        <v>0</v>
      </c>
      <c r="H458" s="193">
        <f>Balanço_MRE!H458</f>
        <v>0</v>
      </c>
      <c r="I458" s="115"/>
      <c r="J458" s="9"/>
      <c r="K458" s="9"/>
      <c r="L458" s="9"/>
      <c r="M458" s="9"/>
      <c r="N458" s="247"/>
    </row>
    <row r="459" spans="1:14" ht="15" x14ac:dyDescent="0.25">
      <c r="A459" s="167">
        <f>Balanço_MRE!A459</f>
        <v>0</v>
      </c>
      <c r="B459" s="167">
        <f>Balanço_MRE!B459</f>
        <v>0</v>
      </c>
      <c r="C459" s="167">
        <f>Balanço_MRE!C459</f>
        <v>0</v>
      </c>
      <c r="D459" s="192">
        <f>Balanço_MRE!D459</f>
        <v>0</v>
      </c>
      <c r="E459" s="79">
        <f>Balanço_MRE!E459</f>
        <v>0</v>
      </c>
      <c r="F459" s="262">
        <f>Balanço_MRE!F459</f>
        <v>0</v>
      </c>
      <c r="G459" s="263">
        <f>Balanço_MRE!G459</f>
        <v>0</v>
      </c>
      <c r="H459" s="193">
        <f>Balanço_MRE!H459</f>
        <v>0</v>
      </c>
      <c r="I459" s="115"/>
      <c r="J459" s="9"/>
      <c r="K459" s="9"/>
      <c r="L459" s="9"/>
      <c r="M459" s="9"/>
      <c r="N459" s="247"/>
    </row>
    <row r="460" spans="1:14" ht="15" x14ac:dyDescent="0.25">
      <c r="A460" s="167">
        <f>Balanço_MRE!A460</f>
        <v>0</v>
      </c>
      <c r="B460" s="167">
        <f>Balanço_MRE!B460</f>
        <v>0</v>
      </c>
      <c r="C460" s="167">
        <f>Balanço_MRE!C460</f>
        <v>0</v>
      </c>
      <c r="D460" s="192">
        <f>Balanço_MRE!D460</f>
        <v>0</v>
      </c>
      <c r="E460" s="79">
        <f>Balanço_MRE!E460</f>
        <v>0</v>
      </c>
      <c r="F460" s="262">
        <f>Balanço_MRE!F460</f>
        <v>0</v>
      </c>
      <c r="G460" s="263">
        <f>Balanço_MRE!G460</f>
        <v>0</v>
      </c>
      <c r="H460" s="193">
        <f>Balanço_MRE!H460</f>
        <v>0</v>
      </c>
      <c r="I460" s="115"/>
      <c r="J460" s="9"/>
      <c r="K460" s="9"/>
      <c r="L460" s="9"/>
      <c r="M460" s="9"/>
      <c r="N460" s="247"/>
    </row>
    <row r="461" spans="1:14" ht="15" x14ac:dyDescent="0.25">
      <c r="A461" s="167">
        <f>Balanço_MRE!A461</f>
        <v>0</v>
      </c>
      <c r="B461" s="167">
        <f>Balanço_MRE!B461</f>
        <v>0</v>
      </c>
      <c r="C461" s="167">
        <f>Balanço_MRE!C461</f>
        <v>0</v>
      </c>
      <c r="D461" s="192">
        <f>Balanço_MRE!D461</f>
        <v>0</v>
      </c>
      <c r="E461" s="79">
        <f>Balanço_MRE!E461</f>
        <v>0</v>
      </c>
      <c r="F461" s="262">
        <f>Balanço_MRE!F461</f>
        <v>0</v>
      </c>
      <c r="G461" s="263">
        <f>Balanço_MRE!G461</f>
        <v>0</v>
      </c>
      <c r="H461" s="193">
        <f>Balanço_MRE!H461</f>
        <v>0</v>
      </c>
      <c r="I461" s="115"/>
      <c r="J461" s="9"/>
      <c r="K461" s="9"/>
      <c r="L461" s="9"/>
      <c r="M461" s="9"/>
      <c r="N461" s="247"/>
    </row>
    <row r="462" spans="1:14" ht="15" x14ac:dyDescent="0.25">
      <c r="A462" s="253"/>
      <c r="B462" s="253"/>
      <c r="C462" s="253"/>
      <c r="D462" s="253"/>
      <c r="E462" s="203"/>
      <c r="F462" s="204"/>
      <c r="G462" s="205"/>
      <c r="H462" s="206"/>
      <c r="I462" s="115"/>
      <c r="J462" s="393"/>
      <c r="K462" s="393"/>
      <c r="L462" s="393"/>
      <c r="M462" s="393"/>
      <c r="N462" s="247"/>
    </row>
    <row r="463" spans="1:14" ht="15" x14ac:dyDescent="0.25">
      <c r="A463" s="80" t="s">
        <v>32</v>
      </c>
      <c r="B463" s="16"/>
      <c r="C463" s="16"/>
      <c r="D463" s="17"/>
      <c r="E463" s="81">
        <f>SUM(E446:E462)</f>
        <v>197.16019600000001</v>
      </c>
      <c r="F463" s="84">
        <f>SUM(F446:F462)</f>
        <v>146687.18573195871</v>
      </c>
      <c r="G463" s="82">
        <f>IFERROR(H463/F463,0)</f>
        <v>0</v>
      </c>
      <c r="H463" s="82">
        <f>SUM(H446:H462)</f>
        <v>0</v>
      </c>
      <c r="I463" s="115"/>
      <c r="N463" s="247"/>
    </row>
    <row r="464" spans="1:14" ht="15" x14ac:dyDescent="0.25">
      <c r="B464" s="397"/>
      <c r="N464" s="247"/>
    </row>
    <row r="465" spans="1:14" ht="15" x14ac:dyDescent="0.25">
      <c r="A465" s="548" t="s">
        <v>233</v>
      </c>
      <c r="B465" s="548"/>
      <c r="C465" s="548"/>
      <c r="E465" s="116" t="s">
        <v>19</v>
      </c>
      <c r="F465" s="116"/>
      <c r="G465" s="117" t="s">
        <v>20</v>
      </c>
      <c r="H465" s="117"/>
      <c r="I465" s="118" t="s">
        <v>21</v>
      </c>
      <c r="J465" s="118"/>
      <c r="K465" s="119" t="s">
        <v>22</v>
      </c>
      <c r="L465" s="119"/>
      <c r="N465" s="247"/>
    </row>
    <row r="466" spans="1:14" ht="15" x14ac:dyDescent="0.25">
      <c r="A466" s="10" t="s">
        <v>2</v>
      </c>
      <c r="B466" s="10" t="s">
        <v>137</v>
      </c>
      <c r="C466" s="10" t="s">
        <v>25</v>
      </c>
      <c r="E466" s="207" t="s">
        <v>137</v>
      </c>
      <c r="F466" s="208" t="s">
        <v>25</v>
      </c>
      <c r="G466" s="209" t="s">
        <v>137</v>
      </c>
      <c r="H466" s="210" t="s">
        <v>25</v>
      </c>
      <c r="I466" s="211" t="s">
        <v>137</v>
      </c>
      <c r="J466" s="212" t="s">
        <v>25</v>
      </c>
      <c r="K466" s="213" t="s">
        <v>137</v>
      </c>
      <c r="L466" s="214" t="s">
        <v>25</v>
      </c>
      <c r="N466" s="247"/>
    </row>
    <row r="467" spans="1:14" ht="15" x14ac:dyDescent="0.25">
      <c r="A467" s="29" t="s">
        <v>69</v>
      </c>
      <c r="B467" s="70">
        <v>0</v>
      </c>
      <c r="C467" s="83">
        <v>0</v>
      </c>
      <c r="E467" s="120">
        <f t="shared" ref="E467:E473" si="102">SUMIFS($E$431:$E$462,$C$431:$C$462,$A467,$D$431:$D$462,$E$465)</f>
        <v>0</v>
      </c>
      <c r="F467" s="121">
        <f t="shared" ref="F467:F473" si="103">SUMIFS($F$431:$F$462,$C$431:$C$462,$A467,$D$431:$D$462,$E$465)</f>
        <v>0</v>
      </c>
      <c r="G467" s="122">
        <f t="shared" ref="G467:G473" si="104">SUMIFS($E$431:$E$462,$C$431:$C$462,$A467,$D$431:$D$462,$G$465)</f>
        <v>0</v>
      </c>
      <c r="H467" s="123">
        <f t="shared" ref="H467:H473" si="105">SUMIFS($F$431:$F$462,$C$431:$C$462,$A467,$D$431:$D$462,$G$465)</f>
        <v>0</v>
      </c>
      <c r="I467" s="124">
        <f t="shared" ref="I467:I473" si="106">SUMIFS($E$431:$E$462,$C$431:$C$462,$A467,$D$431:$D$462,$I$465)</f>
        <v>0</v>
      </c>
      <c r="J467" s="125">
        <f t="shared" ref="J467:J473" si="107">SUMIFS($F$431:$F$462,$C$431:$C$462,$A467,$D$431:$D$462,$I$465)</f>
        <v>0</v>
      </c>
      <c r="K467" s="126">
        <f t="shared" ref="K467:K473" si="108">SUMIFS($E$431:$E$462,$C$431:$C$462,$A467,$D$431:$D$462,$K$465)</f>
        <v>0</v>
      </c>
      <c r="L467" s="127">
        <f t="shared" ref="L467:L473" si="109">SUMIFS($F$431:$F$462,$C$431:$C$462,$A467,$D$431:$D$462,$K$465)</f>
        <v>0</v>
      </c>
      <c r="N467" s="247"/>
    </row>
    <row r="468" spans="1:14" ht="15" x14ac:dyDescent="0.25">
      <c r="A468" s="29" t="s">
        <v>47</v>
      </c>
      <c r="B468" s="70">
        <v>0</v>
      </c>
      <c r="C468" s="83">
        <v>0</v>
      </c>
      <c r="E468" s="120">
        <f t="shared" si="102"/>
        <v>0</v>
      </c>
      <c r="F468" s="121">
        <f t="shared" si="103"/>
        <v>0</v>
      </c>
      <c r="G468" s="122">
        <f t="shared" si="104"/>
        <v>0</v>
      </c>
      <c r="H468" s="123">
        <f t="shared" si="105"/>
        <v>0</v>
      </c>
      <c r="I468" s="124">
        <f t="shared" si="106"/>
        <v>0</v>
      </c>
      <c r="J468" s="125">
        <f t="shared" si="107"/>
        <v>0</v>
      </c>
      <c r="K468" s="126">
        <f t="shared" si="108"/>
        <v>0</v>
      </c>
      <c r="L468" s="127">
        <f t="shared" si="109"/>
        <v>0</v>
      </c>
      <c r="N468" s="247"/>
    </row>
    <row r="469" spans="1:14" ht="15" x14ac:dyDescent="0.25">
      <c r="A469" s="29" t="s">
        <v>79</v>
      </c>
      <c r="B469" s="70">
        <v>0</v>
      </c>
      <c r="C469" s="83">
        <v>0</v>
      </c>
      <c r="E469" s="120">
        <f t="shared" si="102"/>
        <v>0</v>
      </c>
      <c r="F469" s="121">
        <f t="shared" si="103"/>
        <v>0</v>
      </c>
      <c r="G469" s="122">
        <f t="shared" si="104"/>
        <v>0</v>
      </c>
      <c r="H469" s="123">
        <f t="shared" si="105"/>
        <v>0</v>
      </c>
      <c r="I469" s="124">
        <f t="shared" si="106"/>
        <v>0</v>
      </c>
      <c r="J469" s="125">
        <f t="shared" si="107"/>
        <v>0</v>
      </c>
      <c r="K469" s="126">
        <f t="shared" si="108"/>
        <v>0</v>
      </c>
      <c r="L469" s="127">
        <f t="shared" si="109"/>
        <v>0</v>
      </c>
      <c r="N469" s="247"/>
    </row>
    <row r="470" spans="1:14" ht="15" x14ac:dyDescent="0.25">
      <c r="A470" s="29" t="s">
        <v>71</v>
      </c>
      <c r="B470" s="70">
        <f>E463</f>
        <v>197.16019600000001</v>
      </c>
      <c r="C470" s="83">
        <f>F463</f>
        <v>146687.18573195871</v>
      </c>
      <c r="E470" s="120">
        <f t="shared" si="102"/>
        <v>0</v>
      </c>
      <c r="F470" s="121">
        <f t="shared" si="103"/>
        <v>0</v>
      </c>
      <c r="G470" s="122">
        <f t="shared" si="104"/>
        <v>0</v>
      </c>
      <c r="H470" s="123">
        <f t="shared" si="105"/>
        <v>0</v>
      </c>
      <c r="I470" s="124">
        <f t="shared" si="106"/>
        <v>197.16019600000001</v>
      </c>
      <c r="J470" s="125">
        <f t="shared" si="107"/>
        <v>146687.18573195871</v>
      </c>
      <c r="K470" s="126">
        <f t="shared" si="108"/>
        <v>0</v>
      </c>
      <c r="L470" s="127">
        <f t="shared" si="109"/>
        <v>0</v>
      </c>
      <c r="N470" s="247"/>
    </row>
    <row r="471" spans="1:14" ht="15" x14ac:dyDescent="0.25">
      <c r="A471" s="29" t="s">
        <v>9</v>
      </c>
      <c r="B471" s="70">
        <f>E442</f>
        <v>197.16019600000001</v>
      </c>
      <c r="C471" s="83">
        <f>F442</f>
        <v>146687.18573195871</v>
      </c>
      <c r="E471" s="120">
        <f t="shared" si="102"/>
        <v>0</v>
      </c>
      <c r="F471" s="121">
        <f t="shared" si="103"/>
        <v>0</v>
      </c>
      <c r="G471" s="122">
        <f t="shared" si="104"/>
        <v>0</v>
      </c>
      <c r="H471" s="123">
        <f t="shared" si="105"/>
        <v>0</v>
      </c>
      <c r="I471" s="124">
        <f t="shared" si="106"/>
        <v>197.16019600000001</v>
      </c>
      <c r="J471" s="125">
        <f t="shared" si="107"/>
        <v>146687.18573195871</v>
      </c>
      <c r="K471" s="126">
        <f t="shared" si="108"/>
        <v>0</v>
      </c>
      <c r="L471" s="127">
        <f t="shared" si="109"/>
        <v>0</v>
      </c>
      <c r="M471" s="140"/>
      <c r="N471" s="247"/>
    </row>
    <row r="472" spans="1:14" ht="15" x14ac:dyDescent="0.25">
      <c r="A472" s="29" t="s">
        <v>80</v>
      </c>
      <c r="B472" s="70">
        <v>0</v>
      </c>
      <c r="C472" s="83">
        <v>0</v>
      </c>
      <c r="E472" s="120">
        <f t="shared" si="102"/>
        <v>0</v>
      </c>
      <c r="F472" s="121">
        <f t="shared" si="103"/>
        <v>0</v>
      </c>
      <c r="G472" s="122">
        <f t="shared" si="104"/>
        <v>0</v>
      </c>
      <c r="H472" s="123">
        <f t="shared" si="105"/>
        <v>0</v>
      </c>
      <c r="I472" s="124">
        <f t="shared" si="106"/>
        <v>0</v>
      </c>
      <c r="J472" s="125">
        <f t="shared" si="107"/>
        <v>0</v>
      </c>
      <c r="K472" s="126">
        <f t="shared" si="108"/>
        <v>0</v>
      </c>
      <c r="L472" s="127">
        <f t="shared" si="109"/>
        <v>0</v>
      </c>
      <c r="N472" s="247"/>
    </row>
    <row r="473" spans="1:14" ht="15" x14ac:dyDescent="0.25">
      <c r="A473" s="29" t="s">
        <v>77</v>
      </c>
      <c r="B473" s="70">
        <v>0</v>
      </c>
      <c r="C473" s="83">
        <v>0</v>
      </c>
      <c r="E473" s="120">
        <f t="shared" si="102"/>
        <v>0</v>
      </c>
      <c r="F473" s="121">
        <f t="shared" si="103"/>
        <v>0</v>
      </c>
      <c r="G473" s="122">
        <f t="shared" si="104"/>
        <v>0</v>
      </c>
      <c r="H473" s="123">
        <f t="shared" si="105"/>
        <v>0</v>
      </c>
      <c r="I473" s="124">
        <f t="shared" si="106"/>
        <v>0</v>
      </c>
      <c r="J473" s="125">
        <f t="shared" si="107"/>
        <v>0</v>
      </c>
      <c r="K473" s="126">
        <f t="shared" si="108"/>
        <v>0</v>
      </c>
      <c r="L473" s="127">
        <f t="shared" si="109"/>
        <v>0</v>
      </c>
      <c r="N473" s="247"/>
    </row>
    <row r="474" spans="1:14" ht="15" x14ac:dyDescent="0.25">
      <c r="A474" s="11" t="s">
        <v>81</v>
      </c>
      <c r="B474" s="12">
        <f>SUM(B467:B470)-SUM(B471:B473)</f>
        <v>0</v>
      </c>
      <c r="C474" s="12">
        <f>SUM(C467:C470)-SUM(C471:C473)</f>
        <v>0</v>
      </c>
      <c r="E474" s="128">
        <f t="shared" ref="E474:L474" si="110">SUM(E467:E470)-SUM(E471:E473)</f>
        <v>0</v>
      </c>
      <c r="F474" s="129">
        <f>SUM(F467:F470)-SUM(F471:F473)</f>
        <v>0</v>
      </c>
      <c r="G474" s="130">
        <f t="shared" si="110"/>
        <v>0</v>
      </c>
      <c r="H474" s="131">
        <f t="shared" si="110"/>
        <v>0</v>
      </c>
      <c r="I474" s="132">
        <f t="shared" si="110"/>
        <v>0</v>
      </c>
      <c r="J474" s="133">
        <f t="shared" si="110"/>
        <v>0</v>
      </c>
      <c r="K474" s="134">
        <f t="shared" si="110"/>
        <v>0</v>
      </c>
      <c r="L474" s="135">
        <f t="shared" si="110"/>
        <v>0</v>
      </c>
      <c r="N474" s="247"/>
    </row>
    <row r="475" spans="1:14" ht="15" x14ac:dyDescent="0.25">
      <c r="A475" s="11" t="s">
        <v>82</v>
      </c>
      <c r="B475" s="12">
        <f>SUM(B467:B470)-SUM(B471:B474)</f>
        <v>0</v>
      </c>
      <c r="C475" s="12">
        <f>SUM(C467:C470)-SUM(C471:C474)</f>
        <v>0</v>
      </c>
      <c r="E475" s="128">
        <f>SUM(E467:E470)-SUM(E471:E474)</f>
        <v>0</v>
      </c>
      <c r="F475" s="129">
        <f t="shared" ref="F475:L475" si="111">SUM(F467:F470)-SUM(F471:F474)</f>
        <v>0</v>
      </c>
      <c r="G475" s="130">
        <f t="shared" si="111"/>
        <v>0</v>
      </c>
      <c r="H475" s="131">
        <f t="shared" si="111"/>
        <v>0</v>
      </c>
      <c r="I475" s="132">
        <f t="shared" si="111"/>
        <v>0</v>
      </c>
      <c r="J475" s="133">
        <f t="shared" si="111"/>
        <v>0</v>
      </c>
      <c r="K475" s="134">
        <f t="shared" si="111"/>
        <v>0</v>
      </c>
      <c r="L475" s="135">
        <f t="shared" si="111"/>
        <v>0</v>
      </c>
      <c r="N475" s="247"/>
    </row>
    <row r="476" spans="1:14" ht="15" x14ac:dyDescent="0.25">
      <c r="N476" s="247"/>
    </row>
    <row r="477" spans="1:14" ht="15" x14ac:dyDescent="0.25">
      <c r="E477" s="153">
        <f>(F474*$H$5)+(H474*$J$5)+(J474*$L$5)+(L474*$N$5)</f>
        <v>0</v>
      </c>
      <c r="N477" s="247"/>
    </row>
    <row r="478" spans="1:14" ht="15" x14ac:dyDescent="0.25">
      <c r="N478" s="247"/>
    </row>
    <row r="479" spans="1:14" ht="15" x14ac:dyDescent="0.25">
      <c r="A479" s="564" t="s">
        <v>422</v>
      </c>
      <c r="B479" s="564"/>
      <c r="C479" s="564"/>
      <c r="D479" s="564"/>
      <c r="E479" s="564"/>
      <c r="F479" s="564"/>
      <c r="G479" s="564"/>
      <c r="H479" s="564"/>
      <c r="N479" s="247"/>
    </row>
    <row r="480" spans="1:14" ht="15" x14ac:dyDescent="0.25">
      <c r="A480" s="564"/>
      <c r="B480" s="564"/>
      <c r="C480" s="564"/>
      <c r="D480" s="564"/>
      <c r="E480" s="564"/>
      <c r="F480" s="564"/>
      <c r="G480" s="564"/>
      <c r="H480" s="564"/>
      <c r="N480" s="247"/>
    </row>
    <row r="481" spans="1:16" s="114" customFormat="1" ht="3.75" customHeight="1" x14ac:dyDescent="0.25">
      <c r="A481" s="14"/>
      <c r="B481" s="14"/>
      <c r="C481" s="14"/>
      <c r="D481" s="14"/>
      <c r="E481" s="14"/>
      <c r="F481" s="14"/>
      <c r="G481" s="14"/>
      <c r="H481" s="14"/>
      <c r="I481" s="106"/>
      <c r="J481" s="106"/>
      <c r="K481" s="106"/>
      <c r="L481" s="106"/>
      <c r="M481" s="106"/>
      <c r="N481" s="247"/>
      <c r="O481" s="106"/>
      <c r="P481" s="106"/>
    </row>
    <row r="482" spans="1:16" ht="15" x14ac:dyDescent="0.25">
      <c r="A482" s="548" t="s">
        <v>85</v>
      </c>
      <c r="B482" s="548"/>
      <c r="C482" s="548"/>
      <c r="D482" s="548"/>
      <c r="E482" s="548"/>
      <c r="F482" s="548"/>
      <c r="G482" s="548"/>
      <c r="H482" s="548"/>
      <c r="N482" s="247"/>
    </row>
    <row r="483" spans="1:16" ht="15" x14ac:dyDescent="0.25">
      <c r="A483" s="10" t="s">
        <v>8</v>
      </c>
      <c r="B483" s="10"/>
      <c r="C483" s="10" t="s">
        <v>2</v>
      </c>
      <c r="D483" s="10" t="s">
        <v>3</v>
      </c>
      <c r="E483" s="10" t="s">
        <v>137</v>
      </c>
      <c r="F483" s="10" t="s">
        <v>25</v>
      </c>
      <c r="G483" s="10" t="s">
        <v>95</v>
      </c>
      <c r="H483" s="10" t="s">
        <v>240</v>
      </c>
      <c r="N483" s="247"/>
    </row>
    <row r="484" spans="1:16" ht="15" x14ac:dyDescent="0.25">
      <c r="A484" s="167" t="str">
        <f>Balanço_MRE!A484</f>
        <v>TIG</v>
      </c>
      <c r="B484" s="167">
        <f>Balanço_MRE!B484</f>
        <v>0</v>
      </c>
      <c r="C484" s="167" t="str">
        <f>Balanço_MRE!C484</f>
        <v>Carga</v>
      </c>
      <c r="D484" s="192" t="str">
        <f>Balanço_MRE!D484</f>
        <v>SUDESTE</v>
      </c>
      <c r="E484" s="79">
        <f>Balanço_MRE!E484</f>
        <v>5.0870709999999999</v>
      </c>
      <c r="F484" s="262">
        <f>Balanço_MRE!F484</f>
        <v>3784.7808200901709</v>
      </c>
      <c r="G484" s="263">
        <f>Balanço_MRE!G484</f>
        <v>17.754000000000001</v>
      </c>
      <c r="H484" s="193">
        <f>Balanço_MRE!H484</f>
        <v>0.03</v>
      </c>
      <c r="N484" s="247"/>
    </row>
    <row r="485" spans="1:16" ht="15" x14ac:dyDescent="0.25">
      <c r="A485" s="202"/>
      <c r="B485" s="202"/>
      <c r="C485" s="202"/>
      <c r="D485" s="202"/>
      <c r="E485" s="203"/>
      <c r="F485" s="204"/>
      <c r="G485" s="205">
        <f>'[8]2019'!$F$24</f>
        <v>17.754000000000001</v>
      </c>
      <c r="H485" s="206"/>
      <c r="N485" s="247"/>
    </row>
    <row r="486" spans="1:16" ht="15" x14ac:dyDescent="0.25">
      <c r="A486" s="80" t="s">
        <v>32</v>
      </c>
      <c r="B486" s="16"/>
      <c r="C486" s="16"/>
      <c r="D486" s="17"/>
      <c r="E486" s="81">
        <f>SUM(E484:E485)</f>
        <v>5.0870709999999999</v>
      </c>
      <c r="F486" s="84">
        <f>SUM(F484:F485)</f>
        <v>3784.7808200901709</v>
      </c>
      <c r="G486" s="84">
        <f>SUM(G484:G485)</f>
        <v>35.508000000000003</v>
      </c>
      <c r="H486" s="84"/>
      <c r="I486" s="115"/>
      <c r="N486" s="247"/>
    </row>
    <row r="487" spans="1:16" ht="15" x14ac:dyDescent="0.25">
      <c r="F487" s="109"/>
      <c r="G487" s="137"/>
      <c r="N487" s="247"/>
    </row>
    <row r="488" spans="1:16" ht="15" x14ac:dyDescent="0.25">
      <c r="A488" s="548" t="s">
        <v>70</v>
      </c>
      <c r="B488" s="548"/>
      <c r="C488" s="548"/>
      <c r="D488" s="548"/>
      <c r="E488" s="548"/>
      <c r="F488" s="548"/>
      <c r="G488" s="548"/>
      <c r="H488" s="548"/>
      <c r="N488" s="247"/>
    </row>
    <row r="489" spans="1:16" ht="15" x14ac:dyDescent="0.25">
      <c r="A489" s="10" t="s">
        <v>252</v>
      </c>
      <c r="B489" s="10" t="s">
        <v>1</v>
      </c>
      <c r="C489" s="10" t="s">
        <v>2</v>
      </c>
      <c r="D489" s="10" t="s">
        <v>3</v>
      </c>
      <c r="E489" s="10" t="s">
        <v>137</v>
      </c>
      <c r="F489" s="10" t="s">
        <v>25</v>
      </c>
      <c r="G489" s="10" t="s">
        <v>253</v>
      </c>
      <c r="H489" s="10" t="s">
        <v>254</v>
      </c>
      <c r="J489" s="10" t="s">
        <v>72</v>
      </c>
      <c r="K489" s="10" t="s">
        <v>73</v>
      </c>
      <c r="L489" s="10" t="s">
        <v>74</v>
      </c>
      <c r="M489" s="10" t="s">
        <v>75</v>
      </c>
      <c r="N489" s="247"/>
    </row>
    <row r="490" spans="1:16" ht="15" x14ac:dyDescent="0.25">
      <c r="A490" s="167" t="str">
        <f>Balanço_MRE!A490</f>
        <v>ACEP G | 4384</v>
      </c>
      <c r="B490" s="167" t="str">
        <f>Balanço_MRE!B490</f>
        <v>PROINFA CVRD CL2</v>
      </c>
      <c r="C490" s="167" t="str">
        <f>Balanço_MRE!C490</f>
        <v>Contratos de Compra</v>
      </c>
      <c r="D490" s="192" t="str">
        <f>Balanço_MRE!D490</f>
        <v>SUDESTE</v>
      </c>
      <c r="E490" s="79">
        <f>Balanço_MRE!E490</f>
        <v>2.3862999999999999E-2</v>
      </c>
      <c r="F490" s="262">
        <f>Balanço_MRE!F490</f>
        <v>17.754000000000001</v>
      </c>
      <c r="G490" s="263">
        <f>Balanço_MRE!G490</f>
        <v>0</v>
      </c>
      <c r="H490" s="193">
        <f>Balanço_MRE!H490</f>
        <v>0</v>
      </c>
      <c r="J490" s="247">
        <f>[16]Contratos!$W$6</f>
        <v>2.1949999999999998</v>
      </c>
      <c r="K490" s="247" t="str">
        <f>[17]RelatorioContratos_080817_10404!$X$7</f>
        <v>01/07/2017 00</v>
      </c>
      <c r="L490" s="247"/>
      <c r="M490" s="247"/>
      <c r="N490" s="247"/>
    </row>
    <row r="491" spans="1:16" ht="15" x14ac:dyDescent="0.25">
      <c r="A491" s="167">
        <f>Balanço_MRE!A491</f>
        <v>1167530</v>
      </c>
      <c r="B491" s="167" t="str">
        <f>Balanço_MRE!B491</f>
        <v xml:space="preserve">VALE ENE I5 </v>
      </c>
      <c r="C491" s="167" t="str">
        <f>Balanço_MRE!C491</f>
        <v>Contratos de Compra</v>
      </c>
      <c r="D491" s="192" t="str">
        <f>Balanço_MRE!D491</f>
        <v>SUDESTE</v>
      </c>
      <c r="E491" s="79">
        <f>Balanço_MRE!E491</f>
        <v>0</v>
      </c>
      <c r="F491" s="262">
        <f>Balanço_MRE!F491</f>
        <v>0</v>
      </c>
      <c r="G491" s="263">
        <f>Balanço_MRE!G491</f>
        <v>0</v>
      </c>
      <c r="H491" s="193">
        <f>Balanço_MRE!H491</f>
        <v>0</v>
      </c>
      <c r="J491" s="9" t="e">
        <f>VLOOKUP(A491,[17]RelatorioContratos_080817_10404!$A$3:$AC$218,26,FALSE)</f>
        <v>#N/A</v>
      </c>
      <c r="K491" s="9" t="e">
        <f>VLOOKUP(A491,[17]RelatorioContratos_080817_10404!$A$3:$AC$218,8,FALSE)</f>
        <v>#N/A</v>
      </c>
      <c r="L491" s="9" t="e">
        <f>VLOOKUP(A491,[17]RelatorioContratos_080817_10404!$A$3:$AZ$218,32,FALSE)</f>
        <v>#N/A</v>
      </c>
      <c r="M491" s="9" t="e">
        <f>VLOOKUP(A491,[17]RelatorioContratos_080817_10404!$A$3:$AZ$218,33,FALSE)</f>
        <v>#N/A</v>
      </c>
      <c r="N491" s="247" t="e">
        <f t="shared" ref="N491:N495" si="112">(J491*$B$33)-F491</f>
        <v>#N/A</v>
      </c>
    </row>
    <row r="492" spans="1:16" ht="15" x14ac:dyDescent="0.25">
      <c r="A492" s="167">
        <f>Balanço_MRE!A492</f>
        <v>1167492</v>
      </c>
      <c r="B492" s="167" t="str">
        <f>Balanço_MRE!B492</f>
        <v>VALE ENERGIA</v>
      </c>
      <c r="C492" s="167" t="str">
        <f>Balanço_MRE!C492</f>
        <v>Contratos de Compra</v>
      </c>
      <c r="D492" s="192" t="str">
        <f>Balanço_MRE!D492</f>
        <v>SUDESTE</v>
      </c>
      <c r="E492" s="79">
        <f>Balanço_MRE!E492</f>
        <v>0</v>
      </c>
      <c r="F492" s="262">
        <f>Balanço_MRE!F492</f>
        <v>0</v>
      </c>
      <c r="G492" s="263">
        <f>Balanço_MRE!G492</f>
        <v>0</v>
      </c>
      <c r="H492" s="193">
        <f>Balanço_MRE!H492</f>
        <v>0</v>
      </c>
      <c r="J492" s="9" t="e">
        <f>VLOOKUP(A492,[17]RelatorioContratos_080817_10404!$A$3:$AC$218,26,FALSE)</f>
        <v>#N/A</v>
      </c>
      <c r="K492" s="9" t="e">
        <f>VLOOKUP(A492,[17]RelatorioContratos_080817_10404!$A$3:$AC$218,8,FALSE)</f>
        <v>#N/A</v>
      </c>
      <c r="L492" s="9" t="e">
        <f>VLOOKUP(A492,[17]RelatorioContratos_080817_10404!$A$3:$AZ$218,32,FALSE)</f>
        <v>#N/A</v>
      </c>
      <c r="M492" s="9" t="e">
        <f>VLOOKUP(A492,[17]RelatorioContratos_080817_10404!$A$3:$AZ$218,33,FALSE)</f>
        <v>#N/A</v>
      </c>
      <c r="N492" s="247" t="e">
        <f t="shared" si="112"/>
        <v>#N/A</v>
      </c>
    </row>
    <row r="493" spans="1:16" ht="15" x14ac:dyDescent="0.25">
      <c r="A493" s="167">
        <f>Balanço_MRE!A493</f>
        <v>1167485</v>
      </c>
      <c r="B493" s="167" t="str">
        <f>Balanço_MRE!B493</f>
        <v>CVRD APE I5</v>
      </c>
      <c r="C493" s="167" t="str">
        <f>Balanço_MRE!C493</f>
        <v>Contratos de Compra</v>
      </c>
      <c r="D493" s="192" t="str">
        <f>Balanço_MRE!D493</f>
        <v>SUDESTE</v>
      </c>
      <c r="E493" s="79">
        <f>Balanço_MRE!E493</f>
        <v>0</v>
      </c>
      <c r="F493" s="262">
        <f>Balanço_MRE!F493</f>
        <v>0</v>
      </c>
      <c r="G493" s="263">
        <f>Balanço_MRE!G493</f>
        <v>0</v>
      </c>
      <c r="H493" s="193">
        <f>Balanço_MRE!H493</f>
        <v>0</v>
      </c>
      <c r="J493" s="9" t="e">
        <f>VLOOKUP(A493,[17]RelatorioContratos_080817_10404!$A$3:$AC$218,26,FALSE)</f>
        <v>#N/A</v>
      </c>
      <c r="K493" s="9" t="e">
        <f>VLOOKUP(A493,[17]RelatorioContratos_080817_10404!$A$3:$AC$218,8,FALSE)</f>
        <v>#N/A</v>
      </c>
      <c r="L493" s="9" t="e">
        <f>VLOOKUP(A493,[17]RelatorioContratos_080817_10404!$A$3:$AZ$218,32,FALSE)</f>
        <v>#N/A</v>
      </c>
      <c r="M493" s="9" t="e">
        <f>VLOOKUP(A493,[17]RelatorioContratos_080817_10404!$A$3:$AZ$218,33,FALSE)</f>
        <v>#N/A</v>
      </c>
      <c r="N493" s="247" t="e">
        <f t="shared" si="112"/>
        <v>#N/A</v>
      </c>
    </row>
    <row r="494" spans="1:16" ht="15" x14ac:dyDescent="0.25">
      <c r="A494" s="167">
        <f>Balanço_MRE!A494</f>
        <v>1167486</v>
      </c>
      <c r="B494" s="167" t="str">
        <f>Balanço_MRE!B494</f>
        <v>CVRD PIE</v>
      </c>
      <c r="C494" s="167" t="str">
        <f>Balanço_MRE!C494</f>
        <v>Contratos de Compra</v>
      </c>
      <c r="D494" s="192" t="str">
        <f>Balanço_MRE!D494</f>
        <v>SUDESTE</v>
      </c>
      <c r="E494" s="79">
        <f>Balanço_MRE!E494</f>
        <v>0</v>
      </c>
      <c r="F494" s="262">
        <f>Balanço_MRE!F494</f>
        <v>0</v>
      </c>
      <c r="G494" s="263">
        <f>Balanço_MRE!G494</f>
        <v>0</v>
      </c>
      <c r="H494" s="193">
        <f>Balanço_MRE!H494</f>
        <v>0</v>
      </c>
      <c r="J494" s="9" t="e">
        <f>VLOOKUP(A494,[17]RelatorioContratos_080817_10404!$A$3:$AC$218,26,FALSE)</f>
        <v>#N/A</v>
      </c>
      <c r="K494" s="9" t="e">
        <f>VLOOKUP(A494,[17]RelatorioContratos_080817_10404!$A$3:$AC$218,8,FALSE)</f>
        <v>#N/A</v>
      </c>
      <c r="L494" s="9" t="e">
        <f>VLOOKUP(A494,[17]RelatorioContratos_080817_10404!$A$3:$AZ$218,32,FALSE)</f>
        <v>#N/A</v>
      </c>
      <c r="M494" s="9" t="e">
        <f>VLOOKUP(A494,[17]RelatorioContratos_080817_10404!$A$3:$AZ$218,33,FALSE)</f>
        <v>#N/A</v>
      </c>
      <c r="N494" s="247" t="e">
        <f t="shared" si="112"/>
        <v>#N/A</v>
      </c>
    </row>
    <row r="495" spans="1:16" ht="15" x14ac:dyDescent="0.25">
      <c r="A495" s="167">
        <f>Balanço_MRE!A495</f>
        <v>1167491</v>
      </c>
      <c r="B495" s="167" t="str">
        <f>Balanço_MRE!B495</f>
        <v>CVRD PIE I5</v>
      </c>
      <c r="C495" s="167" t="str">
        <f>Balanço_MRE!C495</f>
        <v>Contratos de Compra</v>
      </c>
      <c r="D495" s="192" t="str">
        <f>Balanço_MRE!D495</f>
        <v>SUDESTE</v>
      </c>
      <c r="E495" s="79">
        <f>Balanço_MRE!E495</f>
        <v>0</v>
      </c>
      <c r="F495" s="262">
        <f>Balanço_MRE!F495</f>
        <v>0</v>
      </c>
      <c r="G495" s="263">
        <f>Balanço_MRE!G495</f>
        <v>0</v>
      </c>
      <c r="H495" s="193">
        <f>Balanço_MRE!H495</f>
        <v>0</v>
      </c>
      <c r="J495" s="9" t="e">
        <f>VLOOKUP(A495,[17]RelatorioContratos_080817_10404!$A$3:$AC$218,26,FALSE)</f>
        <v>#N/A</v>
      </c>
      <c r="K495" s="9" t="e">
        <f>VLOOKUP(A495,[17]RelatorioContratos_080817_10404!$A$3:$AC$218,8,FALSE)</f>
        <v>#N/A</v>
      </c>
      <c r="L495" s="9" t="e">
        <f>VLOOKUP(A495,[17]RelatorioContratos_080817_10404!$A$3:$AZ$218,32,FALSE)</f>
        <v>#N/A</v>
      </c>
      <c r="M495" s="9" t="e">
        <f>VLOOKUP(A495,[17]RelatorioContratos_080817_10404!$A$3:$AZ$218,33,FALSE)</f>
        <v>#N/A</v>
      </c>
      <c r="N495" s="247" t="e">
        <f t="shared" si="112"/>
        <v>#N/A</v>
      </c>
    </row>
    <row r="496" spans="1:16" ht="15" x14ac:dyDescent="0.25">
      <c r="A496" s="167">
        <f>Balanço_MRE!A496</f>
        <v>1229956</v>
      </c>
      <c r="B496" s="167" t="str">
        <f>Balanço_MRE!B496</f>
        <v>CVRD D&gt;&gt; CVRD TIG</v>
      </c>
      <c r="C496" s="167" t="str">
        <f>Balanço_MRE!C496</f>
        <v>Contratos de Compra</v>
      </c>
      <c r="D496" s="192" t="str">
        <f>Balanço_MRE!D496</f>
        <v>SUDESTE</v>
      </c>
      <c r="E496" s="79">
        <f>Balanço_MRE!E496</f>
        <v>5.0632080000000004</v>
      </c>
      <c r="F496" s="262">
        <f>Balanço_MRE!F496</f>
        <v>3767.026820090171</v>
      </c>
      <c r="G496" s="263">
        <f>Balanço_MRE!G496</f>
        <v>0</v>
      </c>
      <c r="H496" s="193">
        <f>Balanço_MRE!H496</f>
        <v>0</v>
      </c>
      <c r="I496" s="138"/>
      <c r="J496" s="9"/>
      <c r="K496" s="9"/>
      <c r="L496" s="9"/>
      <c r="M496" s="9"/>
      <c r="N496" s="247"/>
    </row>
    <row r="497" spans="1:14" ht="15" x14ac:dyDescent="0.25">
      <c r="A497" s="167">
        <f>Balanço_MRE!A497</f>
        <v>0</v>
      </c>
      <c r="B497" s="167">
        <f>Balanço_MRE!B497</f>
        <v>0</v>
      </c>
      <c r="C497" s="167">
        <f>Balanço_MRE!C497</f>
        <v>0</v>
      </c>
      <c r="D497" s="192">
        <f>Balanço_MRE!D497</f>
        <v>0</v>
      </c>
      <c r="E497" s="79">
        <f>Balanço_MRE!E497</f>
        <v>0</v>
      </c>
      <c r="F497" s="262">
        <f>Balanço_MRE!F497</f>
        <v>0</v>
      </c>
      <c r="G497" s="263">
        <f>Balanço_MRE!G497</f>
        <v>0</v>
      </c>
      <c r="H497" s="193">
        <f>Balanço_MRE!H497</f>
        <v>0</v>
      </c>
      <c r="J497" s="393"/>
      <c r="K497" s="393"/>
      <c r="L497" s="393"/>
      <c r="M497" s="393"/>
      <c r="N497" s="247"/>
    </row>
    <row r="498" spans="1:14" ht="15" x14ac:dyDescent="0.25">
      <c r="A498" s="80" t="s">
        <v>32</v>
      </c>
      <c r="B498" s="16"/>
      <c r="C498" s="16"/>
      <c r="D498" s="17"/>
      <c r="E498" s="81">
        <f>SUM(E490:E497)</f>
        <v>5.0870710000000008</v>
      </c>
      <c r="F498" s="84">
        <f>SUM(F490:F497)</f>
        <v>3784.7808200901709</v>
      </c>
      <c r="G498" s="82">
        <f>IFERROR(H498/F498,0)</f>
        <v>0</v>
      </c>
      <c r="H498" s="82">
        <f>SUM(H490:H497)</f>
        <v>0</v>
      </c>
      <c r="I498" s="115"/>
      <c r="N498" s="247"/>
    </row>
    <row r="499" spans="1:14" ht="15" x14ac:dyDescent="0.25">
      <c r="N499" s="247"/>
    </row>
    <row r="500" spans="1:14" ht="15" x14ac:dyDescent="0.25">
      <c r="A500" s="548" t="s">
        <v>233</v>
      </c>
      <c r="B500" s="548"/>
      <c r="C500" s="548"/>
      <c r="E500" s="116" t="s">
        <v>19</v>
      </c>
      <c r="F500" s="116"/>
      <c r="G500" s="117" t="s">
        <v>20</v>
      </c>
      <c r="H500" s="117"/>
      <c r="I500" s="118" t="s">
        <v>21</v>
      </c>
      <c r="J500" s="118"/>
      <c r="K500" s="119" t="s">
        <v>22</v>
      </c>
      <c r="L500" s="119"/>
      <c r="N500" s="247"/>
    </row>
    <row r="501" spans="1:14" ht="15" x14ac:dyDescent="0.25">
      <c r="A501" s="10" t="s">
        <v>2</v>
      </c>
      <c r="B501" s="10" t="s">
        <v>137</v>
      </c>
      <c r="C501" s="10" t="s">
        <v>25</v>
      </c>
      <c r="E501" s="207" t="s">
        <v>137</v>
      </c>
      <c r="F501" s="208" t="s">
        <v>25</v>
      </c>
      <c r="G501" s="209" t="s">
        <v>137</v>
      </c>
      <c r="H501" s="210" t="s">
        <v>25</v>
      </c>
      <c r="I501" s="211" t="s">
        <v>137</v>
      </c>
      <c r="J501" s="212" t="s">
        <v>25</v>
      </c>
      <c r="K501" s="213" t="s">
        <v>137</v>
      </c>
      <c r="L501" s="214" t="s">
        <v>25</v>
      </c>
      <c r="N501" s="247"/>
    </row>
    <row r="502" spans="1:14" ht="15" x14ac:dyDescent="0.25">
      <c r="A502" s="29" t="s">
        <v>69</v>
      </c>
      <c r="B502" s="70">
        <v>0</v>
      </c>
      <c r="C502" s="83">
        <v>0</v>
      </c>
      <c r="E502" s="120">
        <f t="shared" ref="E502:E508" si="113">SUMIFS($E$383:$E$408,$C$383:$C$408,$A502,$D$383:$D$408,$E$411)</f>
        <v>0</v>
      </c>
      <c r="F502" s="121">
        <f t="shared" ref="F502:F508" si="114">SUMIFS($F$383:$F$408,$C$383:$C$408,$A502,$D$383:$D$408,$E$411)</f>
        <v>0</v>
      </c>
      <c r="G502" s="122">
        <f t="shared" ref="G502:G508" si="115">SUMIFS($E$383:$E$408,$C$383:$C$408,$A502,$D$383:$D$408,$G$411)</f>
        <v>0</v>
      </c>
      <c r="H502" s="123">
        <f t="shared" ref="H502:H508" si="116">SUMIFS($F$383:$F$408,$C$383:$C$408,$A502,$D$383:$D$408,$G$411)</f>
        <v>0</v>
      </c>
      <c r="I502" s="124">
        <f t="shared" ref="I502:I508" si="117">SUMIFS($E$383:$E$408,$C$383:$C$408,$A502,$D$383:$D$408,$I$411)</f>
        <v>0</v>
      </c>
      <c r="J502" s="125">
        <f t="shared" ref="J502:J508" si="118">SUMIFS($F$383:$F$408,$C$383:$C$408,$A502,$D$383:$D$408,$I$411)</f>
        <v>0</v>
      </c>
      <c r="K502" s="126">
        <f t="shared" ref="K502:K508" si="119">SUMIFS($E$383:$E$408,$C$383:$C$408,$A502,$D$383:$D$408,$K$411)</f>
        <v>0</v>
      </c>
      <c r="L502" s="127">
        <f t="shared" ref="L502:L508" si="120">SUMIFS($F$383:$F$408,$C$383:$C$408,$A502,$D$383:$D$408,$K$411)</f>
        <v>0</v>
      </c>
      <c r="N502" s="247"/>
    </row>
    <row r="503" spans="1:14" ht="15" x14ac:dyDescent="0.25">
      <c r="A503" s="29" t="s">
        <v>47</v>
      </c>
      <c r="B503" s="70">
        <v>0</v>
      </c>
      <c r="C503" s="83">
        <v>0</v>
      </c>
      <c r="E503" s="120">
        <f t="shared" si="113"/>
        <v>0</v>
      </c>
      <c r="F503" s="121">
        <f t="shared" si="114"/>
        <v>0</v>
      </c>
      <c r="G503" s="122">
        <f t="shared" si="115"/>
        <v>0</v>
      </c>
      <c r="H503" s="123">
        <f t="shared" si="116"/>
        <v>0</v>
      </c>
      <c r="I503" s="124">
        <f t="shared" si="117"/>
        <v>0</v>
      </c>
      <c r="J503" s="125">
        <f t="shared" si="118"/>
        <v>0</v>
      </c>
      <c r="K503" s="126">
        <f t="shared" si="119"/>
        <v>0</v>
      </c>
      <c r="L503" s="127">
        <f t="shared" si="120"/>
        <v>0</v>
      </c>
      <c r="N503" s="247"/>
    </row>
    <row r="504" spans="1:14" ht="15" x14ac:dyDescent="0.25">
      <c r="A504" s="29" t="s">
        <v>79</v>
      </c>
      <c r="B504" s="70">
        <v>0</v>
      </c>
      <c r="C504" s="83">
        <v>0</v>
      </c>
      <c r="E504" s="120">
        <f t="shared" si="113"/>
        <v>0</v>
      </c>
      <c r="F504" s="121">
        <f t="shared" si="114"/>
        <v>0</v>
      </c>
      <c r="G504" s="122">
        <f t="shared" si="115"/>
        <v>0</v>
      </c>
      <c r="H504" s="123">
        <f t="shared" si="116"/>
        <v>0</v>
      </c>
      <c r="I504" s="124">
        <f t="shared" si="117"/>
        <v>0</v>
      </c>
      <c r="J504" s="125">
        <f t="shared" si="118"/>
        <v>0</v>
      </c>
      <c r="K504" s="126">
        <f t="shared" si="119"/>
        <v>0</v>
      </c>
      <c r="L504" s="127">
        <f t="shared" si="120"/>
        <v>0</v>
      </c>
      <c r="N504" s="247"/>
    </row>
    <row r="505" spans="1:14" ht="15" x14ac:dyDescent="0.25">
      <c r="A505" s="29" t="s">
        <v>71</v>
      </c>
      <c r="B505" s="70">
        <f>E498</f>
        <v>5.0870710000000008</v>
      </c>
      <c r="C505" s="83">
        <f>F498</f>
        <v>3784.7808200901709</v>
      </c>
      <c r="E505" s="120">
        <f t="shared" si="113"/>
        <v>32.051420999999998</v>
      </c>
      <c r="F505" s="121">
        <f t="shared" si="114"/>
        <v>23846.257218247436</v>
      </c>
      <c r="G505" s="122">
        <f t="shared" si="115"/>
        <v>0</v>
      </c>
      <c r="H505" s="123">
        <f t="shared" si="116"/>
        <v>0</v>
      </c>
      <c r="I505" s="124">
        <f t="shared" si="117"/>
        <v>17.620767000000001</v>
      </c>
      <c r="J505" s="125">
        <f t="shared" si="118"/>
        <v>13109.850768224933</v>
      </c>
      <c r="K505" s="126">
        <f t="shared" si="119"/>
        <v>0</v>
      </c>
      <c r="L505" s="127">
        <f t="shared" si="120"/>
        <v>0</v>
      </c>
      <c r="N505" s="247"/>
    </row>
    <row r="506" spans="1:14" ht="15" x14ac:dyDescent="0.25">
      <c r="A506" s="29" t="s">
        <v>9</v>
      </c>
      <c r="B506" s="70">
        <f>E486</f>
        <v>5.0870709999999999</v>
      </c>
      <c r="C506" s="83">
        <f>F486</f>
        <v>3784.7808200901709</v>
      </c>
      <c r="E506" s="120">
        <f t="shared" si="113"/>
        <v>32.051420999999998</v>
      </c>
      <c r="F506" s="121">
        <f t="shared" si="114"/>
        <v>23846.257218247436</v>
      </c>
      <c r="G506" s="122">
        <f t="shared" si="115"/>
        <v>0</v>
      </c>
      <c r="H506" s="123">
        <f t="shared" si="116"/>
        <v>0</v>
      </c>
      <c r="I506" s="124">
        <f t="shared" si="117"/>
        <v>17.620767000000001</v>
      </c>
      <c r="J506" s="125">
        <f t="shared" si="118"/>
        <v>13109.850768224933</v>
      </c>
      <c r="K506" s="126">
        <f t="shared" si="119"/>
        <v>0</v>
      </c>
      <c r="L506" s="127">
        <f t="shared" si="120"/>
        <v>0</v>
      </c>
      <c r="N506" s="247"/>
    </row>
    <row r="507" spans="1:14" ht="15" x14ac:dyDescent="0.25">
      <c r="A507" s="29" t="s">
        <v>80</v>
      </c>
      <c r="B507" s="70">
        <v>0</v>
      </c>
      <c r="C507" s="83">
        <v>0</v>
      </c>
      <c r="E507" s="120">
        <f t="shared" si="113"/>
        <v>0</v>
      </c>
      <c r="F507" s="121">
        <f t="shared" si="114"/>
        <v>0</v>
      </c>
      <c r="G507" s="122">
        <f t="shared" si="115"/>
        <v>0</v>
      </c>
      <c r="H507" s="123">
        <f t="shared" si="116"/>
        <v>0</v>
      </c>
      <c r="I507" s="124">
        <f t="shared" si="117"/>
        <v>0</v>
      </c>
      <c r="J507" s="125">
        <f t="shared" si="118"/>
        <v>0</v>
      </c>
      <c r="K507" s="126">
        <f t="shared" si="119"/>
        <v>0</v>
      </c>
      <c r="L507" s="127">
        <f t="shared" si="120"/>
        <v>0</v>
      </c>
      <c r="N507" s="247"/>
    </row>
    <row r="508" spans="1:14" ht="15" x14ac:dyDescent="0.25">
      <c r="A508" s="29" t="s">
        <v>77</v>
      </c>
      <c r="B508" s="70">
        <v>0</v>
      </c>
      <c r="C508" s="83">
        <v>0</v>
      </c>
      <c r="E508" s="120">
        <f t="shared" si="113"/>
        <v>0</v>
      </c>
      <c r="F508" s="121">
        <f t="shared" si="114"/>
        <v>0</v>
      </c>
      <c r="G508" s="122">
        <f t="shared" si="115"/>
        <v>0</v>
      </c>
      <c r="H508" s="123">
        <f t="shared" si="116"/>
        <v>0</v>
      </c>
      <c r="I508" s="124">
        <f t="shared" si="117"/>
        <v>0</v>
      </c>
      <c r="J508" s="125">
        <f t="shared" si="118"/>
        <v>0</v>
      </c>
      <c r="K508" s="126">
        <f t="shared" si="119"/>
        <v>0</v>
      </c>
      <c r="L508" s="127">
        <f t="shared" si="120"/>
        <v>0</v>
      </c>
      <c r="N508" s="247"/>
    </row>
    <row r="509" spans="1:14" ht="15" x14ac:dyDescent="0.25">
      <c r="A509" s="11" t="s">
        <v>81</v>
      </c>
      <c r="B509" s="12">
        <f>SUM(B502:B505)-SUM(B506:B508)</f>
        <v>0</v>
      </c>
      <c r="C509" s="12">
        <f>SUM(C502:C505)-SUM(C506:C508)</f>
        <v>0</v>
      </c>
      <c r="E509" s="128">
        <f>SUM(E502:E505)-SUM(E506:E508)</f>
        <v>0</v>
      </c>
      <c r="F509" s="129">
        <f>SUM(F502:F505)-SUM(F506:F508)</f>
        <v>0</v>
      </c>
      <c r="G509" s="130">
        <f t="shared" ref="G509:L509" si="121">SUM(G502:G505)-SUM(G506:G508)</f>
        <v>0</v>
      </c>
      <c r="H509" s="131">
        <f t="shared" si="121"/>
        <v>0</v>
      </c>
      <c r="I509" s="132">
        <f t="shared" si="121"/>
        <v>0</v>
      </c>
      <c r="J509" s="133">
        <f t="shared" si="121"/>
        <v>0</v>
      </c>
      <c r="K509" s="134">
        <f t="shared" si="121"/>
        <v>0</v>
      </c>
      <c r="L509" s="135">
        <f t="shared" si="121"/>
        <v>0</v>
      </c>
      <c r="N509" s="247"/>
    </row>
    <row r="510" spans="1:14" ht="15" x14ac:dyDescent="0.25">
      <c r="A510" s="11" t="s">
        <v>82</v>
      </c>
      <c r="B510" s="12">
        <f>SUM(B502:B505)-SUM(B506:B509)</f>
        <v>0</v>
      </c>
      <c r="C510" s="12">
        <f>SUM(C502:C505)-SUM(C506:C509)</f>
        <v>0</v>
      </c>
      <c r="E510" s="128">
        <f>SUM(E502:E505)-SUM(E506:E509)</f>
        <v>0</v>
      </c>
      <c r="F510" s="129">
        <f>SUM(F502:F505)-SUM(F506:F509)</f>
        <v>0</v>
      </c>
      <c r="G510" s="130">
        <f t="shared" ref="G510:L510" si="122">SUM(G502:G505)-SUM(G506:G509)</f>
        <v>0</v>
      </c>
      <c r="H510" s="131">
        <f t="shared" si="122"/>
        <v>0</v>
      </c>
      <c r="I510" s="132">
        <f t="shared" si="122"/>
        <v>0</v>
      </c>
      <c r="J510" s="133">
        <f t="shared" si="122"/>
        <v>0</v>
      </c>
      <c r="K510" s="134">
        <f t="shared" si="122"/>
        <v>0</v>
      </c>
      <c r="L510" s="135">
        <f t="shared" si="122"/>
        <v>0</v>
      </c>
      <c r="N510" s="247"/>
    </row>
    <row r="511" spans="1:14" ht="15" x14ac:dyDescent="0.25">
      <c r="N511" s="247"/>
    </row>
    <row r="512" spans="1:14" ht="15" x14ac:dyDescent="0.25">
      <c r="E512" s="153">
        <f>(F509*$H$5)+(H509*$J$5)+(J509*$L$5)+(L509*$N$5)</f>
        <v>0</v>
      </c>
      <c r="N512" s="247"/>
    </row>
    <row r="513" spans="1:23" ht="15" x14ac:dyDescent="0.25">
      <c r="D513" s="106"/>
      <c r="N513" s="247"/>
    </row>
    <row r="514" spans="1:23" ht="15" x14ac:dyDescent="0.25">
      <c r="N514" s="247"/>
    </row>
    <row r="515" spans="1:23" ht="15" x14ac:dyDescent="0.25">
      <c r="A515" s="564" t="s">
        <v>372</v>
      </c>
      <c r="B515" s="564"/>
      <c r="C515" s="564"/>
      <c r="D515" s="564"/>
      <c r="E515" s="564"/>
      <c r="F515" s="564"/>
      <c r="G515" s="564"/>
      <c r="H515" s="564"/>
      <c r="N515" s="247"/>
    </row>
    <row r="516" spans="1:23" ht="15" x14ac:dyDescent="0.25">
      <c r="A516" s="564"/>
      <c r="B516" s="564"/>
      <c r="C516" s="564"/>
      <c r="D516" s="564"/>
      <c r="E516" s="564"/>
      <c r="F516" s="564"/>
      <c r="G516" s="564"/>
      <c r="H516" s="564"/>
      <c r="N516" s="247"/>
    </row>
    <row r="517" spans="1:23" s="114" customFormat="1" ht="3.75" customHeight="1" x14ac:dyDescent="0.25">
      <c r="A517" s="14"/>
      <c r="B517" s="14"/>
      <c r="C517" s="14"/>
      <c r="D517" s="14"/>
      <c r="E517" s="14"/>
      <c r="F517" s="14"/>
      <c r="G517" s="14"/>
      <c r="H517" s="14"/>
      <c r="I517" s="106"/>
      <c r="J517" s="106"/>
      <c r="K517" s="106"/>
      <c r="L517" s="106"/>
      <c r="M517" s="106"/>
      <c r="N517" s="247"/>
      <c r="O517" s="106"/>
      <c r="P517" s="106"/>
    </row>
    <row r="518" spans="1:23" ht="15" x14ac:dyDescent="0.25">
      <c r="A518" s="548" t="s">
        <v>85</v>
      </c>
      <c r="B518" s="548"/>
      <c r="C518" s="548"/>
      <c r="D518" s="548"/>
      <c r="E518" s="548"/>
      <c r="F518" s="548"/>
      <c r="G518" s="548"/>
      <c r="H518" s="548"/>
      <c r="N518" s="247"/>
    </row>
    <row r="519" spans="1:23" ht="15" x14ac:dyDescent="0.25">
      <c r="A519" s="10" t="s">
        <v>8</v>
      </c>
      <c r="B519" s="10"/>
      <c r="C519" s="10" t="s">
        <v>2</v>
      </c>
      <c r="D519" s="10" t="s">
        <v>3</v>
      </c>
      <c r="E519" s="10" t="s">
        <v>137</v>
      </c>
      <c r="F519" s="10" t="s">
        <v>25</v>
      </c>
      <c r="G519" s="10" t="s">
        <v>95</v>
      </c>
      <c r="H519" s="10" t="s">
        <v>240</v>
      </c>
      <c r="N519" s="247"/>
    </row>
    <row r="520" spans="1:23" ht="15" x14ac:dyDescent="0.25">
      <c r="A520" s="167" t="str">
        <f>Balanço_MRE!A520</f>
        <v>MCR - Porto Gregório Curvo</v>
      </c>
      <c r="B520" s="167">
        <f>Balanço_MRE!B520</f>
        <v>0</v>
      </c>
      <c r="C520" s="167" t="str">
        <f>Balanço_MRE!C520</f>
        <v>Carga</v>
      </c>
      <c r="D520" s="192" t="str">
        <f>Balanço_MRE!D520</f>
        <v>SUDESTE</v>
      </c>
      <c r="E520" s="79">
        <f>Balanço_MRE!E520</f>
        <v>0.124103</v>
      </c>
      <c r="F520" s="262">
        <f>Balanço_MRE!F520</f>
        <v>92.33232854603628</v>
      </c>
      <c r="G520" s="263">
        <f>Balanço_MRE!G520</f>
        <v>2.9929999999999999</v>
      </c>
      <c r="H520" s="193">
        <f>Balanço_MRE!H520</f>
        <v>0.03</v>
      </c>
      <c r="N520" s="247"/>
    </row>
    <row r="521" spans="1:23" ht="15" x14ac:dyDescent="0.25">
      <c r="A521" s="167" t="str">
        <f>Balanço_MRE!A521</f>
        <v>MCR - Santa Cruz</v>
      </c>
      <c r="B521" s="167">
        <f>Balanço_MRE!B521</f>
        <v>0</v>
      </c>
      <c r="C521" s="167" t="str">
        <f>Balanço_MRE!C521</f>
        <v>Carga</v>
      </c>
      <c r="D521" s="192" t="str">
        <f>Balanço_MRE!D521</f>
        <v>SUDESTE</v>
      </c>
      <c r="E521" s="79">
        <f>Balanço_MRE!E521</f>
        <v>1.0670360000000001</v>
      </c>
      <c r="F521" s="262">
        <f>Balanço_MRE!F521</f>
        <v>793.8746480981157</v>
      </c>
      <c r="G521" s="263">
        <f>Balanço_MRE!G521</f>
        <v>18.515999999999998</v>
      </c>
      <c r="H521" s="193">
        <f>Balanço_MRE!H521</f>
        <v>0.03</v>
      </c>
      <c r="N521" s="247"/>
    </row>
    <row r="522" spans="1:23" ht="15" x14ac:dyDescent="0.25">
      <c r="A522" s="167" t="str">
        <f>Balanço_MRE!A522</f>
        <v>MCR - Urucum</v>
      </c>
      <c r="B522" s="167">
        <f>Balanço_MRE!B522</f>
        <v>0</v>
      </c>
      <c r="C522" s="167" t="str">
        <f>Balanço_MRE!C522</f>
        <v>Carga</v>
      </c>
      <c r="D522" s="192" t="str">
        <f>Balanço_MRE!D522</f>
        <v>SUDESTE</v>
      </c>
      <c r="E522" s="79">
        <f>Balanço_MRE!E522</f>
        <v>0.73677300000000001</v>
      </c>
      <c r="F522" s="262">
        <f>Balanço_MRE!F522</f>
        <v>548.15936132243132</v>
      </c>
      <c r="G522" s="263">
        <f>Balanço_MRE!G522</f>
        <v>13.156000000000001</v>
      </c>
      <c r="H522" s="193">
        <f>Balanço_MRE!H522</f>
        <v>0.03</v>
      </c>
      <c r="N522" s="247"/>
    </row>
    <row r="523" spans="1:23" ht="15" x14ac:dyDescent="0.25">
      <c r="A523" s="217"/>
      <c r="B523" s="217"/>
      <c r="C523" s="217"/>
      <c r="D523" s="217"/>
      <c r="E523" s="218"/>
      <c r="F523" s="219"/>
      <c r="G523" s="220">
        <f>'[8]2019'!$F$36</f>
        <v>13.156000000000001</v>
      </c>
      <c r="H523" s="221"/>
      <c r="N523" s="247"/>
    </row>
    <row r="524" spans="1:23" ht="15" x14ac:dyDescent="0.25">
      <c r="A524" s="80" t="s">
        <v>32</v>
      </c>
      <c r="B524" s="16"/>
      <c r="C524" s="16"/>
      <c r="D524" s="17"/>
      <c r="E524" s="81">
        <f>SUM(E520:E523)</f>
        <v>1.9279120000000001</v>
      </c>
      <c r="F524" s="84">
        <f>SUM(F520:F523)</f>
        <v>1434.3663379665832</v>
      </c>
      <c r="G524" s="84">
        <f>SUM(G520:G523)</f>
        <v>47.820999999999998</v>
      </c>
      <c r="H524" s="84"/>
      <c r="I524" s="115"/>
      <c r="N524" s="247"/>
    </row>
    <row r="525" spans="1:23" ht="15" x14ac:dyDescent="0.25">
      <c r="N525" s="247"/>
    </row>
    <row r="526" spans="1:23" ht="15" x14ac:dyDescent="0.25">
      <c r="A526" s="548" t="s">
        <v>70</v>
      </c>
      <c r="B526" s="548"/>
      <c r="C526" s="548"/>
      <c r="D526" s="548"/>
      <c r="E526" s="548"/>
      <c r="F526" s="548"/>
      <c r="G526" s="548"/>
      <c r="H526" s="548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</row>
    <row r="527" spans="1:23" ht="15" x14ac:dyDescent="0.25">
      <c r="A527" s="10" t="s">
        <v>252</v>
      </c>
      <c r="B527" s="10" t="s">
        <v>1</v>
      </c>
      <c r="C527" s="10" t="s">
        <v>2</v>
      </c>
      <c r="D527" s="10" t="s">
        <v>3</v>
      </c>
      <c r="E527" s="10" t="s">
        <v>137</v>
      </c>
      <c r="F527" s="10" t="s">
        <v>25</v>
      </c>
      <c r="G527" s="10" t="s">
        <v>253</v>
      </c>
      <c r="H527" s="10" t="s">
        <v>254</v>
      </c>
      <c r="I527" s="247"/>
      <c r="J527" s="10"/>
      <c r="K527" s="10"/>
      <c r="L527" s="10"/>
      <c r="M527" s="10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</row>
    <row r="528" spans="1:23" ht="15" x14ac:dyDescent="0.25">
      <c r="A528" s="167">
        <f>Balanço_MRE!A528</f>
        <v>0</v>
      </c>
      <c r="B528" s="167" t="str">
        <f>Balanço_MRE!B528</f>
        <v>PROINFA MCR</v>
      </c>
      <c r="C528" s="167" t="str">
        <f>Balanço_MRE!C528</f>
        <v>Contratos de Compra</v>
      </c>
      <c r="D528" s="192" t="str">
        <f>Balanço_MRE!D528</f>
        <v>SUDESTE</v>
      </c>
      <c r="E528" s="79">
        <f>Balanço_MRE!E528</f>
        <v>4.6593000000000002E-2</v>
      </c>
      <c r="F528" s="262">
        <f>Balanço_MRE!F528</f>
        <v>34.664999999999999</v>
      </c>
      <c r="G528" s="263">
        <f>Balanço_MRE!G528</f>
        <v>0</v>
      </c>
      <c r="H528" s="193">
        <f>Balanço_MRE!H528</f>
        <v>0</v>
      </c>
      <c r="I528" s="139"/>
      <c r="J528" s="247">
        <f>SUM([14]Contratos!$W$3:$W$4)</f>
        <v>261.19299999999998</v>
      </c>
      <c r="K528" s="247"/>
      <c r="L528" s="247"/>
      <c r="M528" s="247"/>
      <c r="N528" s="247"/>
    </row>
    <row r="529" spans="1:14" ht="15" x14ac:dyDescent="0.25">
      <c r="A529" s="167">
        <f>Balanço_MRE!A529</f>
        <v>956744</v>
      </c>
      <c r="B529" s="167" t="str">
        <f>Balanço_MRE!B529</f>
        <v xml:space="preserve">CVRD APE I5 &gt;&gt; </v>
      </c>
      <c r="C529" s="167" t="str">
        <f>Balanço_MRE!C529</f>
        <v>Contratos de Compra</v>
      </c>
      <c r="D529" s="192" t="str">
        <f>Balanço_MRE!D529</f>
        <v>SUDESTE</v>
      </c>
      <c r="E529" s="79">
        <f>Balanço_MRE!E529</f>
        <v>0</v>
      </c>
      <c r="F529" s="262">
        <f>Balanço_MRE!F529</f>
        <v>0</v>
      </c>
      <c r="G529" s="263">
        <f>Balanço_MRE!G529</f>
        <v>0</v>
      </c>
      <c r="H529" s="193">
        <f>Balanço_MRE!H529</f>
        <v>0</v>
      </c>
      <c r="I529" s="139"/>
      <c r="J529" s="9" t="e">
        <f>VLOOKUP(A529,[13]RelatorioContratos_080817_10335!$A$2:$AB$196,26,FALSE)</f>
        <v>#N/A</v>
      </c>
      <c r="K529" s="9" t="e">
        <f>VLOOKUP(A529,[13]RelatorioContratos_080817_10335!$A$2:$AB$196,8,FALSE)</f>
        <v>#N/A</v>
      </c>
      <c r="L529" s="9" t="e">
        <f>VLOOKUP(A529,[19]RelatorioContratos_080817_10384!$A$2:$AZ$196,32,FALSE)</f>
        <v>#N/A</v>
      </c>
      <c r="M529" s="9" t="e">
        <f>VLOOKUP(A529,[19]RelatorioContratos_080817_10384!$A$2:$AZ$196,33,FALSE)</f>
        <v>#N/A</v>
      </c>
      <c r="N529" s="247" t="e">
        <f>(J529*$B$33)-F529</f>
        <v>#N/A</v>
      </c>
    </row>
    <row r="530" spans="1:14" ht="15" x14ac:dyDescent="0.25">
      <c r="A530" s="167">
        <f>Balanço_MRE!A530</f>
        <v>1097147</v>
      </c>
      <c r="B530" s="167" t="str">
        <f>Balanço_MRE!B530</f>
        <v>VALE ENE I5 &gt;&gt; MCR PGC</v>
      </c>
      <c r="C530" s="167" t="str">
        <f>Balanço_MRE!C530</f>
        <v>Contratos de Compra</v>
      </c>
      <c r="D530" s="192" t="str">
        <f>Balanço_MRE!D530</f>
        <v>SUDESTE</v>
      </c>
      <c r="E530" s="79">
        <f>Balanço_MRE!E530</f>
        <v>0.124103</v>
      </c>
      <c r="F530" s="262">
        <f>Balanço_MRE!F530</f>
        <v>92.33232854603628</v>
      </c>
      <c r="G530" s="263">
        <f>Balanço_MRE!G530</f>
        <v>219.51</v>
      </c>
      <c r="H530" s="193">
        <f>Balanço_MRE!H530</f>
        <v>20267.869439140424</v>
      </c>
      <c r="I530" s="115"/>
      <c r="J530" s="9" t="e">
        <f>VLOOKUP(A530,[13]RelatorioContratos_080817_10335!$A$2:$AB$196,26,FALSE)</f>
        <v>#N/A</v>
      </c>
      <c r="K530" s="9" t="e">
        <f>VLOOKUP(A530,[13]RelatorioContratos_080817_10335!$A$2:$AB$196,8,FALSE)</f>
        <v>#N/A</v>
      </c>
      <c r="L530" s="9" t="e">
        <f>VLOOKUP(A530,[19]RelatorioContratos_080817_10384!$A$2:$AZ$196,32,FALSE)</f>
        <v>#N/A</v>
      </c>
      <c r="M530" s="9" t="e">
        <f>VLOOKUP(A530,[19]RelatorioContratos_080817_10384!$A$2:$AZ$196,33,FALSE)</f>
        <v>#N/A</v>
      </c>
      <c r="N530" s="247" t="e">
        <f>(J530*$B$33)-F530</f>
        <v>#N/A</v>
      </c>
    </row>
    <row r="531" spans="1:14" ht="15" x14ac:dyDescent="0.25">
      <c r="A531" s="167">
        <f>Balanço_MRE!A531</f>
        <v>1097148</v>
      </c>
      <c r="B531" s="167" t="str">
        <f>Balanço_MRE!B531</f>
        <v>VALE ENE I5 &gt;&gt; MCR STA CRUZ</v>
      </c>
      <c r="C531" s="167" t="str">
        <f>Balanço_MRE!C531</f>
        <v>Contratos de Compra</v>
      </c>
      <c r="D531" s="192" t="str">
        <f>Balanço_MRE!D531</f>
        <v>SUDESTE</v>
      </c>
      <c r="E531" s="79">
        <f>Balanço_MRE!E531</f>
        <v>1.0670360000000001</v>
      </c>
      <c r="F531" s="262">
        <f>Balanço_MRE!F531</f>
        <v>793.8746480981157</v>
      </c>
      <c r="G531" s="263">
        <f>Balanço_MRE!G531</f>
        <v>219.51</v>
      </c>
      <c r="H531" s="193">
        <f>Balanço_MRE!H531</f>
        <v>174263.42400401738</v>
      </c>
      <c r="I531" s="115"/>
      <c r="J531" s="9"/>
      <c r="K531" s="9"/>
      <c r="L531" s="9"/>
      <c r="M531" s="9"/>
      <c r="N531" s="247"/>
    </row>
    <row r="532" spans="1:14" ht="15" x14ac:dyDescent="0.25">
      <c r="A532" s="167">
        <f>Balanço_MRE!A532</f>
        <v>1097157</v>
      </c>
      <c r="B532" s="167" t="str">
        <f>Balanço_MRE!B532</f>
        <v>VALE ENE I5 &gt;&gt; MCR URUCUM</v>
      </c>
      <c r="C532" s="167" t="str">
        <f>Balanço_MRE!C532</f>
        <v>Contratos de Compra</v>
      </c>
      <c r="D532" s="192" t="str">
        <f>Balanço_MRE!D532</f>
        <v>SUDESTE</v>
      </c>
      <c r="E532" s="79">
        <f>Balanço_MRE!E532</f>
        <v>0.73677300000000001</v>
      </c>
      <c r="F532" s="262">
        <f>Balanço_MRE!F532</f>
        <v>548.15936132243132</v>
      </c>
      <c r="G532" s="263">
        <f>Balanço_MRE!G532</f>
        <v>219.51</v>
      </c>
      <c r="H532" s="193">
        <f>Balanço_MRE!H532</f>
        <v>120326.46140388689</v>
      </c>
      <c r="I532" s="115"/>
      <c r="J532" s="9"/>
      <c r="K532" s="9"/>
      <c r="L532" s="9"/>
      <c r="M532" s="9"/>
      <c r="N532" s="247"/>
    </row>
    <row r="533" spans="1:14" ht="15" x14ac:dyDescent="0.25">
      <c r="A533" s="217"/>
      <c r="B533" s="217"/>
      <c r="C533" s="217"/>
      <c r="D533" s="217"/>
      <c r="E533" s="218"/>
      <c r="F533" s="219"/>
      <c r="G533" s="220"/>
      <c r="H533" s="221"/>
      <c r="I533" s="115"/>
      <c r="J533" s="393"/>
      <c r="K533" s="393"/>
      <c r="L533" s="393"/>
      <c r="M533" s="393"/>
      <c r="N533" s="247"/>
    </row>
    <row r="534" spans="1:14" ht="15" x14ac:dyDescent="0.25">
      <c r="A534" s="80" t="s">
        <v>32</v>
      </c>
      <c r="B534" s="16"/>
      <c r="C534" s="16"/>
      <c r="D534" s="17"/>
      <c r="E534" s="81">
        <f>SUM(E528:E533)</f>
        <v>1.9745050000000002</v>
      </c>
      <c r="F534" s="84">
        <f>SUM(F528:F533)</f>
        <v>1469.0313379665834</v>
      </c>
      <c r="G534" s="82">
        <f>IFERROR(H534/F534,0)</f>
        <v>214.33018255612387</v>
      </c>
      <c r="H534" s="82">
        <f>SUM(H528:H533)</f>
        <v>314857.75484704471</v>
      </c>
      <c r="I534" s="115"/>
      <c r="N534" s="247"/>
    </row>
    <row r="535" spans="1:14" ht="15" x14ac:dyDescent="0.25">
      <c r="B535" s="397"/>
      <c r="N535" s="247"/>
    </row>
    <row r="536" spans="1:14" ht="15" x14ac:dyDescent="0.25">
      <c r="A536" s="548" t="s">
        <v>233</v>
      </c>
      <c r="B536" s="548"/>
      <c r="C536" s="548"/>
      <c r="E536" s="116" t="s">
        <v>19</v>
      </c>
      <c r="F536" s="116"/>
      <c r="G536" s="117" t="s">
        <v>20</v>
      </c>
      <c r="H536" s="117"/>
      <c r="I536" s="118" t="s">
        <v>21</v>
      </c>
      <c r="J536" s="118"/>
      <c r="K536" s="119" t="s">
        <v>22</v>
      </c>
      <c r="L536" s="119"/>
      <c r="N536" s="247"/>
    </row>
    <row r="537" spans="1:14" ht="15" x14ac:dyDescent="0.25">
      <c r="A537" s="10" t="s">
        <v>2</v>
      </c>
      <c r="B537" s="10" t="s">
        <v>137</v>
      </c>
      <c r="C537" s="10" t="s">
        <v>25</v>
      </c>
      <c r="E537" s="207" t="s">
        <v>137</v>
      </c>
      <c r="F537" s="208" t="s">
        <v>25</v>
      </c>
      <c r="G537" s="209" t="s">
        <v>137</v>
      </c>
      <c r="H537" s="210" t="s">
        <v>25</v>
      </c>
      <c r="I537" s="211" t="s">
        <v>137</v>
      </c>
      <c r="J537" s="212" t="s">
        <v>25</v>
      </c>
      <c r="K537" s="213" t="s">
        <v>137</v>
      </c>
      <c r="L537" s="214" t="s">
        <v>25</v>
      </c>
      <c r="N537" s="247"/>
    </row>
    <row r="538" spans="1:14" ht="15" x14ac:dyDescent="0.25">
      <c r="A538" s="29" t="s">
        <v>69</v>
      </c>
      <c r="B538" s="70">
        <v>0</v>
      </c>
      <c r="C538" s="83">
        <v>0</v>
      </c>
      <c r="E538" s="120">
        <f t="shared" ref="E538:E544" si="123">SUMIFS($E$347:$E$360,$C$347:$C$360,$A538,$D$347:$D$360,$E$363)</f>
        <v>0</v>
      </c>
      <c r="F538" s="121">
        <f t="shared" ref="F538:F544" si="124">SUMIFS($F$347:$F$360,$C$347:$C$360,$A538,$D$347:$D$360,$E$363)</f>
        <v>0</v>
      </c>
      <c r="G538" s="122">
        <f t="shared" ref="G538:G544" si="125">SUMIFS($E$347:$E$360,$C$347:$C$360,$A538,$D$347:$D$360,$G$363)</f>
        <v>0</v>
      </c>
      <c r="H538" s="123">
        <f t="shared" ref="H538:H544" si="126">SUMIFS($F$347:$F$360,$C$347:$C$360,$A538,$D$347:$D$360,$G$363)</f>
        <v>0</v>
      </c>
      <c r="I538" s="124">
        <f t="shared" ref="I538:I544" si="127">SUMIFS($E$347:$E$360,$C$347:$C$360,$A538,$D$347:$D$360,$I$363)</f>
        <v>0</v>
      </c>
      <c r="J538" s="125">
        <f t="shared" ref="J538:J544" si="128">SUMIFS($F$347:$F$360,$C$347:$C$360,$A538,$D$347:$D$360,$I$363)</f>
        <v>0</v>
      </c>
      <c r="K538" s="126">
        <f t="shared" ref="K538:K544" si="129">SUMIFS($E$347:$E$360,$C$347:$C$360,$A538,$D$347:$D$360,$K$363)</f>
        <v>0</v>
      </c>
      <c r="L538" s="127">
        <f t="shared" ref="L538:L544" si="130">SUMIFS($F$347:$F$360,$C$347:$C$360,$A538,$D$347:$D$360,$K$363)</f>
        <v>0</v>
      </c>
      <c r="N538" s="247"/>
    </row>
    <row r="539" spans="1:14" ht="15" x14ac:dyDescent="0.25">
      <c r="A539" s="29" t="s">
        <v>47</v>
      </c>
      <c r="B539" s="70">
        <v>0</v>
      </c>
      <c r="C539" s="83">
        <v>0</v>
      </c>
      <c r="E539" s="120">
        <f t="shared" si="123"/>
        <v>0</v>
      </c>
      <c r="F539" s="121">
        <f t="shared" si="124"/>
        <v>0</v>
      </c>
      <c r="G539" s="122">
        <f t="shared" si="125"/>
        <v>0</v>
      </c>
      <c r="H539" s="123">
        <f t="shared" si="126"/>
        <v>0</v>
      </c>
      <c r="I539" s="124">
        <f t="shared" si="127"/>
        <v>0</v>
      </c>
      <c r="J539" s="125">
        <f t="shared" si="128"/>
        <v>0</v>
      </c>
      <c r="K539" s="126">
        <f t="shared" si="129"/>
        <v>0</v>
      </c>
      <c r="L539" s="127">
        <f t="shared" si="130"/>
        <v>0</v>
      </c>
      <c r="N539" s="247"/>
    </row>
    <row r="540" spans="1:14" ht="15" x14ac:dyDescent="0.25">
      <c r="A540" s="29" t="s">
        <v>79</v>
      </c>
      <c r="B540" s="70">
        <v>0</v>
      </c>
      <c r="C540" s="83">
        <v>0</v>
      </c>
      <c r="E540" s="120">
        <f t="shared" si="123"/>
        <v>0</v>
      </c>
      <c r="F540" s="121">
        <f t="shared" si="124"/>
        <v>0</v>
      </c>
      <c r="G540" s="122">
        <f t="shared" si="125"/>
        <v>0</v>
      </c>
      <c r="H540" s="123">
        <f t="shared" si="126"/>
        <v>0</v>
      </c>
      <c r="I540" s="124">
        <f t="shared" si="127"/>
        <v>0</v>
      </c>
      <c r="J540" s="125">
        <f t="shared" si="128"/>
        <v>0</v>
      </c>
      <c r="K540" s="126">
        <f t="shared" si="129"/>
        <v>0</v>
      </c>
      <c r="L540" s="127">
        <f t="shared" si="130"/>
        <v>0</v>
      </c>
      <c r="N540" s="247"/>
    </row>
    <row r="541" spans="1:14" ht="15" x14ac:dyDescent="0.25">
      <c r="A541" s="29" t="s">
        <v>71</v>
      </c>
      <c r="B541" s="70">
        <f>E534</f>
        <v>1.9745050000000002</v>
      </c>
      <c r="C541" s="83">
        <f>F534</f>
        <v>1469.0313379665834</v>
      </c>
      <c r="E541" s="120">
        <f t="shared" si="123"/>
        <v>0</v>
      </c>
      <c r="F541" s="121">
        <f t="shared" si="124"/>
        <v>0</v>
      </c>
      <c r="G541" s="122">
        <f t="shared" si="125"/>
        <v>0</v>
      </c>
      <c r="H541" s="123">
        <f t="shared" si="126"/>
        <v>0</v>
      </c>
      <c r="I541" s="124">
        <f t="shared" si="127"/>
        <v>0.91375399999999996</v>
      </c>
      <c r="J541" s="125">
        <f t="shared" si="128"/>
        <v>679.83346859106553</v>
      </c>
      <c r="K541" s="126">
        <f t="shared" si="129"/>
        <v>0</v>
      </c>
      <c r="L541" s="127">
        <f t="shared" si="130"/>
        <v>0</v>
      </c>
      <c r="N541" s="247"/>
    </row>
    <row r="542" spans="1:14" ht="15" x14ac:dyDescent="0.25">
      <c r="A542" s="29" t="s">
        <v>9</v>
      </c>
      <c r="B542" s="70">
        <f>E524</f>
        <v>1.9279120000000001</v>
      </c>
      <c r="C542" s="83">
        <f>F524</f>
        <v>1434.3663379665832</v>
      </c>
      <c r="E542" s="120">
        <f t="shared" si="123"/>
        <v>0</v>
      </c>
      <c r="F542" s="121">
        <f t="shared" si="124"/>
        <v>0</v>
      </c>
      <c r="G542" s="122">
        <f t="shared" si="125"/>
        <v>0</v>
      </c>
      <c r="H542" s="123">
        <f t="shared" si="126"/>
        <v>0</v>
      </c>
      <c r="I542" s="124">
        <f t="shared" si="127"/>
        <v>0.91375399999999996</v>
      </c>
      <c r="J542" s="125">
        <f t="shared" si="128"/>
        <v>679.83346859106553</v>
      </c>
      <c r="K542" s="126">
        <f t="shared" si="129"/>
        <v>0</v>
      </c>
      <c r="L542" s="127">
        <f t="shared" si="130"/>
        <v>0</v>
      </c>
      <c r="M542" s="140"/>
      <c r="N542" s="247"/>
    </row>
    <row r="543" spans="1:14" ht="15" x14ac:dyDescent="0.25">
      <c r="A543" s="29" t="s">
        <v>80</v>
      </c>
      <c r="B543" s="70">
        <v>0</v>
      </c>
      <c r="C543" s="83">
        <v>0</v>
      </c>
      <c r="E543" s="120">
        <f t="shared" si="123"/>
        <v>0</v>
      </c>
      <c r="F543" s="121">
        <f t="shared" si="124"/>
        <v>0</v>
      </c>
      <c r="G543" s="122">
        <f t="shared" si="125"/>
        <v>0</v>
      </c>
      <c r="H543" s="123">
        <f t="shared" si="126"/>
        <v>0</v>
      </c>
      <c r="I543" s="124">
        <f t="shared" si="127"/>
        <v>0</v>
      </c>
      <c r="J543" s="125">
        <f t="shared" si="128"/>
        <v>0</v>
      </c>
      <c r="K543" s="126">
        <f t="shared" si="129"/>
        <v>0</v>
      </c>
      <c r="L543" s="127">
        <f t="shared" si="130"/>
        <v>0</v>
      </c>
      <c r="N543" s="247"/>
    </row>
    <row r="544" spans="1:14" ht="15" x14ac:dyDescent="0.25">
      <c r="A544" s="29" t="s">
        <v>77</v>
      </c>
      <c r="B544" s="70">
        <v>0</v>
      </c>
      <c r="C544" s="83">
        <v>0</v>
      </c>
      <c r="E544" s="120">
        <f t="shared" si="123"/>
        <v>0</v>
      </c>
      <c r="F544" s="121">
        <f t="shared" si="124"/>
        <v>0</v>
      </c>
      <c r="G544" s="122">
        <f t="shared" si="125"/>
        <v>0</v>
      </c>
      <c r="H544" s="123">
        <f t="shared" si="126"/>
        <v>0</v>
      </c>
      <c r="I544" s="124">
        <f t="shared" si="127"/>
        <v>0</v>
      </c>
      <c r="J544" s="125">
        <f t="shared" si="128"/>
        <v>0</v>
      </c>
      <c r="K544" s="126">
        <f t="shared" si="129"/>
        <v>0</v>
      </c>
      <c r="L544" s="127">
        <f t="shared" si="130"/>
        <v>0</v>
      </c>
      <c r="N544" s="247"/>
    </row>
    <row r="545" spans="1:16" ht="15" x14ac:dyDescent="0.25">
      <c r="A545" s="11" t="s">
        <v>81</v>
      </c>
      <c r="B545" s="12">
        <f>SUM(B538:B541)-SUM(B542:B544)</f>
        <v>4.6593000000000107E-2</v>
      </c>
      <c r="C545" s="12">
        <f>SUM(C538:C541)-SUM(C542:C544)</f>
        <v>34.665000000000191</v>
      </c>
      <c r="E545" s="128">
        <f>SUMIFS($E$347:$E$356,$C$347:$C$356,A545,$D$347:$D$356,$E$21)</f>
        <v>0</v>
      </c>
      <c r="F545" s="129">
        <f>SUMIFS($F$347:$F$356,$C$347:$C$356,A545,$D$347:$D$356,$E$465)</f>
        <v>0</v>
      </c>
      <c r="G545" s="130">
        <f t="shared" ref="G545:L545" si="131">SUM(G538:G541)-SUM(G542:G544)</f>
        <v>0</v>
      </c>
      <c r="H545" s="131">
        <f t="shared" si="131"/>
        <v>0</v>
      </c>
      <c r="I545" s="132">
        <f t="shared" si="131"/>
        <v>0</v>
      </c>
      <c r="J545" s="133">
        <f t="shared" si="131"/>
        <v>0</v>
      </c>
      <c r="K545" s="134">
        <f t="shared" si="131"/>
        <v>0</v>
      </c>
      <c r="L545" s="135">
        <f t="shared" si="131"/>
        <v>0</v>
      </c>
      <c r="N545" s="247"/>
    </row>
    <row r="546" spans="1:16" ht="15" x14ac:dyDescent="0.25">
      <c r="A546" s="11" t="s">
        <v>82</v>
      </c>
      <c r="B546" s="12">
        <f>SUM(B538:B541)-SUM(B542:B545)</f>
        <v>0</v>
      </c>
      <c r="C546" s="12">
        <f>SUM(C538:C541)-SUM(C542:C545)</f>
        <v>0</v>
      </c>
      <c r="E546" s="128">
        <f>SUMIFS($E$347:$E$356,$C$347:$C$356,A546,$D$347:$D$356,$E$21)</f>
        <v>0</v>
      </c>
      <c r="F546" s="129">
        <f>SUMIFS($F$347:$F$356,$C$347:$C$356,A546,$D$347:$D$356,$E$465)</f>
        <v>0</v>
      </c>
      <c r="G546" s="130">
        <f t="shared" ref="G546:L546" si="132">SUM(G538:G541)-SUM(G542:G545)</f>
        <v>0</v>
      </c>
      <c r="H546" s="131">
        <f t="shared" si="132"/>
        <v>0</v>
      </c>
      <c r="I546" s="132">
        <f t="shared" si="132"/>
        <v>0</v>
      </c>
      <c r="J546" s="133">
        <f t="shared" si="132"/>
        <v>0</v>
      </c>
      <c r="K546" s="134">
        <f t="shared" si="132"/>
        <v>0</v>
      </c>
      <c r="L546" s="135">
        <f t="shared" si="132"/>
        <v>0</v>
      </c>
      <c r="N546" s="247"/>
    </row>
    <row r="547" spans="1:16" ht="15" x14ac:dyDescent="0.25">
      <c r="N547" s="247"/>
    </row>
    <row r="548" spans="1:16" ht="15" x14ac:dyDescent="0.25">
      <c r="E548" s="153">
        <f>(F545*$H$5)+(H545*$J$5)+(J545*$L$5)+(L545*$N$5)</f>
        <v>0</v>
      </c>
      <c r="N548" s="247"/>
    </row>
    <row r="549" spans="1:16" ht="15" x14ac:dyDescent="0.25">
      <c r="N549" s="247"/>
    </row>
    <row r="550" spans="1:16" ht="15" x14ac:dyDescent="0.25">
      <c r="N550" s="247"/>
    </row>
    <row r="551" spans="1:16" ht="15" x14ac:dyDescent="0.25">
      <c r="A551" s="564" t="s">
        <v>226</v>
      </c>
      <c r="B551" s="564"/>
      <c r="C551" s="564"/>
      <c r="D551" s="564"/>
      <c r="E551" s="564"/>
      <c r="F551" s="564"/>
      <c r="G551" s="564"/>
      <c r="H551" s="564"/>
      <c r="N551" s="247"/>
    </row>
    <row r="552" spans="1:16" ht="15" x14ac:dyDescent="0.25">
      <c r="A552" s="564"/>
      <c r="B552" s="564"/>
      <c r="C552" s="564"/>
      <c r="D552" s="564"/>
      <c r="E552" s="564"/>
      <c r="F552" s="564"/>
      <c r="G552" s="564"/>
      <c r="H552" s="564"/>
      <c r="N552" s="247"/>
    </row>
    <row r="553" spans="1:16" s="114" customFormat="1" ht="3.75" customHeight="1" x14ac:dyDescent="0.25">
      <c r="A553" s="14"/>
      <c r="B553" s="14"/>
      <c r="C553" s="14"/>
      <c r="D553" s="14"/>
      <c r="E553" s="14"/>
      <c r="F553" s="14"/>
      <c r="G553" s="14"/>
      <c r="H553" s="14"/>
      <c r="I553" s="106"/>
      <c r="J553" s="106"/>
      <c r="K553" s="106"/>
      <c r="L553" s="106"/>
      <c r="M553" s="106"/>
      <c r="N553" s="247"/>
      <c r="O553" s="106"/>
      <c r="P553" s="106"/>
    </row>
    <row r="554" spans="1:16" ht="15" x14ac:dyDescent="0.25">
      <c r="A554" s="548" t="s">
        <v>85</v>
      </c>
      <c r="B554" s="548"/>
      <c r="C554" s="548"/>
      <c r="D554" s="548"/>
      <c r="E554" s="548"/>
      <c r="F554" s="548"/>
      <c r="G554" s="548"/>
      <c r="H554" s="548"/>
      <c r="N554" s="247"/>
    </row>
    <row r="555" spans="1:16" ht="15" x14ac:dyDescent="0.25">
      <c r="A555" s="10" t="s">
        <v>8</v>
      </c>
      <c r="B555" s="10"/>
      <c r="C555" s="10" t="s">
        <v>2</v>
      </c>
      <c r="D555" s="10" t="s">
        <v>3</v>
      </c>
      <c r="E555" s="10" t="s">
        <v>137</v>
      </c>
      <c r="F555" s="10" t="s">
        <v>25</v>
      </c>
      <c r="G555" s="10" t="s">
        <v>95</v>
      </c>
      <c r="H555" s="10" t="s">
        <v>240</v>
      </c>
      <c r="N555" s="247"/>
    </row>
    <row r="556" spans="1:16" ht="15" x14ac:dyDescent="0.25">
      <c r="A556" s="167" t="str">
        <f>Balanço_MRE!A556</f>
        <v>VMSA - Ouro Preto, MG</v>
      </c>
      <c r="B556" s="167">
        <f>Balanço_MRE!B556</f>
        <v>0</v>
      </c>
      <c r="C556" s="167" t="str">
        <f>Balanço_MRE!C556</f>
        <v>Carga</v>
      </c>
      <c r="D556" s="192" t="str">
        <f>Balanço_MRE!D556</f>
        <v>SUDESTE</v>
      </c>
      <c r="E556" s="79">
        <f>Balanço_MRE!E556</f>
        <v>6.9374669999999998</v>
      </c>
      <c r="F556" s="262">
        <f>Balanço_MRE!F556</f>
        <v>5161.4751861511977</v>
      </c>
      <c r="G556" s="263">
        <f>Balanço_MRE!G556</f>
        <v>110.298</v>
      </c>
      <c r="H556" s="193">
        <f>Balanço_MRE!H556</f>
        <v>0.03</v>
      </c>
      <c r="L556" s="109"/>
      <c r="N556" s="247"/>
    </row>
    <row r="557" spans="1:16" ht="15" x14ac:dyDescent="0.25">
      <c r="A557" s="215"/>
      <c r="B557" s="215"/>
      <c r="C557" s="215"/>
      <c r="D557" s="216"/>
      <c r="E557" s="174"/>
      <c r="F557" s="175"/>
      <c r="G557" s="175">
        <f>'[8]2019'!$F$10</f>
        <v>110.298</v>
      </c>
      <c r="H557" s="175"/>
      <c r="L557" s="109"/>
      <c r="N557" s="247"/>
    </row>
    <row r="558" spans="1:16" ht="15" x14ac:dyDescent="0.25">
      <c r="A558" s="80" t="s">
        <v>32</v>
      </c>
      <c r="B558" s="16"/>
      <c r="C558" s="16"/>
      <c r="D558" s="17"/>
      <c r="E558" s="81">
        <f>SUM(E556:E557)</f>
        <v>6.9374669999999998</v>
      </c>
      <c r="F558" s="84">
        <f>SUM(F556:F557)</f>
        <v>5161.4751861511977</v>
      </c>
      <c r="G558" s="84">
        <f>SUM(G556:G557)</f>
        <v>220.596</v>
      </c>
      <c r="H558" s="84"/>
      <c r="I558" s="115"/>
      <c r="N558" s="247"/>
    </row>
    <row r="559" spans="1:16" ht="15" x14ac:dyDescent="0.25">
      <c r="N559" s="247"/>
    </row>
    <row r="560" spans="1:16" ht="15" x14ac:dyDescent="0.25">
      <c r="A560" s="548" t="s">
        <v>70</v>
      </c>
      <c r="B560" s="548"/>
      <c r="C560" s="548"/>
      <c r="D560" s="548"/>
      <c r="E560" s="548"/>
      <c r="F560" s="548"/>
      <c r="G560" s="548"/>
      <c r="H560" s="548"/>
      <c r="N560" s="247"/>
    </row>
    <row r="561" spans="1:14" ht="15" x14ac:dyDescent="0.25">
      <c r="A561" s="10" t="s">
        <v>252</v>
      </c>
      <c r="B561" s="10" t="s">
        <v>1</v>
      </c>
      <c r="C561" s="10" t="s">
        <v>2</v>
      </c>
      <c r="D561" s="10" t="s">
        <v>3</v>
      </c>
      <c r="E561" s="10" t="s">
        <v>137</v>
      </c>
      <c r="F561" s="10" t="s">
        <v>25</v>
      </c>
      <c r="G561" s="10" t="s">
        <v>253</v>
      </c>
      <c r="H561" s="10" t="s">
        <v>254</v>
      </c>
      <c r="J561" s="10" t="s">
        <v>72</v>
      </c>
      <c r="K561" s="10" t="s">
        <v>73</v>
      </c>
      <c r="L561" s="10" t="s">
        <v>74</v>
      </c>
      <c r="M561" s="10" t="s">
        <v>75</v>
      </c>
      <c r="N561" s="247"/>
    </row>
    <row r="562" spans="1:14" ht="15" x14ac:dyDescent="0.25">
      <c r="A562" s="167">
        <f>Balanço_MRE!A562</f>
        <v>15580</v>
      </c>
      <c r="B562" s="167" t="str">
        <f>Balanço_MRE!B562</f>
        <v>PROINFA | ACEP &gt;&gt; 0106_1225</v>
      </c>
      <c r="C562" s="167" t="str">
        <f>Balanço_MRE!C562</f>
        <v>Contratos de Compra</v>
      </c>
      <c r="D562" s="192" t="str">
        <f>Balanço_MRE!D562</f>
        <v>SUDESTE</v>
      </c>
      <c r="E562" s="79">
        <f>Balanço_MRE!E562</f>
        <v>0.14824999999999999</v>
      </c>
      <c r="F562" s="262">
        <f>Balanço_MRE!F562</f>
        <v>110.298</v>
      </c>
      <c r="G562" s="263">
        <f>Balanço_MRE!G562</f>
        <v>0</v>
      </c>
      <c r="H562" s="193">
        <f>Balanço_MRE!H562</f>
        <v>0</v>
      </c>
      <c r="J562" s="247" t="str">
        <f>[20]Contratos!W3</f>
        <v>321,414</v>
      </c>
      <c r="K562" s="247" t="e">
        <f>[21]Contratos!X40</f>
        <v>#REF!</v>
      </c>
      <c r="L562" s="247"/>
      <c r="M562" s="247"/>
      <c r="N562" s="247"/>
    </row>
    <row r="563" spans="1:14" ht="15" x14ac:dyDescent="0.25">
      <c r="A563" s="167">
        <f>Balanço_MRE!A563</f>
        <v>832615</v>
      </c>
      <c r="B563" s="167" t="str">
        <f>Balanço_MRE!B563</f>
        <v>VALE ENE I5 &gt;&gt; 0715_0119</v>
      </c>
      <c r="C563" s="167" t="str">
        <f>Balanço_MRE!C563</f>
        <v>Contratos de Compra</v>
      </c>
      <c r="D563" s="192" t="str">
        <f>Balanço_MRE!D563</f>
        <v>SUDESTE</v>
      </c>
      <c r="E563" s="79">
        <f>Balanço_MRE!E563</f>
        <v>0</v>
      </c>
      <c r="F563" s="262">
        <f>Balanço_MRE!F563</f>
        <v>0</v>
      </c>
      <c r="G563" s="263">
        <f>Balanço_MRE!G563</f>
        <v>0</v>
      </c>
      <c r="H563" s="193">
        <f>Balanço_MRE!H563</f>
        <v>0</v>
      </c>
      <c r="J563" s="9" t="e">
        <f>VLOOKUP(A563,#REF!,26,FALSE)</f>
        <v>#REF!</v>
      </c>
      <c r="K563" s="9" t="e">
        <f>VLOOKUP(A563,#REF!,8,FALSE)</f>
        <v>#REF!</v>
      </c>
      <c r="L563" s="9" t="e">
        <f>VLOOKUP(A563,#REF!,32,FALSE)</f>
        <v>#REF!</v>
      </c>
      <c r="M563" s="9" t="e">
        <f>VLOOKUP(A563,#REF!,33,FALSE)</f>
        <v>#REF!</v>
      </c>
      <c r="N563" s="247"/>
    </row>
    <row r="564" spans="1:14" ht="15" x14ac:dyDescent="0.25">
      <c r="A564" s="167">
        <f>Balanço_MRE!A564</f>
        <v>1007319</v>
      </c>
      <c r="B564" s="167" t="str">
        <f>Balanço_MRE!B564</f>
        <v>FURNAS &gt;&gt; 0117_0235</v>
      </c>
      <c r="C564" s="167" t="str">
        <f>Balanço_MRE!C564</f>
        <v>Contratos de Compra</v>
      </c>
      <c r="D564" s="192" t="str">
        <f>Balanço_MRE!D564</f>
        <v>SUDESTE</v>
      </c>
      <c r="E564" s="79">
        <f>Balanço_MRE!E564</f>
        <v>7</v>
      </c>
      <c r="F564" s="262">
        <f>Balanço_MRE!F564</f>
        <v>5208</v>
      </c>
      <c r="G564" s="263">
        <f>Balanço_MRE!G564</f>
        <v>145.28</v>
      </c>
      <c r="H564" s="193">
        <f>Balanço_MRE!H564</f>
        <v>756618.23999999999</v>
      </c>
      <c r="J564" s="9"/>
      <c r="K564" s="9"/>
      <c r="L564" s="9"/>
      <c r="M564" s="9"/>
      <c r="N564" s="247"/>
    </row>
    <row r="565" spans="1:14" ht="15" x14ac:dyDescent="0.25">
      <c r="A565" s="167">
        <f>Balanço_MRE!A565</f>
        <v>0</v>
      </c>
      <c r="B565" s="167">
        <f>Balanço_MRE!B565</f>
        <v>0</v>
      </c>
      <c r="C565" s="167">
        <f>Balanço_MRE!C565</f>
        <v>0</v>
      </c>
      <c r="D565" s="192">
        <f>Balanço_MRE!D565</f>
        <v>0</v>
      </c>
      <c r="E565" s="79">
        <f>Balanço_MRE!E565</f>
        <v>0</v>
      </c>
      <c r="F565" s="262">
        <f>Balanço_MRE!F565</f>
        <v>0</v>
      </c>
      <c r="G565" s="263">
        <f>Balanço_MRE!G565</f>
        <v>0</v>
      </c>
      <c r="H565" s="193">
        <f>Balanço_MRE!H565</f>
        <v>0</v>
      </c>
      <c r="J565" s="9"/>
      <c r="K565" s="9"/>
      <c r="L565" s="9"/>
      <c r="M565" s="9"/>
      <c r="N565" s="247"/>
    </row>
    <row r="566" spans="1:14" ht="15" x14ac:dyDescent="0.25">
      <c r="A566" s="167">
        <f>Balanço_MRE!A566</f>
        <v>0</v>
      </c>
      <c r="B566" s="167">
        <f>Balanço_MRE!B566</f>
        <v>0</v>
      </c>
      <c r="C566" s="167">
        <f>Balanço_MRE!C566</f>
        <v>0</v>
      </c>
      <c r="D566" s="192">
        <f>Balanço_MRE!D566</f>
        <v>0</v>
      </c>
      <c r="E566" s="79">
        <f>Balanço_MRE!E566</f>
        <v>0</v>
      </c>
      <c r="F566" s="262">
        <f>Balanço_MRE!F566</f>
        <v>0</v>
      </c>
      <c r="G566" s="263">
        <f>Balanço_MRE!G566</f>
        <v>0</v>
      </c>
      <c r="H566" s="193">
        <f>Balanço_MRE!H566</f>
        <v>0</v>
      </c>
      <c r="J566" s="9"/>
      <c r="K566" s="9"/>
      <c r="L566" s="9"/>
      <c r="M566" s="9"/>
      <c r="N566" s="247"/>
    </row>
    <row r="567" spans="1:14" ht="15" x14ac:dyDescent="0.25">
      <c r="A567" s="253"/>
      <c r="B567" s="253"/>
      <c r="C567" s="253"/>
      <c r="D567" s="253"/>
      <c r="E567" s="203"/>
      <c r="F567" s="204"/>
      <c r="G567" s="205"/>
      <c r="H567" s="206"/>
      <c r="J567" s="393"/>
      <c r="K567" s="393"/>
      <c r="L567" s="393"/>
      <c r="M567" s="393"/>
      <c r="N567" s="247"/>
    </row>
    <row r="568" spans="1:14" ht="15" x14ac:dyDescent="0.25">
      <c r="A568" s="80" t="s">
        <v>32</v>
      </c>
      <c r="B568" s="16"/>
      <c r="C568" s="16"/>
      <c r="D568" s="17"/>
      <c r="E568" s="81">
        <f>SUM(E562:E567)</f>
        <v>7.14825</v>
      </c>
      <c r="F568" s="84">
        <f>SUM(F562:F567)</f>
        <v>5318.2979999999998</v>
      </c>
      <c r="G568" s="82">
        <f>IFERROR(H568/F568,0)</f>
        <v>142.26698842374009</v>
      </c>
      <c r="H568" s="82">
        <f>SUM(H562:H567)</f>
        <v>756618.23999999999</v>
      </c>
      <c r="I568" s="115"/>
      <c r="N568" s="247"/>
    </row>
    <row r="569" spans="1:14" ht="15" x14ac:dyDescent="0.25">
      <c r="N569" s="247"/>
    </row>
    <row r="570" spans="1:14" ht="15" x14ac:dyDescent="0.25">
      <c r="A570" s="548" t="s">
        <v>233</v>
      </c>
      <c r="B570" s="548"/>
      <c r="C570" s="548"/>
      <c r="E570" s="116" t="s">
        <v>19</v>
      </c>
      <c r="F570" s="116"/>
      <c r="G570" s="117" t="s">
        <v>20</v>
      </c>
      <c r="H570" s="117"/>
      <c r="I570" s="118" t="s">
        <v>21</v>
      </c>
      <c r="J570" s="118"/>
      <c r="K570" s="119" t="s">
        <v>22</v>
      </c>
      <c r="L570" s="119"/>
      <c r="N570" s="247"/>
    </row>
    <row r="571" spans="1:14" ht="15" x14ac:dyDescent="0.25">
      <c r="A571" s="10" t="s">
        <v>2</v>
      </c>
      <c r="B571" s="10" t="s">
        <v>137</v>
      </c>
      <c r="C571" s="10" t="s">
        <v>25</v>
      </c>
      <c r="E571" s="207" t="s">
        <v>137</v>
      </c>
      <c r="F571" s="208" t="s">
        <v>25</v>
      </c>
      <c r="G571" s="209" t="s">
        <v>137</v>
      </c>
      <c r="H571" s="210" t="s">
        <v>25</v>
      </c>
      <c r="I571" s="211" t="s">
        <v>137</v>
      </c>
      <c r="J571" s="212" t="s">
        <v>25</v>
      </c>
      <c r="K571" s="213" t="s">
        <v>137</v>
      </c>
      <c r="L571" s="214" t="s">
        <v>25</v>
      </c>
      <c r="N571" s="247"/>
    </row>
    <row r="572" spans="1:14" ht="15" x14ac:dyDescent="0.25">
      <c r="A572" s="29" t="s">
        <v>69</v>
      </c>
      <c r="B572" s="70">
        <v>0</v>
      </c>
      <c r="C572" s="83">
        <v>0</v>
      </c>
      <c r="E572" s="120">
        <f t="shared" ref="E572:E578" si="133">SUMIFS($E$556:$E$567,$C$556:$C$567,$A572,$D$556:$D$567,$E$570)</f>
        <v>0</v>
      </c>
      <c r="F572" s="121">
        <f t="shared" ref="F572:F578" si="134">SUMIFS($F$556:$F$567,$C$556:$C$567,$A572,$D$556:$D$567,$E$570)</f>
        <v>0</v>
      </c>
      <c r="G572" s="122">
        <f t="shared" ref="G572:G578" si="135">SUMIFS($E$556:$E$567,$C$556:$C$567,$A572,$D$556:$D$567,$G$570)</f>
        <v>0</v>
      </c>
      <c r="H572" s="123">
        <f t="shared" ref="H572:H578" si="136">SUMIFS($F$556:$F$567,$C$556:$C$567,$A572,$D$556:$D$567,$G$570)</f>
        <v>0</v>
      </c>
      <c r="I572" s="124">
        <f t="shared" ref="I572:I578" si="137">SUMIFS($E$556:$E$567,$C$556:$C$567,$A572,$D$556:$D$567,$I$570)</f>
        <v>0</v>
      </c>
      <c r="J572" s="125">
        <f t="shared" ref="J572:J578" si="138">SUMIFS($F$556:$F$567,$C$556:$C$567,$A572,$D$556:$D$567,$I$570)</f>
        <v>0</v>
      </c>
      <c r="K572" s="126">
        <f t="shared" ref="K572:K578" si="139">SUMIFS($E$556:$E$567,$C$556:$C$567,$A572,$D$556:$D$567,$K$570)</f>
        <v>0</v>
      </c>
      <c r="L572" s="127">
        <f t="shared" ref="L572:L578" si="140">SUMIFS($F$556:$F$567,$C$556:$C$567,$A572,$D$556:$D$567,$K$570)</f>
        <v>0</v>
      </c>
      <c r="N572" s="247"/>
    </row>
    <row r="573" spans="1:14" ht="15" x14ac:dyDescent="0.25">
      <c r="A573" s="29" t="s">
        <v>47</v>
      </c>
      <c r="B573" s="70">
        <v>0</v>
      </c>
      <c r="C573" s="83">
        <v>0</v>
      </c>
      <c r="E573" s="120">
        <f t="shared" si="133"/>
        <v>0</v>
      </c>
      <c r="F573" s="121">
        <f t="shared" si="134"/>
        <v>0</v>
      </c>
      <c r="G573" s="122">
        <f t="shared" si="135"/>
        <v>0</v>
      </c>
      <c r="H573" s="123">
        <f t="shared" si="136"/>
        <v>0</v>
      </c>
      <c r="I573" s="124">
        <f t="shared" si="137"/>
        <v>0</v>
      </c>
      <c r="J573" s="125">
        <f t="shared" si="138"/>
        <v>0</v>
      </c>
      <c r="K573" s="126">
        <f t="shared" si="139"/>
        <v>0</v>
      </c>
      <c r="L573" s="127">
        <f t="shared" si="140"/>
        <v>0</v>
      </c>
      <c r="N573" s="247"/>
    </row>
    <row r="574" spans="1:14" ht="15" x14ac:dyDescent="0.25">
      <c r="A574" s="29" t="s">
        <v>79</v>
      </c>
      <c r="B574" s="70">
        <v>0</v>
      </c>
      <c r="C574" s="83">
        <v>0</v>
      </c>
      <c r="E574" s="120">
        <f t="shared" si="133"/>
        <v>0</v>
      </c>
      <c r="F574" s="121">
        <f t="shared" si="134"/>
        <v>0</v>
      </c>
      <c r="G574" s="122">
        <f t="shared" si="135"/>
        <v>0</v>
      </c>
      <c r="H574" s="123">
        <f t="shared" si="136"/>
        <v>0</v>
      </c>
      <c r="I574" s="124">
        <f t="shared" si="137"/>
        <v>0</v>
      </c>
      <c r="J574" s="125">
        <f t="shared" si="138"/>
        <v>0</v>
      </c>
      <c r="K574" s="126">
        <f t="shared" si="139"/>
        <v>0</v>
      </c>
      <c r="L574" s="127">
        <f t="shared" si="140"/>
        <v>0</v>
      </c>
      <c r="N574" s="247"/>
    </row>
    <row r="575" spans="1:14" ht="15" x14ac:dyDescent="0.25">
      <c r="A575" s="29" t="s">
        <v>71</v>
      </c>
      <c r="B575" s="70">
        <f>E568</f>
        <v>7.14825</v>
      </c>
      <c r="C575" s="83">
        <f>F568</f>
        <v>5318.2979999999998</v>
      </c>
      <c r="E575" s="120">
        <f t="shared" si="133"/>
        <v>0</v>
      </c>
      <c r="F575" s="121">
        <f t="shared" si="134"/>
        <v>0</v>
      </c>
      <c r="G575" s="122">
        <f t="shared" si="135"/>
        <v>0</v>
      </c>
      <c r="H575" s="123">
        <f t="shared" si="136"/>
        <v>0</v>
      </c>
      <c r="I575" s="124">
        <f t="shared" si="137"/>
        <v>7.14825</v>
      </c>
      <c r="J575" s="125">
        <f t="shared" si="138"/>
        <v>5318.2979999999998</v>
      </c>
      <c r="K575" s="126">
        <f t="shared" si="139"/>
        <v>0</v>
      </c>
      <c r="L575" s="127">
        <f t="shared" si="140"/>
        <v>0</v>
      </c>
      <c r="N575" s="247"/>
    </row>
    <row r="576" spans="1:14" ht="15" x14ac:dyDescent="0.25">
      <c r="A576" s="29" t="s">
        <v>9</v>
      </c>
      <c r="B576" s="70">
        <f>E558</f>
        <v>6.9374669999999998</v>
      </c>
      <c r="C576" s="83">
        <f>F558</f>
        <v>5161.4751861511977</v>
      </c>
      <c r="E576" s="120">
        <f t="shared" si="133"/>
        <v>0</v>
      </c>
      <c r="F576" s="121">
        <f t="shared" si="134"/>
        <v>0</v>
      </c>
      <c r="G576" s="122">
        <f t="shared" si="135"/>
        <v>0</v>
      </c>
      <c r="H576" s="123">
        <f t="shared" si="136"/>
        <v>0</v>
      </c>
      <c r="I576" s="124">
        <f t="shared" si="137"/>
        <v>6.9374669999999998</v>
      </c>
      <c r="J576" s="125">
        <f t="shared" si="138"/>
        <v>5161.4751861511977</v>
      </c>
      <c r="K576" s="126">
        <f t="shared" si="139"/>
        <v>0</v>
      </c>
      <c r="L576" s="127">
        <f t="shared" si="140"/>
        <v>0</v>
      </c>
      <c r="N576" s="247"/>
    </row>
    <row r="577" spans="1:29" ht="15" x14ac:dyDescent="0.25">
      <c r="A577" s="29" t="s">
        <v>80</v>
      </c>
      <c r="B577" s="70">
        <v>0</v>
      </c>
      <c r="C577" s="83">
        <v>0</v>
      </c>
      <c r="E577" s="120">
        <f t="shared" si="133"/>
        <v>0</v>
      </c>
      <c r="F577" s="121">
        <f t="shared" si="134"/>
        <v>0</v>
      </c>
      <c r="G577" s="122">
        <f t="shared" si="135"/>
        <v>0</v>
      </c>
      <c r="H577" s="123">
        <f t="shared" si="136"/>
        <v>0</v>
      </c>
      <c r="I577" s="124">
        <f t="shared" si="137"/>
        <v>0</v>
      </c>
      <c r="J577" s="125">
        <f t="shared" si="138"/>
        <v>0</v>
      </c>
      <c r="K577" s="126">
        <f t="shared" si="139"/>
        <v>0</v>
      </c>
      <c r="L577" s="127">
        <f t="shared" si="140"/>
        <v>0</v>
      </c>
      <c r="N577" s="247"/>
    </row>
    <row r="578" spans="1:29" ht="15" x14ac:dyDescent="0.25">
      <c r="A578" s="29" t="s">
        <v>77</v>
      </c>
      <c r="B578" s="70">
        <v>0</v>
      </c>
      <c r="C578" s="83">
        <v>0</v>
      </c>
      <c r="E578" s="120">
        <f t="shared" si="133"/>
        <v>0</v>
      </c>
      <c r="F578" s="121">
        <f t="shared" si="134"/>
        <v>0</v>
      </c>
      <c r="G578" s="122">
        <f t="shared" si="135"/>
        <v>0</v>
      </c>
      <c r="H578" s="123">
        <f t="shared" si="136"/>
        <v>0</v>
      </c>
      <c r="I578" s="124">
        <f t="shared" si="137"/>
        <v>0</v>
      </c>
      <c r="J578" s="125">
        <f t="shared" si="138"/>
        <v>0</v>
      </c>
      <c r="K578" s="126">
        <f t="shared" si="139"/>
        <v>0</v>
      </c>
      <c r="L578" s="127">
        <f t="shared" si="140"/>
        <v>0</v>
      </c>
      <c r="N578" s="247"/>
    </row>
    <row r="579" spans="1:29" ht="15" x14ac:dyDescent="0.25">
      <c r="A579" s="11" t="s">
        <v>81</v>
      </c>
      <c r="B579" s="12">
        <f>SUM(B572:B575)-SUM(B576:B578)</f>
        <v>0.21078300000000016</v>
      </c>
      <c r="C579" s="12">
        <f>SUM(C572:C575)-SUM(C576:C578)</f>
        <v>156.82281384880207</v>
      </c>
      <c r="E579" s="128">
        <f t="shared" ref="E579:L579" si="141">SUM(E572:E575)-SUM(E576:E578)</f>
        <v>0</v>
      </c>
      <c r="F579" s="129">
        <f t="shared" si="141"/>
        <v>0</v>
      </c>
      <c r="G579" s="130">
        <f t="shared" si="141"/>
        <v>0</v>
      </c>
      <c r="H579" s="131">
        <f t="shared" si="141"/>
        <v>0</v>
      </c>
      <c r="I579" s="132">
        <f t="shared" si="141"/>
        <v>0.21078300000000016</v>
      </c>
      <c r="J579" s="133">
        <f t="shared" si="141"/>
        <v>156.82281384880207</v>
      </c>
      <c r="K579" s="134">
        <f t="shared" si="141"/>
        <v>0</v>
      </c>
      <c r="L579" s="135">
        <f t="shared" si="141"/>
        <v>0</v>
      </c>
      <c r="N579" s="247"/>
    </row>
    <row r="580" spans="1:29" ht="15" x14ac:dyDescent="0.25">
      <c r="A580" s="11" t="s">
        <v>82</v>
      </c>
      <c r="B580" s="12">
        <f>SUM(B572:B575)-SUM(B576:B579)</f>
        <v>0</v>
      </c>
      <c r="C580" s="12">
        <f>SUM(C572:C575)-SUM(C576:C579)</f>
        <v>0</v>
      </c>
      <c r="E580" s="128">
        <f t="shared" ref="E580:L580" si="142">SUM(E572:E575)-SUM(E576:E579)</f>
        <v>0</v>
      </c>
      <c r="F580" s="129">
        <f t="shared" si="142"/>
        <v>0</v>
      </c>
      <c r="G580" s="130">
        <f t="shared" si="142"/>
        <v>0</v>
      </c>
      <c r="H580" s="131">
        <f t="shared" si="142"/>
        <v>0</v>
      </c>
      <c r="I580" s="132">
        <f t="shared" si="142"/>
        <v>0</v>
      </c>
      <c r="J580" s="133">
        <f t="shared" si="142"/>
        <v>0</v>
      </c>
      <c r="K580" s="134">
        <f t="shared" si="142"/>
        <v>0</v>
      </c>
      <c r="L580" s="135">
        <f t="shared" si="142"/>
        <v>0</v>
      </c>
      <c r="N580" s="247"/>
    </row>
    <row r="581" spans="1:29" ht="15" x14ac:dyDescent="0.25">
      <c r="N581" s="247"/>
    </row>
    <row r="582" spans="1:29" ht="15" x14ac:dyDescent="0.25">
      <c r="E582" s="153">
        <f>(F579*$H$5)+(H579*$J$5)+(J579*$L$5)+(L579*$N$5)</f>
        <v>13594.116059977265</v>
      </c>
      <c r="N582" s="247"/>
    </row>
    <row r="583" spans="1:29" ht="15" x14ac:dyDescent="0.25">
      <c r="D583" s="247"/>
      <c r="E583" s="247"/>
      <c r="F583" s="247"/>
      <c r="N583" s="247"/>
    </row>
    <row r="584" spans="1:29" ht="15" x14ac:dyDescent="0.25">
      <c r="D584" s="247"/>
      <c r="E584" s="247"/>
      <c r="F584" s="247"/>
      <c r="N584" s="247"/>
    </row>
    <row r="585" spans="1:29" ht="15" x14ac:dyDescent="0.25">
      <c r="A585" s="564" t="s">
        <v>94</v>
      </c>
      <c r="B585" s="564"/>
      <c r="C585" s="564"/>
      <c r="D585" s="564"/>
      <c r="E585" s="564"/>
      <c r="F585" s="564"/>
      <c r="G585" s="564"/>
      <c r="H585" s="564"/>
      <c r="N585" s="247"/>
      <c r="X585"/>
      <c r="Y585"/>
      <c r="Z585"/>
      <c r="AA585"/>
      <c r="AB585"/>
      <c r="AC585"/>
    </row>
    <row r="586" spans="1:29" ht="15" x14ac:dyDescent="0.25">
      <c r="A586" s="564"/>
      <c r="B586" s="564"/>
      <c r="C586" s="564"/>
      <c r="D586" s="564"/>
      <c r="E586" s="564"/>
      <c r="F586" s="564"/>
      <c r="G586" s="564"/>
      <c r="H586" s="564"/>
      <c r="N586" s="247"/>
      <c r="X586"/>
      <c r="Y586"/>
      <c r="Z586"/>
      <c r="AA586"/>
      <c r="AB586"/>
      <c r="AC586"/>
    </row>
    <row r="587" spans="1:29" s="114" customFormat="1" ht="3.75" customHeight="1" x14ac:dyDescent="0.25">
      <c r="A587" s="14"/>
      <c r="B587" s="14"/>
      <c r="C587" s="14"/>
      <c r="D587" s="14"/>
      <c r="E587" s="14"/>
      <c r="F587" s="14"/>
      <c r="G587" s="14"/>
      <c r="H587" s="14"/>
      <c r="I587" s="106"/>
      <c r="J587" s="106"/>
      <c r="K587" s="106"/>
      <c r="L587" s="106"/>
      <c r="M587" s="106"/>
      <c r="N587" s="106"/>
      <c r="O587" s="106"/>
      <c r="P587" s="106"/>
      <c r="X587"/>
      <c r="Y587"/>
      <c r="Z587"/>
      <c r="AA587"/>
      <c r="AB587"/>
      <c r="AC587"/>
    </row>
    <row r="588" spans="1:29" ht="15" x14ac:dyDescent="0.25">
      <c r="A588" s="548" t="s">
        <v>85</v>
      </c>
      <c r="B588" s="548"/>
      <c r="C588" s="548"/>
      <c r="D588" s="548"/>
      <c r="E588" s="548"/>
      <c r="F588" s="548"/>
      <c r="G588" s="548"/>
      <c r="H588" s="548"/>
      <c r="J588" s="155"/>
      <c r="K588" s="156"/>
      <c r="L588" s="156"/>
      <c r="M588" s="156"/>
      <c r="N588" s="156"/>
      <c r="O588" s="156"/>
      <c r="P588" s="156"/>
      <c r="X588"/>
      <c r="Y588"/>
      <c r="Z588"/>
      <c r="AA588"/>
      <c r="AB588"/>
      <c r="AC588"/>
    </row>
    <row r="589" spans="1:29" ht="15" x14ac:dyDescent="0.25">
      <c r="A589" s="10" t="s">
        <v>8</v>
      </c>
      <c r="B589" s="10"/>
      <c r="C589" s="10" t="s">
        <v>2</v>
      </c>
      <c r="D589" s="10" t="s">
        <v>3</v>
      </c>
      <c r="E589" s="10" t="s">
        <v>137</v>
      </c>
      <c r="F589" s="10" t="s">
        <v>25</v>
      </c>
      <c r="G589" s="10" t="s">
        <v>95</v>
      </c>
      <c r="H589" s="10" t="s">
        <v>240</v>
      </c>
      <c r="J589" s="157"/>
      <c r="K589" s="355"/>
      <c r="L589" s="159"/>
      <c r="M589" s="160"/>
      <c r="N589" s="160"/>
      <c r="O589" s="160"/>
      <c r="P589" s="161"/>
      <c r="X589"/>
      <c r="Y589"/>
      <c r="Z589"/>
      <c r="AA589"/>
      <c r="AB589"/>
      <c r="AC589"/>
    </row>
    <row r="590" spans="1:29" ht="15" x14ac:dyDescent="0.25">
      <c r="A590" s="167" t="str">
        <f>Balanço_MRE!A590</f>
        <v>VMSA - Simões Filho, BA</v>
      </c>
      <c r="B590" s="167">
        <f>Balanço_MRE!B590</f>
        <v>0</v>
      </c>
      <c r="C590" s="167" t="str">
        <f>Balanço_MRE!C590</f>
        <v>Carga</v>
      </c>
      <c r="D590" s="192" t="str">
        <f>Balanço_MRE!D590</f>
        <v>NORDESTE</v>
      </c>
      <c r="E590" s="79">
        <f>Balanço_MRE!E590</f>
        <v>50.982373000000003</v>
      </c>
      <c r="F590" s="262">
        <f>Balanço_MRE!F590</f>
        <v>37930.885248593011</v>
      </c>
      <c r="G590" s="263">
        <f>Balanço_MRE!G590</f>
        <v>778.827</v>
      </c>
      <c r="H590" s="193">
        <f>Balanço_MRE!H590</f>
        <v>0.03</v>
      </c>
      <c r="J590" s="157"/>
      <c r="K590" s="158"/>
      <c r="L590" s="159"/>
      <c r="M590" s="160"/>
      <c r="N590" s="160"/>
      <c r="O590" s="160"/>
      <c r="P590" s="161"/>
      <c r="X590"/>
      <c r="Y590"/>
      <c r="Z590"/>
      <c r="AA590"/>
      <c r="AB590"/>
      <c r="AC590"/>
    </row>
    <row r="591" spans="1:29" ht="15" x14ac:dyDescent="0.25">
      <c r="A591" s="215"/>
      <c r="B591" s="215"/>
      <c r="C591" s="215"/>
      <c r="D591" s="216"/>
      <c r="E591" s="174"/>
      <c r="F591" s="175"/>
      <c r="G591" s="175"/>
      <c r="H591" s="175"/>
      <c r="J591" s="162"/>
      <c r="K591" s="163"/>
      <c r="L591" s="164"/>
      <c r="M591" s="165"/>
      <c r="N591" s="160"/>
      <c r="O591" s="160"/>
      <c r="P591" s="161"/>
      <c r="X591"/>
      <c r="Y591"/>
      <c r="Z591"/>
      <c r="AA591"/>
      <c r="AB591"/>
      <c r="AC591"/>
    </row>
    <row r="592" spans="1:29" ht="15" x14ac:dyDescent="0.25">
      <c r="A592" s="80" t="s">
        <v>32</v>
      </c>
      <c r="B592" s="16"/>
      <c r="C592" s="16"/>
      <c r="D592" s="17"/>
      <c r="E592" s="81">
        <f>SUM(E590:E591)</f>
        <v>50.982373000000003</v>
      </c>
      <c r="F592" s="84">
        <f>SUM(F590:F591)</f>
        <v>37930.885248593011</v>
      </c>
      <c r="G592" s="84">
        <f>SUM(G590:G591)</f>
        <v>778.827</v>
      </c>
      <c r="H592" s="84"/>
      <c r="I592" s="115"/>
      <c r="J592" s="164"/>
      <c r="K592" s="164"/>
      <c r="L592" s="164"/>
      <c r="M592" s="164"/>
      <c r="N592" s="247"/>
      <c r="O592" s="166"/>
      <c r="P592" s="161"/>
      <c r="Q592" s="161"/>
      <c r="X592"/>
      <c r="Y592"/>
      <c r="Z592"/>
      <c r="AA592"/>
      <c r="AB592"/>
      <c r="AC592"/>
    </row>
    <row r="593" spans="1:15" ht="15" x14ac:dyDescent="0.25">
      <c r="I593" s="115"/>
      <c r="N593" s="247"/>
      <c r="O593" s="115"/>
    </row>
    <row r="594" spans="1:15" ht="15" x14ac:dyDescent="0.25">
      <c r="A594" s="548" t="s">
        <v>70</v>
      </c>
      <c r="B594" s="548"/>
      <c r="C594" s="548"/>
      <c r="D594" s="548"/>
      <c r="E594" s="548"/>
      <c r="F594" s="548"/>
      <c r="G594" s="548"/>
      <c r="H594" s="548"/>
      <c r="N594" s="247"/>
    </row>
    <row r="595" spans="1:15" ht="15" x14ac:dyDescent="0.25">
      <c r="A595" s="10" t="s">
        <v>252</v>
      </c>
      <c r="B595" s="10" t="s">
        <v>1</v>
      </c>
      <c r="C595" s="10" t="s">
        <v>2</v>
      </c>
      <c r="D595" s="10" t="s">
        <v>3</v>
      </c>
      <c r="E595" s="10" t="s">
        <v>137</v>
      </c>
      <c r="F595" s="10" t="s">
        <v>25</v>
      </c>
      <c r="G595" s="10" t="s">
        <v>253</v>
      </c>
      <c r="H595" s="10" t="s">
        <v>254</v>
      </c>
      <c r="J595" s="10" t="s">
        <v>72</v>
      </c>
      <c r="K595" s="10" t="s">
        <v>73</v>
      </c>
      <c r="L595" s="10" t="s">
        <v>74</v>
      </c>
      <c r="M595" s="10" t="s">
        <v>75</v>
      </c>
      <c r="N595" s="247"/>
    </row>
    <row r="596" spans="1:15" ht="15" x14ac:dyDescent="0.25">
      <c r="A596" s="167">
        <f>Balanço_MRE!A596</f>
        <v>15130</v>
      </c>
      <c r="B596" s="167" t="str">
        <f>Balanço_MRE!B596</f>
        <v>PROINFA | ACEP &gt;&gt; 0106_1225</v>
      </c>
      <c r="C596" s="167" t="str">
        <f>Balanço_MRE!C596</f>
        <v>Contratos de Compra</v>
      </c>
      <c r="D596" s="192" t="str">
        <f>Balanço_MRE!D596</f>
        <v>NORDESTE</v>
      </c>
      <c r="E596" s="79">
        <f>Balanço_MRE!E596</f>
        <v>1.04681</v>
      </c>
      <c r="F596" s="262">
        <f>Balanço_MRE!F596</f>
        <v>778.827</v>
      </c>
      <c r="G596" s="263">
        <f>Balanço_MRE!G596</f>
        <v>0</v>
      </c>
      <c r="H596" s="193">
        <f>Balanço_MRE!H596</f>
        <v>0</v>
      </c>
      <c r="I596" s="115"/>
      <c r="J596" s="247">
        <f>[22]Contratos!$W$3</f>
        <v>951.375</v>
      </c>
      <c r="K596" s="247" t="str">
        <f>[23]Contratos!$X$3</f>
        <v>Ajustado e Validado</v>
      </c>
      <c r="L596" s="247"/>
      <c r="M596" s="247"/>
      <c r="N596" s="247"/>
    </row>
    <row r="597" spans="1:15" ht="15" x14ac:dyDescent="0.25">
      <c r="A597" s="167">
        <f>Balanço_MRE!A597</f>
        <v>1113768</v>
      </c>
      <c r="B597" s="167" t="str">
        <f>Balanço_MRE!B597</f>
        <v>CHESF | 2244</v>
      </c>
      <c r="C597" s="167" t="str">
        <f>Balanço_MRE!C597</f>
        <v>Contratos de Compra</v>
      </c>
      <c r="D597" s="192" t="str">
        <f>Balanço_MRE!D597</f>
        <v>NORDESTE</v>
      </c>
      <c r="E597" s="79">
        <f>Balanço_MRE!E597</f>
        <v>31.716958000000002</v>
      </c>
      <c r="F597" s="262">
        <f>Balanço_MRE!F597</f>
        <v>23597.416707042736</v>
      </c>
      <c r="G597" s="263">
        <f>Balanço_MRE!G597</f>
        <v>0</v>
      </c>
      <c r="H597" s="193">
        <f>Balanço_MRE!H597</f>
        <v>0</v>
      </c>
      <c r="I597" s="115"/>
      <c r="J597" s="9"/>
      <c r="K597" s="9"/>
      <c r="L597" s="9"/>
      <c r="M597" s="9"/>
      <c r="N597" s="247"/>
    </row>
    <row r="598" spans="1:15" ht="15" x14ac:dyDescent="0.25">
      <c r="A598" s="167">
        <f>Balanço_MRE!A598</f>
        <v>768173</v>
      </c>
      <c r="B598" s="167" t="str">
        <f>Balanço_MRE!B598</f>
        <v>VALE ENE I5 &gt;&gt; 0115_0118</v>
      </c>
      <c r="C598" s="167" t="str">
        <f>Balanço_MRE!C598</f>
        <v>Contratos de Compra</v>
      </c>
      <c r="D598" s="192" t="str">
        <f>Balanço_MRE!D598</f>
        <v>NORDESTE</v>
      </c>
      <c r="E598" s="79">
        <f>Balanço_MRE!E598</f>
        <v>0</v>
      </c>
      <c r="F598" s="262">
        <f>Balanço_MRE!F598</f>
        <v>0</v>
      </c>
      <c r="G598" s="263">
        <f>Balanço_MRE!G598</f>
        <v>0</v>
      </c>
      <c r="H598" s="193">
        <f>Balanço_MRE!H598</f>
        <v>0</v>
      </c>
      <c r="J598" s="9" t="str">
        <f>VLOOKUP(A598,[24]RelatorioContratos_080817_10560!$A$2:$AB$150,26,FALSE)</f>
        <v>0,000000</v>
      </c>
      <c r="K598" s="9" t="str">
        <f>VLOOKUP(A598,[24]RelatorioContratos_080817_10560!$A$2:$AB$150,8,FALSE)</f>
        <v>31/01/2018 23</v>
      </c>
      <c r="L598" s="9" t="str">
        <f>VLOOKUP(A598,[24]RelatorioContratos_080817_10560!$A$2:$AF$150,32,FALSE)</f>
        <v>FLAT</v>
      </c>
      <c r="M598" s="9" t="str">
        <f>VLOOKUP(A598,[24]RelatorioContratos_080817_10560!$A$2:$AG$150,33,FALSE)</f>
        <v>Validado</v>
      </c>
      <c r="N598" s="247"/>
    </row>
    <row r="599" spans="1:15" ht="15" x14ac:dyDescent="0.25">
      <c r="A599" s="167">
        <f>Balanço_MRE!A599</f>
        <v>839296</v>
      </c>
      <c r="B599" s="167" t="str">
        <f>Balanço_MRE!B599</f>
        <v>VALE ENERGIA &gt;&gt; 0915_0119</v>
      </c>
      <c r="C599" s="167" t="str">
        <f>Balanço_MRE!C599</f>
        <v>Contratos de Compra</v>
      </c>
      <c r="D599" s="192" t="str">
        <f>Balanço_MRE!D599</f>
        <v>NORDESTE</v>
      </c>
      <c r="E599" s="79">
        <f>Balanço_MRE!E599</f>
        <v>0</v>
      </c>
      <c r="F599" s="262">
        <f>Balanço_MRE!F599</f>
        <v>0</v>
      </c>
      <c r="G599" s="263">
        <f>Balanço_MRE!G599</f>
        <v>0</v>
      </c>
      <c r="H599" s="193">
        <f>Balanço_MRE!H599</f>
        <v>0</v>
      </c>
      <c r="J599" s="9" t="str">
        <f>VLOOKUP(A599,[24]RelatorioContratos_080817_10560!$A$2:$AB$150,26,FALSE)</f>
        <v>0,000000</v>
      </c>
      <c r="K599" s="9" t="str">
        <f>VLOOKUP(A599,[24]RelatorioContratos_080817_10560!$A$2:$AB$150,8,FALSE)</f>
        <v>31/01/2019 23</v>
      </c>
      <c r="L599" s="9" t="str">
        <f>VLOOKUP(A599,[24]RelatorioContratos_080817_10560!$A$2:$AF$150,32,FALSE)</f>
        <v>FLAT</v>
      </c>
      <c r="M599" s="9" t="str">
        <f>VLOOKUP(A599,[24]RelatorioContratos_080817_10560!$A$2:$AG$150,33,FALSE)</f>
        <v>Validado</v>
      </c>
      <c r="N599" s="247"/>
    </row>
    <row r="600" spans="1:15" ht="15" x14ac:dyDescent="0.25">
      <c r="A600" s="167">
        <f>Balanço_MRE!A600</f>
        <v>1098443</v>
      </c>
      <c r="B600" s="167" t="str">
        <f>Balanço_MRE!B600</f>
        <v>CCE_15,0MWm_FOCUS_01012018_31122018</v>
      </c>
      <c r="C600" s="167" t="str">
        <f>Balanço_MRE!C600</f>
        <v>Contratos de Compra</v>
      </c>
      <c r="D600" s="192" t="str">
        <f>Balanço_MRE!D600</f>
        <v>NORDESTE</v>
      </c>
      <c r="E600" s="79">
        <f>Balanço_MRE!E600</f>
        <v>10</v>
      </c>
      <c r="F600" s="262">
        <f>Balanço_MRE!F600</f>
        <v>7440</v>
      </c>
      <c r="G600" s="263">
        <f>Balanço_MRE!G600</f>
        <v>218.9757981759233</v>
      </c>
      <c r="H600" s="193">
        <f>Balanço_MRE!H600</f>
        <v>1629179.9384288695</v>
      </c>
      <c r="J600" s="9"/>
      <c r="K600" s="9"/>
      <c r="L600" s="9"/>
      <c r="M600" s="9"/>
      <c r="N600" s="247"/>
    </row>
    <row r="601" spans="1:15" ht="15" x14ac:dyDescent="0.25">
      <c r="A601" s="167">
        <f>Balanço_MRE!A601</f>
        <v>0</v>
      </c>
      <c r="B601" s="167" t="str">
        <f>Balanço_MRE!B601</f>
        <v>CCE_5_DEAL_01012019_31122019</v>
      </c>
      <c r="C601" s="167" t="str">
        <f>Balanço_MRE!C601</f>
        <v>Contratos de Compra</v>
      </c>
      <c r="D601" s="192" t="str">
        <f>Balanço_MRE!D601</f>
        <v>NORDESTE</v>
      </c>
      <c r="E601" s="79">
        <f>Balanço_MRE!E601</f>
        <v>5</v>
      </c>
      <c r="F601" s="262">
        <f>Balanço_MRE!F601</f>
        <v>3720</v>
      </c>
      <c r="G601" s="263">
        <f>Balanço_MRE!G601</f>
        <v>210.70959387129639</v>
      </c>
      <c r="H601" s="193">
        <f>Balanço_MRE!H601</f>
        <v>0</v>
      </c>
      <c r="J601" s="9"/>
      <c r="K601" s="9"/>
      <c r="L601" s="9"/>
      <c r="M601" s="9"/>
      <c r="N601" s="247"/>
    </row>
    <row r="602" spans="1:15" ht="15" x14ac:dyDescent="0.25">
      <c r="A602" s="167">
        <f>Balanço_MRE!A602</f>
        <v>0</v>
      </c>
      <c r="B602" s="167" t="str">
        <f>Balanço_MRE!B602</f>
        <v>CCE_3_ENERGISA_01012019_31122019</v>
      </c>
      <c r="C602" s="167" t="str">
        <f>Balanço_MRE!C602</f>
        <v>Contratos de Compra</v>
      </c>
      <c r="D602" s="192" t="str">
        <f>Balanço_MRE!D602</f>
        <v>NORDESTE</v>
      </c>
      <c r="E602" s="79">
        <f>Balanço_MRE!E602</f>
        <v>3</v>
      </c>
      <c r="F602" s="262">
        <f>Balanço_MRE!F602</f>
        <v>2232</v>
      </c>
      <c r="G602" s="263">
        <f>Balanço_MRE!G602</f>
        <v>200</v>
      </c>
      <c r="H602" s="193">
        <f>Balanço_MRE!H602</f>
        <v>0</v>
      </c>
      <c r="J602" s="9"/>
      <c r="K602" s="9"/>
      <c r="L602" s="9"/>
      <c r="M602" s="9"/>
      <c r="N602" s="247"/>
    </row>
    <row r="603" spans="1:15" ht="15" x14ac:dyDescent="0.25">
      <c r="A603" s="167">
        <f>Balanço_MRE!A603</f>
        <v>0</v>
      </c>
      <c r="B603" s="167" t="str">
        <f>Balanço_MRE!B603</f>
        <v>CCE_2_wx_01012019_30062019</v>
      </c>
      <c r="C603" s="167" t="str">
        <f>Balanço_MRE!C603</f>
        <v>Contratos de Compra</v>
      </c>
      <c r="D603" s="192" t="str">
        <f>Balanço_MRE!D603</f>
        <v>NORDESTE</v>
      </c>
      <c r="E603" s="79">
        <f>Balanço_MRE!E603</f>
        <v>2</v>
      </c>
      <c r="F603" s="262">
        <f>Balanço_MRE!F603</f>
        <v>1488</v>
      </c>
      <c r="G603" s="263">
        <f>Balanço_MRE!G603</f>
        <v>169</v>
      </c>
      <c r="H603" s="193">
        <f>Balanço_MRE!H603</f>
        <v>0</v>
      </c>
      <c r="J603" s="9"/>
      <c r="K603" s="9"/>
      <c r="L603" s="9"/>
      <c r="M603" s="9"/>
      <c r="N603" s="247"/>
    </row>
    <row r="604" spans="1:15" ht="15" x14ac:dyDescent="0.25">
      <c r="A604" s="167">
        <f>Balanço_MRE!A604</f>
        <v>0</v>
      </c>
      <c r="B604" s="167">
        <f>Balanço_MRE!B604</f>
        <v>0</v>
      </c>
      <c r="C604" s="167">
        <f>Balanço_MRE!C604</f>
        <v>0</v>
      </c>
      <c r="D604" s="192">
        <f>Balanço_MRE!D604</f>
        <v>0</v>
      </c>
      <c r="E604" s="79">
        <f>Balanço_MRE!E604</f>
        <v>0</v>
      </c>
      <c r="F604" s="262">
        <f>Balanço_MRE!F604</f>
        <v>0</v>
      </c>
      <c r="G604" s="263">
        <f>Balanço_MRE!G604</f>
        <v>0</v>
      </c>
      <c r="H604" s="193">
        <f>Balanço_MRE!H604</f>
        <v>0</v>
      </c>
      <c r="J604" s="9"/>
      <c r="K604" s="9"/>
      <c r="L604" s="9"/>
      <c r="M604" s="9"/>
      <c r="N604" s="247"/>
    </row>
    <row r="605" spans="1:15" ht="15" x14ac:dyDescent="0.25">
      <c r="A605" s="198"/>
      <c r="B605" s="198"/>
      <c r="C605" s="198"/>
      <c r="D605" s="261"/>
      <c r="E605" s="85"/>
      <c r="F605" s="86"/>
      <c r="G605" s="317"/>
      <c r="H605" s="317"/>
      <c r="J605" s="393"/>
      <c r="K605" s="393"/>
      <c r="L605" s="393"/>
      <c r="M605" s="393"/>
      <c r="N605" s="247"/>
    </row>
    <row r="606" spans="1:15" ht="15" x14ac:dyDescent="0.25">
      <c r="A606" s="80" t="s">
        <v>32</v>
      </c>
      <c r="B606" s="16"/>
      <c r="C606" s="16"/>
      <c r="D606" s="17"/>
      <c r="E606" s="81">
        <f>SUM(E596:E605)</f>
        <v>52.763767999999999</v>
      </c>
      <c r="F606" s="84">
        <f>SUM(F596:F605)</f>
        <v>39256.24370704274</v>
      </c>
      <c r="G606" s="82">
        <f>IFERROR(H606/F606,0)</f>
        <v>41.501167319699199</v>
      </c>
      <c r="H606" s="82">
        <f>SUM(H596:H605)</f>
        <v>1629179.9384288695</v>
      </c>
      <c r="I606" s="115"/>
      <c r="J606" s="247"/>
      <c r="K606" s="247"/>
      <c r="L606" s="247"/>
      <c r="M606" s="247"/>
      <c r="N606" s="247"/>
    </row>
    <row r="607" spans="1:15" customFormat="1" ht="15" x14ac:dyDescent="0.25"/>
    <row r="608" spans="1:15" ht="15" x14ac:dyDescent="0.25">
      <c r="A608" s="548" t="s">
        <v>76</v>
      </c>
      <c r="B608" s="548"/>
      <c r="C608" s="548"/>
      <c r="D608" s="548"/>
      <c r="E608" s="548"/>
      <c r="F608" s="548"/>
      <c r="G608" s="548"/>
      <c r="H608" s="548"/>
      <c r="I608" s="247"/>
      <c r="N608" s="247"/>
    </row>
    <row r="609" spans="1:23" ht="15" x14ac:dyDescent="0.25">
      <c r="A609" s="10" t="s">
        <v>252</v>
      </c>
      <c r="B609" s="10" t="s">
        <v>1</v>
      </c>
      <c r="C609" s="10" t="s">
        <v>2</v>
      </c>
      <c r="D609" s="10" t="s">
        <v>3</v>
      </c>
      <c r="E609" s="10" t="s">
        <v>137</v>
      </c>
      <c r="F609" s="10" t="s">
        <v>25</v>
      </c>
      <c r="G609" s="10" t="s">
        <v>253</v>
      </c>
      <c r="H609" s="10" t="s">
        <v>254</v>
      </c>
      <c r="I609" s="247"/>
      <c r="J609" s="10" t="s">
        <v>72</v>
      </c>
      <c r="K609" s="10" t="s">
        <v>73</v>
      </c>
      <c r="L609" s="10" t="s">
        <v>74</v>
      </c>
      <c r="M609" s="10" t="s">
        <v>75</v>
      </c>
      <c r="N609" s="247"/>
      <c r="O609"/>
      <c r="P609"/>
      <c r="Q609"/>
      <c r="R609"/>
      <c r="S609"/>
      <c r="T609"/>
      <c r="U609"/>
      <c r="V609"/>
      <c r="W609"/>
    </row>
    <row r="610" spans="1:23" ht="15" x14ac:dyDescent="0.25">
      <c r="A610" s="167">
        <f>Balanço_MRE!A610</f>
        <v>0</v>
      </c>
      <c r="B610" s="167">
        <f>Balanço_MRE!B610</f>
        <v>0</v>
      </c>
      <c r="C610" s="167">
        <f>Balanço_MRE!C610</f>
        <v>0</v>
      </c>
      <c r="D610" s="192">
        <f>Balanço_MRE!D610</f>
        <v>0</v>
      </c>
      <c r="E610" s="79">
        <f>Balanço_MRE!E610</f>
        <v>0</v>
      </c>
      <c r="F610" s="262">
        <f>Balanço_MRE!F610</f>
        <v>0</v>
      </c>
      <c r="G610" s="263">
        <f>Balanço_MRE!G610</f>
        <v>0</v>
      </c>
      <c r="H610" s="193">
        <f>Balanço_MRE!H610</f>
        <v>0</v>
      </c>
      <c r="I610" s="247"/>
      <c r="J610" s="9" t="e">
        <f>VLOOKUP(A610,[25]RelatorioContratos_080817_10590!$A$2:$AC$43,26,FALSE)</f>
        <v>#N/A</v>
      </c>
      <c r="K610" s="9" t="e">
        <f>VLOOKUP(A610,[25]RelatorioContratos_080817_10590!$A$2:$AC$43,8,FALSE)</f>
        <v>#N/A</v>
      </c>
      <c r="L610" s="9" t="e">
        <f>VLOOKUP(A610,[25]RelatorioContratos_080817_10590!$A$2:$AZ$43,32,FALSE)</f>
        <v>#N/A</v>
      </c>
      <c r="M610" s="9" t="e">
        <f>VLOOKUP(A610,[25]RelatorioContratos_080817_10590!$A$2:$AZ$43,33,FALSE)</f>
        <v>#N/A</v>
      </c>
      <c r="N610" s="247"/>
      <c r="O610"/>
      <c r="P610"/>
      <c r="Q610"/>
      <c r="R610"/>
      <c r="S610"/>
      <c r="T610"/>
      <c r="U610"/>
      <c r="V610"/>
      <c r="W610"/>
    </row>
    <row r="611" spans="1:23" ht="15" x14ac:dyDescent="0.25">
      <c r="A611" s="167">
        <f>Balanço_MRE!A611</f>
        <v>0</v>
      </c>
      <c r="B611" s="167">
        <f>Balanço_MRE!B611</f>
        <v>0</v>
      </c>
      <c r="C611" s="167">
        <f>Balanço_MRE!C611</f>
        <v>0</v>
      </c>
      <c r="D611" s="192">
        <f>Balanço_MRE!D611</f>
        <v>0</v>
      </c>
      <c r="E611" s="79">
        <f>Balanço_MRE!E611</f>
        <v>0</v>
      </c>
      <c r="F611" s="262">
        <f>Balanço_MRE!F611</f>
        <v>0</v>
      </c>
      <c r="G611" s="263">
        <f>Balanço_MRE!G611</f>
        <v>0</v>
      </c>
      <c r="H611" s="193">
        <f>Balanço_MRE!H611</f>
        <v>0</v>
      </c>
      <c r="I611" s="247"/>
      <c r="J611" s="9" t="e">
        <f>VLOOKUP(A611,[25]RelatorioContratos_080817_10590!$A$2:$AC$43,26,FALSE)</f>
        <v>#N/A</v>
      </c>
      <c r="K611" s="9" t="e">
        <f>VLOOKUP(A611,[25]RelatorioContratos_080817_10590!$A$2:$AC$43,8,FALSE)</f>
        <v>#N/A</v>
      </c>
      <c r="L611" s="9" t="e">
        <f>VLOOKUP(A611,[25]RelatorioContratos_080817_10590!$A$2:$AZ$43,32,FALSE)</f>
        <v>#N/A</v>
      </c>
      <c r="M611" s="9" t="e">
        <f>VLOOKUP(A611,[25]RelatorioContratos_080817_10590!$A$2:$AZ$43,33,FALSE)</f>
        <v>#N/A</v>
      </c>
      <c r="N611" s="247"/>
      <c r="O611"/>
      <c r="P611"/>
      <c r="Q611"/>
      <c r="R611"/>
      <c r="S611"/>
      <c r="T611"/>
      <c r="U611"/>
      <c r="V611"/>
      <c r="W611"/>
    </row>
    <row r="612" spans="1:23" ht="15" x14ac:dyDescent="0.25">
      <c r="A612" s="253"/>
      <c r="B612" s="253"/>
      <c r="C612" s="253"/>
      <c r="D612" s="253"/>
      <c r="E612" s="203"/>
      <c r="F612" s="204"/>
      <c r="G612" s="205"/>
      <c r="H612" s="206"/>
      <c r="J612" s="393"/>
      <c r="K612" s="393"/>
      <c r="L612" s="393"/>
      <c r="M612" s="393"/>
      <c r="N612" s="247"/>
      <c r="O612"/>
      <c r="P612"/>
      <c r="Q612"/>
      <c r="R612"/>
      <c r="S612"/>
      <c r="T612"/>
      <c r="U612"/>
      <c r="V612"/>
      <c r="W612"/>
    </row>
    <row r="613" spans="1:23" ht="15" x14ac:dyDescent="0.25">
      <c r="A613" s="80" t="s">
        <v>32</v>
      </c>
      <c r="B613" s="16"/>
      <c r="C613" s="16"/>
      <c r="D613" s="17"/>
      <c r="E613" s="81">
        <f>SUM(E610:E612)</f>
        <v>0</v>
      </c>
      <c r="F613" s="84">
        <f>SUM(F610:F612)</f>
        <v>0</v>
      </c>
      <c r="G613" s="82">
        <f>IFERROR(H613/F613,0)</f>
        <v>0</v>
      </c>
      <c r="H613" s="82">
        <f>SUM(H610:H612)</f>
        <v>0</v>
      </c>
      <c r="I613" s="115"/>
      <c r="N613" s="247"/>
      <c r="O613"/>
      <c r="P613"/>
      <c r="Q613"/>
      <c r="R613"/>
      <c r="S613"/>
      <c r="T613"/>
      <c r="U613"/>
      <c r="V613"/>
      <c r="W613"/>
    </row>
    <row r="614" spans="1:23" ht="15" x14ac:dyDescent="0.25">
      <c r="F614" s="115"/>
      <c r="N614" s="247"/>
    </row>
    <row r="615" spans="1:23" ht="15" x14ac:dyDescent="0.25">
      <c r="A615" s="548" t="s">
        <v>233</v>
      </c>
      <c r="B615" s="548"/>
      <c r="C615" s="548"/>
      <c r="E615" s="116" t="s">
        <v>19</v>
      </c>
      <c r="F615" s="116"/>
      <c r="G615" s="117" t="s">
        <v>20</v>
      </c>
      <c r="H615" s="117"/>
      <c r="I615" s="118" t="s">
        <v>21</v>
      </c>
      <c r="J615" s="118"/>
      <c r="K615" s="119" t="s">
        <v>22</v>
      </c>
      <c r="L615" s="119"/>
      <c r="N615" s="247"/>
    </row>
    <row r="616" spans="1:23" ht="15" x14ac:dyDescent="0.25">
      <c r="A616" s="10" t="s">
        <v>2</v>
      </c>
      <c r="B616" s="10" t="s">
        <v>137</v>
      </c>
      <c r="C616" s="10" t="s">
        <v>25</v>
      </c>
      <c r="E616" s="207" t="s">
        <v>137</v>
      </c>
      <c r="F616" s="208" t="s">
        <v>25</v>
      </c>
      <c r="G616" s="209" t="s">
        <v>137</v>
      </c>
      <c r="H616" s="210" t="s">
        <v>25</v>
      </c>
      <c r="I616" s="211" t="s">
        <v>137</v>
      </c>
      <c r="J616" s="212" t="s">
        <v>25</v>
      </c>
      <c r="K616" s="213" t="s">
        <v>137</v>
      </c>
      <c r="L616" s="214" t="s">
        <v>25</v>
      </c>
      <c r="N616" s="247"/>
    </row>
    <row r="617" spans="1:23" ht="15" x14ac:dyDescent="0.25">
      <c r="A617" s="29" t="s">
        <v>69</v>
      </c>
      <c r="B617" s="70">
        <v>0</v>
      </c>
      <c r="C617" s="83">
        <v>0</v>
      </c>
      <c r="E617" s="120">
        <f t="shared" ref="E617:E623" si="143">SUMIFS($E$590:$E$611,$C$590:$C$611,$A617,$D$590:$D$611,$E$615)</f>
        <v>0</v>
      </c>
      <c r="F617" s="121">
        <f t="shared" ref="F617:F623" si="144">SUMIFS($F$590:$F$611,$C$590:$C$611,$A617,$D$590:$D$611,$E$615)</f>
        <v>0</v>
      </c>
      <c r="G617" s="122">
        <f t="shared" ref="G617:G623" si="145">SUMIFS($E$590:$E$611,$C$590:$C$611,$A617,$D$590:$D$611,$G$615)</f>
        <v>0</v>
      </c>
      <c r="H617" s="123">
        <f t="shared" ref="H617:H623" si="146">SUMIFS($F$590:$F$611,$C$590:$C$611,$A617,$D$590:$D$611,$G$615)</f>
        <v>0</v>
      </c>
      <c r="I617" s="124">
        <f t="shared" ref="I617:I623" si="147">SUMIFS($E$590:$E$611,$C$590:$C$611,$A617,$D$590:$D$611,$I$615)</f>
        <v>0</v>
      </c>
      <c r="J617" s="125">
        <f t="shared" ref="J617:J623" si="148">SUMIFS($F$590:$F$611,$C$590:$C$611,$A617,$D$590:$D$611,$I$615)</f>
        <v>0</v>
      </c>
      <c r="K617" s="126">
        <f t="shared" ref="K617:K623" si="149">SUMIFS($E$590:$E$611,$C$590:$C$611,$A617,$D$590:$D$611,$K$615)</f>
        <v>0</v>
      </c>
      <c r="L617" s="127">
        <f t="shared" ref="L617:L623" si="150">SUMIFS($F$590:$F$611,$C$590:$C$611,$A617,$D$590:$D$611,$K$615)</f>
        <v>0</v>
      </c>
      <c r="N617" s="247"/>
    </row>
    <row r="618" spans="1:23" ht="15" x14ac:dyDescent="0.25">
      <c r="A618" s="29" t="s">
        <v>47</v>
      </c>
      <c r="B618" s="70">
        <v>0</v>
      </c>
      <c r="C618" s="83">
        <v>0</v>
      </c>
      <c r="E618" s="120">
        <f t="shared" si="143"/>
        <v>0</v>
      </c>
      <c r="F618" s="121">
        <f t="shared" si="144"/>
        <v>0</v>
      </c>
      <c r="G618" s="122">
        <f t="shared" si="145"/>
        <v>0</v>
      </c>
      <c r="H618" s="123">
        <f t="shared" si="146"/>
        <v>0</v>
      </c>
      <c r="I618" s="124">
        <f t="shared" si="147"/>
        <v>0</v>
      </c>
      <c r="J618" s="125">
        <f t="shared" si="148"/>
        <v>0</v>
      </c>
      <c r="K618" s="126">
        <f t="shared" si="149"/>
        <v>0</v>
      </c>
      <c r="L618" s="127">
        <f t="shared" si="150"/>
        <v>0</v>
      </c>
      <c r="N618" s="247"/>
    </row>
    <row r="619" spans="1:23" ht="15" x14ac:dyDescent="0.25">
      <c r="A619" s="29" t="s">
        <v>79</v>
      </c>
      <c r="B619" s="70">
        <v>0</v>
      </c>
      <c r="C619" s="83">
        <v>0</v>
      </c>
      <c r="E619" s="120">
        <f t="shared" si="143"/>
        <v>0</v>
      </c>
      <c r="F619" s="121">
        <f t="shared" si="144"/>
        <v>0</v>
      </c>
      <c r="G619" s="122">
        <f t="shared" si="145"/>
        <v>0</v>
      </c>
      <c r="H619" s="123">
        <f t="shared" si="146"/>
        <v>0</v>
      </c>
      <c r="I619" s="124">
        <f t="shared" si="147"/>
        <v>0</v>
      </c>
      <c r="J619" s="125">
        <f t="shared" si="148"/>
        <v>0</v>
      </c>
      <c r="K619" s="126">
        <f t="shared" si="149"/>
        <v>0</v>
      </c>
      <c r="L619" s="127">
        <f t="shared" si="150"/>
        <v>0</v>
      </c>
      <c r="N619" s="247"/>
    </row>
    <row r="620" spans="1:23" ht="15" x14ac:dyDescent="0.25">
      <c r="A620" s="29" t="s">
        <v>71</v>
      </c>
      <c r="B620" s="70">
        <f>E606</f>
        <v>52.763767999999999</v>
      </c>
      <c r="C620" s="83">
        <f>F606</f>
        <v>39256.24370704274</v>
      </c>
      <c r="E620" s="120">
        <f t="shared" si="143"/>
        <v>0</v>
      </c>
      <c r="F620" s="121">
        <f t="shared" si="144"/>
        <v>0</v>
      </c>
      <c r="G620" s="122">
        <f t="shared" si="145"/>
        <v>52.763767999999999</v>
      </c>
      <c r="H620" s="123">
        <f t="shared" si="146"/>
        <v>39256.24370704274</v>
      </c>
      <c r="I620" s="124">
        <f t="shared" si="147"/>
        <v>0</v>
      </c>
      <c r="J620" s="125">
        <f t="shared" si="148"/>
        <v>0</v>
      </c>
      <c r="K620" s="126">
        <f t="shared" si="149"/>
        <v>0</v>
      </c>
      <c r="L620" s="127">
        <f t="shared" si="150"/>
        <v>0</v>
      </c>
      <c r="N620" s="247"/>
    </row>
    <row r="621" spans="1:23" ht="15" x14ac:dyDescent="0.25">
      <c r="A621" s="29" t="s">
        <v>9</v>
      </c>
      <c r="B621" s="70">
        <f>E592</f>
        <v>50.982373000000003</v>
      </c>
      <c r="C621" s="83">
        <f>F592</f>
        <v>37930.885248593011</v>
      </c>
      <c r="E621" s="120">
        <f t="shared" si="143"/>
        <v>0</v>
      </c>
      <c r="F621" s="121">
        <f t="shared" si="144"/>
        <v>0</v>
      </c>
      <c r="G621" s="122">
        <f t="shared" si="145"/>
        <v>50.982373000000003</v>
      </c>
      <c r="H621" s="123">
        <f t="shared" si="146"/>
        <v>37930.885248593011</v>
      </c>
      <c r="I621" s="124">
        <f t="shared" si="147"/>
        <v>0</v>
      </c>
      <c r="J621" s="125">
        <f t="shared" si="148"/>
        <v>0</v>
      </c>
      <c r="K621" s="126">
        <f t="shared" si="149"/>
        <v>0</v>
      </c>
      <c r="L621" s="127">
        <f t="shared" si="150"/>
        <v>0</v>
      </c>
      <c r="N621" s="247"/>
    </row>
    <row r="622" spans="1:23" ht="15" x14ac:dyDescent="0.25">
      <c r="A622" s="29" t="s">
        <v>80</v>
      </c>
      <c r="B622" s="70">
        <v>0</v>
      </c>
      <c r="C622" s="83">
        <v>0</v>
      </c>
      <c r="E622" s="120">
        <f t="shared" si="143"/>
        <v>0</v>
      </c>
      <c r="F622" s="121">
        <f t="shared" si="144"/>
        <v>0</v>
      </c>
      <c r="G622" s="122">
        <f t="shared" si="145"/>
        <v>0</v>
      </c>
      <c r="H622" s="123">
        <f t="shared" si="146"/>
        <v>0</v>
      </c>
      <c r="I622" s="124">
        <f t="shared" si="147"/>
        <v>0</v>
      </c>
      <c r="J622" s="125">
        <f t="shared" si="148"/>
        <v>0</v>
      </c>
      <c r="K622" s="126">
        <f t="shared" si="149"/>
        <v>0</v>
      </c>
      <c r="L622" s="127">
        <f t="shared" si="150"/>
        <v>0</v>
      </c>
      <c r="N622" s="247"/>
    </row>
    <row r="623" spans="1:23" ht="15" x14ac:dyDescent="0.25">
      <c r="A623" s="29" t="s">
        <v>77</v>
      </c>
      <c r="B623" s="70">
        <f>E613</f>
        <v>0</v>
      </c>
      <c r="C623" s="83">
        <f>F613</f>
        <v>0</v>
      </c>
      <c r="E623" s="120">
        <f t="shared" si="143"/>
        <v>0</v>
      </c>
      <c r="F623" s="121">
        <f t="shared" si="144"/>
        <v>0</v>
      </c>
      <c r="G623" s="122">
        <f t="shared" si="145"/>
        <v>0</v>
      </c>
      <c r="H623" s="123">
        <f t="shared" si="146"/>
        <v>0</v>
      </c>
      <c r="I623" s="124">
        <f t="shared" si="147"/>
        <v>0</v>
      </c>
      <c r="J623" s="125">
        <f t="shared" si="148"/>
        <v>0</v>
      </c>
      <c r="K623" s="126">
        <f t="shared" si="149"/>
        <v>0</v>
      </c>
      <c r="L623" s="127">
        <f t="shared" si="150"/>
        <v>0</v>
      </c>
      <c r="N623" s="247"/>
    </row>
    <row r="624" spans="1:23" ht="15" x14ac:dyDescent="0.25">
      <c r="A624" s="11" t="s">
        <v>81</v>
      </c>
      <c r="B624" s="12">
        <f>SUM(B617:B620)-SUM(B621:B623)</f>
        <v>1.7813949999999963</v>
      </c>
      <c r="C624" s="12">
        <f>SUM(C617:C620)-SUM(C621:C623)</f>
        <v>1325.3584584497294</v>
      </c>
      <c r="E624" s="128">
        <f>SUM(E617:E620)-SUM(E621:E623)</f>
        <v>0</v>
      </c>
      <c r="F624" s="129">
        <f>SUM(F617:F620)-SUM(F621:F623)</f>
        <v>0</v>
      </c>
      <c r="G624" s="130">
        <f t="shared" ref="G624:L624" si="151">SUM(G617:G620)-SUM(G621:G623)</f>
        <v>1.7813949999999963</v>
      </c>
      <c r="H624" s="131">
        <f t="shared" si="151"/>
        <v>1325.3584584497294</v>
      </c>
      <c r="I624" s="132">
        <f t="shared" si="151"/>
        <v>0</v>
      </c>
      <c r="J624" s="133">
        <f t="shared" si="151"/>
        <v>0</v>
      </c>
      <c r="K624" s="134">
        <f t="shared" si="151"/>
        <v>0</v>
      </c>
      <c r="L624" s="135">
        <f t="shared" si="151"/>
        <v>0</v>
      </c>
      <c r="N624" s="247"/>
    </row>
    <row r="625" spans="1:19" ht="15" x14ac:dyDescent="0.25">
      <c r="A625" s="11" t="s">
        <v>82</v>
      </c>
      <c r="B625" s="12">
        <f>SUM(B617:B620)-SUM(B621:B624)</f>
        <v>0</v>
      </c>
      <c r="C625" s="12">
        <f>SUM(C617:C620)-SUM(C621:C624)</f>
        <v>0</v>
      </c>
      <c r="E625" s="128">
        <f>SUM(E617:E620)-SUM(E621:E624)</f>
        <v>0</v>
      </c>
      <c r="F625" s="129">
        <f t="shared" ref="F625:L625" si="152">SUM(F617:F620)-SUM(F621:F624)</f>
        <v>0</v>
      </c>
      <c r="G625" s="130">
        <f t="shared" si="152"/>
        <v>0</v>
      </c>
      <c r="H625" s="131">
        <f t="shared" si="152"/>
        <v>0</v>
      </c>
      <c r="I625" s="132">
        <f t="shared" si="152"/>
        <v>0</v>
      </c>
      <c r="J625" s="133">
        <f t="shared" si="152"/>
        <v>0</v>
      </c>
      <c r="K625" s="134">
        <f t="shared" si="152"/>
        <v>0</v>
      </c>
      <c r="L625" s="135">
        <f t="shared" si="152"/>
        <v>0</v>
      </c>
      <c r="N625" s="247"/>
    </row>
    <row r="626" spans="1:19" ht="15" x14ac:dyDescent="0.25">
      <c r="N626" s="247"/>
    </row>
    <row r="627" spans="1:19" ht="15" x14ac:dyDescent="0.25">
      <c r="E627" s="153">
        <f>(F624*$H$5)+(H624*$J$5)+(J624*$L$5)+(L624*$N$5)</f>
        <v>64376.080606796124</v>
      </c>
      <c r="N627" s="247"/>
    </row>
    <row r="628" spans="1:19" ht="15" x14ac:dyDescent="0.25">
      <c r="G628" s="109"/>
      <c r="N628" s="247"/>
    </row>
    <row r="629" spans="1:19" ht="15" x14ac:dyDescent="0.25">
      <c r="G629" s="109"/>
      <c r="N629" s="247"/>
    </row>
    <row r="630" spans="1:19" ht="15" x14ac:dyDescent="0.25">
      <c r="A630" s="564" t="s">
        <v>97</v>
      </c>
      <c r="B630" s="564"/>
      <c r="C630" s="564"/>
      <c r="D630" s="564"/>
      <c r="E630" s="564"/>
      <c r="F630" s="564"/>
      <c r="G630" s="564"/>
      <c r="H630" s="564"/>
      <c r="N630" s="247"/>
    </row>
    <row r="631" spans="1:19" ht="15" x14ac:dyDescent="0.25">
      <c r="A631" s="564"/>
      <c r="B631" s="564"/>
      <c r="C631" s="564"/>
      <c r="D631" s="564"/>
      <c r="E631" s="564"/>
      <c r="F631" s="564"/>
      <c r="G631" s="564"/>
      <c r="H631" s="564"/>
      <c r="N631" s="247"/>
    </row>
    <row r="632" spans="1:19" ht="4.5" customHeight="1" x14ac:dyDescent="0.25">
      <c r="N632" s="247"/>
    </row>
    <row r="633" spans="1:19" ht="15" x14ac:dyDescent="0.25">
      <c r="A633" s="548" t="s">
        <v>85</v>
      </c>
      <c r="B633" s="548"/>
      <c r="C633" s="548"/>
      <c r="D633" s="548"/>
      <c r="E633" s="548"/>
      <c r="F633" s="548"/>
      <c r="G633" s="548"/>
      <c r="H633" s="548"/>
      <c r="N633" s="247"/>
    </row>
    <row r="634" spans="1:19" ht="15" x14ac:dyDescent="0.25">
      <c r="A634" s="10" t="s">
        <v>8</v>
      </c>
      <c r="B634" s="10"/>
      <c r="C634" s="10" t="s">
        <v>2</v>
      </c>
      <c r="D634" s="10" t="s">
        <v>3</v>
      </c>
      <c r="E634" s="10" t="s">
        <v>137</v>
      </c>
      <c r="F634" s="10" t="s">
        <v>25</v>
      </c>
      <c r="G634" s="10" t="s">
        <v>95</v>
      </c>
      <c r="H634" s="10" t="s">
        <v>240</v>
      </c>
      <c r="N634" s="247"/>
      <c r="S634" s="111"/>
    </row>
    <row r="635" spans="1:19" ht="15" x14ac:dyDescent="0.25">
      <c r="A635" s="167" t="str">
        <f>Balanço_MRE!A635</f>
        <v>VMSA - Barbacena, MG</v>
      </c>
      <c r="B635" s="167">
        <f>Balanço_MRE!B635</f>
        <v>0</v>
      </c>
      <c r="C635" s="167" t="str">
        <f>Balanço_MRE!C635</f>
        <v>Carga</v>
      </c>
      <c r="D635" s="192" t="str">
        <f>Balanço_MRE!D635</f>
        <v>SUDESTE</v>
      </c>
      <c r="E635" s="79">
        <f>Balanço_MRE!E635</f>
        <v>29.532169</v>
      </c>
      <c r="F635" s="262">
        <f>Balanço_MRE!F635</f>
        <v>21971.933994226805</v>
      </c>
      <c r="G635" s="263">
        <f>Balanço_MRE!G635</f>
        <v>444.24900000000002</v>
      </c>
      <c r="H635" s="193">
        <f>Balanço_MRE!H635</f>
        <v>0.03</v>
      </c>
      <c r="L635" s="109"/>
      <c r="N635" s="247"/>
    </row>
    <row r="636" spans="1:19" ht="15" x14ac:dyDescent="0.25">
      <c r="A636" s="217"/>
      <c r="B636" s="217"/>
      <c r="C636" s="217"/>
      <c r="D636" s="217"/>
      <c r="E636" s="218"/>
      <c r="F636" s="219"/>
      <c r="G636" s="220">
        <f>'[8]2019'!$F$11</f>
        <v>444.24900000000002</v>
      </c>
      <c r="H636" s="221"/>
      <c r="N636" s="247"/>
    </row>
    <row r="637" spans="1:19" ht="15" x14ac:dyDescent="0.25">
      <c r="A637" s="80" t="s">
        <v>32</v>
      </c>
      <c r="B637" s="16"/>
      <c r="C637" s="16"/>
      <c r="D637" s="17"/>
      <c r="E637" s="81">
        <f>SUM(E635:E636)</f>
        <v>29.532169</v>
      </c>
      <c r="F637" s="84">
        <f>SUM(F635:F636)</f>
        <v>21971.933994226805</v>
      </c>
      <c r="G637" s="84">
        <f>SUM(G635:G636)</f>
        <v>888.49800000000005</v>
      </c>
      <c r="H637" s="84"/>
      <c r="I637" s="115"/>
      <c r="N637" s="247"/>
    </row>
    <row r="638" spans="1:19" ht="15" x14ac:dyDescent="0.25">
      <c r="N638" s="247"/>
    </row>
    <row r="639" spans="1:19" ht="15" x14ac:dyDescent="0.25">
      <c r="A639" s="548" t="s">
        <v>70</v>
      </c>
      <c r="B639" s="548"/>
      <c r="C639" s="548"/>
      <c r="D639" s="548"/>
      <c r="E639" s="548"/>
      <c r="F639" s="548"/>
      <c r="G639" s="548"/>
      <c r="H639" s="548"/>
      <c r="N639" s="247"/>
    </row>
    <row r="640" spans="1:19" ht="15" x14ac:dyDescent="0.25">
      <c r="A640" s="10" t="s">
        <v>252</v>
      </c>
      <c r="B640" s="10" t="s">
        <v>1</v>
      </c>
      <c r="C640" s="10" t="s">
        <v>2</v>
      </c>
      <c r="D640" s="10" t="s">
        <v>3</v>
      </c>
      <c r="E640" s="10" t="s">
        <v>137</v>
      </c>
      <c r="F640" s="10" t="s">
        <v>25</v>
      </c>
      <c r="G640" s="10" t="s">
        <v>253</v>
      </c>
      <c r="H640" s="10" t="s">
        <v>254</v>
      </c>
      <c r="J640" s="10" t="s">
        <v>72</v>
      </c>
      <c r="K640" s="10" t="s">
        <v>73</v>
      </c>
      <c r="L640" s="10" t="s">
        <v>74</v>
      </c>
      <c r="M640" s="10" t="s">
        <v>75</v>
      </c>
      <c r="N640" s="247"/>
    </row>
    <row r="641" spans="1:23" ht="15" x14ac:dyDescent="0.25">
      <c r="A641" s="167">
        <f>Balanço_MRE!A641</f>
        <v>15581</v>
      </c>
      <c r="B641" s="167" t="str">
        <f>Balanço_MRE!B641</f>
        <v>PROINFA | ACEP &gt;&gt; 0106_1225</v>
      </c>
      <c r="C641" s="167" t="str">
        <f>Balanço_MRE!C641</f>
        <v>Contratos de Compra</v>
      </c>
      <c r="D641" s="192" t="str">
        <f>Balanço_MRE!D641</f>
        <v>SUDESTE</v>
      </c>
      <c r="E641" s="79">
        <f>Balanço_MRE!E641</f>
        <v>0.597109</v>
      </c>
      <c r="F641" s="262">
        <f>Balanço_MRE!F641</f>
        <v>444.24900000000002</v>
      </c>
      <c r="G641" s="263">
        <f>Balanço_MRE!G641</f>
        <v>0</v>
      </c>
      <c r="H641" s="193">
        <f>Balanço_MRE!H641</f>
        <v>0</v>
      </c>
      <c r="J641" s="247">
        <f>[26]Contratos!W3</f>
        <v>394.78800000000001</v>
      </c>
      <c r="K641" s="247" t="str">
        <f>[27]Contratos!X3</f>
        <v>Ajustado e Validado</v>
      </c>
      <c r="L641" s="247"/>
      <c r="M641" s="247"/>
      <c r="N641" s="247"/>
    </row>
    <row r="642" spans="1:23" ht="15" x14ac:dyDescent="0.25">
      <c r="A642" s="167">
        <f>Balanço_MRE!A642</f>
        <v>747543</v>
      </c>
      <c r="B642" s="167" t="str">
        <f>Balanço_MRE!B642</f>
        <v xml:space="preserve">CVRD APE I5 &gt;&gt; 0115_0119 </v>
      </c>
      <c r="C642" s="167" t="str">
        <f>Balanço_MRE!C642</f>
        <v>Contratos de Compra</v>
      </c>
      <c r="D642" s="192" t="str">
        <f>Balanço_MRE!D642</f>
        <v>SUDESTE</v>
      </c>
      <c r="E642" s="79">
        <f>Balanço_MRE!E642</f>
        <v>0</v>
      </c>
      <c r="F642" s="262">
        <f>Balanço_MRE!F642</f>
        <v>0</v>
      </c>
      <c r="G642" s="263">
        <f>Balanço_MRE!G642</f>
        <v>0</v>
      </c>
      <c r="H642" s="193">
        <f>Balanço_MRE!H642</f>
        <v>0</v>
      </c>
      <c r="I642" s="143"/>
      <c r="J642" s="9" t="str">
        <f>VLOOKUP(A642,[25]RelatorioContratos_080817_10590!$A$2:$AC$43,26,FALSE)</f>
        <v>0,000000</v>
      </c>
      <c r="K642" s="9" t="str">
        <f>VLOOKUP(A642,[25]RelatorioContratos_080817_10590!$A$2:$AC$43,8,FALSE)</f>
        <v>31/01/2019 23</v>
      </c>
      <c r="L642" s="9" t="str">
        <f>VLOOKUP(A642,[25]RelatorioContratos_080817_10590!$A$2:$AZ$43,32,FALSE)</f>
        <v>FLAT</v>
      </c>
      <c r="M642" s="9" t="str">
        <f>VLOOKUP(A642,[25]RelatorioContratos_080817_10590!$A$2:$AZ$43,33,FALSE)</f>
        <v>Validado</v>
      </c>
      <c r="N642" s="247">
        <f>(J642*$B$33)-F642</f>
        <v>0</v>
      </c>
    </row>
    <row r="643" spans="1:23" ht="15" x14ac:dyDescent="0.25">
      <c r="A643" s="167">
        <f>Balanço_MRE!A643</f>
        <v>747625</v>
      </c>
      <c r="B643" s="167" t="str">
        <f>Balanço_MRE!B643</f>
        <v>CVRD PIE I5 &gt;&gt; 0115_0119</v>
      </c>
      <c r="C643" s="167" t="str">
        <f>Balanço_MRE!C643</f>
        <v>Contratos de Compra</v>
      </c>
      <c r="D643" s="192" t="str">
        <f>Balanço_MRE!D643</f>
        <v>SUDESTE</v>
      </c>
      <c r="E643" s="79">
        <f>Balanço_MRE!E643</f>
        <v>0</v>
      </c>
      <c r="F643" s="262">
        <f>Balanço_MRE!F643</f>
        <v>0</v>
      </c>
      <c r="G643" s="263">
        <f>Balanço_MRE!G643</f>
        <v>0</v>
      </c>
      <c r="H643" s="193">
        <f>Balanço_MRE!H643</f>
        <v>0</v>
      </c>
      <c r="J643" s="9" t="str">
        <f>VLOOKUP(A643,[25]RelatorioContratos_080817_10590!$A$2:$AC$43,26,FALSE)</f>
        <v>0,000000</v>
      </c>
      <c r="K643" s="9" t="str">
        <f>VLOOKUP(A643,[25]RelatorioContratos_080817_10590!$A$2:$AC$43,8,FALSE)</f>
        <v>31/01/2019 23</v>
      </c>
      <c r="L643" s="9" t="str">
        <f>VLOOKUP(A643,[25]RelatorioContratos_080817_10590!$A$2:$AZ$43,32,FALSE)</f>
        <v>FLAT</v>
      </c>
      <c r="M643" s="9" t="str">
        <f>VLOOKUP(A643,[25]RelatorioContratos_080817_10590!$A$2:$AZ$43,33,FALSE)</f>
        <v>Validado</v>
      </c>
      <c r="N643" s="247">
        <f>(J643*$B$33)-F643</f>
        <v>0</v>
      </c>
    </row>
    <row r="644" spans="1:23" ht="15" x14ac:dyDescent="0.25">
      <c r="A644" s="167">
        <f>Balanço_MRE!A644</f>
        <v>747536</v>
      </c>
      <c r="B644" s="167" t="str">
        <f>Balanço_MRE!B644</f>
        <v>VALE ENE I5 &gt;&gt; 0115_0119</v>
      </c>
      <c r="C644" s="167" t="str">
        <f>Balanço_MRE!C644</f>
        <v>Contratos de Compra</v>
      </c>
      <c r="D644" s="192" t="str">
        <f>Balanço_MRE!D644</f>
        <v>SUDESTE</v>
      </c>
      <c r="E644" s="79">
        <f>Balanço_MRE!E644</f>
        <v>0</v>
      </c>
      <c r="F644" s="262">
        <f>Balanço_MRE!F644</f>
        <v>0</v>
      </c>
      <c r="G644" s="263">
        <f>Balanço_MRE!G644</f>
        <v>0</v>
      </c>
      <c r="H644" s="193">
        <f>Balanço_MRE!H644</f>
        <v>0</v>
      </c>
      <c r="J644" s="9" t="str">
        <f>VLOOKUP(A644,[25]RelatorioContratos_080817_10590!$A$2:$AC$43,26,FALSE)</f>
        <v>0,000000</v>
      </c>
      <c r="K644" s="9" t="str">
        <f>VLOOKUP(A644,[25]RelatorioContratos_080817_10590!$A$2:$AC$43,8,FALSE)</f>
        <v>31/01/2019 23</v>
      </c>
      <c r="L644" s="9" t="str">
        <f>VLOOKUP(A644,[25]RelatorioContratos_080817_10590!$A$2:$AZ$43,32,FALSE)</f>
        <v>FLAT</v>
      </c>
      <c r="M644" s="9" t="str">
        <f>VLOOKUP(A644,[25]RelatorioContratos_080817_10590!$A$2:$AZ$43,33,FALSE)</f>
        <v>Validado</v>
      </c>
      <c r="N644" s="247">
        <f>(J644*$B$33)-F644</f>
        <v>0</v>
      </c>
    </row>
    <row r="645" spans="1:23" ht="15" x14ac:dyDescent="0.25">
      <c r="A645" s="167">
        <f>Balanço_MRE!A645</f>
        <v>557818</v>
      </c>
      <c r="B645" s="167" t="str">
        <f>Balanço_MRE!B645</f>
        <v>VALE ENERGIA &gt;&gt; 0214_0119</v>
      </c>
      <c r="C645" s="167" t="str">
        <f>Balanço_MRE!C645</f>
        <v>Contratos de Compra</v>
      </c>
      <c r="D645" s="192" t="str">
        <f>Balanço_MRE!D645</f>
        <v>SUDESTE</v>
      </c>
      <c r="E645" s="79">
        <f>Balanço_MRE!E645</f>
        <v>0</v>
      </c>
      <c r="F645" s="262">
        <f>Balanço_MRE!F645</f>
        <v>0</v>
      </c>
      <c r="G645" s="263">
        <f>Balanço_MRE!G645</f>
        <v>0</v>
      </c>
      <c r="H645" s="193">
        <f>Balanço_MRE!H645</f>
        <v>0</v>
      </c>
      <c r="J645" s="9" t="str">
        <f>VLOOKUP(A645,[25]RelatorioContratos_080817_10590!$A$2:$AC$43,26,FALSE)</f>
        <v>0,000000</v>
      </c>
      <c r="K645" s="9" t="str">
        <f>VLOOKUP(A645,[25]RelatorioContratos_080817_10590!$A$2:$AC$43,8,FALSE)</f>
        <v>31/01/2019 23</v>
      </c>
      <c r="L645" s="9" t="str">
        <f>VLOOKUP(A645,[25]RelatorioContratos_080817_10590!$A$2:$AZ$43,32,FALSE)</f>
        <v>FLAT</v>
      </c>
      <c r="M645" s="9" t="str">
        <f>VLOOKUP(A645,[25]RelatorioContratos_080817_10590!$A$2:$AZ$43,33,FALSE)</f>
        <v>Validado</v>
      </c>
      <c r="N645" s="247">
        <f>(J645*$B$33)-F645</f>
        <v>0</v>
      </c>
    </row>
    <row r="646" spans="1:23" ht="15" x14ac:dyDescent="0.25">
      <c r="A646" s="167">
        <f>Balanço_MRE!A646</f>
        <v>952937</v>
      </c>
      <c r="B646" s="167" t="str">
        <f>Balanço_MRE!B646</f>
        <v>FURNAS &gt;&gt; 0117_0235</v>
      </c>
      <c r="C646" s="167" t="str">
        <f>Balanço_MRE!C646</f>
        <v>Contratos de Compra</v>
      </c>
      <c r="D646" s="192" t="str">
        <f>Balanço_MRE!D646</f>
        <v>SUDESTE</v>
      </c>
      <c r="E646" s="79">
        <f>Balanço_MRE!E646</f>
        <v>22.3</v>
      </c>
      <c r="F646" s="262">
        <f>Balanço_MRE!F646</f>
        <v>16591.2</v>
      </c>
      <c r="G646" s="263">
        <f>Balanço_MRE!G646</f>
        <v>145.28</v>
      </c>
      <c r="H646" s="193">
        <f>Balanço_MRE!H646</f>
        <v>2410369.5360000003</v>
      </c>
      <c r="J646" s="9"/>
      <c r="K646" s="9"/>
      <c r="L646" s="9"/>
      <c r="M646" s="9"/>
      <c r="N646" s="247"/>
    </row>
    <row r="647" spans="1:23" ht="15" x14ac:dyDescent="0.25">
      <c r="A647" s="167">
        <f>Balanço_MRE!A647</f>
        <v>0</v>
      </c>
      <c r="B647" s="167" t="str">
        <f>Balanço_MRE!B647</f>
        <v>FURNAS &gt;&gt; 0119_0235</v>
      </c>
      <c r="C647" s="167" t="str">
        <f>Balanço_MRE!C647</f>
        <v>Contratos de Compra</v>
      </c>
      <c r="D647" s="192" t="str">
        <f>Balanço_MRE!D647</f>
        <v>SUDESTE</v>
      </c>
      <c r="E647" s="79">
        <f>Balanço_MRE!E647</f>
        <v>3.23</v>
      </c>
      <c r="F647" s="262">
        <f>Balanço_MRE!F647</f>
        <v>2403.12</v>
      </c>
      <c r="G647" s="263">
        <f>Balanço_MRE!G647</f>
        <v>0</v>
      </c>
      <c r="H647" s="193">
        <f>Balanço_MRE!H647</f>
        <v>0</v>
      </c>
      <c r="J647" s="9"/>
      <c r="K647" s="9"/>
      <c r="L647" s="9"/>
      <c r="M647" s="9"/>
      <c r="N647" s="247"/>
    </row>
    <row r="648" spans="1:23" ht="15" x14ac:dyDescent="0.25">
      <c r="A648" s="167">
        <f>Balanço_MRE!A648</f>
        <v>0</v>
      </c>
      <c r="B648" s="167" t="str">
        <f>Balanço_MRE!B648</f>
        <v>CCE_2_LUMEN_01012019_31122019</v>
      </c>
      <c r="C648" s="167" t="str">
        <f>Balanço_MRE!C648</f>
        <v>Contratos de Compra</v>
      </c>
      <c r="D648" s="192" t="str">
        <f>Balanço_MRE!D648</f>
        <v>SUDESTE</v>
      </c>
      <c r="E648" s="79">
        <f>Balanço_MRE!E648</f>
        <v>2</v>
      </c>
      <c r="F648" s="262">
        <f>Balanço_MRE!F648</f>
        <v>1488</v>
      </c>
      <c r="G648" s="263">
        <f>Balanço_MRE!G648</f>
        <v>199</v>
      </c>
      <c r="H648" s="193">
        <f>Balanço_MRE!H648</f>
        <v>0</v>
      </c>
      <c r="J648" s="9"/>
      <c r="K648" s="9"/>
      <c r="L648" s="9"/>
      <c r="M648" s="9"/>
      <c r="N648" s="247"/>
    </row>
    <row r="649" spans="1:23" ht="15" x14ac:dyDescent="0.25">
      <c r="A649" s="167">
        <f>Balanço_MRE!A649</f>
        <v>0</v>
      </c>
      <c r="B649" s="167" t="str">
        <f>Balanço_MRE!B649</f>
        <v>CCE_1_ENERGISA_01012019_31122019</v>
      </c>
      <c r="C649" s="167" t="str">
        <f>Balanço_MRE!C649</f>
        <v>Contratos de Compra</v>
      </c>
      <c r="D649" s="192" t="str">
        <f>Balanço_MRE!D649</f>
        <v>SUDESTE</v>
      </c>
      <c r="E649" s="79">
        <f>Balanço_MRE!E649</f>
        <v>1</v>
      </c>
      <c r="F649" s="262">
        <f>Balanço_MRE!F649</f>
        <v>744</v>
      </c>
      <c r="G649" s="263">
        <f>Balanço_MRE!G649</f>
        <v>200</v>
      </c>
      <c r="H649" s="193">
        <f>Balanço_MRE!H649</f>
        <v>0</v>
      </c>
      <c r="J649" s="9"/>
      <c r="K649" s="9"/>
      <c r="L649" s="9"/>
      <c r="M649" s="9"/>
      <c r="N649" s="247"/>
    </row>
    <row r="650" spans="1:23" ht="15" x14ac:dyDescent="0.25">
      <c r="A650" s="167">
        <f>Balanço_MRE!A650</f>
        <v>0</v>
      </c>
      <c r="B650" s="167">
        <f>Balanço_MRE!B650</f>
        <v>0</v>
      </c>
      <c r="C650" s="167">
        <f>Balanço_MRE!C650</f>
        <v>0</v>
      </c>
      <c r="D650" s="192">
        <f>Balanço_MRE!D650</f>
        <v>0</v>
      </c>
      <c r="E650" s="79">
        <f>Balanço_MRE!E650</f>
        <v>0</v>
      </c>
      <c r="F650" s="262">
        <f>Balanço_MRE!F650</f>
        <v>0</v>
      </c>
      <c r="G650" s="263">
        <f>Balanço_MRE!G650</f>
        <v>0</v>
      </c>
      <c r="H650" s="193">
        <f>Balanço_MRE!H650</f>
        <v>0</v>
      </c>
      <c r="J650" s="9"/>
      <c r="K650" s="9"/>
      <c r="L650" s="9"/>
      <c r="M650" s="9"/>
      <c r="N650" s="247"/>
    </row>
    <row r="651" spans="1:23" ht="15" x14ac:dyDescent="0.25">
      <c r="A651" s="167">
        <f>Balanço_MRE!A651</f>
        <v>0</v>
      </c>
      <c r="B651" s="167">
        <f>Balanço_MRE!B651</f>
        <v>0</v>
      </c>
      <c r="C651" s="167">
        <f>Balanço_MRE!C651</f>
        <v>0</v>
      </c>
      <c r="D651" s="192">
        <f>Balanço_MRE!D651</f>
        <v>0</v>
      </c>
      <c r="E651" s="79">
        <f>Balanço_MRE!E651</f>
        <v>0</v>
      </c>
      <c r="F651" s="262">
        <f>Balanço_MRE!F651</f>
        <v>0</v>
      </c>
      <c r="G651" s="263">
        <f>Balanço_MRE!G651</f>
        <v>0</v>
      </c>
      <c r="H651" s="193">
        <f>Balanço_MRE!H651</f>
        <v>0</v>
      </c>
      <c r="J651" s="393"/>
      <c r="K651" s="393"/>
      <c r="L651" s="393"/>
      <c r="M651" s="393"/>
      <c r="N651" s="247"/>
    </row>
    <row r="652" spans="1:23" ht="15" x14ac:dyDescent="0.25">
      <c r="A652" s="80" t="s">
        <v>32</v>
      </c>
      <c r="B652" s="16"/>
      <c r="C652" s="16"/>
      <c r="D652" s="17"/>
      <c r="E652" s="81">
        <f>SUM(E641:E651)</f>
        <v>29.127109000000001</v>
      </c>
      <c r="F652" s="84">
        <f>SUM(F641:F651)</f>
        <v>21670.569</v>
      </c>
      <c r="G652" s="82">
        <f>IFERROR(H652/F652,0)</f>
        <v>111.22779175756762</v>
      </c>
      <c r="H652" s="82">
        <f>SUM(H641:H651)</f>
        <v>2410369.5360000003</v>
      </c>
      <c r="I652" s="115"/>
      <c r="N652" s="247"/>
    </row>
    <row r="653" spans="1:23" ht="15" x14ac:dyDescent="0.25">
      <c r="N653" s="247"/>
    </row>
    <row r="654" spans="1:23" ht="15" x14ac:dyDescent="0.25">
      <c r="A654" s="167"/>
      <c r="B654" s="168"/>
      <c r="C654" s="167"/>
      <c r="D654" s="169"/>
      <c r="E654" s="79"/>
      <c r="F654" s="83"/>
      <c r="G654" s="170"/>
      <c r="H654" s="170"/>
      <c r="I654" s="247"/>
      <c r="J654" s="9"/>
      <c r="K654" s="9"/>
      <c r="L654" s="9"/>
      <c r="M654" s="9"/>
      <c r="N654" s="247"/>
      <c r="O654"/>
      <c r="P654"/>
      <c r="Q654"/>
      <c r="R654"/>
      <c r="S654"/>
      <c r="T654"/>
      <c r="U654"/>
      <c r="V654"/>
      <c r="W654"/>
    </row>
    <row r="655" spans="1:23" ht="15" x14ac:dyDescent="0.25">
      <c r="A655" s="548" t="s">
        <v>233</v>
      </c>
      <c r="B655" s="548"/>
      <c r="C655" s="548"/>
      <c r="E655" s="116" t="s">
        <v>19</v>
      </c>
      <c r="F655" s="116"/>
      <c r="G655" s="117" t="s">
        <v>20</v>
      </c>
      <c r="H655" s="117"/>
      <c r="I655" s="118" t="s">
        <v>21</v>
      </c>
      <c r="J655" s="118"/>
      <c r="K655" s="119" t="s">
        <v>22</v>
      </c>
      <c r="L655" s="119"/>
      <c r="N655" s="247"/>
      <c r="O655"/>
      <c r="P655"/>
      <c r="Q655"/>
      <c r="R655"/>
      <c r="S655"/>
      <c r="T655"/>
      <c r="U655"/>
      <c r="V655"/>
      <c r="W655"/>
    </row>
    <row r="656" spans="1:23" ht="15" x14ac:dyDescent="0.25">
      <c r="A656" s="10" t="s">
        <v>2</v>
      </c>
      <c r="B656" s="10" t="s">
        <v>137</v>
      </c>
      <c r="C656" s="10" t="s">
        <v>25</v>
      </c>
      <c r="E656" s="207" t="s">
        <v>137</v>
      </c>
      <c r="F656" s="208" t="s">
        <v>25</v>
      </c>
      <c r="G656" s="209" t="s">
        <v>137</v>
      </c>
      <c r="H656" s="210" t="s">
        <v>25</v>
      </c>
      <c r="I656" s="211" t="s">
        <v>137</v>
      </c>
      <c r="J656" s="212" t="s">
        <v>25</v>
      </c>
      <c r="K656" s="213" t="s">
        <v>137</v>
      </c>
      <c r="L656" s="214" t="s">
        <v>25</v>
      </c>
      <c r="N656" s="247"/>
      <c r="O656"/>
      <c r="P656"/>
      <c r="Q656"/>
      <c r="R656"/>
      <c r="S656"/>
      <c r="T656"/>
      <c r="U656"/>
      <c r="V656"/>
      <c r="W656"/>
    </row>
    <row r="657" spans="1:23" ht="15" x14ac:dyDescent="0.25">
      <c r="A657" s="29" t="s">
        <v>69</v>
      </c>
      <c r="B657" s="70">
        <v>0</v>
      </c>
      <c r="C657" s="83">
        <v>0</v>
      </c>
      <c r="E657" s="120">
        <f t="shared" ref="E657:E663" si="153">SUMIFS($E$635:$E$651,$C$635:$C$651,$A657,$D$635:$D$651,$E$655)</f>
        <v>0</v>
      </c>
      <c r="F657" s="121">
        <f t="shared" ref="F657:F663" si="154">SUMIFS($F$635:$F$651,$C$635:$C$651,$A657,$D$635:$D$651,$E$655)</f>
        <v>0</v>
      </c>
      <c r="G657" s="122">
        <f t="shared" ref="G657:G663" si="155">SUMIFS($E$635:$E$651,$C$635:$C$651,$A657,$D$635:$D$651,$G$655)</f>
        <v>0</v>
      </c>
      <c r="H657" s="123">
        <f t="shared" ref="H657:H663" si="156">SUMIFS($F$635:$F$651,$C$635:$C$651,$A657,$D$635:$D$651,$G$655)</f>
        <v>0</v>
      </c>
      <c r="I657" s="124">
        <f t="shared" ref="I657:I663" si="157">SUMIFS($E$635:$E$651,$C$635:$C$651,$A657,$D$635:$D$651,$I$655)</f>
        <v>0</v>
      </c>
      <c r="J657" s="125">
        <f t="shared" ref="J657:J663" si="158">SUMIFS($F$635:$F$651,$C$635:$C$651,$A657,$D$635:$D$651,$I$655)</f>
        <v>0</v>
      </c>
      <c r="K657" s="126">
        <f t="shared" ref="K657:K663" si="159">SUMIFS($E$635:$E$651,$C$635:$C$651,$A657,$D$635:$D$651,$K$655)</f>
        <v>0</v>
      </c>
      <c r="L657" s="127">
        <f t="shared" ref="L657:L663" si="160">SUMIFS($F$635:$F$651,$C$635:$C$651,$A657,$D$635:$D$651,$K$655)</f>
        <v>0</v>
      </c>
      <c r="N657" s="247"/>
      <c r="O657"/>
      <c r="P657"/>
      <c r="Q657"/>
      <c r="R657"/>
      <c r="S657"/>
      <c r="T657"/>
      <c r="U657"/>
      <c r="V657"/>
      <c r="W657"/>
    </row>
    <row r="658" spans="1:23" ht="15" x14ac:dyDescent="0.25">
      <c r="A658" s="29" t="s">
        <v>47</v>
      </c>
      <c r="B658" s="70">
        <v>0</v>
      </c>
      <c r="C658" s="83">
        <v>0</v>
      </c>
      <c r="E658" s="120">
        <f t="shared" si="153"/>
        <v>0</v>
      </c>
      <c r="F658" s="121">
        <f t="shared" si="154"/>
        <v>0</v>
      </c>
      <c r="G658" s="122">
        <f t="shared" si="155"/>
        <v>0</v>
      </c>
      <c r="H658" s="123">
        <f t="shared" si="156"/>
        <v>0</v>
      </c>
      <c r="I658" s="124">
        <f t="shared" si="157"/>
        <v>0</v>
      </c>
      <c r="J658" s="125">
        <f t="shared" si="158"/>
        <v>0</v>
      </c>
      <c r="K658" s="126">
        <f t="shared" si="159"/>
        <v>0</v>
      </c>
      <c r="L658" s="127">
        <f t="shared" si="160"/>
        <v>0</v>
      </c>
      <c r="N658" s="247"/>
      <c r="O658"/>
      <c r="P658"/>
      <c r="Q658"/>
      <c r="R658"/>
      <c r="S658"/>
      <c r="T658"/>
      <c r="U658"/>
      <c r="V658"/>
      <c r="W658"/>
    </row>
    <row r="659" spans="1:23" ht="15" x14ac:dyDescent="0.25">
      <c r="A659" s="29" t="s">
        <v>79</v>
      </c>
      <c r="B659" s="70">
        <v>0</v>
      </c>
      <c r="C659" s="83">
        <v>0</v>
      </c>
      <c r="E659" s="120">
        <f t="shared" si="153"/>
        <v>0</v>
      </c>
      <c r="F659" s="121">
        <f t="shared" si="154"/>
        <v>0</v>
      </c>
      <c r="G659" s="122">
        <f t="shared" si="155"/>
        <v>0</v>
      </c>
      <c r="H659" s="123">
        <f t="shared" si="156"/>
        <v>0</v>
      </c>
      <c r="I659" s="124">
        <f t="shared" si="157"/>
        <v>0</v>
      </c>
      <c r="J659" s="125">
        <f t="shared" si="158"/>
        <v>0</v>
      </c>
      <c r="K659" s="126">
        <f t="shared" si="159"/>
        <v>0</v>
      </c>
      <c r="L659" s="127">
        <f t="shared" si="160"/>
        <v>0</v>
      </c>
      <c r="N659" s="247"/>
      <c r="O659"/>
      <c r="P659"/>
      <c r="Q659"/>
      <c r="R659"/>
      <c r="S659"/>
      <c r="T659"/>
      <c r="U659"/>
      <c r="V659"/>
      <c r="W659"/>
    </row>
    <row r="660" spans="1:23" ht="15" x14ac:dyDescent="0.25">
      <c r="A660" s="29" t="s">
        <v>71</v>
      </c>
      <c r="B660" s="70">
        <f>E652</f>
        <v>29.127109000000001</v>
      </c>
      <c r="C660" s="83">
        <f>F652</f>
        <v>21670.569</v>
      </c>
      <c r="E660" s="120">
        <f t="shared" si="153"/>
        <v>0</v>
      </c>
      <c r="F660" s="121">
        <f t="shared" si="154"/>
        <v>0</v>
      </c>
      <c r="G660" s="122">
        <f t="shared" si="155"/>
        <v>0</v>
      </c>
      <c r="H660" s="123">
        <f t="shared" si="156"/>
        <v>0</v>
      </c>
      <c r="I660" s="124">
        <f t="shared" si="157"/>
        <v>29.127109000000001</v>
      </c>
      <c r="J660" s="125">
        <f t="shared" si="158"/>
        <v>21670.569</v>
      </c>
      <c r="K660" s="126">
        <f t="shared" si="159"/>
        <v>0</v>
      </c>
      <c r="L660" s="127">
        <f t="shared" si="160"/>
        <v>0</v>
      </c>
      <c r="N660" s="247"/>
      <c r="O660"/>
      <c r="P660"/>
      <c r="Q660"/>
      <c r="R660"/>
      <c r="S660"/>
      <c r="T660"/>
      <c r="U660"/>
      <c r="V660"/>
      <c r="W660"/>
    </row>
    <row r="661" spans="1:23" ht="15" x14ac:dyDescent="0.25">
      <c r="A661" s="29" t="s">
        <v>9</v>
      </c>
      <c r="B661" s="70">
        <f>E637</f>
        <v>29.532169</v>
      </c>
      <c r="C661" s="83">
        <f>F637</f>
        <v>21971.933994226805</v>
      </c>
      <c r="E661" s="120">
        <f t="shared" si="153"/>
        <v>0</v>
      </c>
      <c r="F661" s="121">
        <f t="shared" si="154"/>
        <v>0</v>
      </c>
      <c r="G661" s="122">
        <f t="shared" si="155"/>
        <v>0</v>
      </c>
      <c r="H661" s="123">
        <f t="shared" si="156"/>
        <v>0</v>
      </c>
      <c r="I661" s="124">
        <f t="shared" si="157"/>
        <v>29.532169</v>
      </c>
      <c r="J661" s="125">
        <f t="shared" si="158"/>
        <v>21971.933994226805</v>
      </c>
      <c r="K661" s="126">
        <f t="shared" si="159"/>
        <v>0</v>
      </c>
      <c r="L661" s="127">
        <f t="shared" si="160"/>
        <v>0</v>
      </c>
      <c r="N661" s="247"/>
      <c r="O661"/>
      <c r="P661"/>
      <c r="Q661"/>
      <c r="R661"/>
      <c r="S661"/>
      <c r="T661"/>
      <c r="U661"/>
      <c r="V661"/>
      <c r="W661"/>
    </row>
    <row r="662" spans="1:23" ht="15" x14ac:dyDescent="0.25">
      <c r="A662" s="29" t="s">
        <v>80</v>
      </c>
      <c r="B662" s="70">
        <v>0</v>
      </c>
      <c r="C662" s="83">
        <v>0</v>
      </c>
      <c r="E662" s="120">
        <f t="shared" si="153"/>
        <v>0</v>
      </c>
      <c r="F662" s="121">
        <f t="shared" si="154"/>
        <v>0</v>
      </c>
      <c r="G662" s="122">
        <f t="shared" si="155"/>
        <v>0</v>
      </c>
      <c r="H662" s="123">
        <f t="shared" si="156"/>
        <v>0</v>
      </c>
      <c r="I662" s="124">
        <f t="shared" si="157"/>
        <v>0</v>
      </c>
      <c r="J662" s="125">
        <f t="shared" si="158"/>
        <v>0</v>
      </c>
      <c r="K662" s="126">
        <f t="shared" si="159"/>
        <v>0</v>
      </c>
      <c r="L662" s="127">
        <f t="shared" si="160"/>
        <v>0</v>
      </c>
      <c r="N662" s="247"/>
      <c r="O662"/>
      <c r="P662"/>
      <c r="Q662"/>
      <c r="R662"/>
      <c r="S662"/>
      <c r="T662"/>
      <c r="U662"/>
      <c r="V662"/>
      <c r="W662"/>
    </row>
    <row r="663" spans="1:23" ht="15" x14ac:dyDescent="0.25">
      <c r="A663" s="29" t="s">
        <v>77</v>
      </c>
      <c r="B663" s="70">
        <v>0</v>
      </c>
      <c r="C663" s="83">
        <v>0</v>
      </c>
      <c r="E663" s="120">
        <f t="shared" si="153"/>
        <v>0</v>
      </c>
      <c r="F663" s="121">
        <f t="shared" si="154"/>
        <v>0</v>
      </c>
      <c r="G663" s="122">
        <f t="shared" si="155"/>
        <v>0</v>
      </c>
      <c r="H663" s="123">
        <f t="shared" si="156"/>
        <v>0</v>
      </c>
      <c r="I663" s="124">
        <f t="shared" si="157"/>
        <v>0</v>
      </c>
      <c r="J663" s="125">
        <f t="shared" si="158"/>
        <v>0</v>
      </c>
      <c r="K663" s="126">
        <f t="shared" si="159"/>
        <v>0</v>
      </c>
      <c r="L663" s="127">
        <f t="shared" si="160"/>
        <v>0</v>
      </c>
      <c r="N663" s="247"/>
      <c r="O663"/>
      <c r="P663"/>
      <c r="Q663"/>
      <c r="R663"/>
      <c r="S663"/>
      <c r="T663"/>
      <c r="U663"/>
      <c r="V663"/>
      <c r="W663"/>
    </row>
    <row r="664" spans="1:23" ht="15" x14ac:dyDescent="0.25">
      <c r="A664" s="11" t="s">
        <v>81</v>
      </c>
      <c r="B664" s="12">
        <f>SUM(B657:B660)-SUM(B661:B663)</f>
        <v>-0.40505999999999887</v>
      </c>
      <c r="C664" s="12">
        <f>SUM(C657:C660)-SUM(C661:C663)</f>
        <v>-301.36499422680572</v>
      </c>
      <c r="E664" s="128">
        <f>SUM(E657:E660)-SUM(E661:E663)</f>
        <v>0</v>
      </c>
      <c r="F664" s="129">
        <f>SUM(F657:F660)-SUM(F661:F663)</f>
        <v>0</v>
      </c>
      <c r="G664" s="130">
        <f t="shared" ref="G664:L664" si="161">SUM(G657:G660)-SUM(G661:G663)</f>
        <v>0</v>
      </c>
      <c r="H664" s="131">
        <f t="shared" si="161"/>
        <v>0</v>
      </c>
      <c r="I664" s="132">
        <f t="shared" si="161"/>
        <v>-0.40505999999999887</v>
      </c>
      <c r="J664" s="133">
        <f t="shared" si="161"/>
        <v>-301.36499422680572</v>
      </c>
      <c r="K664" s="134">
        <f t="shared" si="161"/>
        <v>0</v>
      </c>
      <c r="L664" s="135">
        <f t="shared" si="161"/>
        <v>0</v>
      </c>
      <c r="N664" s="247"/>
      <c r="O664"/>
      <c r="P664"/>
      <c r="Q664"/>
      <c r="R664"/>
      <c r="S664"/>
      <c r="T664"/>
      <c r="U664"/>
      <c r="V664"/>
      <c r="W664"/>
    </row>
    <row r="665" spans="1:23" ht="15" x14ac:dyDescent="0.25">
      <c r="A665" s="11" t="s">
        <v>82</v>
      </c>
      <c r="B665" s="12">
        <f>SUM(B657:B660)-SUM(B661:B664)</f>
        <v>0</v>
      </c>
      <c r="C665" s="12">
        <f>SUM(C657:C660)-SUM(C661:C664)</f>
        <v>0</v>
      </c>
      <c r="E665" s="128">
        <f>SUM(E657:E660)-SUM(E661:E664)</f>
        <v>0</v>
      </c>
      <c r="F665" s="129">
        <f t="shared" ref="F665:L665" si="162">SUM(F657:F660)-SUM(F661:F664)</f>
        <v>0</v>
      </c>
      <c r="G665" s="130">
        <f t="shared" si="162"/>
        <v>0</v>
      </c>
      <c r="H665" s="131">
        <f t="shared" si="162"/>
        <v>0</v>
      </c>
      <c r="I665" s="132">
        <f t="shared" si="162"/>
        <v>0</v>
      </c>
      <c r="J665" s="133">
        <f t="shared" si="162"/>
        <v>0</v>
      </c>
      <c r="K665" s="134">
        <f t="shared" si="162"/>
        <v>0</v>
      </c>
      <c r="L665" s="135">
        <f t="shared" si="162"/>
        <v>0</v>
      </c>
      <c r="N665" s="247"/>
      <c r="O665"/>
      <c r="P665"/>
      <c r="Q665"/>
      <c r="R665"/>
      <c r="S665"/>
      <c r="T665"/>
      <c r="U665"/>
      <c r="V665"/>
      <c r="W665"/>
    </row>
    <row r="666" spans="1:23" ht="15" x14ac:dyDescent="0.25">
      <c r="N666" s="247"/>
      <c r="O666"/>
      <c r="P666"/>
      <c r="Q666"/>
      <c r="R666"/>
      <c r="S666"/>
      <c r="T666"/>
      <c r="U666"/>
      <c r="V666"/>
      <c r="W666"/>
    </row>
    <row r="667" spans="1:23" ht="15" x14ac:dyDescent="0.25">
      <c r="E667" s="153">
        <f>(F664*$H$5)+(H664*$J$5)+(J664*$L$5)+(L664*$N$5)</f>
        <v>-26123.690854593537</v>
      </c>
      <c r="N667" s="247"/>
      <c r="O667"/>
      <c r="P667"/>
      <c r="Q667"/>
      <c r="R667"/>
      <c r="S667"/>
      <c r="T667"/>
      <c r="U667"/>
      <c r="V667"/>
      <c r="W667"/>
    </row>
    <row r="668" spans="1:23" s="247" customFormat="1" ht="15" x14ac:dyDescent="0.25">
      <c r="O668"/>
      <c r="P668"/>
      <c r="Q668"/>
      <c r="R668"/>
      <c r="S668"/>
      <c r="T668"/>
      <c r="U668"/>
      <c r="V668"/>
      <c r="W668"/>
    </row>
    <row r="669" spans="1:23" s="247" customFormat="1" ht="15" x14ac:dyDescent="0.25">
      <c r="O669"/>
      <c r="P669"/>
      <c r="Q669"/>
      <c r="R669"/>
      <c r="S669"/>
      <c r="T669"/>
      <c r="U669"/>
      <c r="V669"/>
      <c r="W669"/>
    </row>
    <row r="670" spans="1:23" ht="15" x14ac:dyDescent="0.25">
      <c r="A670" s="564" t="s">
        <v>99</v>
      </c>
      <c r="B670" s="564"/>
      <c r="C670" s="564"/>
      <c r="D670" s="564"/>
      <c r="E670" s="564"/>
      <c r="F670" s="564"/>
      <c r="G670" s="564"/>
      <c r="H670" s="564"/>
      <c r="N670" s="247"/>
      <c r="O670"/>
      <c r="P670"/>
      <c r="Q670"/>
      <c r="R670"/>
      <c r="S670"/>
      <c r="T670"/>
      <c r="U670"/>
      <c r="V670"/>
      <c r="W670"/>
    </row>
    <row r="671" spans="1:23" ht="14.25" customHeight="1" x14ac:dyDescent="0.25">
      <c r="A671" s="564"/>
      <c r="B671" s="564"/>
      <c r="C671" s="564"/>
      <c r="D671" s="564"/>
      <c r="E671" s="564"/>
      <c r="F671" s="564"/>
      <c r="G671" s="564"/>
      <c r="H671" s="564"/>
      <c r="N671" s="247"/>
      <c r="O671"/>
      <c r="P671"/>
      <c r="Q671"/>
      <c r="R671"/>
      <c r="S671"/>
      <c r="T671"/>
      <c r="U671"/>
      <c r="V671"/>
      <c r="W671"/>
    </row>
    <row r="672" spans="1:23" ht="4.5" customHeight="1" x14ac:dyDescent="0.25">
      <c r="N672" s="247"/>
      <c r="O672"/>
      <c r="P672"/>
      <c r="Q672"/>
      <c r="R672"/>
      <c r="S672"/>
      <c r="T672"/>
      <c r="U672"/>
      <c r="V672"/>
      <c r="W672"/>
    </row>
    <row r="673" spans="1:23" ht="15" x14ac:dyDescent="0.25">
      <c r="A673" s="548" t="s">
        <v>85</v>
      </c>
      <c r="B673" s="548"/>
      <c r="C673" s="548"/>
      <c r="D673" s="548"/>
      <c r="E673" s="548"/>
      <c r="F673" s="548"/>
      <c r="G673" s="548"/>
      <c r="H673" s="548"/>
      <c r="J673" s="113"/>
      <c r="N673" s="247"/>
      <c r="O673"/>
      <c r="P673"/>
      <c r="Q673"/>
      <c r="R673"/>
      <c r="S673"/>
      <c r="T673"/>
      <c r="U673"/>
      <c r="V673"/>
      <c r="W673"/>
    </row>
    <row r="674" spans="1:23" ht="15" x14ac:dyDescent="0.25">
      <c r="A674" s="10" t="s">
        <v>8</v>
      </c>
      <c r="B674" s="10"/>
      <c r="C674" s="10" t="s">
        <v>2</v>
      </c>
      <c r="D674" s="10" t="s">
        <v>3</v>
      </c>
      <c r="E674" s="10" t="s">
        <v>137</v>
      </c>
      <c r="F674" s="10" t="s">
        <v>25</v>
      </c>
      <c r="G674" s="10" t="s">
        <v>95</v>
      </c>
      <c r="H674" s="10" t="s">
        <v>240</v>
      </c>
      <c r="J674" s="113"/>
      <c r="K674" s="110"/>
      <c r="N674" s="247"/>
      <c r="O674"/>
      <c r="P674"/>
      <c r="Q674"/>
      <c r="R674"/>
      <c r="S674"/>
      <c r="T674"/>
      <c r="U674"/>
      <c r="V674"/>
      <c r="W674"/>
    </row>
    <row r="675" spans="1:23" ht="15" x14ac:dyDescent="0.25">
      <c r="A675" s="167" t="str">
        <f>Balanço_MRE!A675</f>
        <v>Salobo</v>
      </c>
      <c r="B675" s="167">
        <f>Balanço_MRE!B675</f>
        <v>0</v>
      </c>
      <c r="C675" s="167" t="str">
        <f>Balanço_MRE!C675</f>
        <v>Carga</v>
      </c>
      <c r="D675" s="192" t="str">
        <f>Balanço_MRE!D675</f>
        <v>NORTE</v>
      </c>
      <c r="E675" s="79">
        <f>Balanço_MRE!E675</f>
        <v>115.22494</v>
      </c>
      <c r="F675" s="262">
        <f>Balanço_MRE!F675</f>
        <v>85727.355312061816</v>
      </c>
      <c r="G675" s="263">
        <f>Balanço_MRE!G675</f>
        <v>1979.6179999999999</v>
      </c>
      <c r="H675" s="193">
        <f>Balanço_MRE!H675</f>
        <v>0.03</v>
      </c>
      <c r="J675" s="138"/>
      <c r="K675" s="115">
        <f>J675/744</f>
        <v>0</v>
      </c>
      <c r="N675" s="247"/>
      <c r="O675"/>
      <c r="P675"/>
      <c r="Q675"/>
      <c r="R675"/>
      <c r="S675"/>
      <c r="T675"/>
      <c r="U675"/>
      <c r="V675"/>
      <c r="W675"/>
    </row>
    <row r="676" spans="1:23" ht="15" x14ac:dyDescent="0.25">
      <c r="A676" s="215"/>
      <c r="B676" s="215"/>
      <c r="C676" s="215"/>
      <c r="D676" s="216"/>
      <c r="E676" s="174"/>
      <c r="F676" s="175"/>
      <c r="G676" s="175"/>
      <c r="H676" s="175"/>
      <c r="J676" s="115"/>
      <c r="N676" s="247"/>
      <c r="O676"/>
      <c r="P676"/>
      <c r="Q676"/>
      <c r="R676"/>
      <c r="S676"/>
      <c r="T676"/>
      <c r="U676"/>
      <c r="V676"/>
      <c r="W676"/>
    </row>
    <row r="677" spans="1:23" ht="15" x14ac:dyDescent="0.25">
      <c r="A677" s="80" t="s">
        <v>32</v>
      </c>
      <c r="B677" s="16"/>
      <c r="C677" s="16"/>
      <c r="D677" s="17"/>
      <c r="E677" s="81">
        <f>SUM(E675:E676)</f>
        <v>115.22494</v>
      </c>
      <c r="F677" s="84">
        <f>SUM(F675:F676)</f>
        <v>85727.355312061816</v>
      </c>
      <c r="G677" s="84">
        <f>SUM(G675:G676)</f>
        <v>1979.6179999999999</v>
      </c>
      <c r="H677" s="84"/>
      <c r="I677" s="115"/>
      <c r="N677" s="247"/>
      <c r="O677"/>
      <c r="P677"/>
      <c r="Q677"/>
      <c r="R677"/>
      <c r="S677"/>
      <c r="T677"/>
      <c r="U677"/>
      <c r="V677"/>
      <c r="W677"/>
    </row>
    <row r="678" spans="1:23" ht="15" x14ac:dyDescent="0.25">
      <c r="N678" s="247"/>
      <c r="O678"/>
      <c r="P678"/>
      <c r="Q678"/>
      <c r="R678"/>
      <c r="S678"/>
      <c r="T678"/>
      <c r="U678"/>
      <c r="V678"/>
      <c r="W678"/>
    </row>
    <row r="679" spans="1:23" ht="15" x14ac:dyDescent="0.25">
      <c r="A679" s="548" t="s">
        <v>70</v>
      </c>
      <c r="B679" s="548"/>
      <c r="C679" s="548"/>
      <c r="D679" s="548"/>
      <c r="E679" s="548"/>
      <c r="F679" s="548"/>
      <c r="G679" s="548"/>
      <c r="H679" s="548"/>
      <c r="N679" s="247"/>
      <c r="O679"/>
      <c r="P679"/>
      <c r="Q679"/>
      <c r="R679"/>
      <c r="S679"/>
      <c r="T679"/>
      <c r="U679"/>
      <c r="V679"/>
      <c r="W679"/>
    </row>
    <row r="680" spans="1:23" ht="15" x14ac:dyDescent="0.25">
      <c r="A680" s="10" t="s">
        <v>252</v>
      </c>
      <c r="B680" s="10" t="s">
        <v>1</v>
      </c>
      <c r="C680" s="10" t="s">
        <v>2</v>
      </c>
      <c r="D680" s="10" t="s">
        <v>3</v>
      </c>
      <c r="E680" s="10" t="s">
        <v>137</v>
      </c>
      <c r="F680" s="10" t="s">
        <v>25</v>
      </c>
      <c r="G680" s="10" t="s">
        <v>253</v>
      </c>
      <c r="H680" s="10" t="s">
        <v>254</v>
      </c>
      <c r="J680" s="10" t="s">
        <v>72</v>
      </c>
      <c r="K680" s="10" t="s">
        <v>73</v>
      </c>
      <c r="L680" s="10" t="s">
        <v>74</v>
      </c>
      <c r="M680" s="10" t="s">
        <v>75</v>
      </c>
      <c r="N680" s="247"/>
      <c r="O680"/>
      <c r="P680"/>
      <c r="Q680"/>
      <c r="R680"/>
      <c r="S680"/>
      <c r="T680"/>
      <c r="U680"/>
      <c r="V680"/>
      <c r="W680"/>
    </row>
    <row r="681" spans="1:23" ht="15" x14ac:dyDescent="0.25">
      <c r="A681" s="167">
        <f>Balanço_MRE!A681</f>
        <v>105942</v>
      </c>
      <c r="B681" s="167" t="str">
        <f>Balanço_MRE!B681</f>
        <v>PROINFA | ACEP &gt;&gt; 0112_1225</v>
      </c>
      <c r="C681" s="167" t="str">
        <f>Balanço_MRE!C681</f>
        <v>Contratos de Compra</v>
      </c>
      <c r="D681" s="192" t="str">
        <f>Balanço_MRE!D681</f>
        <v>NORTE</v>
      </c>
      <c r="E681" s="79">
        <f>Balanço_MRE!E681</f>
        <v>2.6607769999999999</v>
      </c>
      <c r="F681" s="262">
        <f>Balanço_MRE!F681</f>
        <v>1979.6179999999999</v>
      </c>
      <c r="G681" s="263">
        <f>Balanço_MRE!G681</f>
        <v>0</v>
      </c>
      <c r="H681" s="193">
        <f>Balanço_MRE!H681</f>
        <v>0</v>
      </c>
      <c r="J681" s="247">
        <f>[28]Contratos!W3</f>
        <v>1136.059</v>
      </c>
      <c r="K681" s="247" t="str">
        <f>[28]Contratos!X3</f>
        <v>Ajustado e Validado</v>
      </c>
      <c r="L681" s="247"/>
      <c r="M681" s="247"/>
      <c r="N681" s="247"/>
      <c r="O681"/>
      <c r="P681"/>
      <c r="Q681"/>
      <c r="R681"/>
      <c r="S681"/>
      <c r="T681"/>
      <c r="U681"/>
      <c r="V681"/>
      <c r="W681"/>
    </row>
    <row r="682" spans="1:23" ht="15" x14ac:dyDescent="0.25">
      <c r="A682" s="167">
        <f>Balanço_MRE!A682</f>
        <v>566711</v>
      </c>
      <c r="B682" s="167" t="str">
        <f>Balanço_MRE!B682</f>
        <v>CVRD PIEG &gt;&gt; 0214_0119</v>
      </c>
      <c r="C682" s="167" t="str">
        <f>Balanço_MRE!C682</f>
        <v>Contratos de Compra</v>
      </c>
      <c r="D682" s="192" t="str">
        <f>Balanço_MRE!D682</f>
        <v>NORTE</v>
      </c>
      <c r="E682" s="79">
        <f>Balanço_MRE!E682</f>
        <v>0</v>
      </c>
      <c r="F682" s="262">
        <f>Balanço_MRE!F682</f>
        <v>0</v>
      </c>
      <c r="G682" s="263">
        <f>Balanço_MRE!G682</f>
        <v>0</v>
      </c>
      <c r="H682" s="193">
        <f>Balanço_MRE!H682</f>
        <v>0</v>
      </c>
      <c r="J682" s="9" t="str">
        <f>VLOOKUP(A682,[29]RelatorioContratos_080817_11002!$A$2:$AC$133,26,FALSE)</f>
        <v>0,000000</v>
      </c>
      <c r="K682" s="9" t="str">
        <f>VLOOKUP(A682,[29]RelatorioContratos_080817_11002!$A$2:$AC$133,8,FALSE)</f>
        <v>31/01/2019 23</v>
      </c>
      <c r="L682" s="9" t="str">
        <f>VLOOKUP(A682,[29]RelatorioContratos_080817_11002!$A$2:$AZ$133,32,FALSE)</f>
        <v>FLAT</v>
      </c>
      <c r="M682" s="9" t="str">
        <f>VLOOKUP(A682,[29]RelatorioContratos_080817_11002!$A$2:$AZ$133,33,FALSE)</f>
        <v>Validado</v>
      </c>
      <c r="N682" s="247">
        <f>(J682*$B$33)-F682</f>
        <v>0</v>
      </c>
      <c r="O682"/>
      <c r="P682"/>
      <c r="Q682"/>
      <c r="R682"/>
      <c r="S682"/>
      <c r="T682"/>
      <c r="U682"/>
      <c r="V682"/>
      <c r="W682"/>
    </row>
    <row r="683" spans="1:23" ht="15" x14ac:dyDescent="0.25">
      <c r="A683" s="167">
        <f>Balanço_MRE!A683</f>
        <v>796225</v>
      </c>
      <c r="B683" s="167" t="str">
        <f>Balanço_MRE!B683</f>
        <v>VALE ENERGIA &gt;&gt; 0115_1219</v>
      </c>
      <c r="C683" s="167" t="str">
        <f>Balanço_MRE!C683</f>
        <v>Contratos de Compra</v>
      </c>
      <c r="D683" s="192" t="str">
        <f>Balanço_MRE!D683</f>
        <v>NORTE</v>
      </c>
      <c r="E683" s="79">
        <f>Balanço_MRE!E683</f>
        <v>0</v>
      </c>
      <c r="F683" s="262">
        <f>Balanço_MRE!F683</f>
        <v>0</v>
      </c>
      <c r="G683" s="263">
        <f>Balanço_MRE!G683</f>
        <v>0</v>
      </c>
      <c r="H683" s="193">
        <f>Balanço_MRE!H683</f>
        <v>0</v>
      </c>
      <c r="J683" s="9" t="str">
        <f>VLOOKUP(A683,[29]RelatorioContratos_080817_11002!$A$2:$AC$133,26,FALSE)</f>
        <v>0,000000</v>
      </c>
      <c r="K683" s="9" t="str">
        <f>VLOOKUP(A683,[29]RelatorioContratos_080817_11002!$A$2:$AC$133,8,FALSE)</f>
        <v>31/12/2019 23</v>
      </c>
      <c r="L683" s="9" t="str">
        <f>VLOOKUP(A683,[29]RelatorioContratos_080817_11002!$A$2:$AZ$133,32,FALSE)</f>
        <v>FLAT</v>
      </c>
      <c r="M683" s="9" t="str">
        <f>VLOOKUP(A683,[29]RelatorioContratos_080817_11002!$A$2:$AZ$133,33,FALSE)</f>
        <v>Validado</v>
      </c>
      <c r="N683" s="247">
        <f>(J683*$B$33)-F683</f>
        <v>0</v>
      </c>
      <c r="O683"/>
      <c r="P683"/>
      <c r="Q683"/>
      <c r="R683"/>
      <c r="S683"/>
      <c r="T683"/>
      <c r="U683"/>
      <c r="V683"/>
      <c r="W683"/>
    </row>
    <row r="684" spans="1:23" ht="15" x14ac:dyDescent="0.25">
      <c r="A684" s="167">
        <f>Balanço_MRE!A684</f>
        <v>876788</v>
      </c>
      <c r="B684" s="167" t="str">
        <f>Balanço_MRE!B684</f>
        <v>VALE ENE I5 &gt;&gt; 0116_1219</v>
      </c>
      <c r="C684" s="167" t="str">
        <f>Balanço_MRE!C684</f>
        <v>Contratos de Compra</v>
      </c>
      <c r="D684" s="192" t="str">
        <f>Balanço_MRE!D684</f>
        <v>SUDESTE</v>
      </c>
      <c r="E684" s="79">
        <f>Balanço_MRE!E684</f>
        <v>0</v>
      </c>
      <c r="F684" s="262">
        <f>Balanço_MRE!F684</f>
        <v>0</v>
      </c>
      <c r="G684" s="263">
        <f>Balanço_MRE!G684</f>
        <v>0</v>
      </c>
      <c r="H684" s="193">
        <f>Balanço_MRE!H684</f>
        <v>0</v>
      </c>
      <c r="J684" s="9" t="str">
        <f>VLOOKUP(A684,[29]RelatorioContratos_080817_11002!$A$2:$AC$133,26,FALSE)</f>
        <v>0,000000</v>
      </c>
      <c r="K684" s="9" t="str">
        <f>VLOOKUP(A684,[29]RelatorioContratos_080817_11002!$A$2:$AC$133,8,FALSE)</f>
        <v>31/12/2019 23</v>
      </c>
      <c r="L684" s="9" t="str">
        <f>VLOOKUP(A684,[29]RelatorioContratos_080817_11002!$A$2:$AZ$133,32,FALSE)</f>
        <v>FLAT</v>
      </c>
      <c r="M684" s="9" t="str">
        <f>VLOOKUP(A684,[29]RelatorioContratos_080817_11002!$A$2:$AZ$133,33,FALSE)</f>
        <v>Validado</v>
      </c>
      <c r="N684" s="247">
        <f>(J684*$B$33)-F684</f>
        <v>0</v>
      </c>
      <c r="O684"/>
      <c r="P684"/>
      <c r="Q684"/>
      <c r="R684"/>
      <c r="S684"/>
      <c r="T684"/>
      <c r="U684"/>
      <c r="V684"/>
      <c r="W684"/>
    </row>
    <row r="685" spans="1:23" ht="15" x14ac:dyDescent="0.25">
      <c r="A685" s="167">
        <f>Balanço_MRE!A685</f>
        <v>876844</v>
      </c>
      <c r="B685" s="167" t="str">
        <f>Balanço_MRE!B685</f>
        <v>VALE ENERGIA &gt;&gt; 0116_1219</v>
      </c>
      <c r="C685" s="167" t="str">
        <f>Balanço_MRE!C685</f>
        <v>Contratos de Compra</v>
      </c>
      <c r="D685" s="192" t="str">
        <f>Balanço_MRE!D685</f>
        <v>SUDESTE</v>
      </c>
      <c r="E685" s="79">
        <f>Balanço_MRE!E685</f>
        <v>0</v>
      </c>
      <c r="F685" s="262">
        <f>Balanço_MRE!F685</f>
        <v>0</v>
      </c>
      <c r="G685" s="263">
        <f>Balanço_MRE!G685</f>
        <v>0</v>
      </c>
      <c r="H685" s="193">
        <f>Balanço_MRE!H685</f>
        <v>0</v>
      </c>
      <c r="J685" s="9" t="str">
        <f>VLOOKUP(A685,[29]RelatorioContratos_080817_11002!$A$2:$AC$133,26,FALSE)</f>
        <v>0,000000</v>
      </c>
      <c r="K685" s="9" t="str">
        <f>VLOOKUP(A685,[29]RelatorioContratos_080817_11002!$A$2:$AC$133,8,FALSE)</f>
        <v>31/12/2019 23</v>
      </c>
      <c r="L685" s="9" t="str">
        <f>VLOOKUP(A685,[29]RelatorioContratos_080817_11002!$A$2:$AZ$133,32,FALSE)</f>
        <v>FLAT</v>
      </c>
      <c r="M685" s="9" t="str">
        <f>VLOOKUP(A685,[29]RelatorioContratos_080817_11002!$A$2:$AZ$133,33,FALSE)</f>
        <v>Validado</v>
      </c>
      <c r="N685" s="247">
        <f>(J685*$B$33)-F685</f>
        <v>0</v>
      </c>
    </row>
    <row r="686" spans="1:23" ht="15" x14ac:dyDescent="0.25">
      <c r="A686" s="167">
        <f>Balanço_MRE!A686</f>
        <v>1097627</v>
      </c>
      <c r="B686" s="167" t="str">
        <f>Balanço_MRE!B686</f>
        <v>CVE_10,7_VE_01012017_31122017_SALOBO</v>
      </c>
      <c r="C686" s="167" t="str">
        <f>Balanço_MRE!C686</f>
        <v>Contratos de Compra</v>
      </c>
      <c r="D686" s="192" t="str">
        <f>Balanço_MRE!D686</f>
        <v>NORTE</v>
      </c>
      <c r="E686" s="79">
        <f>Balanço_MRE!E686</f>
        <v>10.7</v>
      </c>
      <c r="F686" s="262">
        <f>Balanço_MRE!F686</f>
        <v>7960.7999999999993</v>
      </c>
      <c r="G686" s="263">
        <f>Balanço_MRE!G686</f>
        <v>229.17</v>
      </c>
      <c r="H686" s="193">
        <f>Balanço_MRE!H686</f>
        <v>1824376.5359999998</v>
      </c>
      <c r="J686" s="9"/>
      <c r="K686" s="9"/>
      <c r="L686" s="9"/>
      <c r="M686" s="9"/>
      <c r="N686" s="247"/>
    </row>
    <row r="687" spans="1:23" ht="15" x14ac:dyDescent="0.25">
      <c r="A687" s="167">
        <f>Balanço_MRE!A687</f>
        <v>1097143</v>
      </c>
      <c r="B687" s="167" t="str">
        <f>Balanço_MRE!B687</f>
        <v>CVE_XXX_VALE_01012018_31122018_SALOBO</v>
      </c>
      <c r="C687" s="167" t="str">
        <f>Balanço_MRE!C687</f>
        <v>Contratos de Compra</v>
      </c>
      <c r="D687" s="192" t="str">
        <f>Balanço_MRE!D687</f>
        <v>NORTE</v>
      </c>
      <c r="E687" s="79">
        <f>Balanço_MRE!E687</f>
        <v>101.864163</v>
      </c>
      <c r="F687" s="262">
        <f>Balanço_MRE!F687</f>
        <v>75786.937312061811</v>
      </c>
      <c r="G687" s="263">
        <f>Balanço_MRE!G687</f>
        <v>152.44999999999999</v>
      </c>
      <c r="H687" s="193">
        <f>Balanço_MRE!H687</f>
        <v>11553718.593223821</v>
      </c>
      <c r="J687" s="9"/>
      <c r="K687" s="9"/>
      <c r="L687" s="9"/>
      <c r="M687" s="9"/>
      <c r="N687" s="247"/>
    </row>
    <row r="688" spans="1:23" ht="15" x14ac:dyDescent="0.25">
      <c r="A688" s="167">
        <f>Balanço_MRE!A688</f>
        <v>0</v>
      </c>
      <c r="B688" s="167">
        <f>Balanço_MRE!B688</f>
        <v>0</v>
      </c>
      <c r="C688" s="167">
        <f>Balanço_MRE!C688</f>
        <v>0</v>
      </c>
      <c r="D688" s="192">
        <f>Balanço_MRE!D688</f>
        <v>0</v>
      </c>
      <c r="E688" s="79">
        <f>Balanço_MRE!E688</f>
        <v>0</v>
      </c>
      <c r="F688" s="262">
        <f>Balanço_MRE!F688</f>
        <v>0</v>
      </c>
      <c r="G688" s="263">
        <f>Balanço_MRE!G688</f>
        <v>0</v>
      </c>
      <c r="H688" s="193">
        <f>Balanço_MRE!H688</f>
        <v>0</v>
      </c>
      <c r="J688" s="9"/>
      <c r="K688" s="9"/>
      <c r="L688" s="9"/>
      <c r="M688" s="9"/>
      <c r="N688" s="247"/>
    </row>
    <row r="689" spans="1:14" ht="15" x14ac:dyDescent="0.25">
      <c r="A689" s="253"/>
      <c r="B689" s="253"/>
      <c r="C689" s="253"/>
      <c r="D689" s="253"/>
      <c r="E689" s="203"/>
      <c r="F689" s="204"/>
      <c r="G689" s="205"/>
      <c r="H689" s="206"/>
      <c r="J689" s="393"/>
      <c r="K689" s="393"/>
      <c r="L689" s="393"/>
      <c r="M689" s="393"/>
      <c r="N689" s="247"/>
    </row>
    <row r="690" spans="1:14" ht="15" x14ac:dyDescent="0.25">
      <c r="A690" s="223" t="s">
        <v>32</v>
      </c>
      <c r="B690" s="224"/>
      <c r="C690" s="224"/>
      <c r="D690" s="225"/>
      <c r="E690" s="226">
        <f>SUM(E681:E689)</f>
        <v>115.22494</v>
      </c>
      <c r="F690" s="227">
        <f>SUM(F681:F689)</f>
        <v>85727.355312061816</v>
      </c>
      <c r="G690" s="82">
        <f>IFERROR(H690/F690,0)</f>
        <v>156.05398160861645</v>
      </c>
      <c r="H690" s="82">
        <f>SUM(H681:H689)</f>
        <v>13378095.129223822</v>
      </c>
      <c r="I690" s="115"/>
      <c r="N690" s="247"/>
    </row>
    <row r="691" spans="1:14" ht="15" x14ac:dyDescent="0.25">
      <c r="N691" s="247"/>
    </row>
    <row r="692" spans="1:14" ht="15" x14ac:dyDescent="0.25">
      <c r="A692" s="548" t="s">
        <v>233</v>
      </c>
      <c r="B692" s="548"/>
      <c r="C692" s="548"/>
      <c r="E692" s="116" t="s">
        <v>19</v>
      </c>
      <c r="F692" s="116"/>
      <c r="G692" s="117" t="s">
        <v>20</v>
      </c>
      <c r="H692" s="117"/>
      <c r="I692" s="118" t="s">
        <v>21</v>
      </c>
      <c r="J692" s="118"/>
      <c r="K692" s="119" t="s">
        <v>22</v>
      </c>
      <c r="L692" s="119"/>
      <c r="N692" s="247"/>
    </row>
    <row r="693" spans="1:14" ht="15" x14ac:dyDescent="0.25">
      <c r="A693" s="10" t="s">
        <v>2</v>
      </c>
      <c r="B693" s="10" t="s">
        <v>137</v>
      </c>
      <c r="C693" s="10" t="s">
        <v>25</v>
      </c>
      <c r="E693" s="207" t="s">
        <v>137</v>
      </c>
      <c r="F693" s="208" t="s">
        <v>25</v>
      </c>
      <c r="G693" s="209" t="s">
        <v>137</v>
      </c>
      <c r="H693" s="210" t="s">
        <v>25</v>
      </c>
      <c r="I693" s="211" t="s">
        <v>137</v>
      </c>
      <c r="J693" s="212" t="s">
        <v>25</v>
      </c>
      <c r="K693" s="213" t="s">
        <v>137</v>
      </c>
      <c r="L693" s="214" t="s">
        <v>25</v>
      </c>
      <c r="N693" s="247"/>
    </row>
    <row r="694" spans="1:14" ht="15" x14ac:dyDescent="0.25">
      <c r="A694" s="29" t="s">
        <v>69</v>
      </c>
      <c r="B694" s="70">
        <v>0</v>
      </c>
      <c r="C694" s="83">
        <v>0</v>
      </c>
      <c r="E694" s="120">
        <f t="shared" ref="E694:E700" si="163">SUMIFS($E$675:$E$689,$C$675:$C$689,$A694,$D$675:$D$689,$E$692)</f>
        <v>0</v>
      </c>
      <c r="F694" s="121">
        <f t="shared" ref="F694:F700" si="164">SUMIFS($F$675:$F$689,$C$675:$C$689,$A694,$D$675:$D$689,$E$692)</f>
        <v>0</v>
      </c>
      <c r="G694" s="122">
        <f t="shared" ref="G694:G700" si="165">SUMIFS($E$675:$E$689,$C$675:$C$689,$A694,$D$675:$D$689,$G$692)</f>
        <v>0</v>
      </c>
      <c r="H694" s="123">
        <f t="shared" ref="H694:H700" si="166">SUMIFS($F$675:$F$689,$C$675:$C$689,$A694,$D$675:$D$689,$G$692)</f>
        <v>0</v>
      </c>
      <c r="I694" s="124">
        <f t="shared" ref="I694:I700" si="167">SUMIFS($E$675:$E$689,$C$675:$C$689,$A694,$D$675:$D$689,$I$692)</f>
        <v>0</v>
      </c>
      <c r="J694" s="125">
        <f t="shared" ref="J694:J700" si="168">SUMIFS($F$675:$F$689,$C$675:$C$689,$A694,$D$675:$D$689,$I$692)</f>
        <v>0</v>
      </c>
      <c r="K694" s="126">
        <f t="shared" ref="K694:K700" si="169">SUMIFS($E$675:$E$689,$C$675:$C$689,$A694,$D$675:$D$689,$K$692)</f>
        <v>0</v>
      </c>
      <c r="L694" s="127">
        <f t="shared" ref="L694:L700" si="170">SUMIFS($F$675:$F$689,$C$675:$C$689,$A694,$D$675:$D$689,$K$692)</f>
        <v>0</v>
      </c>
      <c r="N694" s="247"/>
    </row>
    <row r="695" spans="1:14" ht="15" x14ac:dyDescent="0.25">
      <c r="A695" s="29" t="s">
        <v>47</v>
      </c>
      <c r="B695" s="70">
        <v>0</v>
      </c>
      <c r="C695" s="83">
        <v>0</v>
      </c>
      <c r="E695" s="120">
        <f t="shared" si="163"/>
        <v>0</v>
      </c>
      <c r="F695" s="121">
        <f t="shared" si="164"/>
        <v>0</v>
      </c>
      <c r="G695" s="122">
        <f t="shared" si="165"/>
        <v>0</v>
      </c>
      <c r="H695" s="123">
        <f t="shared" si="166"/>
        <v>0</v>
      </c>
      <c r="I695" s="124">
        <f t="shared" si="167"/>
        <v>0</v>
      </c>
      <c r="J695" s="125">
        <f t="shared" si="168"/>
        <v>0</v>
      </c>
      <c r="K695" s="126">
        <f t="shared" si="169"/>
        <v>0</v>
      </c>
      <c r="L695" s="127">
        <f t="shared" si="170"/>
        <v>0</v>
      </c>
      <c r="N695" s="247"/>
    </row>
    <row r="696" spans="1:14" ht="15" x14ac:dyDescent="0.25">
      <c r="A696" s="29" t="s">
        <v>79</v>
      </c>
      <c r="B696" s="70">
        <v>0</v>
      </c>
      <c r="C696" s="83">
        <v>0</v>
      </c>
      <c r="E696" s="120">
        <f t="shared" si="163"/>
        <v>0</v>
      </c>
      <c r="F696" s="121">
        <f t="shared" si="164"/>
        <v>0</v>
      </c>
      <c r="G696" s="122">
        <f t="shared" si="165"/>
        <v>0</v>
      </c>
      <c r="H696" s="123">
        <f t="shared" si="166"/>
        <v>0</v>
      </c>
      <c r="I696" s="124">
        <f t="shared" si="167"/>
        <v>0</v>
      </c>
      <c r="J696" s="125">
        <f t="shared" si="168"/>
        <v>0</v>
      </c>
      <c r="K696" s="126">
        <f t="shared" si="169"/>
        <v>0</v>
      </c>
      <c r="L696" s="127">
        <f t="shared" si="170"/>
        <v>0</v>
      </c>
      <c r="N696" s="247"/>
    </row>
    <row r="697" spans="1:14" ht="15" x14ac:dyDescent="0.25">
      <c r="A697" s="29" t="s">
        <v>71</v>
      </c>
      <c r="B697" s="70">
        <f>E690</f>
        <v>115.22494</v>
      </c>
      <c r="C697" s="83">
        <f>F690</f>
        <v>85727.355312061816</v>
      </c>
      <c r="E697" s="120">
        <f t="shared" si="163"/>
        <v>115.22494</v>
      </c>
      <c r="F697" s="121">
        <f t="shared" si="164"/>
        <v>85727.355312061816</v>
      </c>
      <c r="G697" s="122">
        <f t="shared" si="165"/>
        <v>0</v>
      </c>
      <c r="H697" s="123">
        <f t="shared" si="166"/>
        <v>0</v>
      </c>
      <c r="I697" s="124">
        <f t="shared" si="167"/>
        <v>0</v>
      </c>
      <c r="J697" s="125">
        <f t="shared" si="168"/>
        <v>0</v>
      </c>
      <c r="K697" s="126">
        <f t="shared" si="169"/>
        <v>0</v>
      </c>
      <c r="L697" s="127">
        <f t="shared" si="170"/>
        <v>0</v>
      </c>
      <c r="N697" s="247"/>
    </row>
    <row r="698" spans="1:14" ht="15" x14ac:dyDescent="0.25">
      <c r="A698" s="29" t="s">
        <v>9</v>
      </c>
      <c r="B698" s="70">
        <f>E677</f>
        <v>115.22494</v>
      </c>
      <c r="C698" s="83">
        <f>F677</f>
        <v>85727.355312061816</v>
      </c>
      <c r="E698" s="120">
        <f t="shared" si="163"/>
        <v>115.22494</v>
      </c>
      <c r="F698" s="121">
        <f t="shared" si="164"/>
        <v>85727.355312061816</v>
      </c>
      <c r="G698" s="122">
        <f t="shared" si="165"/>
        <v>0</v>
      </c>
      <c r="H698" s="123">
        <f t="shared" si="166"/>
        <v>0</v>
      </c>
      <c r="I698" s="124">
        <f t="shared" si="167"/>
        <v>0</v>
      </c>
      <c r="J698" s="125">
        <f t="shared" si="168"/>
        <v>0</v>
      </c>
      <c r="K698" s="126">
        <f t="shared" si="169"/>
        <v>0</v>
      </c>
      <c r="L698" s="127">
        <f t="shared" si="170"/>
        <v>0</v>
      </c>
      <c r="N698" s="247"/>
    </row>
    <row r="699" spans="1:14" ht="15" x14ac:dyDescent="0.25">
      <c r="A699" s="29" t="s">
        <v>80</v>
      </c>
      <c r="B699" s="70">
        <v>0</v>
      </c>
      <c r="C699" s="83">
        <v>0</v>
      </c>
      <c r="E699" s="120">
        <f t="shared" si="163"/>
        <v>0</v>
      </c>
      <c r="F699" s="121">
        <f t="shared" si="164"/>
        <v>0</v>
      </c>
      <c r="G699" s="122">
        <f t="shared" si="165"/>
        <v>0</v>
      </c>
      <c r="H699" s="123">
        <f t="shared" si="166"/>
        <v>0</v>
      </c>
      <c r="I699" s="124">
        <f t="shared" si="167"/>
        <v>0</v>
      </c>
      <c r="J699" s="125">
        <f t="shared" si="168"/>
        <v>0</v>
      </c>
      <c r="K699" s="126">
        <f t="shared" si="169"/>
        <v>0</v>
      </c>
      <c r="L699" s="127">
        <f t="shared" si="170"/>
        <v>0</v>
      </c>
      <c r="N699" s="247"/>
    </row>
    <row r="700" spans="1:14" ht="15" x14ac:dyDescent="0.25">
      <c r="A700" s="29" t="s">
        <v>77</v>
      </c>
      <c r="B700" s="70">
        <v>0</v>
      </c>
      <c r="C700" s="83">
        <v>0</v>
      </c>
      <c r="E700" s="120">
        <f t="shared" si="163"/>
        <v>0</v>
      </c>
      <c r="F700" s="121">
        <f t="shared" si="164"/>
        <v>0</v>
      </c>
      <c r="G700" s="122">
        <f t="shared" si="165"/>
        <v>0</v>
      </c>
      <c r="H700" s="123">
        <f t="shared" si="166"/>
        <v>0</v>
      </c>
      <c r="I700" s="124">
        <f t="shared" si="167"/>
        <v>0</v>
      </c>
      <c r="J700" s="125">
        <f t="shared" si="168"/>
        <v>0</v>
      </c>
      <c r="K700" s="126">
        <f t="shared" si="169"/>
        <v>0</v>
      </c>
      <c r="L700" s="127">
        <f t="shared" si="170"/>
        <v>0</v>
      </c>
      <c r="N700" s="247"/>
    </row>
    <row r="701" spans="1:14" ht="15" x14ac:dyDescent="0.25">
      <c r="A701" s="11" t="s">
        <v>81</v>
      </c>
      <c r="B701" s="12">
        <f>SUM(B694:B697)-SUM(B698:B700)</f>
        <v>0</v>
      </c>
      <c r="C701" s="12">
        <f>SUM(C694:C697)-SUM(C698:C700)</f>
        <v>0</v>
      </c>
      <c r="E701" s="128">
        <f>SUM(E694:E697)-SUM(E698:E700)</f>
        <v>0</v>
      </c>
      <c r="F701" s="129">
        <f>SUM(F694:F697)-SUM(F698:F700)</f>
        <v>0</v>
      </c>
      <c r="G701" s="130">
        <f t="shared" ref="G701:L701" si="171">SUM(G694:G697)-SUM(G698:G700)</f>
        <v>0</v>
      </c>
      <c r="H701" s="131">
        <f t="shared" si="171"/>
        <v>0</v>
      </c>
      <c r="I701" s="132">
        <f t="shared" si="171"/>
        <v>0</v>
      </c>
      <c r="J701" s="133">
        <f t="shared" si="171"/>
        <v>0</v>
      </c>
      <c r="K701" s="134">
        <f t="shared" si="171"/>
        <v>0</v>
      </c>
      <c r="L701" s="135">
        <f t="shared" si="171"/>
        <v>0</v>
      </c>
      <c r="N701" s="247"/>
    </row>
    <row r="702" spans="1:14" ht="15" x14ac:dyDescent="0.25">
      <c r="A702" s="11" t="s">
        <v>82</v>
      </c>
      <c r="B702" s="12">
        <f>SUM(B694:B697)-SUM(B698:B701)</f>
        <v>0</v>
      </c>
      <c r="C702" s="12">
        <f>SUM(C694:C697)-SUM(C698:C701)</f>
        <v>0</v>
      </c>
      <c r="E702" s="128">
        <f>SUM(E694:E697)-SUM(E698:E701)</f>
        <v>0</v>
      </c>
      <c r="F702" s="129">
        <f t="shared" ref="F702:L702" si="172">SUM(F694:F697)-SUM(F698:F701)</f>
        <v>0</v>
      </c>
      <c r="G702" s="130">
        <f t="shared" si="172"/>
        <v>0</v>
      </c>
      <c r="H702" s="131">
        <f t="shared" si="172"/>
        <v>0</v>
      </c>
      <c r="I702" s="132">
        <f t="shared" si="172"/>
        <v>0</v>
      </c>
      <c r="J702" s="133">
        <f t="shared" si="172"/>
        <v>0</v>
      </c>
      <c r="K702" s="134">
        <f t="shared" si="172"/>
        <v>0</v>
      </c>
      <c r="L702" s="135">
        <f t="shared" si="172"/>
        <v>0</v>
      </c>
      <c r="N702" s="247"/>
    </row>
    <row r="703" spans="1:14" ht="15" x14ac:dyDescent="0.25">
      <c r="N703" s="247"/>
    </row>
    <row r="704" spans="1:14" ht="15" x14ac:dyDescent="0.25">
      <c r="E704" s="153">
        <f>(F701*$H$5)+(H701*$J$5)+(J701*$L$5)+(L701*$N$5)</f>
        <v>0</v>
      </c>
      <c r="N704" s="247"/>
    </row>
    <row r="705" spans="1:23" s="247" customFormat="1" ht="15" x14ac:dyDescent="0.25"/>
    <row r="706" spans="1:23" ht="15" x14ac:dyDescent="0.25">
      <c r="N706" s="247"/>
    </row>
    <row r="707" spans="1:23" ht="15" x14ac:dyDescent="0.25">
      <c r="A707" s="564" t="s">
        <v>101</v>
      </c>
      <c r="B707" s="564"/>
      <c r="C707" s="564"/>
      <c r="D707" s="564"/>
      <c r="E707" s="564"/>
      <c r="F707" s="564"/>
      <c r="G707" s="564"/>
      <c r="H707" s="564"/>
      <c r="N707" s="247"/>
    </row>
    <row r="708" spans="1:23" ht="15" x14ac:dyDescent="0.25">
      <c r="A708" s="564"/>
      <c r="B708" s="564"/>
      <c r="C708" s="564"/>
      <c r="D708" s="564"/>
      <c r="E708" s="564"/>
      <c r="F708" s="564"/>
      <c r="G708" s="564"/>
      <c r="H708" s="564"/>
      <c r="N708" s="247"/>
    </row>
    <row r="709" spans="1:23" ht="4.5" customHeight="1" x14ac:dyDescent="0.25">
      <c r="N709" s="247"/>
    </row>
    <row r="710" spans="1:23" ht="15" x14ac:dyDescent="0.25">
      <c r="A710" s="548" t="s">
        <v>70</v>
      </c>
      <c r="B710" s="548"/>
      <c r="C710" s="548"/>
      <c r="D710" s="548"/>
      <c r="E710" s="548"/>
      <c r="F710" s="548"/>
      <c r="G710" s="548"/>
      <c r="H710" s="548"/>
      <c r="N710" s="247"/>
      <c r="O710" s="247"/>
      <c r="P710" s="247"/>
      <c r="Q710" s="247"/>
      <c r="R710" s="247"/>
      <c r="S710" s="247"/>
      <c r="T710" s="247"/>
      <c r="U710" s="247"/>
      <c r="V710" s="247"/>
      <c r="W710" s="247"/>
    </row>
    <row r="711" spans="1:23" ht="15" x14ac:dyDescent="0.25">
      <c r="A711" s="10" t="s">
        <v>252</v>
      </c>
      <c r="B711" s="10" t="s">
        <v>1</v>
      </c>
      <c r="C711" s="10" t="s">
        <v>2</v>
      </c>
      <c r="D711" s="10" t="s">
        <v>3</v>
      </c>
      <c r="E711" s="10" t="s">
        <v>137</v>
      </c>
      <c r="F711" s="10" t="s">
        <v>25</v>
      </c>
      <c r="G711" s="10" t="s">
        <v>253</v>
      </c>
      <c r="H711" s="10" t="s">
        <v>254</v>
      </c>
      <c r="J711" s="10" t="s">
        <v>72</v>
      </c>
      <c r="K711" s="10" t="s">
        <v>73</v>
      </c>
      <c r="L711" s="10" t="s">
        <v>74</v>
      </c>
      <c r="M711" s="10" t="s">
        <v>75</v>
      </c>
      <c r="N711" s="247"/>
      <c r="O711" s="247" t="s">
        <v>120</v>
      </c>
      <c r="P711" s="247"/>
      <c r="Q711" s="247"/>
      <c r="R711" s="247"/>
      <c r="S711" s="247"/>
      <c r="T711" s="247"/>
      <c r="U711" s="247"/>
      <c r="V711" s="247"/>
      <c r="W711" s="247"/>
    </row>
    <row r="712" spans="1:23" ht="15" x14ac:dyDescent="0.25">
      <c r="A712" s="167">
        <f>Balanço_MRE!A712</f>
        <v>598099</v>
      </c>
      <c r="B712" s="167" t="str">
        <f>Balanço_MRE!B712</f>
        <v>CVRD PIE &gt;&gt; 0214_0119</v>
      </c>
      <c r="C712" s="167" t="str">
        <f>Balanço_MRE!C712</f>
        <v>Contratos de Compra</v>
      </c>
      <c r="D712" s="192" t="str">
        <f>Balanço_MRE!D712</f>
        <v>NORTE</v>
      </c>
      <c r="E712" s="79">
        <f>Balanço_MRE!E712</f>
        <v>0</v>
      </c>
      <c r="F712" s="262">
        <f>Balanço_MRE!F712</f>
        <v>0</v>
      </c>
      <c r="G712" s="263">
        <f>Balanço_MRE!G712</f>
        <v>0</v>
      </c>
      <c r="H712" s="193">
        <f>Balanço_MRE!H712</f>
        <v>0</v>
      </c>
      <c r="J712" s="9" t="e">
        <f>VLOOKUP(A712,#REF!,26,FALSE)</f>
        <v>#REF!</v>
      </c>
      <c r="K712" s="9" t="e">
        <f>VLOOKUP(A712,#REF!,8,FALSE)</f>
        <v>#REF!</v>
      </c>
      <c r="L712" s="9" t="e">
        <f>VLOOKUP(A712,#REF!,32,FALSE)</f>
        <v>#REF!</v>
      </c>
      <c r="M712" s="9" t="e">
        <f>VLOOKUP(A712,#REF!,33,FALSE)</f>
        <v>#REF!</v>
      </c>
      <c r="N712" s="247"/>
      <c r="O712" s="247" t="s">
        <v>3</v>
      </c>
      <c r="P712" s="247" t="s">
        <v>121</v>
      </c>
      <c r="Q712" s="247"/>
      <c r="R712" s="247" t="s">
        <v>122</v>
      </c>
      <c r="S712" s="247" t="s">
        <v>123</v>
      </c>
      <c r="T712" s="247" t="s">
        <v>124</v>
      </c>
      <c r="U712" s="247" t="s">
        <v>125</v>
      </c>
      <c r="V712" s="247"/>
      <c r="W712" s="247"/>
    </row>
    <row r="713" spans="1:23" ht="15" x14ac:dyDescent="0.25">
      <c r="A713" s="167">
        <f>Balanço_MRE!A713</f>
        <v>569850</v>
      </c>
      <c r="B713" s="167" t="str">
        <f>Balanço_MRE!B713</f>
        <v>ALIANÇA GERAÇÃO &gt;&gt; 0214_0119</v>
      </c>
      <c r="C713" s="167" t="str">
        <f>Balanço_MRE!C713</f>
        <v>Contratos de Compra</v>
      </c>
      <c r="D713" s="192" t="str">
        <f>Balanço_MRE!D713</f>
        <v>SUDESTE</v>
      </c>
      <c r="E713" s="79">
        <f>Balanço_MRE!E713</f>
        <v>0</v>
      </c>
      <c r="F713" s="262">
        <f>Balanço_MRE!F713</f>
        <v>0</v>
      </c>
      <c r="G713" s="263">
        <f>Balanço_MRE!G713</f>
        <v>0</v>
      </c>
      <c r="H713" s="193">
        <f>Balanço_MRE!H713</f>
        <v>0</v>
      </c>
      <c r="J713" s="9" t="e">
        <f>VLOOKUP(A713,#REF!,26,FALSE)</f>
        <v>#REF!</v>
      </c>
      <c r="K713" s="9" t="e">
        <f>VLOOKUP(A713,#REF!,8,FALSE)</f>
        <v>#REF!</v>
      </c>
      <c r="L713" s="9" t="e">
        <f>VLOOKUP(A713,#REF!,32,FALSE)</f>
        <v>#REF!</v>
      </c>
      <c r="M713" s="9" t="e">
        <f>VLOOKUP(A713,#REF!,33,FALSE)</f>
        <v>#REF!</v>
      </c>
      <c r="N713" s="247"/>
      <c r="O713" s="247" t="s">
        <v>89</v>
      </c>
      <c r="P713" s="247" t="s">
        <v>126</v>
      </c>
      <c r="Q713" s="247"/>
      <c r="R713" s="247" t="s">
        <v>127</v>
      </c>
      <c r="S713" s="247">
        <v>0</v>
      </c>
      <c r="T713" s="247"/>
      <c r="U713" s="247">
        <f>S713*T713</f>
        <v>0</v>
      </c>
      <c r="V713" s="247"/>
      <c r="W713" s="247"/>
    </row>
    <row r="714" spans="1:23" ht="15" x14ac:dyDescent="0.25">
      <c r="A714" s="167">
        <f>Balanço_MRE!A714</f>
        <v>395247</v>
      </c>
      <c r="B714" s="167" t="str">
        <f>Balanço_MRE!B714</f>
        <v>CVRD PIE &gt;&gt; 0114_0119</v>
      </c>
      <c r="C714" s="167" t="str">
        <f>Balanço_MRE!C714</f>
        <v>Contratos de Compra</v>
      </c>
      <c r="D714" s="192" t="str">
        <f>Balanço_MRE!D714</f>
        <v>SUDESTE</v>
      </c>
      <c r="E714" s="79">
        <f>Balanço_MRE!E714</f>
        <v>0</v>
      </c>
      <c r="F714" s="262">
        <f>Balanço_MRE!F714</f>
        <v>0</v>
      </c>
      <c r="G714" s="263">
        <f>Balanço_MRE!G714</f>
        <v>0</v>
      </c>
      <c r="H714" s="193">
        <f>Balanço_MRE!H714</f>
        <v>0</v>
      </c>
      <c r="J714" s="9" t="e">
        <f>VLOOKUP(A714,#REF!,26,FALSE)</f>
        <v>#REF!</v>
      </c>
      <c r="K714" s="9" t="e">
        <f>VLOOKUP(A714,#REF!,8,FALSE)</f>
        <v>#REF!</v>
      </c>
      <c r="L714" s="9" t="e">
        <f>VLOOKUP(A714,#REF!,32,FALSE)</f>
        <v>#REF!</v>
      </c>
      <c r="M714" s="9" t="e">
        <f>VLOOKUP(A714,#REF!,33,FALSE)</f>
        <v>#REF!</v>
      </c>
      <c r="N714" s="247"/>
      <c r="O714" s="247" t="s">
        <v>89</v>
      </c>
      <c r="P714" s="247" t="s">
        <v>128</v>
      </c>
      <c r="Q714" s="247"/>
      <c r="R714" s="247" t="s">
        <v>127</v>
      </c>
      <c r="S714" s="247">
        <f>F745</f>
        <v>0</v>
      </c>
      <c r="T714" s="247">
        <f>Balanço_Lastro!T737</f>
        <v>0</v>
      </c>
      <c r="U714" s="247">
        <f>S714*T714</f>
        <v>0</v>
      </c>
      <c r="V714" s="247"/>
      <c r="W714" s="247"/>
    </row>
    <row r="715" spans="1:23" ht="15" x14ac:dyDescent="0.25">
      <c r="A715" s="167">
        <f>Balanço_MRE!A715</f>
        <v>291617</v>
      </c>
      <c r="B715" s="167" t="str">
        <f>Balanço_MRE!B715</f>
        <v>CVRD PIE &gt;&gt; 0713_0119</v>
      </c>
      <c r="C715" s="167" t="str">
        <f>Balanço_MRE!C715</f>
        <v>Contratos de Compra</v>
      </c>
      <c r="D715" s="192" t="str">
        <f>Balanço_MRE!D715</f>
        <v>SUDESTE</v>
      </c>
      <c r="E715" s="79">
        <f>Balanço_MRE!E715</f>
        <v>0</v>
      </c>
      <c r="F715" s="262">
        <f>Balanço_MRE!F715</f>
        <v>0</v>
      </c>
      <c r="G715" s="263">
        <f>Balanço_MRE!G715</f>
        <v>0</v>
      </c>
      <c r="H715" s="193">
        <f>Balanço_MRE!H715</f>
        <v>0</v>
      </c>
      <c r="J715" s="9" t="e">
        <f>VLOOKUP(A715,#REF!,26,FALSE)</f>
        <v>#REF!</v>
      </c>
      <c r="K715" s="9" t="e">
        <f>VLOOKUP(A715,#REF!,8,FALSE)</f>
        <v>#REF!</v>
      </c>
      <c r="L715" s="9" t="e">
        <f>VLOOKUP(A715,#REF!,32,FALSE)</f>
        <v>#REF!</v>
      </c>
      <c r="M715" s="9" t="e">
        <f>VLOOKUP(A715,#REF!,33,FALSE)</f>
        <v>#REF!</v>
      </c>
      <c r="N715" s="247"/>
      <c r="O715" s="247" t="s">
        <v>19</v>
      </c>
      <c r="P715" s="247" t="s">
        <v>128</v>
      </c>
      <c r="Q715" s="247"/>
      <c r="R715" s="247" t="s">
        <v>127</v>
      </c>
      <c r="S715" s="247">
        <f>F746</f>
        <v>0</v>
      </c>
      <c r="T715" s="247"/>
      <c r="U715" s="247">
        <f>S715*T715</f>
        <v>0</v>
      </c>
      <c r="V715" s="247"/>
      <c r="W715" s="247"/>
    </row>
    <row r="716" spans="1:23" ht="15" x14ac:dyDescent="0.25">
      <c r="A716" s="167">
        <f>Balanço_MRE!A716</f>
        <v>241132</v>
      </c>
      <c r="B716" s="167" t="str">
        <f>Balanço_MRE!B716</f>
        <v>DUKE_40_MWm &gt;&gt; 0113_1220</v>
      </c>
      <c r="C716" s="167" t="str">
        <f>Balanço_MRE!C716</f>
        <v>Contratos de Compra</v>
      </c>
      <c r="D716" s="192" t="str">
        <f>Balanço_MRE!D716</f>
        <v>SUDESTE</v>
      </c>
      <c r="E716" s="79">
        <f>Balanço_MRE!E716</f>
        <v>76</v>
      </c>
      <c r="F716" s="262">
        <f>Balanço_MRE!F716</f>
        <v>56544</v>
      </c>
      <c r="G716" s="263">
        <f>Balanço_MRE!G716</f>
        <v>224.6</v>
      </c>
      <c r="H716" s="193">
        <f>Balanço_MRE!H716</f>
        <v>12699782.4</v>
      </c>
      <c r="J716" s="9"/>
      <c r="K716" s="9"/>
      <c r="L716" s="9"/>
      <c r="M716" s="9"/>
      <c r="N716" s="247"/>
      <c r="O716" s="247"/>
      <c r="P716" s="247"/>
      <c r="Q716" s="247"/>
      <c r="R716" s="247"/>
      <c r="S716" s="247"/>
      <c r="T716" s="247"/>
      <c r="U716" s="247"/>
      <c r="V716" s="247"/>
      <c r="W716" s="247"/>
    </row>
    <row r="717" spans="1:23" ht="15" x14ac:dyDescent="0.25">
      <c r="A717" s="167">
        <f>Balanço_MRE!A717</f>
        <v>663805</v>
      </c>
      <c r="B717" s="167" t="str">
        <f>Balanço_MRE!B717</f>
        <v>LIGHT_120_MWm &gt;&gt; 0614_1224</v>
      </c>
      <c r="C717" s="167" t="str">
        <f>Balanço_MRE!C717</f>
        <v>Contratos de Compra</v>
      </c>
      <c r="D717" s="192" t="str">
        <f>Balanço_MRE!D717</f>
        <v>SUDESTE</v>
      </c>
      <c r="E717" s="79">
        <f>Balanço_MRE!E717</f>
        <v>120</v>
      </c>
      <c r="F717" s="262">
        <f>Balanço_MRE!F717</f>
        <v>89280</v>
      </c>
      <c r="G717" s="263">
        <f>Balanço_MRE!G717</f>
        <v>0</v>
      </c>
      <c r="H717" s="193">
        <f>Balanço_MRE!H717</f>
        <v>0</v>
      </c>
      <c r="J717" s="9" t="e">
        <f>VLOOKUP(A717,#REF!,26,FALSE)</f>
        <v>#REF!</v>
      </c>
      <c r="K717" s="9" t="e">
        <f>VLOOKUP(A717,#REF!,8,FALSE)</f>
        <v>#REF!</v>
      </c>
      <c r="L717" s="9" t="e">
        <f>VLOOKUP(A717,#REF!,32,FALSE)</f>
        <v>#REF!</v>
      </c>
      <c r="M717" s="9" t="e">
        <f>VLOOKUP(A717,#REF!,33,FALSE)</f>
        <v>#REF!</v>
      </c>
      <c r="N717" s="247"/>
      <c r="O717" s="247"/>
      <c r="P717" s="247" t="s">
        <v>129</v>
      </c>
      <c r="Q717" s="247"/>
      <c r="R717" s="247"/>
      <c r="S717" s="247">
        <f>SUM(S713:S715)</f>
        <v>0</v>
      </c>
      <c r="T717" s="247"/>
      <c r="U717" s="247">
        <f>SUM(U713:U715)</f>
        <v>0</v>
      </c>
      <c r="V717" s="247"/>
      <c r="W717" s="247"/>
    </row>
    <row r="718" spans="1:23" ht="15" x14ac:dyDescent="0.25">
      <c r="A718" s="167">
        <f>Balanço_MRE!A718</f>
        <v>0</v>
      </c>
      <c r="B718" s="167" t="str">
        <f>Balanço_MRE!B718</f>
        <v>CCE_3_AMERICA_012019_122019</v>
      </c>
      <c r="C718" s="167" t="str">
        <f>Balanço_MRE!C718</f>
        <v>Contratos de Compra</v>
      </c>
      <c r="D718" s="192" t="str">
        <f>Balanço_MRE!D718</f>
        <v>SUDESTE</v>
      </c>
      <c r="E718" s="79">
        <f>Balanço_MRE!E718</f>
        <v>3</v>
      </c>
      <c r="F718" s="262">
        <f>Balanço_MRE!F718</f>
        <v>2232</v>
      </c>
      <c r="G718" s="263">
        <f>Balanço_MRE!G718</f>
        <v>202.22620458879641</v>
      </c>
      <c r="H718" s="193">
        <f>Balanço_MRE!H718</f>
        <v>451368.88864219357</v>
      </c>
      <c r="J718" s="9"/>
      <c r="K718" s="9"/>
      <c r="L718" s="9"/>
      <c r="M718" s="9"/>
      <c r="N718" s="247"/>
      <c r="O718" s="247"/>
      <c r="P718" s="247"/>
      <c r="Q718" s="247"/>
      <c r="R718" s="247"/>
      <c r="S718" s="247"/>
      <c r="T718" s="247"/>
      <c r="U718" s="247"/>
      <c r="V718" s="247"/>
      <c r="W718" s="247"/>
    </row>
    <row r="719" spans="1:23" ht="15" x14ac:dyDescent="0.25">
      <c r="A719" s="167">
        <f>Balanço_MRE!A719</f>
        <v>0</v>
      </c>
      <c r="B719" s="167" t="str">
        <f>Balanço_MRE!B719</f>
        <v>CCE_5_DEAL_012019_122019</v>
      </c>
      <c r="C719" s="167" t="str">
        <f>Balanço_MRE!C719</f>
        <v>Contratos de Compra</v>
      </c>
      <c r="D719" s="192" t="str">
        <f>Balanço_MRE!D719</f>
        <v>SUDESTE</v>
      </c>
      <c r="E719" s="79">
        <f>Balanço_MRE!E719</f>
        <v>5</v>
      </c>
      <c r="F719" s="262">
        <f>Balanço_MRE!F719</f>
        <v>3720</v>
      </c>
      <c r="G719" s="263">
        <f>Balanço_MRE!G719</f>
        <v>151.66965344159732</v>
      </c>
      <c r="H719" s="193">
        <f>Balanço_MRE!H719</f>
        <v>564211.11080274207</v>
      </c>
      <c r="J719" s="9"/>
      <c r="K719" s="9"/>
      <c r="L719" s="9"/>
      <c r="M719" s="9"/>
      <c r="N719" s="247"/>
      <c r="O719" s="247"/>
      <c r="P719" s="247"/>
      <c r="Q719" s="247"/>
      <c r="R719" s="247"/>
      <c r="S719" s="247"/>
      <c r="T719" s="247"/>
      <c r="U719" s="247"/>
      <c r="V719" s="247"/>
      <c r="W719" s="247"/>
    </row>
    <row r="720" spans="1:23" ht="15" x14ac:dyDescent="0.25">
      <c r="A720" s="167">
        <f>Balanço_MRE!A720</f>
        <v>0</v>
      </c>
      <c r="B720" s="167" t="str">
        <f>Balanço_MRE!B720</f>
        <v>CCE_10_FOCUS_012019_122019</v>
      </c>
      <c r="C720" s="167" t="str">
        <f>Balanço_MRE!C720</f>
        <v>Contratos de Compra</v>
      </c>
      <c r="D720" s="192" t="str">
        <f>Balanço_MRE!D720</f>
        <v>SUDESTE</v>
      </c>
      <c r="E720" s="79">
        <f>Balanço_MRE!E720</f>
        <v>10</v>
      </c>
      <c r="F720" s="262">
        <f>Balanço_MRE!F720</f>
        <v>7440</v>
      </c>
      <c r="G720" s="263">
        <f>Balanço_MRE!G720</f>
        <v>226.49334913945199</v>
      </c>
      <c r="H720" s="193">
        <f>Balanço_MRE!H720</f>
        <v>1685110.5175975228</v>
      </c>
      <c r="J720" s="9"/>
      <c r="K720" s="9"/>
      <c r="L720" s="9"/>
      <c r="M720" s="9"/>
      <c r="N720" s="247"/>
      <c r="O720" s="247"/>
      <c r="P720" s="247"/>
      <c r="Q720" s="247"/>
      <c r="R720" s="247"/>
      <c r="S720" s="247"/>
      <c r="T720" s="247"/>
      <c r="U720" s="247"/>
      <c r="V720" s="247"/>
      <c r="W720" s="247"/>
    </row>
    <row r="721" spans="1:23" ht="15" x14ac:dyDescent="0.25">
      <c r="A721" s="167">
        <f>Balanço_MRE!A721</f>
        <v>0</v>
      </c>
      <c r="B721" s="167" t="str">
        <f>Balanço_MRE!B721</f>
        <v>CCE_2_RRCOMERCIALIZADORA_012019_122019</v>
      </c>
      <c r="C721" s="167" t="str">
        <f>Balanço_MRE!C721</f>
        <v>Contratos de Compra</v>
      </c>
      <c r="D721" s="192" t="str">
        <f>Balanço_MRE!D721</f>
        <v>SUDESTE</v>
      </c>
      <c r="E721" s="79">
        <f>Balanço_MRE!E721</f>
        <v>2</v>
      </c>
      <c r="F721" s="262">
        <f>Balanço_MRE!F721</f>
        <v>1488</v>
      </c>
      <c r="G721" s="263">
        <f>Balanço_MRE!G721</f>
        <v>210</v>
      </c>
      <c r="H721" s="193">
        <f>Balanço_MRE!H721</f>
        <v>312480</v>
      </c>
      <c r="J721" s="9"/>
      <c r="K721" s="9"/>
      <c r="L721" s="9"/>
      <c r="M721" s="9"/>
      <c r="N721" s="247"/>
      <c r="O721" s="247"/>
      <c r="P721" s="247"/>
      <c r="Q721" s="247"/>
      <c r="R721" s="247"/>
      <c r="S721" s="247"/>
      <c r="T721" s="247"/>
      <c r="U721" s="247"/>
      <c r="V721" s="247"/>
      <c r="W721" s="247"/>
    </row>
    <row r="722" spans="1:23" ht="15" x14ac:dyDescent="0.25">
      <c r="A722" s="167">
        <f>Balanço_MRE!A722</f>
        <v>0</v>
      </c>
      <c r="B722" s="167" t="str">
        <f>Balanço_MRE!B722</f>
        <v>CCE_5_WX_012019_122019</v>
      </c>
      <c r="C722" s="167" t="str">
        <f>Balanço_MRE!C722</f>
        <v>Contratos de Compra</v>
      </c>
      <c r="D722" s="192" t="str">
        <f>Balanço_MRE!D722</f>
        <v>SUDESTE</v>
      </c>
      <c r="E722" s="79">
        <f>Balanço_MRE!E722</f>
        <v>5</v>
      </c>
      <c r="F722" s="262">
        <f>Balanço_MRE!F722</f>
        <v>3720</v>
      </c>
      <c r="G722" s="263">
        <f>Balanço_MRE!G722</f>
        <v>200</v>
      </c>
      <c r="H722" s="193">
        <f>Balanço_MRE!H722</f>
        <v>744000</v>
      </c>
      <c r="J722" s="9"/>
      <c r="K722" s="9"/>
      <c r="L722" s="9"/>
      <c r="M722" s="9"/>
      <c r="N722" s="247"/>
      <c r="O722" s="247"/>
      <c r="P722" s="247"/>
      <c r="Q722" s="247"/>
      <c r="R722" s="247"/>
      <c r="S722" s="247"/>
      <c r="T722" s="247"/>
      <c r="U722" s="247"/>
      <c r="V722" s="247"/>
      <c r="W722" s="247"/>
    </row>
    <row r="723" spans="1:23" ht="15" x14ac:dyDescent="0.25">
      <c r="A723" s="167">
        <f>Balanço_MRE!A723</f>
        <v>0</v>
      </c>
      <c r="B723" s="167" t="str">
        <f>Balanço_MRE!B723</f>
        <v>CCE_7,5_STIMA_012019_122019</v>
      </c>
      <c r="C723" s="167" t="str">
        <f>Balanço_MRE!C723</f>
        <v>Contratos de Compra</v>
      </c>
      <c r="D723" s="192" t="str">
        <f>Balanço_MRE!D723</f>
        <v>SUDESTE</v>
      </c>
      <c r="E723" s="79">
        <f>Balanço_MRE!E723</f>
        <v>7.5</v>
      </c>
      <c r="F723" s="262">
        <f>Balanço_MRE!F723</f>
        <v>5580</v>
      </c>
      <c r="G723" s="263">
        <f>Balanço_MRE!G723</f>
        <v>190</v>
      </c>
      <c r="H723" s="193">
        <f>Balanço_MRE!H723</f>
        <v>1060200</v>
      </c>
      <c r="J723" s="9"/>
      <c r="K723" s="9"/>
      <c r="L723" s="9"/>
      <c r="M723" s="9"/>
      <c r="N723" s="247"/>
      <c r="O723" s="247"/>
      <c r="P723" s="247"/>
      <c r="Q723" s="247"/>
      <c r="R723" s="247"/>
      <c r="S723" s="247"/>
      <c r="T723" s="247"/>
      <c r="U723" s="247"/>
      <c r="V723" s="247"/>
      <c r="W723" s="247"/>
    </row>
    <row r="724" spans="1:23" ht="15" x14ac:dyDescent="0.25">
      <c r="A724" s="167">
        <f>Balanço_MRE!A724</f>
        <v>0</v>
      </c>
      <c r="B724" s="167" t="str">
        <f>Balanço_MRE!B724</f>
        <v>CCE_3_MERITO_012019_122019</v>
      </c>
      <c r="C724" s="167" t="str">
        <f>Balanço_MRE!C724</f>
        <v>Contratos de Compra</v>
      </c>
      <c r="D724" s="192" t="str">
        <f>Balanço_MRE!D724</f>
        <v>SUDESTE</v>
      </c>
      <c r="E724" s="79">
        <f>Balanço_MRE!E724</f>
        <v>3</v>
      </c>
      <c r="F724" s="262">
        <f>Balanço_MRE!F724</f>
        <v>2232</v>
      </c>
      <c r="G724" s="263">
        <f>Balanço_MRE!G724</f>
        <v>190</v>
      </c>
      <c r="H724" s="193">
        <f>Balanço_MRE!H724</f>
        <v>424080</v>
      </c>
      <c r="J724" s="9"/>
      <c r="K724" s="9"/>
      <c r="L724" s="9"/>
      <c r="M724" s="9"/>
      <c r="N724" s="247"/>
      <c r="O724" s="247"/>
      <c r="P724" s="247"/>
      <c r="Q724" s="247"/>
      <c r="R724" s="247"/>
      <c r="S724" s="247"/>
      <c r="T724" s="247"/>
      <c r="U724" s="247"/>
      <c r="V724" s="247"/>
      <c r="W724" s="247"/>
    </row>
    <row r="725" spans="1:23" ht="15" x14ac:dyDescent="0.25">
      <c r="A725" s="167">
        <f>Balanço_MRE!A725</f>
        <v>0</v>
      </c>
      <c r="B725" s="167" t="str">
        <f>Balanço_MRE!B725</f>
        <v>CCE_5_FOCUS_012019_122019</v>
      </c>
      <c r="C725" s="167" t="str">
        <f>Balanço_MRE!C725</f>
        <v>Contratos de Compra</v>
      </c>
      <c r="D725" s="192" t="str">
        <f>Balanço_MRE!D725</f>
        <v>SUDESTE</v>
      </c>
      <c r="E725" s="79">
        <f>Balanço_MRE!E725</f>
        <v>5</v>
      </c>
      <c r="F725" s="262">
        <f>Balanço_MRE!F725</f>
        <v>3720</v>
      </c>
      <c r="G725" s="263">
        <f>Balanço_MRE!G725</f>
        <v>190</v>
      </c>
      <c r="H725" s="193">
        <f>Balanço_MRE!H725</f>
        <v>706800</v>
      </c>
      <c r="J725" s="9"/>
      <c r="K725" s="9"/>
      <c r="L725" s="9"/>
      <c r="M725" s="9"/>
      <c r="N725" s="247"/>
      <c r="O725" s="247"/>
      <c r="P725" s="247"/>
      <c r="Q725" s="247"/>
      <c r="R725" s="247"/>
      <c r="S725" s="247"/>
      <c r="T725" s="247"/>
      <c r="U725" s="247"/>
      <c r="V725" s="247"/>
      <c r="W725" s="247"/>
    </row>
    <row r="726" spans="1:23" ht="15" x14ac:dyDescent="0.25">
      <c r="A726" s="167">
        <f>Balanço_MRE!A726</f>
        <v>0</v>
      </c>
      <c r="B726" s="167" t="str">
        <f>Balanço_MRE!B726</f>
        <v>CCE_7_TARGUS_012019_122019</v>
      </c>
      <c r="C726" s="167" t="str">
        <f>Balanço_MRE!C726</f>
        <v>Contratos de Compra</v>
      </c>
      <c r="D726" s="192" t="str">
        <f>Balanço_MRE!D726</f>
        <v>NORDESTE</v>
      </c>
      <c r="E726" s="79">
        <f>Balanço_MRE!E726</f>
        <v>7</v>
      </c>
      <c r="F726" s="262">
        <f>Balanço_MRE!F726</f>
        <v>5208</v>
      </c>
      <c r="G726" s="263">
        <f>Balanço_MRE!G726</f>
        <v>190</v>
      </c>
      <c r="H726" s="193">
        <f>Balanço_MRE!H726</f>
        <v>989520</v>
      </c>
      <c r="J726" s="9"/>
      <c r="K726" s="9"/>
      <c r="L726" s="9"/>
      <c r="M726" s="9"/>
      <c r="N726" s="247"/>
      <c r="O726" s="247"/>
      <c r="P726" s="247"/>
      <c r="Q726" s="247"/>
      <c r="R726" s="247"/>
      <c r="S726" s="247"/>
      <c r="T726" s="247"/>
      <c r="U726" s="247"/>
      <c r="V726" s="247"/>
      <c r="W726" s="247"/>
    </row>
    <row r="727" spans="1:23" ht="15" x14ac:dyDescent="0.25">
      <c r="A727" s="167">
        <f>Balanço_MRE!A727</f>
        <v>0</v>
      </c>
      <c r="B727" s="167" t="str">
        <f>Balanço_MRE!B727</f>
        <v>CCE_10_SOLENERGIAS_012019_122019</v>
      </c>
      <c r="C727" s="167" t="str">
        <f>Balanço_MRE!C727</f>
        <v>Contratos de Compra</v>
      </c>
      <c r="D727" s="192" t="str">
        <f>Balanço_MRE!D727</f>
        <v>NORDESTE</v>
      </c>
      <c r="E727" s="79">
        <f>Balanço_MRE!E727</f>
        <v>10</v>
      </c>
      <c r="F727" s="262">
        <f>Balanço_MRE!F727</f>
        <v>7440</v>
      </c>
      <c r="G727" s="263">
        <f>Balanço_MRE!G727</f>
        <v>190</v>
      </c>
      <c r="H727" s="193">
        <f>Balanço_MRE!H727</f>
        <v>1413600</v>
      </c>
      <c r="J727" s="9"/>
      <c r="K727" s="9"/>
      <c r="L727" s="9"/>
      <c r="M727" s="9"/>
      <c r="N727" s="247"/>
      <c r="O727" s="247"/>
      <c r="P727" s="247"/>
      <c r="Q727" s="247"/>
      <c r="R727" s="247"/>
      <c r="S727" s="247"/>
      <c r="T727" s="247"/>
      <c r="U727" s="247"/>
      <c r="V727" s="247"/>
      <c r="W727" s="247"/>
    </row>
    <row r="728" spans="1:23" ht="15" x14ac:dyDescent="0.25">
      <c r="A728" s="167">
        <f>Balanço_MRE!A728</f>
        <v>0</v>
      </c>
      <c r="B728" s="167" t="str">
        <f>Balanço_MRE!B728</f>
        <v>CCE_20_SAFIRA_012019_122019</v>
      </c>
      <c r="C728" s="167" t="str">
        <f>Balanço_MRE!C728</f>
        <v>Contratos de Compra</v>
      </c>
      <c r="D728" s="192" t="str">
        <f>Balanço_MRE!D728</f>
        <v>NORDESTE</v>
      </c>
      <c r="E728" s="79">
        <f>Balanço_MRE!E728</f>
        <v>20</v>
      </c>
      <c r="F728" s="262">
        <f>Balanço_MRE!F728</f>
        <v>14880</v>
      </c>
      <c r="G728" s="263">
        <f>Balanço_MRE!G728</f>
        <v>180</v>
      </c>
      <c r="H728" s="193">
        <f>Balanço_MRE!H728</f>
        <v>2678400</v>
      </c>
      <c r="J728" s="9"/>
      <c r="K728" s="9"/>
      <c r="L728" s="9"/>
      <c r="M728" s="9"/>
      <c r="N728" s="247"/>
      <c r="O728" s="247"/>
      <c r="P728" s="247"/>
      <c r="Q728" s="247"/>
      <c r="R728" s="247"/>
      <c r="S728" s="247"/>
      <c r="T728" s="247"/>
      <c r="U728" s="247"/>
      <c r="V728" s="247"/>
      <c r="W728" s="247"/>
    </row>
    <row r="729" spans="1:23" ht="15" x14ac:dyDescent="0.25">
      <c r="A729" s="167">
        <f>Balanço_MRE!A729</f>
        <v>0</v>
      </c>
      <c r="B729" s="167" t="str">
        <f>Balanço_MRE!B729</f>
        <v>CCE_5_TARGUS_012019_122019</v>
      </c>
      <c r="C729" s="167" t="str">
        <f>Balanço_MRE!C729</f>
        <v>Contratos de Compra</v>
      </c>
      <c r="D729" s="192" t="str">
        <f>Balanço_MRE!D729</f>
        <v>NORDESTE</v>
      </c>
      <c r="E729" s="79">
        <f>Balanço_MRE!E729</f>
        <v>5</v>
      </c>
      <c r="F729" s="262">
        <f>Balanço_MRE!F729</f>
        <v>3720</v>
      </c>
      <c r="G729" s="263">
        <f>Balanço_MRE!G729</f>
        <v>180</v>
      </c>
      <c r="H729" s="193">
        <f>Balanço_MRE!H729</f>
        <v>669600</v>
      </c>
      <c r="J729" s="9"/>
      <c r="K729" s="9"/>
      <c r="L729" s="9"/>
      <c r="M729" s="9"/>
      <c r="N729" s="247"/>
      <c r="O729" s="247"/>
      <c r="P729" s="247"/>
      <c r="Q729" s="247"/>
      <c r="R729" s="247"/>
      <c r="S729" s="247"/>
      <c r="T729" s="247"/>
      <c r="U729" s="247"/>
      <c r="V729" s="247"/>
      <c r="W729" s="247"/>
    </row>
    <row r="730" spans="1:23" ht="15" x14ac:dyDescent="0.25">
      <c r="A730" s="167">
        <f>Balanço_MRE!A730</f>
        <v>0</v>
      </c>
      <c r="B730" s="167" t="str">
        <f>Balanço_MRE!B730</f>
        <v>CCE_7,5_STIMA_012019_122019</v>
      </c>
      <c r="C730" s="167" t="str">
        <f>Balanço_MRE!C730</f>
        <v>Contratos de Compra</v>
      </c>
      <c r="D730" s="192" t="str">
        <f>Balanço_MRE!D730</f>
        <v>NORDESTE</v>
      </c>
      <c r="E730" s="79">
        <f>Balanço_MRE!E730</f>
        <v>7.5</v>
      </c>
      <c r="F730" s="262">
        <f>Balanço_MRE!F730</f>
        <v>5580</v>
      </c>
      <c r="G730" s="263">
        <f>Balanço_MRE!G730</f>
        <v>190</v>
      </c>
      <c r="H730" s="193">
        <f>Balanço_MRE!H730</f>
        <v>1060200</v>
      </c>
      <c r="J730" s="9"/>
      <c r="K730" s="9"/>
      <c r="L730" s="9"/>
      <c r="M730" s="9"/>
      <c r="N730" s="247"/>
      <c r="O730" s="247"/>
      <c r="P730" s="247"/>
      <c r="Q730" s="247"/>
      <c r="R730" s="247"/>
      <c r="S730" s="247"/>
      <c r="T730" s="247"/>
      <c r="U730" s="247"/>
      <c r="V730" s="247"/>
      <c r="W730" s="247"/>
    </row>
    <row r="731" spans="1:23" ht="15" x14ac:dyDescent="0.25">
      <c r="A731" s="167">
        <f>Balanço_MRE!A731</f>
        <v>0</v>
      </c>
      <c r="B731" s="167" t="str">
        <f>Balanço_MRE!B731</f>
        <v>CCE_3_CINERGY_012019_122019</v>
      </c>
      <c r="C731" s="167" t="str">
        <f>Balanço_MRE!C731</f>
        <v>Contratos de Compra</v>
      </c>
      <c r="D731" s="192" t="str">
        <f>Balanço_MRE!D731</f>
        <v>SUDESTE</v>
      </c>
      <c r="E731" s="79">
        <f>Balanço_MRE!E731</f>
        <v>3</v>
      </c>
      <c r="F731" s="262">
        <f>Balanço_MRE!F731</f>
        <v>2232</v>
      </c>
      <c r="G731" s="263">
        <f>Balanço_MRE!G731</f>
        <v>165</v>
      </c>
      <c r="H731" s="193">
        <f>Balanço_MRE!H731</f>
        <v>368280</v>
      </c>
      <c r="J731" s="9"/>
      <c r="K731" s="9"/>
      <c r="L731" s="9"/>
      <c r="M731" s="9"/>
      <c r="N731" s="247"/>
      <c r="O731" s="247"/>
      <c r="P731" s="247"/>
      <c r="Q731" s="247"/>
      <c r="R731" s="247"/>
      <c r="S731" s="247"/>
      <c r="T731" s="247"/>
      <c r="U731" s="247"/>
      <c r="V731" s="247"/>
      <c r="W731" s="247"/>
    </row>
    <row r="732" spans="1:23" ht="15" x14ac:dyDescent="0.25">
      <c r="A732" s="167">
        <f>Balanço_MRE!A732</f>
        <v>0</v>
      </c>
      <c r="B732" s="167" t="str">
        <f>Balanço_MRE!B732</f>
        <v>CCE_7_BCCOMERCIALIZADORA_012019_122019</v>
      </c>
      <c r="C732" s="167" t="str">
        <f>Balanço_MRE!C732</f>
        <v>Contratos de Compra</v>
      </c>
      <c r="D732" s="192" t="str">
        <f>Balanço_MRE!D732</f>
        <v>NORDESTE</v>
      </c>
      <c r="E732" s="79">
        <f>Balanço_MRE!E732</f>
        <v>7</v>
      </c>
      <c r="F732" s="262">
        <f>Balanço_MRE!F732</f>
        <v>5208</v>
      </c>
      <c r="G732" s="263">
        <f>Balanço_MRE!G732</f>
        <v>162</v>
      </c>
      <c r="H732" s="193">
        <f>Balanço_MRE!H732</f>
        <v>843696</v>
      </c>
      <c r="J732" s="9"/>
      <c r="K732" s="9"/>
      <c r="L732" s="9"/>
      <c r="M732" s="9"/>
      <c r="N732" s="247"/>
      <c r="O732" s="247"/>
      <c r="P732" s="247"/>
      <c r="Q732" s="247"/>
      <c r="R732" s="247"/>
      <c r="S732" s="247"/>
      <c r="T732" s="247"/>
      <c r="U732" s="247"/>
      <c r="V732" s="247"/>
      <c r="W732" s="247"/>
    </row>
    <row r="733" spans="1:23" ht="15" x14ac:dyDescent="0.25">
      <c r="A733" s="167">
        <f>Balanço_MRE!A733</f>
        <v>0</v>
      </c>
      <c r="B733" s="167">
        <f>Balanço_MRE!B733</f>
        <v>0</v>
      </c>
      <c r="C733" s="167">
        <f>Balanço_MRE!C733</f>
        <v>0</v>
      </c>
      <c r="D733" s="192">
        <f>Balanço_MRE!D733</f>
        <v>0</v>
      </c>
      <c r="E733" s="79">
        <f>Balanço_MRE!E733</f>
        <v>0</v>
      </c>
      <c r="F733" s="262">
        <f>Balanço_MRE!F733</f>
        <v>0</v>
      </c>
      <c r="G733" s="263">
        <f>Balanço_MRE!G733</f>
        <v>0</v>
      </c>
      <c r="H733" s="193">
        <f>Balanço_MRE!H733</f>
        <v>0</v>
      </c>
      <c r="J733" s="9"/>
      <c r="K733" s="9"/>
      <c r="L733" s="9"/>
      <c r="M733" s="9"/>
      <c r="N733" s="247"/>
      <c r="O733" s="247"/>
      <c r="P733" s="247"/>
      <c r="Q733" s="247"/>
      <c r="R733" s="247"/>
      <c r="S733" s="247"/>
      <c r="T733" s="247"/>
      <c r="U733" s="247"/>
      <c r="V733" s="247"/>
      <c r="W733" s="247"/>
    </row>
    <row r="734" spans="1:23" ht="15" x14ac:dyDescent="0.25">
      <c r="A734" s="167">
        <f>Balanço_MRE!A734</f>
        <v>0</v>
      </c>
      <c r="B734" s="167">
        <f>Balanço_MRE!B734</f>
        <v>0</v>
      </c>
      <c r="C734" s="167">
        <f>Balanço_MRE!C734</f>
        <v>0</v>
      </c>
      <c r="D734" s="192">
        <f>Balanço_MRE!D734</f>
        <v>0</v>
      </c>
      <c r="E734" s="79">
        <f>Balanço_MRE!E734</f>
        <v>0</v>
      </c>
      <c r="F734" s="262">
        <f>Balanço_MRE!F734</f>
        <v>0</v>
      </c>
      <c r="G734" s="263">
        <f>Balanço_MRE!G734</f>
        <v>0</v>
      </c>
      <c r="H734" s="193">
        <f>Balanço_MRE!H734</f>
        <v>0</v>
      </c>
      <c r="J734" s="9"/>
      <c r="K734" s="9"/>
      <c r="L734" s="9"/>
      <c r="M734" s="9"/>
      <c r="N734" s="247"/>
      <c r="O734" s="247"/>
      <c r="P734" s="247"/>
      <c r="Q734" s="247"/>
      <c r="R734" s="247"/>
      <c r="S734" s="247"/>
      <c r="T734" s="247"/>
      <c r="U734" s="247"/>
      <c r="V734" s="247"/>
      <c r="W734" s="247"/>
    </row>
    <row r="735" spans="1:23" ht="15" x14ac:dyDescent="0.25">
      <c r="A735" s="167">
        <f>Balanço_MRE!A735</f>
        <v>0</v>
      </c>
      <c r="B735" s="167">
        <f>Balanço_MRE!B735</f>
        <v>0</v>
      </c>
      <c r="C735" s="167">
        <f>Balanço_MRE!C735</f>
        <v>0</v>
      </c>
      <c r="D735" s="192">
        <f>Balanço_MRE!D735</f>
        <v>0</v>
      </c>
      <c r="E735" s="79">
        <f>Balanço_MRE!E735</f>
        <v>0</v>
      </c>
      <c r="F735" s="262">
        <f>Balanço_MRE!F735</f>
        <v>0</v>
      </c>
      <c r="G735" s="263">
        <f>Balanço_MRE!G735</f>
        <v>0</v>
      </c>
      <c r="H735" s="193">
        <f>Balanço_MRE!H735</f>
        <v>0</v>
      </c>
      <c r="J735" s="9"/>
      <c r="K735" s="9"/>
      <c r="L735" s="9"/>
      <c r="M735" s="9"/>
      <c r="N735" s="247"/>
      <c r="O735" s="247"/>
      <c r="P735" s="247"/>
      <c r="Q735" s="247"/>
      <c r="R735" s="247"/>
      <c r="S735" s="247"/>
      <c r="T735" s="247"/>
      <c r="U735" s="247"/>
      <c r="V735" s="247"/>
      <c r="W735" s="247"/>
    </row>
    <row r="736" spans="1:23" ht="15" x14ac:dyDescent="0.25">
      <c r="A736" s="167">
        <f>Balanço_MRE!A736</f>
        <v>0</v>
      </c>
      <c r="B736" s="167">
        <f>Balanço_MRE!B736</f>
        <v>0</v>
      </c>
      <c r="C736" s="167">
        <f>Balanço_MRE!C736</f>
        <v>0</v>
      </c>
      <c r="D736" s="192">
        <f>Balanço_MRE!D736</f>
        <v>0</v>
      </c>
      <c r="E736" s="79">
        <f>Balanço_MRE!E736</f>
        <v>0</v>
      </c>
      <c r="F736" s="262">
        <f>Balanço_MRE!F736</f>
        <v>0</v>
      </c>
      <c r="G736" s="263">
        <f>Balanço_MRE!G736</f>
        <v>0</v>
      </c>
      <c r="H736" s="193">
        <f>Balanço_MRE!H736</f>
        <v>0</v>
      </c>
      <c r="J736" s="9"/>
      <c r="K736" s="9"/>
      <c r="L736" s="9"/>
      <c r="M736" s="9"/>
      <c r="N736" s="247"/>
      <c r="O736" s="247"/>
      <c r="P736" s="247"/>
      <c r="Q736" s="247"/>
      <c r="R736" s="247"/>
      <c r="S736" s="247"/>
      <c r="T736" s="247"/>
      <c r="U736" s="247"/>
      <c r="V736" s="247"/>
      <c r="W736" s="247"/>
    </row>
    <row r="737" spans="1:23" ht="15" x14ac:dyDescent="0.25">
      <c r="A737" s="253"/>
      <c r="B737" s="253"/>
      <c r="C737" s="253"/>
      <c r="D737" s="253"/>
      <c r="E737" s="203"/>
      <c r="F737" s="204"/>
      <c r="G737" s="205"/>
      <c r="H737" s="206"/>
      <c r="J737" s="393"/>
      <c r="K737" s="393"/>
      <c r="L737" s="393"/>
      <c r="M737" s="393"/>
      <c r="N737" s="247"/>
      <c r="O737" s="247"/>
      <c r="P737" s="247"/>
      <c r="Q737" s="247"/>
      <c r="R737" s="247"/>
      <c r="S737" s="247"/>
      <c r="T737" s="247"/>
      <c r="U737" s="247"/>
      <c r="V737" s="247"/>
      <c r="W737" s="247"/>
    </row>
    <row r="738" spans="1:23" ht="15" x14ac:dyDescent="0.25">
      <c r="A738" s="80" t="s">
        <v>32</v>
      </c>
      <c r="B738" s="16"/>
      <c r="C738" s="16"/>
      <c r="D738" s="17"/>
      <c r="E738" s="81">
        <f>SUM(E712:E737)</f>
        <v>296</v>
      </c>
      <c r="F738" s="84">
        <f>SUM(F712:F737)</f>
        <v>220224</v>
      </c>
      <c r="G738" s="82">
        <f>IFERROR(H738/F738,0)</f>
        <v>121.11000125800302</v>
      </c>
      <c r="H738" s="82">
        <f>SUM(H712:H737)</f>
        <v>26671328.917042457</v>
      </c>
      <c r="I738" s="115"/>
      <c r="N738" s="247"/>
      <c r="O738" s="146"/>
      <c r="P738" s="146"/>
      <c r="Q738" s="146"/>
      <c r="R738" s="146"/>
      <c r="S738" s="146"/>
      <c r="T738" s="147"/>
      <c r="U738" s="147"/>
      <c r="V738" s="146"/>
      <c r="W738" s="146"/>
    </row>
    <row r="739" spans="1:23" ht="15" x14ac:dyDescent="0.25">
      <c r="N739" s="247"/>
    </row>
    <row r="740" spans="1:23" ht="15" x14ac:dyDescent="0.25">
      <c r="A740" s="548" t="s">
        <v>76</v>
      </c>
      <c r="B740" s="548"/>
      <c r="C740" s="548"/>
      <c r="D740" s="548"/>
      <c r="E740" s="548"/>
      <c r="F740" s="548"/>
      <c r="G740" s="548"/>
      <c r="H740" s="548"/>
      <c r="I740" s="247"/>
      <c r="N740" s="247"/>
    </row>
    <row r="741" spans="1:23" ht="15" x14ac:dyDescent="0.25">
      <c r="A741" s="10" t="s">
        <v>252</v>
      </c>
      <c r="B741" s="10" t="s">
        <v>1</v>
      </c>
      <c r="C741" s="10" t="s">
        <v>2</v>
      </c>
      <c r="D741" s="10" t="s">
        <v>3</v>
      </c>
      <c r="E741" s="10" t="s">
        <v>137</v>
      </c>
      <c r="F741" s="10" t="s">
        <v>25</v>
      </c>
      <c r="G741" s="10" t="s">
        <v>253</v>
      </c>
      <c r="H741" s="10" t="s">
        <v>254</v>
      </c>
      <c r="I741" s="247"/>
      <c r="J741" s="10" t="s">
        <v>72</v>
      </c>
      <c r="K741" s="10" t="s">
        <v>73</v>
      </c>
      <c r="L741" s="10" t="s">
        <v>74</v>
      </c>
      <c r="M741" s="10" t="s">
        <v>75</v>
      </c>
      <c r="N741" s="247"/>
      <c r="O741" s="565"/>
      <c r="P741" s="566"/>
      <c r="Q741" s="566"/>
      <c r="R741" s="566"/>
      <c r="S741" s="566"/>
      <c r="T741" s="566"/>
      <c r="U741" s="566"/>
      <c r="V741" s="566"/>
      <c r="W741" s="567"/>
    </row>
    <row r="742" spans="1:23" ht="15" x14ac:dyDescent="0.25">
      <c r="A742" s="167">
        <f>Balanço_MRE!A742</f>
        <v>947191</v>
      </c>
      <c r="B742" s="167" t="str">
        <f>Balanço_MRE!B742</f>
        <v>FERTILIZANTES NE &gt;&gt;</v>
      </c>
      <c r="C742" s="167" t="str">
        <f>Balanço_MRE!C742</f>
        <v>Contratos de Venda</v>
      </c>
      <c r="D742" s="192" t="str">
        <f>Balanço_MRE!D742</f>
        <v>NORDESTE</v>
      </c>
      <c r="E742" s="79">
        <f>Balanço_MRE!E742</f>
        <v>0</v>
      </c>
      <c r="F742" s="262">
        <f>Balanço_MRE!F742</f>
        <v>0</v>
      </c>
      <c r="G742" s="263">
        <f>Balanço_MRE!G742</f>
        <v>0</v>
      </c>
      <c r="H742" s="193">
        <f>Balanço_MRE!H742</f>
        <v>0</v>
      </c>
      <c r="I742" s="247"/>
      <c r="J742" s="9" t="e">
        <f>VLOOKUP(A742,#REF!,26,FALSE)</f>
        <v>#REF!</v>
      </c>
      <c r="K742" s="9" t="e">
        <f>VLOOKUP(A742,#REF!,8,FALSE)</f>
        <v>#REF!</v>
      </c>
      <c r="L742" s="9" t="e">
        <f>VLOOKUP(A742,#REF!,32,FALSE)</f>
        <v>#REF!</v>
      </c>
      <c r="M742" s="9" t="e">
        <f>VLOOKUP(A742,#REF!,33,FALSE)</f>
        <v>#REF!</v>
      </c>
      <c r="N742" s="247"/>
      <c r="O742" s="318"/>
      <c r="P742" s="319"/>
      <c r="Q742" s="319"/>
      <c r="R742" s="319"/>
      <c r="S742" s="319"/>
      <c r="T742" s="319"/>
      <c r="U742" s="319"/>
      <c r="V742" s="319"/>
      <c r="W742" s="320"/>
    </row>
    <row r="743" spans="1:23" ht="15" x14ac:dyDescent="0.25">
      <c r="A743" s="167">
        <f>Balanço_MRE!A743</f>
        <v>839296</v>
      </c>
      <c r="B743" s="167" t="str">
        <f>Balanço_MRE!B743</f>
        <v>RIO DOCE D &gt;&gt; 0915_0119</v>
      </c>
      <c r="C743" s="167" t="str">
        <f>Balanço_MRE!C743</f>
        <v>Contratos de Venda</v>
      </c>
      <c r="D743" s="192" t="str">
        <f>Balanço_MRE!D743</f>
        <v>NORDESTE</v>
      </c>
      <c r="E743" s="79">
        <f>Balanço_MRE!E743</f>
        <v>0</v>
      </c>
      <c r="F743" s="262">
        <f>Balanço_MRE!F743</f>
        <v>0</v>
      </c>
      <c r="G743" s="263">
        <f>Balanço_MRE!G743</f>
        <v>0</v>
      </c>
      <c r="H743" s="193">
        <f>Balanço_MRE!H743</f>
        <v>0</v>
      </c>
      <c r="I743" s="247"/>
      <c r="J743" s="9" t="e">
        <f>VLOOKUP(A743,#REF!,26,FALSE)</f>
        <v>#REF!</v>
      </c>
      <c r="K743" s="9" t="e">
        <f>VLOOKUP(A743,#REF!,8,FALSE)</f>
        <v>#REF!</v>
      </c>
      <c r="L743" s="9" t="e">
        <f>VLOOKUP(A743,#REF!,32,FALSE)</f>
        <v>#REF!</v>
      </c>
      <c r="M743" s="9" t="e">
        <f>VLOOKUP(A743,#REF!,33,FALSE)</f>
        <v>#REF!</v>
      </c>
      <c r="N743" s="247"/>
      <c r="O743" s="321"/>
      <c r="P743" s="321"/>
      <c r="Q743" s="321"/>
      <c r="R743" s="379"/>
      <c r="S743" s="321"/>
      <c r="T743" s="388"/>
      <c r="U743" s="389"/>
      <c r="V743" s="324"/>
      <c r="W743" s="390"/>
    </row>
    <row r="744" spans="1:23" ht="15" x14ac:dyDescent="0.25">
      <c r="A744" s="167">
        <f>Balanço_MRE!A744</f>
        <v>76527</v>
      </c>
      <c r="B744" s="167" t="str">
        <f>Balanço_MRE!B744</f>
        <v>CVRD &gt;&gt; 1110_0119</v>
      </c>
      <c r="C744" s="167" t="str">
        <f>Balanço_MRE!C744</f>
        <v>Contratos de Venda</v>
      </c>
      <c r="D744" s="192" t="str">
        <f>Balanço_MRE!D744</f>
        <v>NORTE</v>
      </c>
      <c r="E744" s="79">
        <f>Balanço_MRE!E744</f>
        <v>0</v>
      </c>
      <c r="F744" s="262">
        <f>Balanço_MRE!F744</f>
        <v>0</v>
      </c>
      <c r="G744" s="263">
        <f>Balanço_MRE!G744</f>
        <v>0</v>
      </c>
      <c r="H744" s="193">
        <f>Balanço_MRE!H744</f>
        <v>0</v>
      </c>
      <c r="I744" s="247"/>
      <c r="J744" s="9" t="e">
        <f>VLOOKUP(A744,#REF!,26,FALSE)</f>
        <v>#REF!</v>
      </c>
      <c r="K744" s="9" t="e">
        <f>VLOOKUP(A744,#REF!,8,FALSE)</f>
        <v>#REF!</v>
      </c>
      <c r="L744" s="9" t="e">
        <f>VLOOKUP(A744,#REF!,32,FALSE)</f>
        <v>#REF!</v>
      </c>
      <c r="M744" s="9" t="e">
        <f>VLOOKUP(A744,#REF!,33,FALSE)</f>
        <v>#REF!</v>
      </c>
      <c r="N744" s="247"/>
      <c r="O744" s="321"/>
      <c r="P744" s="321"/>
      <c r="Q744" s="321"/>
      <c r="R744" s="379"/>
      <c r="S744" s="321"/>
      <c r="T744" s="388">
        <f>(F968-G968)/(SUM(F968:F973)-SUM(G968:G973))* F986</f>
        <v>9388.3035220840484</v>
      </c>
      <c r="U744" s="389"/>
      <c r="V744" s="324"/>
      <c r="W744" s="390"/>
    </row>
    <row r="745" spans="1:23" ht="15" x14ac:dyDescent="0.25">
      <c r="A745" s="167">
        <f>Balanço_MRE!A745</f>
        <v>566787</v>
      </c>
      <c r="B745" s="167" t="str">
        <f>Balanço_MRE!B745</f>
        <v>CVRD PIE &gt;&gt; 0214_0119</v>
      </c>
      <c r="C745" s="167" t="str">
        <f>Balanço_MRE!C745</f>
        <v>Contratos de Venda</v>
      </c>
      <c r="D745" s="192" t="str">
        <f>Balanço_MRE!D745</f>
        <v>NORTE</v>
      </c>
      <c r="E745" s="79">
        <f>Balanço_MRE!E745</f>
        <v>0</v>
      </c>
      <c r="F745" s="262">
        <f>Balanço_MRE!F745</f>
        <v>0</v>
      </c>
      <c r="G745" s="263">
        <f>Balanço_MRE!G745</f>
        <v>0</v>
      </c>
      <c r="H745" s="193">
        <f>Balanço_MRE!H745</f>
        <v>0</v>
      </c>
      <c r="I745" s="247"/>
      <c r="J745" s="9" t="e">
        <f>VLOOKUP(A745,#REF!,26,FALSE)</f>
        <v>#REF!</v>
      </c>
      <c r="K745" s="9" t="e">
        <f>VLOOKUP(A745,#REF!,8,FALSE)</f>
        <v>#REF!</v>
      </c>
      <c r="L745" s="9" t="e">
        <f>VLOOKUP(A745,#REF!,32,FALSE)</f>
        <v>#REF!</v>
      </c>
      <c r="M745" s="9" t="e">
        <f>VLOOKUP(A745,#REF!,33,FALSE)</f>
        <v>#REF!</v>
      </c>
      <c r="N745" s="247"/>
      <c r="O745" s="321"/>
      <c r="P745" s="321"/>
      <c r="Q745" s="321"/>
      <c r="R745" s="379"/>
      <c r="S745" s="321"/>
      <c r="T745" s="388"/>
      <c r="U745" s="389"/>
      <c r="V745" s="324"/>
      <c r="W745" s="390"/>
    </row>
    <row r="746" spans="1:23" ht="15" x14ac:dyDescent="0.25">
      <c r="A746" s="167">
        <f>Balanço_MRE!A746</f>
        <v>796225</v>
      </c>
      <c r="B746" s="167" t="str">
        <f>Balanço_MRE!B746</f>
        <v>SALOBO &gt;&gt; 0115_1219</v>
      </c>
      <c r="C746" s="167" t="str">
        <f>Balanço_MRE!C746</f>
        <v>Contratos de Venda</v>
      </c>
      <c r="D746" s="192" t="str">
        <f>Balanço_MRE!D746</f>
        <v>NORTE</v>
      </c>
      <c r="E746" s="79">
        <f>Balanço_MRE!E746</f>
        <v>0</v>
      </c>
      <c r="F746" s="262">
        <f>Balanço_MRE!F746</f>
        <v>0</v>
      </c>
      <c r="G746" s="263">
        <f>Balanço_MRE!G746</f>
        <v>0</v>
      </c>
      <c r="H746" s="193">
        <f>Balanço_MRE!H746</f>
        <v>0</v>
      </c>
      <c r="I746" s="247"/>
      <c r="J746" s="9" t="e">
        <f>VLOOKUP(A746,#REF!,26,FALSE)</f>
        <v>#REF!</v>
      </c>
      <c r="K746" s="9" t="e">
        <f>VLOOKUP(A746,#REF!,8,FALSE)</f>
        <v>#REF!</v>
      </c>
      <c r="L746" s="9" t="e">
        <f>VLOOKUP(A746,#REF!,32,FALSE)</f>
        <v>#REF!</v>
      </c>
      <c r="M746" s="9" t="e">
        <f>VLOOKUP(A746,#REF!,33,FALSE)</f>
        <v>#REF!</v>
      </c>
      <c r="N746" s="247"/>
      <c r="O746" s="321"/>
      <c r="P746" s="321"/>
      <c r="Q746" s="321"/>
      <c r="R746" s="379"/>
      <c r="S746" s="321"/>
      <c r="T746" s="388"/>
      <c r="U746" s="389"/>
      <c r="V746" s="324"/>
      <c r="W746" s="390"/>
    </row>
    <row r="747" spans="1:23" ht="15" x14ac:dyDescent="0.25">
      <c r="A747" s="167">
        <f>Balanço_MRE!A747</f>
        <v>566831</v>
      </c>
      <c r="B747" s="167" t="str">
        <f>Balanço_MRE!B747</f>
        <v>ALIANÇA GERAÇÃO &gt;&gt; 0214_0119</v>
      </c>
      <c r="C747" s="167" t="str">
        <f>Balanço_MRE!C747</f>
        <v>Contratos de Venda</v>
      </c>
      <c r="D747" s="192" t="str">
        <f>Balanço_MRE!D747</f>
        <v>SUDESTE</v>
      </c>
      <c r="E747" s="79">
        <f>Balanço_MRE!E747</f>
        <v>0</v>
      </c>
      <c r="F747" s="262">
        <f>Balanço_MRE!F747</f>
        <v>0</v>
      </c>
      <c r="G747" s="263">
        <f>Balanço_MRE!G747</f>
        <v>0</v>
      </c>
      <c r="H747" s="193">
        <f>Balanço_MRE!H747</f>
        <v>0</v>
      </c>
      <c r="I747" s="247"/>
      <c r="J747" s="9" t="e">
        <f>VLOOKUP(A747,#REF!,26,FALSE)</f>
        <v>#REF!</v>
      </c>
      <c r="K747" s="9" t="e">
        <f>VLOOKUP(A747,#REF!,8,FALSE)</f>
        <v>#REF!</v>
      </c>
      <c r="L747" s="9" t="e">
        <f>VLOOKUP(A747,#REF!,32,FALSE)</f>
        <v>#REF!</v>
      </c>
      <c r="M747" s="9" t="e">
        <f>VLOOKUP(A747,#REF!,33,FALSE)</f>
        <v>#REF!</v>
      </c>
      <c r="N747" s="247"/>
      <c r="O747" s="321"/>
      <c r="P747" s="321"/>
      <c r="Q747" s="321"/>
      <c r="R747" s="379"/>
      <c r="S747" s="321"/>
      <c r="T747" s="388"/>
      <c r="U747" s="389"/>
      <c r="V747" s="324"/>
      <c r="W747" s="390"/>
    </row>
    <row r="748" spans="1:23" ht="15" x14ac:dyDescent="0.25">
      <c r="A748" s="167">
        <f>Balanço_MRE!A748</f>
        <v>886329</v>
      </c>
      <c r="B748" s="167" t="str">
        <f>Balanço_MRE!B748</f>
        <v>CPBS MATRIZ &gt;&gt; 0316_1216</v>
      </c>
      <c r="C748" s="167" t="str">
        <f>Balanço_MRE!C748</f>
        <v>Contratos de Venda</v>
      </c>
      <c r="D748" s="192" t="str">
        <f>Balanço_MRE!D748</f>
        <v>SUDESTE</v>
      </c>
      <c r="E748" s="79">
        <f>Balanço_MRE!E748</f>
        <v>0</v>
      </c>
      <c r="F748" s="262">
        <f>Balanço_MRE!F748</f>
        <v>0</v>
      </c>
      <c r="G748" s="263">
        <f>Balanço_MRE!G748</f>
        <v>0</v>
      </c>
      <c r="H748" s="193">
        <f>Balanço_MRE!H748</f>
        <v>0</v>
      </c>
      <c r="I748" s="247"/>
      <c r="J748" s="9" t="e">
        <f>VLOOKUP(A748,#REF!,26,FALSE)</f>
        <v>#REF!</v>
      </c>
      <c r="K748" s="9" t="e">
        <f>VLOOKUP(A748,#REF!,8,FALSE)</f>
        <v>#REF!</v>
      </c>
      <c r="L748" s="9" t="e">
        <f>VLOOKUP(A748,#REF!,32,FALSE)</f>
        <v>#REF!</v>
      </c>
      <c r="M748" s="9" t="e">
        <f>VLOOKUP(A748,#REF!,33,FALSE)</f>
        <v>#REF!</v>
      </c>
      <c r="N748" s="247"/>
      <c r="O748" s="321"/>
      <c r="P748" s="321"/>
      <c r="Q748" s="321"/>
      <c r="R748" s="379"/>
      <c r="S748" s="321"/>
      <c r="T748" s="388"/>
      <c r="U748" s="389"/>
      <c r="V748" s="324"/>
      <c r="W748" s="390"/>
    </row>
    <row r="749" spans="1:23" ht="15" x14ac:dyDescent="0.25">
      <c r="A749" s="167">
        <f>Balanço_MRE!A749</f>
        <v>566830</v>
      </c>
      <c r="B749" s="167" t="str">
        <f>Balanço_MRE!B749</f>
        <v>CVRD  CL2 &gt;&gt; 0214_0119</v>
      </c>
      <c r="C749" s="167" t="str">
        <f>Balanço_MRE!C749</f>
        <v>Contratos de Venda</v>
      </c>
      <c r="D749" s="192" t="str">
        <f>Balanço_MRE!D749</f>
        <v>SUDESTE</v>
      </c>
      <c r="E749" s="79">
        <f>Balanço_MRE!E749</f>
        <v>0</v>
      </c>
      <c r="F749" s="262">
        <f>Balanço_MRE!F749</f>
        <v>0</v>
      </c>
      <c r="G749" s="263">
        <f>Balanço_MRE!G749</f>
        <v>0</v>
      </c>
      <c r="H749" s="193">
        <f>Balanço_MRE!H749</f>
        <v>0</v>
      </c>
      <c r="I749" s="247"/>
      <c r="J749" s="9" t="e">
        <f>VLOOKUP(A749,#REF!,26,FALSE)</f>
        <v>#REF!</v>
      </c>
      <c r="K749" s="9" t="e">
        <f>VLOOKUP(A749,#REF!,8,FALSE)</f>
        <v>#REF!</v>
      </c>
      <c r="L749" s="9" t="e">
        <f>VLOOKUP(A749,#REF!,32,FALSE)</f>
        <v>#REF!</v>
      </c>
      <c r="M749" s="9" t="e">
        <f>VLOOKUP(A749,#REF!,33,FALSE)</f>
        <v>#REF!</v>
      </c>
      <c r="N749" s="247"/>
      <c r="O749" s="321"/>
      <c r="P749" s="321"/>
      <c r="Q749" s="321"/>
      <c r="R749" s="379"/>
      <c r="S749" s="321"/>
      <c r="T749" s="388"/>
      <c r="U749" s="389"/>
      <c r="V749" s="324"/>
      <c r="W749" s="390"/>
    </row>
    <row r="750" spans="1:23" ht="15" x14ac:dyDescent="0.25">
      <c r="A750" s="167">
        <f>Balanço_MRE!A750</f>
        <v>558730</v>
      </c>
      <c r="B750" s="167" t="str">
        <f>Balanço_MRE!B750</f>
        <v>CVRD &gt;&gt; 0214_0119</v>
      </c>
      <c r="C750" s="167" t="str">
        <f>Balanço_MRE!C750</f>
        <v>Contratos de Venda</v>
      </c>
      <c r="D750" s="192" t="str">
        <f>Balanço_MRE!D750</f>
        <v>SUDESTE</v>
      </c>
      <c r="E750" s="79">
        <f>Balanço_MRE!E750</f>
        <v>0</v>
      </c>
      <c r="F750" s="262">
        <f>Balanço_MRE!F750</f>
        <v>0</v>
      </c>
      <c r="G750" s="263">
        <f>Balanço_MRE!G750</f>
        <v>0</v>
      </c>
      <c r="H750" s="193">
        <f>Balanço_MRE!H750</f>
        <v>0</v>
      </c>
      <c r="I750" s="247"/>
      <c r="J750" s="9" t="e">
        <f>VLOOKUP(A750,#REF!,26,FALSE)</f>
        <v>#REF!</v>
      </c>
      <c r="K750" s="9" t="e">
        <f>VLOOKUP(A750,#REF!,8,FALSE)</f>
        <v>#REF!</v>
      </c>
      <c r="L750" s="9" t="e">
        <f>VLOOKUP(A750,#REF!,32,FALSE)</f>
        <v>#REF!</v>
      </c>
      <c r="M750" s="9" t="e">
        <f>VLOOKUP(A750,#REF!,33,FALSE)</f>
        <v>#REF!</v>
      </c>
      <c r="N750" s="247"/>
      <c r="O750" s="321"/>
      <c r="P750" s="321"/>
      <c r="Q750" s="321"/>
      <c r="R750" s="379"/>
      <c r="S750" s="321"/>
      <c r="T750" s="388"/>
      <c r="U750" s="389"/>
      <c r="V750" s="324"/>
      <c r="W750" s="390"/>
    </row>
    <row r="751" spans="1:23" ht="15" x14ac:dyDescent="0.25">
      <c r="A751" s="167">
        <f>Balanço_MRE!A751</f>
        <v>843741</v>
      </c>
      <c r="B751" s="167" t="str">
        <f>Balanço_MRE!B751</f>
        <v>CVRD CL SE_CO &gt;&gt; 1215_0119</v>
      </c>
      <c r="C751" s="167" t="str">
        <f>Balanço_MRE!C751</f>
        <v>Contratos de Venda</v>
      </c>
      <c r="D751" s="192" t="str">
        <f>Balanço_MRE!D751</f>
        <v>SUDESTE</v>
      </c>
      <c r="E751" s="79">
        <f>Balanço_MRE!E751</f>
        <v>0</v>
      </c>
      <c r="F751" s="262">
        <f>Balanço_MRE!F751</f>
        <v>0</v>
      </c>
      <c r="G751" s="263">
        <f>Balanço_MRE!G751</f>
        <v>0</v>
      </c>
      <c r="H751" s="193">
        <f>Balanço_MRE!H751</f>
        <v>0</v>
      </c>
      <c r="I751" s="247"/>
      <c r="J751" s="9" t="e">
        <f>VLOOKUP(A751,#REF!,26,FALSE)</f>
        <v>#REF!</v>
      </c>
      <c r="K751" s="9" t="e">
        <f>VLOOKUP(A751,#REF!,8,FALSE)</f>
        <v>#REF!</v>
      </c>
      <c r="L751" s="9" t="e">
        <f>VLOOKUP(A751,#REF!,32,FALSE)</f>
        <v>#REF!</v>
      </c>
      <c r="M751" s="9" t="e">
        <f>VLOOKUP(A751,#REF!,33,FALSE)</f>
        <v>#REF!</v>
      </c>
      <c r="N751" s="247"/>
      <c r="O751" s="321"/>
      <c r="P751" s="321"/>
      <c r="Q751" s="321"/>
      <c r="R751" s="379"/>
      <c r="S751" s="321"/>
      <c r="T751" s="388"/>
      <c r="U751" s="389"/>
      <c r="V751" s="324"/>
      <c r="W751" s="390"/>
    </row>
    <row r="752" spans="1:23" ht="15" x14ac:dyDescent="0.25">
      <c r="A752" s="167">
        <f>Balanço_MRE!A752</f>
        <v>566824</v>
      </c>
      <c r="B752" s="167" t="str">
        <f>Balanço_MRE!B752</f>
        <v>CVRD CL3 &gt;&gt; 0214_0119</v>
      </c>
      <c r="C752" s="167" t="str">
        <f>Balanço_MRE!C752</f>
        <v>Contratos de Venda</v>
      </c>
      <c r="D752" s="192" t="str">
        <f>Balanço_MRE!D752</f>
        <v>SUDESTE</v>
      </c>
      <c r="E752" s="79">
        <f>Balanço_MRE!E752</f>
        <v>0</v>
      </c>
      <c r="F752" s="262">
        <f>Balanço_MRE!F752</f>
        <v>0</v>
      </c>
      <c r="G752" s="263">
        <f>Balanço_MRE!G752</f>
        <v>0</v>
      </c>
      <c r="H752" s="193">
        <f>Balanço_MRE!H752</f>
        <v>0</v>
      </c>
      <c r="I752" s="247"/>
      <c r="J752" s="9" t="e">
        <f>VLOOKUP(A752,#REF!,26,FALSE)</f>
        <v>#REF!</v>
      </c>
      <c r="K752" s="9" t="e">
        <f>VLOOKUP(A752,#REF!,8,FALSE)</f>
        <v>#REF!</v>
      </c>
      <c r="L752" s="9" t="e">
        <f>VLOOKUP(A752,#REF!,32,FALSE)</f>
        <v>#REF!</v>
      </c>
      <c r="M752" s="9" t="e">
        <f>VLOOKUP(A752,#REF!,33,FALSE)</f>
        <v>#REF!</v>
      </c>
      <c r="N752" s="247"/>
      <c r="O752" s="321"/>
      <c r="P752" s="321"/>
      <c r="Q752" s="321"/>
      <c r="R752" s="379"/>
      <c r="S752" s="321"/>
      <c r="T752" s="388"/>
      <c r="U752" s="389"/>
      <c r="V752" s="324"/>
      <c r="W752" s="390"/>
    </row>
    <row r="753" spans="1:23" ht="15" x14ac:dyDescent="0.25">
      <c r="A753" s="167">
        <f>Balanço_MRE!A753</f>
        <v>558737</v>
      </c>
      <c r="B753" s="167" t="str">
        <f>Balanço_MRE!B753</f>
        <v>CVRD PIE &gt;&gt; 0214_0119</v>
      </c>
      <c r="C753" s="167" t="str">
        <f>Balanço_MRE!C753</f>
        <v>Contratos de Venda</v>
      </c>
      <c r="D753" s="192" t="str">
        <f>Balanço_MRE!D753</f>
        <v>SUDESTE</v>
      </c>
      <c r="E753" s="79">
        <f>Balanço_MRE!E753</f>
        <v>0</v>
      </c>
      <c r="F753" s="262">
        <f>Balanço_MRE!F753</f>
        <v>0</v>
      </c>
      <c r="G753" s="263">
        <f>Balanço_MRE!G753</f>
        <v>0</v>
      </c>
      <c r="H753" s="193">
        <f>Balanço_MRE!H753</f>
        <v>0</v>
      </c>
      <c r="I753" s="247"/>
      <c r="J753" s="9" t="e">
        <f>VLOOKUP(A753,#REF!,26,FALSE)</f>
        <v>#REF!</v>
      </c>
      <c r="K753" s="9" t="e">
        <f>VLOOKUP(A753,#REF!,8,FALSE)</f>
        <v>#REF!</v>
      </c>
      <c r="L753" s="9" t="e">
        <f>VLOOKUP(A753,#REF!,32,FALSE)</f>
        <v>#REF!</v>
      </c>
      <c r="M753" s="9" t="e">
        <f>VLOOKUP(A753,#REF!,33,FALSE)</f>
        <v>#REF!</v>
      </c>
      <c r="N753" s="247"/>
      <c r="O753" s="321"/>
      <c r="P753" s="321"/>
      <c r="Q753" s="321"/>
      <c r="R753" s="379"/>
      <c r="S753" s="321"/>
      <c r="T753" s="388"/>
      <c r="U753" s="389"/>
      <c r="V753" s="324"/>
      <c r="W753" s="390"/>
    </row>
    <row r="754" spans="1:23" ht="15" x14ac:dyDescent="0.25">
      <c r="A754" s="167">
        <f>Balanço_MRE!A754</f>
        <v>835503</v>
      </c>
      <c r="B754" s="167" t="str">
        <f>Balanço_MRE!B754</f>
        <v>FERTILIZANTES SE &gt;&gt; 0815_0119</v>
      </c>
      <c r="C754" s="167" t="str">
        <f>Balanço_MRE!C754</f>
        <v>Contratos de Venda</v>
      </c>
      <c r="D754" s="192" t="str">
        <f>Balanço_MRE!D754</f>
        <v>SUDESTE</v>
      </c>
      <c r="E754" s="79">
        <f>Balanço_MRE!E754</f>
        <v>0</v>
      </c>
      <c r="F754" s="262">
        <f>Balanço_MRE!F754</f>
        <v>0</v>
      </c>
      <c r="G754" s="263">
        <f>Balanço_MRE!G754</f>
        <v>0</v>
      </c>
      <c r="H754" s="193">
        <f>Balanço_MRE!H754</f>
        <v>0</v>
      </c>
      <c r="I754" s="247"/>
      <c r="J754" s="9"/>
      <c r="K754" s="9"/>
      <c r="L754" s="9"/>
      <c r="M754" s="9"/>
      <c r="N754" s="247"/>
      <c r="O754" s="321"/>
      <c r="P754" s="321"/>
      <c r="Q754" s="321"/>
      <c r="R754" s="379"/>
      <c r="S754" s="321"/>
      <c r="T754" s="388"/>
      <c r="U754" s="389"/>
      <c r="V754" s="324"/>
      <c r="W754" s="390"/>
    </row>
    <row r="755" spans="1:23" ht="15" x14ac:dyDescent="0.25">
      <c r="A755" s="167">
        <f>Balanço_MRE!A755</f>
        <v>557818</v>
      </c>
      <c r="B755" s="167" t="str">
        <f>Balanço_MRE!B755</f>
        <v>RIO DOCE SE &gt;&gt; 0214_0119</v>
      </c>
      <c r="C755" s="167" t="str">
        <f>Balanço_MRE!C755</f>
        <v>Contratos de Venda</v>
      </c>
      <c r="D755" s="192" t="str">
        <f>Balanço_MRE!D755</f>
        <v>SUDESTE</v>
      </c>
      <c r="E755" s="79">
        <f>Balanço_MRE!E755</f>
        <v>0</v>
      </c>
      <c r="F755" s="262">
        <f>Balanço_MRE!F755</f>
        <v>0</v>
      </c>
      <c r="G755" s="263">
        <f>Balanço_MRE!G755</f>
        <v>0</v>
      </c>
      <c r="H755" s="193">
        <f>Balanço_MRE!H755</f>
        <v>0</v>
      </c>
      <c r="I755" s="247"/>
      <c r="J755" s="9" t="e">
        <f>VLOOKUP(A755,#REF!,26,FALSE)</f>
        <v>#REF!</v>
      </c>
      <c r="K755" s="9" t="e">
        <f>VLOOKUP(A755,#REF!,8,FALSE)</f>
        <v>#REF!</v>
      </c>
      <c r="L755" s="9" t="e">
        <f>VLOOKUP(A755,#REF!,32,FALSE)</f>
        <v>#REF!</v>
      </c>
      <c r="M755" s="9" t="e">
        <f>VLOOKUP(A755,#REF!,33,FALSE)</f>
        <v>#REF!</v>
      </c>
      <c r="N755" s="247"/>
      <c r="O755" s="321"/>
      <c r="P755" s="321"/>
      <c r="Q755" s="321"/>
      <c r="R755" s="379"/>
      <c r="S755" s="321"/>
      <c r="T755" s="388"/>
      <c r="U755" s="389"/>
      <c r="V755" s="324"/>
      <c r="W755" s="390"/>
    </row>
    <row r="756" spans="1:23" ht="15" x14ac:dyDescent="0.25">
      <c r="A756" s="167">
        <f>Balanço_MRE!A756</f>
        <v>876844</v>
      </c>
      <c r="B756" s="167" t="str">
        <f>Balanço_MRE!B756</f>
        <v>SALOBO &gt;&gt; 0116_1219</v>
      </c>
      <c r="C756" s="167" t="str">
        <f>Balanço_MRE!C756</f>
        <v>Contratos de Venda</v>
      </c>
      <c r="D756" s="192" t="str">
        <f>Balanço_MRE!D756</f>
        <v>SUDESTE</v>
      </c>
      <c r="E756" s="79">
        <f>Balanço_MRE!E756</f>
        <v>0</v>
      </c>
      <c r="F756" s="262">
        <f>Balanço_MRE!F756</f>
        <v>0</v>
      </c>
      <c r="G756" s="263">
        <f>Balanço_MRE!G756</f>
        <v>0</v>
      </c>
      <c r="H756" s="193">
        <f>Balanço_MRE!H756</f>
        <v>0</v>
      </c>
      <c r="I756" s="247"/>
      <c r="J756" s="9" t="e">
        <f>VLOOKUP(A756,#REF!,26,FALSE)</f>
        <v>#REF!</v>
      </c>
      <c r="K756" s="9" t="e">
        <f>VLOOKUP(A756,#REF!,8,FALSE)</f>
        <v>#REF!</v>
      </c>
      <c r="L756" s="9" t="e">
        <f>VLOOKUP(A756,#REF!,32,FALSE)</f>
        <v>#REF!</v>
      </c>
      <c r="M756" s="9" t="e">
        <f>VLOOKUP(A756,#REF!,33,FALSE)</f>
        <v>#REF!</v>
      </c>
      <c r="N756" s="247"/>
      <c r="O756" s="321"/>
      <c r="P756" s="321"/>
      <c r="Q756" s="321"/>
      <c r="R756" s="379"/>
      <c r="S756" s="321"/>
      <c r="T756" s="388"/>
      <c r="U756" s="389"/>
      <c r="V756" s="324"/>
      <c r="W756" s="390"/>
    </row>
    <row r="757" spans="1:23" ht="15" x14ac:dyDescent="0.25">
      <c r="A757" s="167">
        <f>Balanço_MRE!A757</f>
        <v>1097627</v>
      </c>
      <c r="B757" s="167" t="str">
        <f>Balanço_MRE!B757</f>
        <v>CVE_10,7_VE_01012017_31122020_SALOBO</v>
      </c>
      <c r="C757" s="167" t="str">
        <f>Balanço_MRE!C757</f>
        <v>Contratos de Venda</v>
      </c>
      <c r="D757" s="192" t="str">
        <f>Balanço_MRE!D757</f>
        <v>NORTE</v>
      </c>
      <c r="E757" s="79">
        <f>Balanço_MRE!E757</f>
        <v>10.7</v>
      </c>
      <c r="F757" s="262">
        <f>Balanço_MRE!F757</f>
        <v>7960.7999999999993</v>
      </c>
      <c r="G757" s="263">
        <f>Balanço_MRE!G757</f>
        <v>229.17</v>
      </c>
      <c r="H757" s="193">
        <f>Balanço_MRE!H757</f>
        <v>1824376.5359999998</v>
      </c>
      <c r="I757" s="247"/>
      <c r="J757" s="9"/>
      <c r="K757" s="9"/>
      <c r="L757" s="9"/>
      <c r="M757" s="9"/>
      <c r="N757" s="247"/>
      <c r="O757" s="247"/>
      <c r="P757" s="247"/>
      <c r="Q757" s="247"/>
      <c r="R757" s="247"/>
      <c r="S757" s="247"/>
      <c r="T757" s="247"/>
      <c r="U757" s="247"/>
      <c r="V757" s="247"/>
      <c r="W757" s="247"/>
    </row>
    <row r="758" spans="1:23" ht="15" x14ac:dyDescent="0.25">
      <c r="A758" s="167">
        <f>Balanço_MRE!A758</f>
        <v>924757</v>
      </c>
      <c r="B758" s="167" t="str">
        <f>Balanço_MRE!B758</f>
        <v>CCVEE_CemigGT_ValeEnergia_Conv_2017_2018_Assinado 20102016</v>
      </c>
      <c r="C758" s="167" t="str">
        <f>Balanço_MRE!C758</f>
        <v>Contratos de Venda</v>
      </c>
      <c r="D758" s="192" t="str">
        <f>Balanço_MRE!D758</f>
        <v>SUDESTE</v>
      </c>
      <c r="E758" s="79">
        <f>Balanço_MRE!E758</f>
        <v>20</v>
      </c>
      <c r="F758" s="262">
        <f>Balanço_MRE!F758</f>
        <v>14880</v>
      </c>
      <c r="G758" s="263">
        <f>Balanço_MRE!G758</f>
        <v>166.01893451852104</v>
      </c>
      <c r="H758" s="193">
        <f>Balanço_MRE!H758</f>
        <v>2470361.7456355928</v>
      </c>
      <c r="I758" s="247"/>
      <c r="J758" s="9"/>
      <c r="K758" s="9"/>
      <c r="L758" s="9"/>
      <c r="M758" s="9"/>
      <c r="N758" s="247"/>
      <c r="O758" s="247"/>
      <c r="P758" s="247"/>
      <c r="Q758" s="247"/>
      <c r="R758" s="247"/>
      <c r="S758" s="247"/>
      <c r="T758" s="247"/>
      <c r="U758" s="247"/>
      <c r="V758" s="247"/>
      <c r="W758" s="247"/>
    </row>
    <row r="759" spans="1:23" ht="15" x14ac:dyDescent="0.25">
      <c r="A759" s="167">
        <f>Balanço_MRE!A759</f>
        <v>1097141</v>
      </c>
      <c r="B759" s="167" t="str">
        <f>Balanço_MRE!B759</f>
        <v>CCVE_97,61_VE_01012018_31122018_VALE</v>
      </c>
      <c r="C759" s="167" t="str">
        <f>Balanço_MRE!C759</f>
        <v>Contratos de Venda</v>
      </c>
      <c r="D759" s="192" t="str">
        <f>Balanço_MRE!D759</f>
        <v>SUDESTE</v>
      </c>
      <c r="E759" s="79">
        <f>Balanço_MRE!E759</f>
        <v>106.7</v>
      </c>
      <c r="F759" s="262">
        <f>Balanço_MRE!F759</f>
        <v>79384.800000000003</v>
      </c>
      <c r="G759" s="263">
        <f>Balanço_MRE!G759</f>
        <v>196.99</v>
      </c>
      <c r="H759" s="193">
        <f>Balanço_MRE!H759</f>
        <v>15638011.752000002</v>
      </c>
      <c r="I759" s="394"/>
      <c r="J759" s="9"/>
      <c r="K759" s="9"/>
      <c r="L759" s="9"/>
      <c r="M759" s="9"/>
      <c r="N759" s="247"/>
      <c r="O759" s="247"/>
      <c r="P759" s="247"/>
      <c r="Q759" s="247"/>
      <c r="R759" s="247"/>
      <c r="S759" s="247"/>
      <c r="T759" s="247"/>
      <c r="U759" s="247"/>
      <c r="V759" s="247"/>
      <c r="W759" s="247"/>
    </row>
    <row r="760" spans="1:23" ht="15" x14ac:dyDescent="0.25">
      <c r="A760" s="167">
        <f>Balanço_MRE!A760</f>
        <v>1097176</v>
      </c>
      <c r="B760" s="167" t="str">
        <f>Balanço_MRE!B760</f>
        <v>CCVE_26_30,30_VE_2018_a_2021_CUBATAO</v>
      </c>
      <c r="C760" s="167" t="str">
        <f>Balanço_MRE!C760</f>
        <v>Contratos de Venda</v>
      </c>
      <c r="D760" s="192" t="str">
        <f>Balanço_MRE!D760</f>
        <v>SUDESTE</v>
      </c>
      <c r="E760" s="79">
        <f>Balanço_MRE!E760</f>
        <v>32.514184</v>
      </c>
      <c r="F760" s="262">
        <f>Balanço_MRE!F760</f>
        <v>24190.553101770351</v>
      </c>
      <c r="G760" s="263">
        <f>Balanço_MRE!G760</f>
        <v>174.27200874507366</v>
      </c>
      <c r="H760" s="193">
        <f>Balanço_MRE!H760</f>
        <v>4215736.2816998912</v>
      </c>
      <c r="I760" s="392"/>
      <c r="J760" s="9"/>
      <c r="K760" s="9"/>
      <c r="L760" s="9"/>
      <c r="M760" s="9"/>
      <c r="N760" s="247"/>
      <c r="O760" s="247"/>
      <c r="P760" s="247"/>
      <c r="Q760" s="247"/>
      <c r="R760" s="247"/>
      <c r="S760" s="247"/>
      <c r="T760" s="247"/>
      <c r="U760" s="247"/>
      <c r="V760" s="247"/>
      <c r="W760" s="247"/>
    </row>
    <row r="761" spans="1:23" ht="15" x14ac:dyDescent="0.25">
      <c r="A761" s="167">
        <f>Balanço_MRE!A761</f>
        <v>1106200</v>
      </c>
      <c r="B761" s="167" t="str">
        <f>Balanço_MRE!B761</f>
        <v>CCVE_100_108_VE_2018_a_2021_FERTILIZANTES</v>
      </c>
      <c r="C761" s="167" t="str">
        <f>Balanço_MRE!C761</f>
        <v>Contratos de Venda</v>
      </c>
      <c r="D761" s="192" t="str">
        <f>Balanço_MRE!D761</f>
        <v>SUDESTE</v>
      </c>
      <c r="E761" s="79">
        <f>Balanço_MRE!E761</f>
        <v>92.580590000000001</v>
      </c>
      <c r="F761" s="262">
        <f>IF(SUM(F968:F973)-SUM(G968:G973)&lt;90%*[5]LP_TIMELINE_MWh!$AY$89,90%*[5]LP_TIMELINE_MWh!$AY$89,
IF(SUM(F968:F973)-SUM(G968:G973)&gt;110%*[5]LP_TIMELINE_MWh!$AY$89,110%*[5]LP_TIMELINE_MWh!$AY$89,
SUM(F968:F973)-SUM(G968:G973)))</f>
        <v>68932.614309776051</v>
      </c>
      <c r="G761" s="263">
        <f>Balanço_MRE!G761</f>
        <v>177.61002848961675</v>
      </c>
      <c r="H761" s="193">
        <f>Balanço_MRE!H761</f>
        <v>12233771.535372967</v>
      </c>
      <c r="I761" s="394"/>
      <c r="J761" s="9"/>
      <c r="K761" s="9"/>
      <c r="L761" s="9"/>
      <c r="M761" s="9"/>
      <c r="N761" s="247"/>
      <c r="O761" s="247"/>
      <c r="P761" s="247"/>
      <c r="Q761" s="247"/>
      <c r="R761" s="247"/>
      <c r="S761" s="247"/>
      <c r="T761" s="247"/>
      <c r="U761" s="247"/>
      <c r="V761" s="247"/>
      <c r="W761" s="247"/>
    </row>
    <row r="762" spans="1:23" ht="15" x14ac:dyDescent="0.25">
      <c r="A762" s="167">
        <f>Balanço_MRE!A762</f>
        <v>1129937</v>
      </c>
      <c r="B762" s="167" t="str">
        <f>Balanço_MRE!B762</f>
        <v>CCVE_20_VE_2018_a_2021_FERTILIZANTES</v>
      </c>
      <c r="C762" s="167" t="str">
        <f>Balanço_MRE!C762</f>
        <v>Contratos de Venda</v>
      </c>
      <c r="D762" s="192" t="str">
        <f>Balanço_MRE!D762</f>
        <v>NORDESTE</v>
      </c>
      <c r="E762" s="79">
        <f>Balanço_MRE!E762</f>
        <v>18</v>
      </c>
      <c r="F762" s="262">
        <f>Balanço_MRE!F762</f>
        <v>13392</v>
      </c>
      <c r="G762" s="263">
        <f>Balanço_MRE!G762</f>
        <v>197.96457790981177</v>
      </c>
      <c r="H762" s="193">
        <f>Balanço_MRE!H762</f>
        <v>2651141.6273681992</v>
      </c>
      <c r="I762" s="247"/>
      <c r="J762" s="9"/>
      <c r="K762" s="9"/>
      <c r="L762" s="9"/>
      <c r="M762" s="9"/>
      <c r="N762" s="247"/>
    </row>
    <row r="763" spans="1:23" ht="15" x14ac:dyDescent="0.25">
      <c r="A763" s="167">
        <f>Balanço_MRE!A763</f>
        <v>1167492</v>
      </c>
      <c r="B763" s="167" t="str">
        <f>Balanço_MRE!B763</f>
        <v>CVRD TIG</v>
      </c>
      <c r="C763" s="167" t="str">
        <f>Balanço_MRE!C763</f>
        <v>Contratos de Venda</v>
      </c>
      <c r="D763" s="192" t="str">
        <f>Balanço_MRE!D763</f>
        <v>SUDESTE</v>
      </c>
      <c r="E763" s="79">
        <f>Balanço_MRE!E763</f>
        <v>0</v>
      </c>
      <c r="F763" s="262">
        <f>Balanço_MRE!F763</f>
        <v>0</v>
      </c>
      <c r="G763" s="263">
        <f>Balanço_MRE!G763</f>
        <v>0</v>
      </c>
      <c r="H763" s="193">
        <f>Balanço_MRE!H763</f>
        <v>0</v>
      </c>
      <c r="I763" s="247"/>
      <c r="J763" s="9"/>
      <c r="K763" s="9"/>
      <c r="L763" s="9"/>
      <c r="M763" s="9"/>
      <c r="N763" s="247"/>
    </row>
    <row r="764" spans="1:23" ht="15" x14ac:dyDescent="0.25">
      <c r="A764" s="167">
        <f>Balanço_MRE!A764</f>
        <v>0</v>
      </c>
      <c r="B764" s="167">
        <f>Balanço_MRE!B764</f>
        <v>0</v>
      </c>
      <c r="C764" s="167">
        <f>Balanço_MRE!C764</f>
        <v>0</v>
      </c>
      <c r="D764" s="192">
        <f>Balanço_MRE!D764</f>
        <v>0</v>
      </c>
      <c r="E764" s="79">
        <f>Balanço_MRE!E764</f>
        <v>0</v>
      </c>
      <c r="F764" s="262">
        <f>Balanço_MRE!F764</f>
        <v>0</v>
      </c>
      <c r="G764" s="263">
        <f>Balanço_MRE!G764</f>
        <v>0</v>
      </c>
      <c r="H764" s="193">
        <f>Balanço_MRE!H764</f>
        <v>0</v>
      </c>
      <c r="I764" s="247"/>
      <c r="J764" s="9"/>
      <c r="K764" s="9"/>
      <c r="L764" s="9"/>
      <c r="M764" s="9"/>
      <c r="N764" s="247"/>
    </row>
    <row r="765" spans="1:23" ht="15" x14ac:dyDescent="0.25">
      <c r="A765" s="167">
        <f>Balanço_MRE!A765</f>
        <v>0</v>
      </c>
      <c r="B765" s="167">
        <f>Balanço_MRE!B765</f>
        <v>0</v>
      </c>
      <c r="C765" s="167">
        <f>Balanço_MRE!C765</f>
        <v>0</v>
      </c>
      <c r="D765" s="192">
        <f>Balanço_MRE!D765</f>
        <v>0</v>
      </c>
      <c r="E765" s="79">
        <f>Balanço_MRE!E765</f>
        <v>0</v>
      </c>
      <c r="F765" s="262">
        <f>Balanço_MRE!F765</f>
        <v>0</v>
      </c>
      <c r="G765" s="263">
        <f>Balanço_MRE!G765</f>
        <v>0</v>
      </c>
      <c r="H765" s="193">
        <f>Balanço_MRE!H765</f>
        <v>0</v>
      </c>
      <c r="I765" s="247"/>
      <c r="J765" s="9"/>
      <c r="K765" s="9"/>
      <c r="L765" s="9"/>
      <c r="M765" s="9"/>
      <c r="N765" s="247"/>
    </row>
    <row r="766" spans="1:23" ht="15" x14ac:dyDescent="0.25">
      <c r="A766" s="167">
        <f>Balanço_MRE!A766</f>
        <v>0</v>
      </c>
      <c r="B766" s="167">
        <f>Balanço_MRE!B766</f>
        <v>0</v>
      </c>
      <c r="C766" s="167">
        <f>Balanço_MRE!C766</f>
        <v>0</v>
      </c>
      <c r="D766" s="192">
        <f>Balanço_MRE!D766</f>
        <v>0</v>
      </c>
      <c r="E766" s="79">
        <f>Balanço_MRE!E766</f>
        <v>0</v>
      </c>
      <c r="F766" s="262">
        <f>Balanço_MRE!F766</f>
        <v>0</v>
      </c>
      <c r="G766" s="263">
        <f>Balanço_MRE!G766</f>
        <v>0</v>
      </c>
      <c r="H766" s="193">
        <f>Balanço_MRE!H766</f>
        <v>0</v>
      </c>
      <c r="I766" s="247"/>
      <c r="J766" s="9"/>
      <c r="K766" s="9"/>
      <c r="L766" s="9"/>
      <c r="M766" s="9"/>
      <c r="N766" s="247"/>
    </row>
    <row r="767" spans="1:23" ht="15" x14ac:dyDescent="0.25">
      <c r="A767" s="167">
        <f>Balanço_MRE!A767</f>
        <v>0</v>
      </c>
      <c r="B767" s="167">
        <f>Balanço_MRE!B767</f>
        <v>0</v>
      </c>
      <c r="C767" s="167">
        <f>Balanço_MRE!C767</f>
        <v>0</v>
      </c>
      <c r="D767" s="192">
        <f>Balanço_MRE!D767</f>
        <v>0</v>
      </c>
      <c r="E767" s="79">
        <f>Balanço_MRE!E767</f>
        <v>0</v>
      </c>
      <c r="F767" s="262">
        <f>Balanço_MRE!F767</f>
        <v>0</v>
      </c>
      <c r="G767" s="263">
        <f>Balanço_MRE!G767</f>
        <v>0</v>
      </c>
      <c r="H767" s="193">
        <f>Balanço_MRE!H767</f>
        <v>0</v>
      </c>
      <c r="I767" s="247"/>
      <c r="J767" s="9"/>
      <c r="K767" s="9"/>
      <c r="L767" s="9"/>
      <c r="M767" s="9"/>
      <c r="N767" s="247"/>
    </row>
    <row r="768" spans="1:23" ht="15" x14ac:dyDescent="0.25">
      <c r="A768" s="167">
        <f>Balanço_MRE!A768</f>
        <v>0</v>
      </c>
      <c r="B768" s="167">
        <f>Balanço_MRE!B768</f>
        <v>0</v>
      </c>
      <c r="C768" s="167">
        <f>Balanço_MRE!C768</f>
        <v>0</v>
      </c>
      <c r="D768" s="192">
        <f>Balanço_MRE!D768</f>
        <v>0</v>
      </c>
      <c r="E768" s="79">
        <f>Balanço_MRE!E768</f>
        <v>0</v>
      </c>
      <c r="F768" s="262">
        <f>Balanço_MRE!F768</f>
        <v>0</v>
      </c>
      <c r="G768" s="263">
        <f>Balanço_MRE!G768</f>
        <v>0</v>
      </c>
      <c r="H768" s="193">
        <f>Balanço_MRE!H768</f>
        <v>0</v>
      </c>
      <c r="I768" s="247"/>
      <c r="J768" s="9"/>
      <c r="K768" s="9"/>
      <c r="L768" s="9"/>
      <c r="M768" s="9"/>
      <c r="N768" s="247"/>
    </row>
    <row r="769" spans="1:14" ht="15" x14ac:dyDescent="0.25">
      <c r="A769" s="167">
        <f>Balanço_MRE!A769</f>
        <v>0</v>
      </c>
      <c r="B769" s="167">
        <f>Balanço_MRE!B769</f>
        <v>0</v>
      </c>
      <c r="C769" s="167">
        <f>Balanço_MRE!C769</f>
        <v>0</v>
      </c>
      <c r="D769" s="192">
        <f>Balanço_MRE!D769</f>
        <v>0</v>
      </c>
      <c r="E769" s="79">
        <f>Balanço_MRE!E769</f>
        <v>0</v>
      </c>
      <c r="F769" s="262">
        <f>Balanço_MRE!F769</f>
        <v>0</v>
      </c>
      <c r="G769" s="263">
        <f>Balanço_MRE!G769</f>
        <v>0</v>
      </c>
      <c r="H769" s="193">
        <f>Balanço_MRE!H769</f>
        <v>0</v>
      </c>
      <c r="I769" s="247"/>
      <c r="J769" s="9"/>
      <c r="K769" s="9"/>
      <c r="L769" s="9"/>
      <c r="M769" s="9"/>
      <c r="N769" s="247"/>
    </row>
    <row r="770" spans="1:14" ht="15" x14ac:dyDescent="0.25">
      <c r="A770" s="167">
        <f>Balanço_MRE!A770</f>
        <v>0</v>
      </c>
      <c r="B770" s="167">
        <f>Balanço_MRE!B770</f>
        <v>0</v>
      </c>
      <c r="C770" s="167">
        <f>Balanço_MRE!C770</f>
        <v>0</v>
      </c>
      <c r="D770" s="192">
        <f>Balanço_MRE!D770</f>
        <v>0</v>
      </c>
      <c r="E770" s="79">
        <f>Balanço_MRE!E770</f>
        <v>0</v>
      </c>
      <c r="F770" s="262">
        <f>Balanço_MRE!F770</f>
        <v>0</v>
      </c>
      <c r="G770" s="263">
        <f>Balanço_MRE!G770</f>
        <v>0</v>
      </c>
      <c r="H770" s="193">
        <f>Balanço_MRE!H770</f>
        <v>0</v>
      </c>
      <c r="I770" s="247"/>
      <c r="J770" s="9"/>
      <c r="K770" s="9"/>
      <c r="L770" s="9"/>
      <c r="M770" s="9"/>
      <c r="N770" s="247"/>
    </row>
    <row r="771" spans="1:14" ht="15" x14ac:dyDescent="0.25">
      <c r="A771" s="167">
        <f>Balanço_MRE!A771</f>
        <v>0</v>
      </c>
      <c r="B771" s="167">
        <f>Balanço_MRE!B771</f>
        <v>0</v>
      </c>
      <c r="C771" s="167">
        <f>Balanço_MRE!C771</f>
        <v>0</v>
      </c>
      <c r="D771" s="192">
        <f>Balanço_MRE!D771</f>
        <v>0</v>
      </c>
      <c r="E771" s="79">
        <f>Balanço_MRE!E771</f>
        <v>0</v>
      </c>
      <c r="F771" s="262">
        <f>Balanço_MRE!F771</f>
        <v>0</v>
      </c>
      <c r="G771" s="263">
        <f>Balanço_MRE!G771</f>
        <v>0</v>
      </c>
      <c r="H771" s="193">
        <f>Balanço_MRE!H771</f>
        <v>0</v>
      </c>
      <c r="I771" s="247"/>
      <c r="J771" s="9"/>
      <c r="K771" s="9"/>
      <c r="L771" s="9"/>
      <c r="M771" s="9"/>
      <c r="N771" s="247"/>
    </row>
    <row r="772" spans="1:14" ht="15" x14ac:dyDescent="0.25">
      <c r="A772" s="215">
        <f>Balanço_MRE!A772</f>
        <v>0</v>
      </c>
      <c r="B772" s="215">
        <f>Balanço_MRE!B772</f>
        <v>0</v>
      </c>
      <c r="C772" s="215">
        <f>Balanço_MRE!C772</f>
        <v>0</v>
      </c>
      <c r="D772" s="216">
        <f>Balanço_MRE!D772</f>
        <v>0</v>
      </c>
      <c r="E772" s="174">
        <f>Balanço_MRE!E772</f>
        <v>0</v>
      </c>
      <c r="F772" s="391">
        <f>Balanço_MRE!F772</f>
        <v>0</v>
      </c>
      <c r="G772" s="222">
        <f>Balanço_MRE!G772</f>
        <v>0</v>
      </c>
      <c r="H772" s="222">
        <f>Balanço_MRE!H772</f>
        <v>0</v>
      </c>
      <c r="I772" s="247"/>
      <c r="J772" s="393"/>
      <c r="K772" s="393"/>
      <c r="L772" s="393"/>
      <c r="M772" s="393"/>
      <c r="N772" s="247"/>
    </row>
    <row r="773" spans="1:14" ht="15" x14ac:dyDescent="0.25">
      <c r="A773" s="15" t="s">
        <v>32</v>
      </c>
      <c r="B773" s="16"/>
      <c r="C773" s="16"/>
      <c r="D773" s="17"/>
      <c r="E773" s="18">
        <f>SUM(E742:E772)</f>
        <v>280.49477400000001</v>
      </c>
      <c r="F773" s="21">
        <f>SUM(F742:F772)</f>
        <v>208740.7674115464</v>
      </c>
      <c r="G773" s="82">
        <f>IFERROR(H773/F773,0)</f>
        <v>186.99461519713441</v>
      </c>
      <c r="H773" s="21">
        <f>SUM(H742:H772)</f>
        <v>39033399.478076652</v>
      </c>
      <c r="I773" s="247"/>
      <c r="N773" s="247"/>
    </row>
    <row r="774" spans="1:14" ht="15" x14ac:dyDescent="0.25">
      <c r="F774" s="109"/>
      <c r="N774" s="247"/>
    </row>
    <row r="775" spans="1:14" ht="15" x14ac:dyDescent="0.25">
      <c r="A775" s="548" t="s">
        <v>233</v>
      </c>
      <c r="B775" s="548"/>
      <c r="C775" s="548"/>
      <c r="E775" s="116" t="s">
        <v>19</v>
      </c>
      <c r="F775" s="116"/>
      <c r="G775" s="117" t="s">
        <v>20</v>
      </c>
      <c r="H775" s="117"/>
      <c r="I775" s="118" t="s">
        <v>21</v>
      </c>
      <c r="J775" s="118"/>
      <c r="K775" s="119" t="s">
        <v>22</v>
      </c>
      <c r="L775" s="119"/>
      <c r="N775" s="247"/>
    </row>
    <row r="776" spans="1:14" ht="15" x14ac:dyDescent="0.25">
      <c r="A776" s="10" t="s">
        <v>2</v>
      </c>
      <c r="B776" s="10" t="s">
        <v>137</v>
      </c>
      <c r="C776" s="10" t="s">
        <v>25</v>
      </c>
      <c r="E776" s="207" t="s">
        <v>137</v>
      </c>
      <c r="F776" s="208" t="s">
        <v>25</v>
      </c>
      <c r="G776" s="209" t="s">
        <v>137</v>
      </c>
      <c r="H776" s="210" t="s">
        <v>25</v>
      </c>
      <c r="I776" s="211" t="s">
        <v>137</v>
      </c>
      <c r="J776" s="212" t="s">
        <v>25</v>
      </c>
      <c r="K776" s="213" t="s">
        <v>137</v>
      </c>
      <c r="L776" s="214" t="s">
        <v>25</v>
      </c>
      <c r="N776" s="247"/>
    </row>
    <row r="777" spans="1:14" ht="15" x14ac:dyDescent="0.25">
      <c r="A777" s="29" t="s">
        <v>69</v>
      </c>
      <c r="B777" s="70">
        <v>0</v>
      </c>
      <c r="C777" s="83">
        <v>0</v>
      </c>
      <c r="E777" s="120">
        <f t="shared" ref="E777:E783" si="173">SUMIFS($E$712:$E$772,$C$712:$C$772,$A777,$D$712:$D$772,$E$775)</f>
        <v>0</v>
      </c>
      <c r="F777" s="121">
        <f t="shared" ref="F777:F783" si="174">SUMIFS($F$712:$F$772,$C$712:$C$772,$A777,$D$712:$D$772,$E$775)</f>
        <v>0</v>
      </c>
      <c r="G777" s="122">
        <f t="shared" ref="G777:G783" si="175">SUMIFS($E$712:$E$772,$C$712:$C$772,$A777,$D$712:$D$772,$G$775)</f>
        <v>0</v>
      </c>
      <c r="H777" s="123">
        <f t="shared" ref="H777:H783" si="176">SUMIFS($F$712:$F$772,$C$712:$C$772,$A777,$D$712:$D$772,$G$775)</f>
        <v>0</v>
      </c>
      <c r="I777" s="124">
        <f t="shared" ref="I777:I783" si="177">SUMIFS($E$712:$E$772,$C$712:$C$772,$A777,$D$712:$D$772,$I$775)</f>
        <v>0</v>
      </c>
      <c r="J777" s="125">
        <f t="shared" ref="J777:J783" si="178">SUMIFS($F$712:$F$772,$C$712:$C$772,$A777,$D$712:$D$772,$I$775)</f>
        <v>0</v>
      </c>
      <c r="K777" s="126">
        <f t="shared" ref="K777:K783" si="179">SUMIFS($E$712:$E$772,$C$712:$C$772,$A777,$D$712:$D$772,$K$775)</f>
        <v>0</v>
      </c>
      <c r="L777" s="127">
        <f t="shared" ref="L777:L783" si="180">SUMIFS($F$712:$F$772,$C$712:$C$772,$A777,$D$712:$D$772,$K$775)</f>
        <v>0</v>
      </c>
      <c r="N777" s="247"/>
    </row>
    <row r="778" spans="1:14" ht="15" x14ac:dyDescent="0.25">
      <c r="A778" s="29" t="s">
        <v>47</v>
      </c>
      <c r="B778" s="70">
        <v>0</v>
      </c>
      <c r="C778" s="83">
        <v>0</v>
      </c>
      <c r="E778" s="120">
        <f t="shared" si="173"/>
        <v>0</v>
      </c>
      <c r="F778" s="121">
        <f t="shared" si="174"/>
        <v>0</v>
      </c>
      <c r="G778" s="122">
        <f t="shared" si="175"/>
        <v>0</v>
      </c>
      <c r="H778" s="123">
        <f t="shared" si="176"/>
        <v>0</v>
      </c>
      <c r="I778" s="124">
        <f t="shared" si="177"/>
        <v>0</v>
      </c>
      <c r="J778" s="125">
        <f t="shared" si="178"/>
        <v>0</v>
      </c>
      <c r="K778" s="126">
        <f t="shared" si="179"/>
        <v>0</v>
      </c>
      <c r="L778" s="127">
        <f t="shared" si="180"/>
        <v>0</v>
      </c>
      <c r="N778" s="247"/>
    </row>
    <row r="779" spans="1:14" ht="15" x14ac:dyDescent="0.25">
      <c r="A779" s="29" t="s">
        <v>79</v>
      </c>
      <c r="B779" s="70">
        <v>0</v>
      </c>
      <c r="C779" s="83">
        <v>0</v>
      </c>
      <c r="E779" s="120">
        <f t="shared" si="173"/>
        <v>0</v>
      </c>
      <c r="F779" s="121">
        <f t="shared" si="174"/>
        <v>0</v>
      </c>
      <c r="G779" s="122">
        <f t="shared" si="175"/>
        <v>0</v>
      </c>
      <c r="H779" s="123">
        <f t="shared" si="176"/>
        <v>0</v>
      </c>
      <c r="I779" s="124">
        <f t="shared" si="177"/>
        <v>0</v>
      </c>
      <c r="J779" s="125">
        <f t="shared" si="178"/>
        <v>0</v>
      </c>
      <c r="K779" s="126">
        <f t="shared" si="179"/>
        <v>0</v>
      </c>
      <c r="L779" s="127">
        <f t="shared" si="180"/>
        <v>0</v>
      </c>
      <c r="N779" s="247"/>
    </row>
    <row r="780" spans="1:14" ht="15" x14ac:dyDescent="0.25">
      <c r="A780" s="29" t="s">
        <v>71</v>
      </c>
      <c r="B780" s="70">
        <f>E738</f>
        <v>296</v>
      </c>
      <c r="C780" s="83">
        <f>F738</f>
        <v>220224</v>
      </c>
      <c r="E780" s="120">
        <f t="shared" si="173"/>
        <v>0</v>
      </c>
      <c r="F780" s="121">
        <f t="shared" si="174"/>
        <v>0</v>
      </c>
      <c r="G780" s="122">
        <f t="shared" si="175"/>
        <v>56.5</v>
      </c>
      <c r="H780" s="123">
        <f t="shared" si="176"/>
        <v>42036</v>
      </c>
      <c r="I780" s="124">
        <f t="shared" si="177"/>
        <v>239.5</v>
      </c>
      <c r="J780" s="125">
        <f t="shared" si="178"/>
        <v>178188</v>
      </c>
      <c r="K780" s="126">
        <f t="shared" si="179"/>
        <v>0</v>
      </c>
      <c r="L780" s="127">
        <f t="shared" si="180"/>
        <v>0</v>
      </c>
      <c r="N780" s="247"/>
    </row>
    <row r="781" spans="1:14" ht="15" x14ac:dyDescent="0.25">
      <c r="A781" s="29" t="s">
        <v>9</v>
      </c>
      <c r="B781" s="70">
        <f>0</f>
        <v>0</v>
      </c>
      <c r="C781" s="83">
        <f>0</f>
        <v>0</v>
      </c>
      <c r="E781" s="120">
        <f t="shared" si="173"/>
        <v>0</v>
      </c>
      <c r="F781" s="121">
        <f t="shared" si="174"/>
        <v>0</v>
      </c>
      <c r="G781" s="122">
        <f t="shared" si="175"/>
        <v>0</v>
      </c>
      <c r="H781" s="123">
        <f t="shared" si="176"/>
        <v>0</v>
      </c>
      <c r="I781" s="124">
        <f t="shared" si="177"/>
        <v>0</v>
      </c>
      <c r="J781" s="125">
        <f t="shared" si="178"/>
        <v>0</v>
      </c>
      <c r="K781" s="126">
        <f t="shared" si="179"/>
        <v>0</v>
      </c>
      <c r="L781" s="127">
        <f t="shared" si="180"/>
        <v>0</v>
      </c>
      <c r="N781" s="247"/>
    </row>
    <row r="782" spans="1:14" ht="15" x14ac:dyDescent="0.25">
      <c r="A782" s="29" t="s">
        <v>80</v>
      </c>
      <c r="B782" s="70">
        <v>0</v>
      </c>
      <c r="C782" s="83">
        <v>0</v>
      </c>
      <c r="E782" s="120">
        <f t="shared" si="173"/>
        <v>0</v>
      </c>
      <c r="F782" s="121">
        <f t="shared" si="174"/>
        <v>0</v>
      </c>
      <c r="G782" s="122">
        <f t="shared" si="175"/>
        <v>0</v>
      </c>
      <c r="H782" s="123">
        <f t="shared" si="176"/>
        <v>0</v>
      </c>
      <c r="I782" s="124">
        <f t="shared" si="177"/>
        <v>0</v>
      </c>
      <c r="J782" s="125">
        <f t="shared" si="178"/>
        <v>0</v>
      </c>
      <c r="K782" s="126">
        <f t="shared" si="179"/>
        <v>0</v>
      </c>
      <c r="L782" s="127">
        <f t="shared" si="180"/>
        <v>0</v>
      </c>
      <c r="N782" s="247"/>
    </row>
    <row r="783" spans="1:14" ht="15" x14ac:dyDescent="0.25">
      <c r="A783" s="29" t="s">
        <v>77</v>
      </c>
      <c r="B783" s="70">
        <f>E773</f>
        <v>280.49477400000001</v>
      </c>
      <c r="C783" s="83">
        <f>F773</f>
        <v>208740.7674115464</v>
      </c>
      <c r="E783" s="120">
        <f t="shared" si="173"/>
        <v>10.7</v>
      </c>
      <c r="F783" s="121">
        <f t="shared" si="174"/>
        <v>7960.7999999999993</v>
      </c>
      <c r="G783" s="122">
        <f t="shared" si="175"/>
        <v>18</v>
      </c>
      <c r="H783" s="123">
        <f t="shared" si="176"/>
        <v>13392</v>
      </c>
      <c r="I783" s="124">
        <f t="shared" si="177"/>
        <v>251.79477399999999</v>
      </c>
      <c r="J783" s="125">
        <f t="shared" si="178"/>
        <v>187387.96741154639</v>
      </c>
      <c r="K783" s="126">
        <f t="shared" si="179"/>
        <v>0</v>
      </c>
      <c r="L783" s="127">
        <f t="shared" si="180"/>
        <v>0</v>
      </c>
      <c r="N783" s="247"/>
    </row>
    <row r="784" spans="1:14" ht="15" x14ac:dyDescent="0.25">
      <c r="A784" s="11" t="s">
        <v>81</v>
      </c>
      <c r="B784" s="12">
        <f>SUM(B777:B780)-SUM(B781:B783)</f>
        <v>15.505225999999993</v>
      </c>
      <c r="C784" s="12">
        <f>SUM(C777:C780)-SUM(C781:C783)</f>
        <v>11483.232588453597</v>
      </c>
      <c r="E784" s="128">
        <f>SUM(E777:E780)-SUM(E781:E783)</f>
        <v>-10.7</v>
      </c>
      <c r="F784" s="129">
        <f>SUM(F777:F780)-SUM(F781:F783)</f>
        <v>-7960.7999999999993</v>
      </c>
      <c r="G784" s="130">
        <f t="shared" ref="G784:L784" si="181">SUM(G777:G780)-SUM(G781:G783)</f>
        <v>38.5</v>
      </c>
      <c r="H784" s="131">
        <f>SUM(H777:H780)-SUM(H781:H783)</f>
        <v>28644</v>
      </c>
      <c r="I784" s="132">
        <f t="shared" si="181"/>
        <v>-12.29477399999999</v>
      </c>
      <c r="J784" s="133">
        <f t="shared" si="181"/>
        <v>-9199.9674115463858</v>
      </c>
      <c r="K784" s="134">
        <f t="shared" si="181"/>
        <v>0</v>
      </c>
      <c r="L784" s="135">
        <f t="shared" si="181"/>
        <v>0</v>
      </c>
      <c r="N784" s="247"/>
    </row>
    <row r="785" spans="1:14" ht="15" x14ac:dyDescent="0.25">
      <c r="A785" s="11" t="s">
        <v>82</v>
      </c>
      <c r="B785" s="12">
        <f>SUM(B777:B780)-SUM(B781:B784)</f>
        <v>0</v>
      </c>
      <c r="C785" s="12">
        <f>SUM(C777:C780)-SUM(C781:C784)</f>
        <v>0</v>
      </c>
      <c r="E785" s="128">
        <f>SUM(E777:E780)-SUM(E781:E784)</f>
        <v>0</v>
      </c>
      <c r="F785" s="129">
        <f t="shared" ref="F785:L785" si="182">SUM(F777:F780)-SUM(F781:F784)</f>
        <v>0</v>
      </c>
      <c r="G785" s="130">
        <f t="shared" si="182"/>
        <v>0</v>
      </c>
      <c r="H785" s="131">
        <f t="shared" si="182"/>
        <v>0</v>
      </c>
      <c r="I785" s="132">
        <f t="shared" si="182"/>
        <v>0</v>
      </c>
      <c r="J785" s="133">
        <f t="shared" si="182"/>
        <v>0</v>
      </c>
      <c r="K785" s="134">
        <f t="shared" si="182"/>
        <v>0</v>
      </c>
      <c r="L785" s="135">
        <f t="shared" si="182"/>
        <v>0</v>
      </c>
      <c r="N785" s="247"/>
    </row>
    <row r="786" spans="1:14" ht="15" x14ac:dyDescent="0.25">
      <c r="N786" s="247"/>
    </row>
    <row r="787" spans="1:14" ht="15" x14ac:dyDescent="0.25">
      <c r="E787" s="153">
        <f>(F784*$H$5)+(H784*$J$5)+(J784*$L$5)+(L784*$N$5)</f>
        <v>207141.30556080828</v>
      </c>
      <c r="N787" s="247"/>
    </row>
    <row r="788" spans="1:14" ht="15" x14ac:dyDescent="0.25">
      <c r="N788" s="247"/>
    </row>
    <row r="789" spans="1:14" ht="15" x14ac:dyDescent="0.25">
      <c r="N789" s="247"/>
    </row>
    <row r="790" spans="1:14" ht="15" x14ac:dyDescent="0.25">
      <c r="A790" s="564" t="s">
        <v>294</v>
      </c>
      <c r="B790" s="564"/>
      <c r="C790" s="564"/>
      <c r="D790" s="564"/>
      <c r="E790" s="564"/>
      <c r="F790" s="564"/>
      <c r="G790" s="564"/>
      <c r="H790" s="564"/>
      <c r="N790" s="247"/>
    </row>
    <row r="791" spans="1:14" ht="14.25" customHeight="1" x14ac:dyDescent="0.25">
      <c r="A791" s="564"/>
      <c r="B791" s="564"/>
      <c r="C791" s="564"/>
      <c r="D791" s="564"/>
      <c r="E791" s="564"/>
      <c r="F791" s="564"/>
      <c r="G791" s="564"/>
      <c r="H791" s="564"/>
      <c r="N791" s="247"/>
    </row>
    <row r="792" spans="1:14" ht="4.5" customHeight="1" x14ac:dyDescent="0.25">
      <c r="N792" s="247"/>
    </row>
    <row r="793" spans="1:14" ht="15" x14ac:dyDescent="0.25">
      <c r="A793" s="548" t="s">
        <v>70</v>
      </c>
      <c r="B793" s="548"/>
      <c r="C793" s="548"/>
      <c r="D793" s="548"/>
      <c r="E793" s="548"/>
      <c r="F793" s="548"/>
      <c r="G793" s="548"/>
      <c r="H793" s="548"/>
      <c r="N793" s="247"/>
    </row>
    <row r="794" spans="1:14" ht="15" x14ac:dyDescent="0.25">
      <c r="A794" s="10" t="s">
        <v>252</v>
      </c>
      <c r="B794" s="10" t="s">
        <v>1</v>
      </c>
      <c r="C794" s="10" t="s">
        <v>2</v>
      </c>
      <c r="D794" s="10" t="s">
        <v>3</v>
      </c>
      <c r="E794" s="10" t="s">
        <v>137</v>
      </c>
      <c r="F794" s="10" t="s">
        <v>25</v>
      </c>
      <c r="G794" s="10" t="s">
        <v>253</v>
      </c>
      <c r="H794" s="10" t="s">
        <v>254</v>
      </c>
      <c r="J794" s="10" t="s">
        <v>72</v>
      </c>
      <c r="K794" s="10" t="s">
        <v>73</v>
      </c>
      <c r="L794" s="10" t="s">
        <v>74</v>
      </c>
      <c r="M794" s="10" t="s">
        <v>75</v>
      </c>
      <c r="N794" s="247"/>
    </row>
    <row r="795" spans="1:14" ht="15" x14ac:dyDescent="0.25">
      <c r="A795" s="167">
        <f>Balanço_MRE!A795</f>
        <v>71556</v>
      </c>
      <c r="B795" s="167" t="str">
        <f>Balanço_MRE!B795</f>
        <v>OLIVEIRA E COURO_LUZBOA_1,97_0311_1224</v>
      </c>
      <c r="C795" s="167" t="str">
        <f>Balanço_MRE!C795</f>
        <v>Contratos de Compra</v>
      </c>
      <c r="D795" s="192" t="str">
        <f>Balanço_MRE!D795</f>
        <v>SUDESTE</v>
      </c>
      <c r="E795" s="79">
        <f>Balanço_MRE!E795</f>
        <v>1.97</v>
      </c>
      <c r="F795" s="262">
        <f>Balanço_MRE!F795</f>
        <v>1465.68</v>
      </c>
      <c r="G795" s="263">
        <f>Balanço_MRE!G795</f>
        <v>267.50983374416529</v>
      </c>
      <c r="H795" s="193">
        <f>Balanço_MRE!H795</f>
        <v>392083.81312214822</v>
      </c>
      <c r="J795" s="9" t="e">
        <f>VLOOKUP(A795,#REF!,26,FALSE)</f>
        <v>#REF!</v>
      </c>
      <c r="K795" s="9" t="e">
        <f>VLOOKUP(A795,#REF!,8,FALSE)</f>
        <v>#REF!</v>
      </c>
      <c r="L795" s="9" t="e">
        <f>VLOOKUP(A795,#REF!,32,FALSE)</f>
        <v>#REF!</v>
      </c>
      <c r="M795" s="9" t="e">
        <f>VLOOKUP(A795,#REF!,33,FALSE)</f>
        <v>#REF!</v>
      </c>
      <c r="N795" s="247" t="e">
        <f t="shared" ref="N795:N811" si="183">(J795*$B$33)-F795</f>
        <v>#REF!</v>
      </c>
    </row>
    <row r="796" spans="1:14" ht="15" x14ac:dyDescent="0.25">
      <c r="A796" s="167">
        <f>Balanço_MRE!A796</f>
        <v>75923</v>
      </c>
      <c r="B796" s="167" t="str">
        <f>Balanço_MRE!B796</f>
        <v>NC ENERGIA_019_1209_1229</v>
      </c>
      <c r="C796" s="167" t="str">
        <f>Balanço_MRE!C796</f>
        <v>Contratos de Compra</v>
      </c>
      <c r="D796" s="192" t="str">
        <f>Balanço_MRE!D796</f>
        <v>NORDESTE</v>
      </c>
      <c r="E796" s="79">
        <f>Balanço_MRE!E796</f>
        <v>19</v>
      </c>
      <c r="F796" s="262">
        <f>Balanço_MRE!F796</f>
        <v>14136</v>
      </c>
      <c r="G796" s="263">
        <f>Balanço_MRE!G796</f>
        <v>267.31993245268171</v>
      </c>
      <c r="H796" s="193">
        <f>Balanço_MRE!H796</f>
        <v>3778834.5651511089</v>
      </c>
      <c r="J796" s="9" t="e">
        <f>VLOOKUP(A796,#REF!,26,FALSE)</f>
        <v>#REF!</v>
      </c>
      <c r="K796" s="9" t="e">
        <f>VLOOKUP(A796,#REF!,8,FALSE)</f>
        <v>#REF!</v>
      </c>
      <c r="L796" s="9" t="e">
        <f>VLOOKUP(A796,#REF!,32,FALSE)</f>
        <v>#REF!</v>
      </c>
      <c r="M796" s="9" t="e">
        <f>VLOOKUP(A796,#REF!,33,FALSE)</f>
        <v>#REF!</v>
      </c>
      <c r="N796" s="247" t="e">
        <f t="shared" si="183"/>
        <v>#REF!</v>
      </c>
    </row>
    <row r="797" spans="1:14" ht="15" x14ac:dyDescent="0.25">
      <c r="A797" s="167">
        <f>Balanço_MRE!A797</f>
        <v>84972</v>
      </c>
      <c r="B797" s="167" t="str">
        <f>Balanço_MRE!B797</f>
        <v>LUMINÁRIA_LUZBOA_1,67_0112_1224</v>
      </c>
      <c r="C797" s="167" t="str">
        <f>Balanço_MRE!C797</f>
        <v>Contratos de Compra</v>
      </c>
      <c r="D797" s="192" t="str">
        <f>Balanço_MRE!D797</f>
        <v>SUDESTE</v>
      </c>
      <c r="E797" s="79">
        <f>Balanço_MRE!E797</f>
        <v>1.67</v>
      </c>
      <c r="F797" s="262">
        <f>Balanço_MRE!F797</f>
        <v>1242.48</v>
      </c>
      <c r="G797" s="263">
        <f>Balanço_MRE!G797</f>
        <v>267.50983374416529</v>
      </c>
      <c r="H797" s="193">
        <f>Balanço_MRE!H797</f>
        <v>332375.61823045049</v>
      </c>
      <c r="J797" s="9" t="e">
        <f>VLOOKUP(A797,#REF!,26,FALSE)</f>
        <v>#REF!</v>
      </c>
      <c r="K797" s="9" t="e">
        <f>VLOOKUP(A797,#REF!,8,FALSE)</f>
        <v>#REF!</v>
      </c>
      <c r="L797" s="9" t="e">
        <f>VLOOKUP(A797,#REF!,32,FALSE)</f>
        <v>#REF!</v>
      </c>
      <c r="M797" s="9" t="e">
        <f>VLOOKUP(A797,#REF!,33,FALSE)</f>
        <v>#REF!</v>
      </c>
      <c r="N797" s="247" t="e">
        <f t="shared" si="183"/>
        <v>#REF!</v>
      </c>
    </row>
    <row r="798" spans="1:14" ht="15" x14ac:dyDescent="0.25">
      <c r="A798" s="167">
        <f>Balanço_MRE!A798</f>
        <v>90498</v>
      </c>
      <c r="B798" s="167" t="str">
        <f>Balanço_MRE!B798</f>
        <v>TROIA_LUZBOA_3,38_0112_1224</v>
      </c>
      <c r="C798" s="167" t="str">
        <f>Balanço_MRE!C798</f>
        <v>Contratos de Compra</v>
      </c>
      <c r="D798" s="192" t="str">
        <f>Balanço_MRE!D798</f>
        <v>SUDESTE</v>
      </c>
      <c r="E798" s="79">
        <f>Balanço_MRE!E798</f>
        <v>3.38</v>
      </c>
      <c r="F798" s="262">
        <f>Balanço_MRE!F798</f>
        <v>2514.7199999999998</v>
      </c>
      <c r="G798" s="263">
        <f>Balanço_MRE!G798</f>
        <v>267.50983374416529</v>
      </c>
      <c r="H798" s="193">
        <f>Balanço_MRE!H798</f>
        <v>672712.32911312731</v>
      </c>
      <c r="J798" s="9" t="e">
        <f>VLOOKUP(A798,#REF!,26,FALSE)</f>
        <v>#REF!</v>
      </c>
      <c r="K798" s="9" t="e">
        <f>VLOOKUP(A798,#REF!,8,FALSE)</f>
        <v>#REF!</v>
      </c>
      <c r="L798" s="9" t="e">
        <f>VLOOKUP(A798,#REF!,32,FALSE)</f>
        <v>#REF!</v>
      </c>
      <c r="M798" s="9" t="e">
        <f>VLOOKUP(A798,#REF!,33,FALSE)</f>
        <v>#REF!</v>
      </c>
      <c r="N798" s="247" t="e">
        <f t="shared" si="183"/>
        <v>#REF!</v>
      </c>
    </row>
    <row r="799" spans="1:14" ht="15" x14ac:dyDescent="0.25">
      <c r="A799" s="167">
        <f>Balanço_MRE!A799</f>
        <v>94575</v>
      </c>
      <c r="B799" s="167" t="str">
        <f>Balanço_MRE!B799</f>
        <v>NEPOMUCENO_LUZBOA_1,64_0112_1224</v>
      </c>
      <c r="C799" s="167" t="str">
        <f>Balanço_MRE!C799</f>
        <v>Contratos de Compra</v>
      </c>
      <c r="D799" s="192" t="str">
        <f>Balanço_MRE!D799</f>
        <v>SUDESTE</v>
      </c>
      <c r="E799" s="79">
        <f>Balanço_MRE!E799</f>
        <v>1.64</v>
      </c>
      <c r="F799" s="262">
        <f>Balanço_MRE!F799</f>
        <v>1220.1599999999999</v>
      </c>
      <c r="G799" s="263">
        <f>Balanço_MRE!G799</f>
        <v>267.50983374416529</v>
      </c>
      <c r="H799" s="193">
        <f>Balanço_MRE!H799</f>
        <v>326404.79874128068</v>
      </c>
      <c r="J799" s="9" t="e">
        <f>VLOOKUP(A799,#REF!,26,FALSE)</f>
        <v>#REF!</v>
      </c>
      <c r="K799" s="9" t="e">
        <f>VLOOKUP(A799,#REF!,8,FALSE)</f>
        <v>#REF!</v>
      </c>
      <c r="L799" s="9" t="e">
        <f>VLOOKUP(A799,#REF!,32,FALSE)</f>
        <v>#REF!</v>
      </c>
      <c r="M799" s="9" t="e">
        <f>VLOOKUP(A799,#REF!,33,FALSE)</f>
        <v>#REF!</v>
      </c>
      <c r="N799" s="247" t="e">
        <f t="shared" si="183"/>
        <v>#REF!</v>
      </c>
    </row>
    <row r="800" spans="1:14" ht="15" x14ac:dyDescent="0.25">
      <c r="A800" s="167">
        <f>Balanço_MRE!A800</f>
        <v>103851</v>
      </c>
      <c r="B800" s="167" t="str">
        <f>Balanço_MRE!B800</f>
        <v>PERDIGÃO_LUZBOA_5,67_0112_1224</v>
      </c>
      <c r="C800" s="167" t="str">
        <f>Balanço_MRE!C800</f>
        <v>Contratos de Compra</v>
      </c>
      <c r="D800" s="192" t="str">
        <f>Balanço_MRE!D800</f>
        <v>SUDESTE</v>
      </c>
      <c r="E800" s="79">
        <f>Balanço_MRE!E800</f>
        <v>5.67</v>
      </c>
      <c r="F800" s="262">
        <f>Balanço_MRE!F800</f>
        <v>4218.4799999999996</v>
      </c>
      <c r="G800" s="263">
        <f>Balanço_MRE!G800</f>
        <v>267.50983374416529</v>
      </c>
      <c r="H800" s="193">
        <f>Balanço_MRE!H800</f>
        <v>1128484.8834530863</v>
      </c>
      <c r="J800" s="9" t="e">
        <f>VLOOKUP(A800,#REF!,26,FALSE)</f>
        <v>#REF!</v>
      </c>
      <c r="K800" s="9" t="e">
        <f>VLOOKUP(A800,#REF!,8,FALSE)</f>
        <v>#REF!</v>
      </c>
      <c r="L800" s="9" t="e">
        <f>VLOOKUP(A800,#REF!,32,FALSE)</f>
        <v>#REF!</v>
      </c>
      <c r="M800" s="9" t="e">
        <f>VLOOKUP(A800,#REF!,33,FALSE)</f>
        <v>#REF!</v>
      </c>
      <c r="N800" s="247" t="e">
        <f t="shared" si="183"/>
        <v>#REF!</v>
      </c>
    </row>
    <row r="801" spans="1:14" ht="15" x14ac:dyDescent="0.25">
      <c r="A801" s="167">
        <f>Balanço_MRE!A801</f>
        <v>114877</v>
      </c>
      <c r="B801" s="167" t="str">
        <f>Balanço_MRE!B801</f>
        <v>C.INFERNOI LUZ BOA_1,86_0712_1224</v>
      </c>
      <c r="C801" s="167" t="str">
        <f>Balanço_MRE!C801</f>
        <v>Contratos de Compra</v>
      </c>
      <c r="D801" s="192" t="str">
        <f>Balanço_MRE!D801</f>
        <v>SUDESTE</v>
      </c>
      <c r="E801" s="79">
        <f>Balanço_MRE!E801</f>
        <v>1.86</v>
      </c>
      <c r="F801" s="262">
        <f>Balanço_MRE!F801</f>
        <v>1383.8400000000001</v>
      </c>
      <c r="G801" s="263">
        <f>Balanço_MRE!G801</f>
        <v>267.50983374416529</v>
      </c>
      <c r="H801" s="193">
        <f>Balanço_MRE!H801</f>
        <v>370190.80832852575</v>
      </c>
      <c r="J801" s="9" t="e">
        <f>VLOOKUP(A801,#REF!,26,FALSE)</f>
        <v>#REF!</v>
      </c>
      <c r="K801" s="9" t="e">
        <f>VLOOKUP(A801,#REF!,8,FALSE)</f>
        <v>#REF!</v>
      </c>
      <c r="L801" s="9" t="e">
        <f>VLOOKUP(A801,#REF!,32,FALSE)</f>
        <v>#REF!</v>
      </c>
      <c r="M801" s="9" t="e">
        <f>VLOOKUP(A801,#REF!,33,FALSE)</f>
        <v>#REF!</v>
      </c>
      <c r="N801" s="247" t="e">
        <f t="shared" si="183"/>
        <v>#REF!</v>
      </c>
    </row>
    <row r="802" spans="1:14" ht="15" x14ac:dyDescent="0.25">
      <c r="A802" s="167">
        <f>Balanço_MRE!A802</f>
        <v>114886</v>
      </c>
      <c r="B802" s="167" t="str">
        <f>Balanço_MRE!B802</f>
        <v>C.INFERNOII_1,98_0712_1224</v>
      </c>
      <c r="C802" s="167" t="str">
        <f>Balanço_MRE!C802</f>
        <v>Contratos de Compra</v>
      </c>
      <c r="D802" s="192" t="str">
        <f>Balanço_MRE!D802</f>
        <v>SUDESTE</v>
      </c>
      <c r="E802" s="79">
        <f>Balanço_MRE!E802</f>
        <v>1.98</v>
      </c>
      <c r="F802" s="262">
        <f>Balanço_MRE!F802</f>
        <v>1473.12</v>
      </c>
      <c r="G802" s="263">
        <f>Balanço_MRE!G802</f>
        <v>267.50983374416529</v>
      </c>
      <c r="H802" s="193">
        <f>Balanço_MRE!H802</f>
        <v>394074.08628520474</v>
      </c>
      <c r="J802" s="9" t="e">
        <f>VLOOKUP(A802,#REF!,26,FALSE)</f>
        <v>#REF!</v>
      </c>
      <c r="K802" s="9" t="e">
        <f>VLOOKUP(A802,#REF!,8,FALSE)</f>
        <v>#REF!</v>
      </c>
      <c r="L802" s="9" t="e">
        <f>VLOOKUP(A802,#REF!,32,FALSE)</f>
        <v>#REF!</v>
      </c>
      <c r="M802" s="9" t="e">
        <f>VLOOKUP(A802,#REF!,33,FALSE)</f>
        <v>#REF!</v>
      </c>
      <c r="N802" s="247" t="e">
        <f t="shared" si="183"/>
        <v>#REF!</v>
      </c>
    </row>
    <row r="803" spans="1:14" ht="15" x14ac:dyDescent="0.25">
      <c r="A803" s="167">
        <f>Balanço_MRE!A803</f>
        <v>134245</v>
      </c>
      <c r="B803" s="167" t="str">
        <f>Balanço_MRE!B803</f>
        <v>CVRD APE I5G  &gt;&gt; 0214_0119</v>
      </c>
      <c r="C803" s="167" t="str">
        <f>Balanço_MRE!C803</f>
        <v>Contratos de Compra</v>
      </c>
      <c r="D803" s="192" t="str">
        <f>Balanço_MRE!D803</f>
        <v>SUDESTE</v>
      </c>
      <c r="E803" s="79">
        <f>Balanço_MRE!E803</f>
        <v>0</v>
      </c>
      <c r="F803" s="262">
        <f>Balanço_MRE!F803</f>
        <v>0</v>
      </c>
      <c r="G803" s="263">
        <f>Balanço_MRE!G803</f>
        <v>0</v>
      </c>
      <c r="H803" s="193">
        <f>Balanço_MRE!H803</f>
        <v>0</v>
      </c>
      <c r="J803" s="9" t="e">
        <f>VLOOKUP(A803,#REF!,26,FALSE)</f>
        <v>#REF!</v>
      </c>
      <c r="K803" s="9" t="e">
        <f>VLOOKUP(A803,#REF!,8,FALSE)</f>
        <v>#REF!</v>
      </c>
      <c r="L803" s="9" t="e">
        <f>VLOOKUP(A803,#REF!,32,FALSE)</f>
        <v>#REF!</v>
      </c>
      <c r="M803" s="9" t="e">
        <f>VLOOKUP(A803,#REF!,33,FALSE)</f>
        <v>#REF!</v>
      </c>
      <c r="N803" s="247" t="e">
        <f t="shared" si="183"/>
        <v>#REF!</v>
      </c>
    </row>
    <row r="804" spans="1:14" ht="15" x14ac:dyDescent="0.25">
      <c r="A804" s="167">
        <f>Balanço_MRE!A804</f>
        <v>566783</v>
      </c>
      <c r="B804" s="167" t="str">
        <f>Balanço_MRE!B804</f>
        <v>CVRD PIE I5 &gt;&gt; 0214_0119</v>
      </c>
      <c r="C804" s="167" t="str">
        <f>Balanço_MRE!C804</f>
        <v>Contratos de Compra</v>
      </c>
      <c r="D804" s="192" t="str">
        <f>Balanço_MRE!D804</f>
        <v>SUDESTE</v>
      </c>
      <c r="E804" s="79">
        <f>Balanço_MRE!E804</f>
        <v>0</v>
      </c>
      <c r="F804" s="262">
        <f>Balanço_MRE!F804</f>
        <v>0</v>
      </c>
      <c r="G804" s="263">
        <f>Balanço_MRE!G804</f>
        <v>0</v>
      </c>
      <c r="H804" s="193">
        <f>Balanço_MRE!H804</f>
        <v>0</v>
      </c>
      <c r="J804" s="9" t="e">
        <f>VLOOKUP(A804,#REF!,26,FALSE)</f>
        <v>#REF!</v>
      </c>
      <c r="K804" s="9" t="e">
        <f>VLOOKUP(A804,#REF!,8,FALSE)</f>
        <v>#REF!</v>
      </c>
      <c r="L804" s="9" t="e">
        <f>VLOOKUP(A804,#REF!,32,FALSE)</f>
        <v>#REF!</v>
      </c>
      <c r="M804" s="9" t="e">
        <f>VLOOKUP(A804,#REF!,33,FALSE)</f>
        <v>#REF!</v>
      </c>
      <c r="N804" s="247" t="e">
        <f t="shared" si="183"/>
        <v>#REF!</v>
      </c>
    </row>
    <row r="805" spans="1:14" ht="15" x14ac:dyDescent="0.25">
      <c r="A805" s="167">
        <f>Balanço_MRE!A805</f>
        <v>751962</v>
      </c>
      <c r="B805" s="167" t="str">
        <f>Balanço_MRE!B805</f>
        <v>B.PACIENCIA I5  &gt;&gt; 0115_1224</v>
      </c>
      <c r="C805" s="167" t="str">
        <f>Balanço_MRE!C805</f>
        <v>Contratos de Compra</v>
      </c>
      <c r="D805" s="192" t="str">
        <f>Balanço_MRE!D805</f>
        <v>SUDESTE</v>
      </c>
      <c r="E805" s="79">
        <f>Balanço_MRE!E805</f>
        <v>14.755000000000001</v>
      </c>
      <c r="F805" s="262">
        <f>Balanço_MRE!F805</f>
        <v>10977.720000000001</v>
      </c>
      <c r="G805" s="263">
        <f>Balanço_MRE!G805</f>
        <v>267.50983374416529</v>
      </c>
      <c r="H805" s="193">
        <f>Balanço_MRE!H805</f>
        <v>2936648.0520899985</v>
      </c>
      <c r="J805" s="9" t="e">
        <f>VLOOKUP(A805,#REF!,26,FALSE)</f>
        <v>#REF!</v>
      </c>
      <c r="K805" s="9" t="e">
        <f>VLOOKUP(A805,#REF!,8,FALSE)</f>
        <v>#REF!</v>
      </c>
      <c r="L805" s="9" t="e">
        <f>VLOOKUP(A805,#REF!,32,FALSE)</f>
        <v>#REF!</v>
      </c>
      <c r="M805" s="9" t="e">
        <f>VLOOKUP(A805,#REF!,33,FALSE)</f>
        <v>#REF!</v>
      </c>
      <c r="N805" s="247" t="e">
        <f t="shared" si="183"/>
        <v>#REF!</v>
      </c>
    </row>
    <row r="806" spans="1:14" ht="15" x14ac:dyDescent="0.25">
      <c r="A806" s="167">
        <f>Balanço_MRE!A806</f>
        <v>751963</v>
      </c>
      <c r="B806" s="167" t="str">
        <f>Balanço_MRE!B806</f>
        <v>PAIOL I5 &gt;&gt; 0115_1224</v>
      </c>
      <c r="C806" s="167" t="str">
        <f>Balanço_MRE!C806</f>
        <v>Contratos de Compra</v>
      </c>
      <c r="D806" s="192" t="str">
        <f>Balanço_MRE!D806</f>
        <v>SUDESTE</v>
      </c>
      <c r="E806" s="79">
        <f>Balanço_MRE!E806</f>
        <v>10.93</v>
      </c>
      <c r="F806" s="262">
        <f>Balanço_MRE!F806</f>
        <v>8131.92</v>
      </c>
      <c r="G806" s="263">
        <f>Balanço_MRE!G806</f>
        <v>267.47161805363038</v>
      </c>
      <c r="H806" s="193">
        <f>Balanço_MRE!H806</f>
        <v>2175057.8002826781</v>
      </c>
      <c r="J806" s="9" t="e">
        <f>VLOOKUP(A806,#REF!,26,FALSE)</f>
        <v>#REF!</v>
      </c>
      <c r="K806" s="9" t="e">
        <f>VLOOKUP(A806,#REF!,8,FALSE)</f>
        <v>#REF!</v>
      </c>
      <c r="L806" s="9" t="e">
        <f>VLOOKUP(A806,#REF!,32,FALSE)</f>
        <v>#REF!</v>
      </c>
      <c r="M806" s="9" t="e">
        <f>VLOOKUP(A806,#REF!,33,FALSE)</f>
        <v>#REF!</v>
      </c>
      <c r="N806" s="247" t="e">
        <f t="shared" si="183"/>
        <v>#REF!</v>
      </c>
    </row>
    <row r="807" spans="1:14" ht="15" x14ac:dyDescent="0.25">
      <c r="A807" s="167">
        <f>Balanço_MRE!A807</f>
        <v>751964</v>
      </c>
      <c r="B807" s="167" t="str">
        <f>Balanço_MRE!B807</f>
        <v>C.GRANDE I5 &gt;&gt; 0115_1224</v>
      </c>
      <c r="C807" s="167" t="str">
        <f>Balanço_MRE!C807</f>
        <v>Contratos de Compra</v>
      </c>
      <c r="D807" s="192" t="str">
        <f>Balanço_MRE!D807</f>
        <v>SUDESTE</v>
      </c>
      <c r="E807" s="79">
        <f>Balanço_MRE!E807</f>
        <v>8.4380000000000006</v>
      </c>
      <c r="F807" s="262">
        <f>Balanço_MRE!F807</f>
        <v>6277.8720000000003</v>
      </c>
      <c r="G807" s="263">
        <f>Balanço_MRE!G807</f>
        <v>267.50983374416529</v>
      </c>
      <c r="H807" s="193">
        <f>Balanço_MRE!H807</f>
        <v>1679392.4949871504</v>
      </c>
      <c r="J807" s="9" t="e">
        <f>VLOOKUP(A807,#REF!,26,FALSE)</f>
        <v>#REF!</v>
      </c>
      <c r="K807" s="9" t="e">
        <f>VLOOKUP(A807,#REF!,8,FALSE)</f>
        <v>#REF!</v>
      </c>
      <c r="L807" s="9" t="e">
        <f>VLOOKUP(A807,#REF!,32,FALSE)</f>
        <v>#REF!</v>
      </c>
      <c r="M807" s="9" t="e">
        <f>VLOOKUP(A807,#REF!,33,FALSE)</f>
        <v>#REF!</v>
      </c>
      <c r="N807" s="247" t="e">
        <f t="shared" si="183"/>
        <v>#REF!</v>
      </c>
    </row>
    <row r="808" spans="1:14" ht="15" x14ac:dyDescent="0.25">
      <c r="A808" s="167">
        <f>Balanço_MRE!A808</f>
        <v>751965</v>
      </c>
      <c r="B808" s="167" t="str">
        <f>Balanço_MRE!B808</f>
        <v>SAO GONCALO I5 &gt;&gt; 0115_1224</v>
      </c>
      <c r="C808" s="167" t="str">
        <f>Balanço_MRE!C808</f>
        <v>Contratos de Compra</v>
      </c>
      <c r="D808" s="192" t="str">
        <f>Balanço_MRE!D808</f>
        <v>SUDESTE</v>
      </c>
      <c r="E808" s="79">
        <f>Balanço_MRE!E808</f>
        <v>6.44</v>
      </c>
      <c r="F808" s="262">
        <f>Balanço_MRE!F808</f>
        <v>4791.3600000000006</v>
      </c>
      <c r="G808" s="263">
        <f>Balanço_MRE!G808</f>
        <v>267.50983374416529</v>
      </c>
      <c r="H808" s="193">
        <f>Balanço_MRE!H808</f>
        <v>1281735.917008444</v>
      </c>
      <c r="J808" s="9" t="e">
        <f>VLOOKUP(A808,#REF!,26,FALSE)</f>
        <v>#REF!</v>
      </c>
      <c r="K808" s="9" t="e">
        <f>VLOOKUP(A808,#REF!,8,FALSE)</f>
        <v>#REF!</v>
      </c>
      <c r="L808" s="9" t="e">
        <f>VLOOKUP(A808,#REF!,32,FALSE)</f>
        <v>#REF!</v>
      </c>
      <c r="M808" s="9" t="e">
        <f>VLOOKUP(A808,#REF!,33,FALSE)</f>
        <v>#REF!</v>
      </c>
      <c r="N808" s="247" t="e">
        <f t="shared" si="183"/>
        <v>#REF!</v>
      </c>
    </row>
    <row r="809" spans="1:14" ht="15" x14ac:dyDescent="0.25">
      <c r="A809" s="167">
        <f>Balanço_MRE!A809</f>
        <v>751966</v>
      </c>
      <c r="B809" s="167" t="str">
        <f>Balanço_MRE!B809</f>
        <v>NINHO DA AGUIA I5 &gt;&gt; 0115_1224</v>
      </c>
      <c r="C809" s="167" t="str">
        <f>Balanço_MRE!C809</f>
        <v>Contratos de Compra</v>
      </c>
      <c r="D809" s="192" t="str">
        <f>Balanço_MRE!D809</f>
        <v>SUDESTE</v>
      </c>
      <c r="E809" s="79">
        <f>Balanço_MRE!E809</f>
        <v>4.16</v>
      </c>
      <c r="F809" s="262">
        <f>Balanço_MRE!F809</f>
        <v>3095.04</v>
      </c>
      <c r="G809" s="263">
        <f>Balanço_MRE!G809</f>
        <v>267.50983374416529</v>
      </c>
      <c r="H809" s="193">
        <f>Balanço_MRE!H809</f>
        <v>827953.63583154138</v>
      </c>
      <c r="J809" s="9" t="e">
        <f>VLOOKUP(A809,#REF!,26,FALSE)</f>
        <v>#REF!</v>
      </c>
      <c r="K809" s="9" t="e">
        <f>VLOOKUP(A809,#REF!,8,FALSE)</f>
        <v>#REF!</v>
      </c>
      <c r="L809" s="9" t="e">
        <f>VLOOKUP(A809,#REF!,32,FALSE)</f>
        <v>#REF!</v>
      </c>
      <c r="M809" s="9" t="e">
        <f>VLOOKUP(A809,#REF!,33,FALSE)</f>
        <v>#REF!</v>
      </c>
      <c r="N809" s="247" t="e">
        <f t="shared" si="183"/>
        <v>#REF!</v>
      </c>
    </row>
    <row r="810" spans="1:14" ht="15" x14ac:dyDescent="0.25">
      <c r="A810" s="167">
        <f>Balanço_MRE!A810</f>
        <v>751967</v>
      </c>
      <c r="B810" s="167" t="str">
        <f>Balanço_MRE!B810</f>
        <v>VARZEA ALEGRE I5 &gt;&gt; 0115_1224</v>
      </c>
      <c r="C810" s="167" t="str">
        <f>Balanço_MRE!C810</f>
        <v>Contratos de Compra</v>
      </c>
      <c r="D810" s="192" t="str">
        <f>Balanço_MRE!D810</f>
        <v>SUDESTE</v>
      </c>
      <c r="E810" s="79">
        <f>Balanço_MRE!E810</f>
        <v>4.7880000000000003</v>
      </c>
      <c r="F810" s="262">
        <f>Balanço_MRE!F810</f>
        <v>3562.2720000000004</v>
      </c>
      <c r="G810" s="263">
        <f>Balanço_MRE!G810</f>
        <v>267.50983374416529</v>
      </c>
      <c r="H810" s="193">
        <f>Balanço_MRE!H810</f>
        <v>952942.79047149525</v>
      </c>
      <c r="J810" s="9" t="e">
        <f>VLOOKUP(A810,#REF!,26,FALSE)</f>
        <v>#REF!</v>
      </c>
      <c r="K810" s="9" t="e">
        <f>VLOOKUP(A810,#REF!,8,FALSE)</f>
        <v>#REF!</v>
      </c>
      <c r="L810" s="9" t="e">
        <f>VLOOKUP(A810,#REF!,32,FALSE)</f>
        <v>#REF!</v>
      </c>
      <c r="M810" s="9" t="e">
        <f>VLOOKUP(A810,#REF!,33,FALSE)</f>
        <v>#REF!</v>
      </c>
      <c r="N810" s="247" t="e">
        <f t="shared" si="183"/>
        <v>#REF!</v>
      </c>
    </row>
    <row r="811" spans="1:14" ht="15" x14ac:dyDescent="0.25">
      <c r="A811" s="167">
        <f>Balanço_MRE!A811</f>
        <v>887537</v>
      </c>
      <c r="B811" s="167" t="str">
        <f>Balanço_MRE!B811</f>
        <v>BROOKFIELD I5 &gt;&gt; 0516_1220</v>
      </c>
      <c r="C811" s="167" t="str">
        <f>Balanço_MRE!C811</f>
        <v>Contratos de Compra</v>
      </c>
      <c r="D811" s="192" t="str">
        <f>Balanço_MRE!D811</f>
        <v>SUDESTE</v>
      </c>
      <c r="E811" s="79">
        <f>Balanço_MRE!E811</f>
        <v>1.94</v>
      </c>
      <c r="F811" s="262">
        <f>Balanço_MRE!F811</f>
        <v>1443.36</v>
      </c>
      <c r="G811" s="263">
        <f>Balanço_MRE!G811</f>
        <v>268.25851919471961</v>
      </c>
      <c r="H811" s="193">
        <f>Balanço_MRE!H811</f>
        <v>387193.61626489047</v>
      </c>
      <c r="J811" s="9" t="e">
        <f>VLOOKUP(A811,#REF!,26,FALSE)</f>
        <v>#REF!</v>
      </c>
      <c r="K811" s="9" t="e">
        <f>VLOOKUP(A811,#REF!,8,FALSE)</f>
        <v>#REF!</v>
      </c>
      <c r="L811" s="9" t="e">
        <f>VLOOKUP(A811,#REF!,32,FALSE)</f>
        <v>#REF!</v>
      </c>
      <c r="M811" s="9" t="e">
        <f>VLOOKUP(A811,#REF!,33,FALSE)</f>
        <v>#REF!</v>
      </c>
      <c r="N811" s="247" t="e">
        <f t="shared" si="183"/>
        <v>#REF!</v>
      </c>
    </row>
    <row r="812" spans="1:14" ht="15" x14ac:dyDescent="0.25">
      <c r="A812" s="167">
        <f>Balanço_MRE!A812</f>
        <v>1117355</v>
      </c>
      <c r="B812" s="167" t="str">
        <f>Balanço_MRE!B812</f>
        <v>GARROTE &gt;&gt; 0417_0146</v>
      </c>
      <c r="C812" s="167" t="str">
        <f>Balanço_MRE!C812</f>
        <v>Contratos de Compra</v>
      </c>
      <c r="D812" s="192" t="str">
        <f>Balanço_MRE!D812</f>
        <v>NORDESTE</v>
      </c>
      <c r="E812" s="79">
        <f>Balanço_MRE!E812</f>
        <v>9.5444189999999995</v>
      </c>
      <c r="F812" s="262">
        <f>Balanço_MRE!F812</f>
        <v>7101.0477359999995</v>
      </c>
      <c r="G812" s="263">
        <f>Balanço_MRE!G812</f>
        <v>184.06291811706444</v>
      </c>
      <c r="H812" s="193">
        <f>Balanço_MRE!H812</f>
        <v>1307039.5679767337</v>
      </c>
      <c r="J812" s="9"/>
      <c r="K812" s="9"/>
      <c r="L812" s="9"/>
      <c r="M812" s="9"/>
      <c r="N812" s="247"/>
    </row>
    <row r="813" spans="1:14" ht="15" x14ac:dyDescent="0.25">
      <c r="A813" s="167">
        <f>Balanço_MRE!A813</f>
        <v>1117360</v>
      </c>
      <c r="B813" s="167" t="str">
        <f>Balanço_MRE!B813</f>
        <v>STO INÁCIO III &gt;&gt; 0417_0146</v>
      </c>
      <c r="C813" s="167" t="str">
        <f>Balanço_MRE!C813</f>
        <v>Contratos de Compra</v>
      </c>
      <c r="D813" s="192" t="str">
        <f>Balanço_MRE!D813</f>
        <v>NORDESTE</v>
      </c>
      <c r="E813" s="79">
        <f>Balanço_MRE!E813</f>
        <v>14.162718999999999</v>
      </c>
      <c r="F813" s="262">
        <f>Balanço_MRE!F813</f>
        <v>10537.062936</v>
      </c>
      <c r="G813" s="263">
        <f>Balanço_MRE!G813</f>
        <v>184.06291811706444</v>
      </c>
      <c r="H813" s="193">
        <f>Balanço_MRE!H813</f>
        <v>1939482.5523833227</v>
      </c>
      <c r="J813" s="9"/>
      <c r="K813" s="9"/>
      <c r="L813" s="9"/>
      <c r="M813" s="9"/>
      <c r="N813" s="247"/>
    </row>
    <row r="814" spans="1:14" ht="15" x14ac:dyDescent="0.25">
      <c r="A814" s="167">
        <f>Balanço_MRE!A814</f>
        <v>1117363</v>
      </c>
      <c r="B814" s="167" t="str">
        <f>Balanço_MRE!B814</f>
        <v>SAO RAIMUNDO &gt;&gt; 0417_0146</v>
      </c>
      <c r="C814" s="167" t="str">
        <f>Balanço_MRE!C814</f>
        <v>Contratos de Compra</v>
      </c>
      <c r="D814" s="192" t="str">
        <f>Balanço_MRE!D814</f>
        <v>NORDESTE</v>
      </c>
      <c r="E814" s="79">
        <f>Balanço_MRE!E814</f>
        <v>9.8607189999999996</v>
      </c>
      <c r="F814" s="262">
        <f>Balanço_MRE!F814</f>
        <v>7336.3749359999993</v>
      </c>
      <c r="G814" s="263">
        <f>Balanço_MRE!G814</f>
        <v>184.06291811706444</v>
      </c>
      <c r="H814" s="193">
        <f>Balanço_MRE!H814</f>
        <v>1319052.6021930254</v>
      </c>
      <c r="J814" s="9"/>
      <c r="K814" s="9"/>
      <c r="L814" s="9"/>
      <c r="M814" s="9"/>
      <c r="N814" s="247"/>
    </row>
    <row r="815" spans="1:14" ht="15" x14ac:dyDescent="0.25">
      <c r="A815" s="167">
        <f>Balanço_MRE!A815</f>
        <v>1117361</v>
      </c>
      <c r="B815" s="167" t="str">
        <f>Balanço_MRE!B815</f>
        <v>STO INÁCIO IV &gt;&gt; 0417_0146</v>
      </c>
      <c r="C815" s="167" t="str">
        <f>Balanço_MRE!C815</f>
        <v>Contratos de Compra</v>
      </c>
      <c r="D815" s="192" t="str">
        <f>Balanço_MRE!D815</f>
        <v>NORDESTE</v>
      </c>
      <c r="E815" s="79">
        <f>Balanço_MRE!E815</f>
        <v>9.632142</v>
      </c>
      <c r="F815" s="262">
        <f>Balanço_MRE!F815</f>
        <v>7166.3136480000003</v>
      </c>
      <c r="G815" s="263">
        <f>Balanço_MRE!G815</f>
        <v>184.06291811706444</v>
      </c>
      <c r="H815" s="193">
        <f>Balanço_MRE!H815</f>
        <v>1350354.5791210518</v>
      </c>
      <c r="J815" s="9"/>
      <c r="K815" s="9"/>
      <c r="L815" s="9"/>
      <c r="M815" s="9"/>
      <c r="N815" s="247"/>
    </row>
    <row r="816" spans="1:14" ht="15" x14ac:dyDescent="0.25">
      <c r="A816" s="167">
        <f>Balanço_MRE!A816</f>
        <v>0</v>
      </c>
      <c r="B816" s="167">
        <f>Balanço_MRE!B816</f>
        <v>0</v>
      </c>
      <c r="C816" s="167">
        <f>Balanço_MRE!C816</f>
        <v>0</v>
      </c>
      <c r="D816" s="192">
        <f>Balanço_MRE!D816</f>
        <v>0</v>
      </c>
      <c r="E816" s="79">
        <f>Balanço_MRE!E816</f>
        <v>0</v>
      </c>
      <c r="F816" s="262">
        <f>Balanço_MRE!F816</f>
        <v>0</v>
      </c>
      <c r="G816" s="263">
        <f>Balanço_MRE!G816</f>
        <v>0</v>
      </c>
      <c r="H816" s="193">
        <f>Balanço_MRE!H816</f>
        <v>0</v>
      </c>
      <c r="J816" s="9"/>
      <c r="K816" s="9"/>
      <c r="L816" s="9"/>
      <c r="M816" s="9"/>
      <c r="N816" s="247"/>
    </row>
    <row r="817" spans="1:23" ht="15" x14ac:dyDescent="0.25">
      <c r="A817" s="167">
        <f>Balanço_MRE!A817</f>
        <v>0</v>
      </c>
      <c r="B817" s="167">
        <f>Balanço_MRE!B817</f>
        <v>0</v>
      </c>
      <c r="C817" s="167">
        <f>Balanço_MRE!C817</f>
        <v>0</v>
      </c>
      <c r="D817" s="192">
        <f>Balanço_MRE!D817</f>
        <v>0</v>
      </c>
      <c r="E817" s="79">
        <f>Balanço_MRE!E817</f>
        <v>0</v>
      </c>
      <c r="F817" s="262">
        <f>Balanço_MRE!F817</f>
        <v>0</v>
      </c>
      <c r="G817" s="263">
        <f>Balanço_MRE!G817</f>
        <v>0</v>
      </c>
      <c r="H817" s="193">
        <f>Balanço_MRE!H817</f>
        <v>0</v>
      </c>
      <c r="J817" s="9"/>
      <c r="K817" s="9"/>
      <c r="L817" s="9"/>
      <c r="M817" s="9"/>
      <c r="N817" s="247"/>
    </row>
    <row r="818" spans="1:23" ht="15" x14ac:dyDescent="0.25">
      <c r="A818" s="217"/>
      <c r="B818" s="217"/>
      <c r="C818" s="217"/>
      <c r="D818" s="217"/>
      <c r="E818" s="218"/>
      <c r="F818" s="219"/>
      <c r="G818" s="220"/>
      <c r="H818" s="221"/>
      <c r="J818" s="393"/>
      <c r="K818" s="393"/>
      <c r="L818" s="393"/>
      <c r="M818" s="393"/>
      <c r="N818" s="247"/>
    </row>
    <row r="819" spans="1:23" ht="15" x14ac:dyDescent="0.25">
      <c r="A819" s="80" t="s">
        <v>32</v>
      </c>
      <c r="B819" s="16"/>
      <c r="C819" s="16"/>
      <c r="D819" s="17"/>
      <c r="E819" s="81">
        <f>SUM(E795:E818)</f>
        <v>131.82099899999997</v>
      </c>
      <c r="F819" s="84">
        <f>SUM(F795:F818)</f>
        <v>98074.823255999974</v>
      </c>
      <c r="G819" s="82">
        <f>IFERROR(H819/F819,0)</f>
        <v>240.14332862531475</v>
      </c>
      <c r="H819" s="82">
        <f>SUM(H795:H818)</f>
        <v>23552014.511035264</v>
      </c>
      <c r="I819" s="115"/>
      <c r="N819" s="247"/>
    </row>
    <row r="820" spans="1:23" ht="15" x14ac:dyDescent="0.25">
      <c r="F820" s="148"/>
      <c r="N820" s="247"/>
    </row>
    <row r="821" spans="1:23" ht="15" x14ac:dyDescent="0.25">
      <c r="A821" s="548" t="s">
        <v>76</v>
      </c>
      <c r="B821" s="548"/>
      <c r="C821" s="548"/>
      <c r="D821" s="548"/>
      <c r="E821" s="548"/>
      <c r="F821" s="548"/>
      <c r="G821" s="548"/>
      <c r="H821" s="548"/>
      <c r="N821" s="247"/>
    </row>
    <row r="822" spans="1:23" ht="15" x14ac:dyDescent="0.25">
      <c r="A822" s="10" t="s">
        <v>252</v>
      </c>
      <c r="B822" s="10" t="s">
        <v>1</v>
      </c>
      <c r="C822" s="10" t="s">
        <v>2</v>
      </c>
      <c r="D822" s="10" t="s">
        <v>3</v>
      </c>
      <c r="E822" s="10" t="s">
        <v>137</v>
      </c>
      <c r="F822" s="10" t="s">
        <v>25</v>
      </c>
      <c r="G822" s="10" t="s">
        <v>253</v>
      </c>
      <c r="H822" s="10" t="s">
        <v>254</v>
      </c>
      <c r="J822" s="10" t="s">
        <v>72</v>
      </c>
      <c r="K822" s="10" t="s">
        <v>73</v>
      </c>
      <c r="L822" s="10" t="s">
        <v>74</v>
      </c>
      <c r="M822" s="10" t="s">
        <v>75</v>
      </c>
      <c r="N822" s="247"/>
      <c r="O822" s="565" t="s">
        <v>229</v>
      </c>
      <c r="P822" s="566"/>
      <c r="Q822" s="566"/>
      <c r="R822" s="566"/>
      <c r="S822" s="566"/>
      <c r="T822" s="566"/>
      <c r="U822" s="566"/>
      <c r="V822" s="566"/>
      <c r="W822" s="567"/>
    </row>
    <row r="823" spans="1:23" ht="15" x14ac:dyDescent="0.25">
      <c r="A823" s="167">
        <f>Balanço_MRE!A823</f>
        <v>637036</v>
      </c>
      <c r="B823" s="167" t="str">
        <f>Balanço_MRE!B823</f>
        <v>CVRD CL2 &gt;&gt; 0414_0119</v>
      </c>
      <c r="C823" s="167" t="str">
        <f>Balanço_MRE!C823</f>
        <v>Contratos de Venda</v>
      </c>
      <c r="D823" s="192" t="str">
        <f>Balanço_MRE!D823</f>
        <v>NORDESTE</v>
      </c>
      <c r="E823" s="79">
        <f>Balanço_MRE!E823</f>
        <v>0</v>
      </c>
      <c r="F823" s="262">
        <f>Balanço_MRE!F823</f>
        <v>0</v>
      </c>
      <c r="G823" s="263">
        <f>Balanço_MRE!G823</f>
        <v>0</v>
      </c>
      <c r="H823" s="193">
        <f>Balanço_MRE!H823</f>
        <v>0</v>
      </c>
      <c r="I823" s="83"/>
      <c r="J823" s="9" t="e">
        <f>VLOOKUP(A823,#REF!,26,FALSE)</f>
        <v>#REF!</v>
      </c>
      <c r="K823" s="9" t="e">
        <f>VLOOKUP(A823,#REF!,8,FALSE)</f>
        <v>#REF!</v>
      </c>
      <c r="L823" s="9" t="e">
        <f>VLOOKUP(A823,#REF!,32,FALSE)</f>
        <v>#REF!</v>
      </c>
      <c r="M823" s="9" t="e">
        <f>VLOOKUP(A823,#REF!,33,FALSE)</f>
        <v>#REF!</v>
      </c>
      <c r="N823" s="247" t="e">
        <f t="shared" ref="N823:N830" si="184">(J823*$B$33)-F823</f>
        <v>#REF!</v>
      </c>
      <c r="O823" s="318" t="s">
        <v>3</v>
      </c>
      <c r="P823" s="319" t="s">
        <v>121</v>
      </c>
      <c r="Q823" s="319" t="s">
        <v>122</v>
      </c>
      <c r="R823" s="319" t="s">
        <v>130</v>
      </c>
      <c r="S823" s="319" t="s">
        <v>131</v>
      </c>
      <c r="T823" s="319" t="s">
        <v>123</v>
      </c>
      <c r="U823" s="319" t="s">
        <v>124</v>
      </c>
      <c r="V823" s="319" t="s">
        <v>125</v>
      </c>
      <c r="W823" s="320"/>
    </row>
    <row r="824" spans="1:23" ht="15" x14ac:dyDescent="0.25">
      <c r="A824" s="167">
        <f>Balanço_MRE!A824</f>
        <v>637037</v>
      </c>
      <c r="B824" s="167" t="str">
        <f>Balanço_MRE!B824</f>
        <v>CVRD CL3 &gt;&gt; 0414_0119</v>
      </c>
      <c r="C824" s="167" t="str">
        <f>Balanço_MRE!C824</f>
        <v>Contratos de Venda</v>
      </c>
      <c r="D824" s="192" t="str">
        <f>Balanço_MRE!D824</f>
        <v>NORDESTE</v>
      </c>
      <c r="E824" s="79">
        <f>Balanço_MRE!E824</f>
        <v>0</v>
      </c>
      <c r="F824" s="262">
        <f>Balanço_MRE!F824</f>
        <v>0</v>
      </c>
      <c r="G824" s="263">
        <f>Balanço_MRE!G824</f>
        <v>0</v>
      </c>
      <c r="H824" s="193">
        <f>Balanço_MRE!H824</f>
        <v>0</v>
      </c>
      <c r="I824" s="83"/>
      <c r="J824" s="9" t="e">
        <f>VLOOKUP(A824,#REF!,26,FALSE)</f>
        <v>#REF!</v>
      </c>
      <c r="K824" s="9" t="e">
        <f>VLOOKUP(A824,#REF!,8,FALSE)</f>
        <v>#REF!</v>
      </c>
      <c r="L824" s="9" t="e">
        <f>VLOOKUP(A824,#REF!,32,FALSE)</f>
        <v>#REF!</v>
      </c>
      <c r="M824" s="9" t="e">
        <f>VLOOKUP(A824,#REF!,33,FALSE)</f>
        <v>#REF!</v>
      </c>
      <c r="N824" s="247" t="e">
        <f t="shared" si="184"/>
        <v>#REF!</v>
      </c>
      <c r="O824" s="321" t="s">
        <v>89</v>
      </c>
      <c r="P824" s="321"/>
      <c r="Q824" s="321" t="s">
        <v>128</v>
      </c>
      <c r="R824" s="379" t="s">
        <v>57</v>
      </c>
      <c r="S824" s="321" t="s">
        <v>132</v>
      </c>
      <c r="T824" s="325">
        <f>ROUND(VLOOKUP(R824,$A$383:$H$388,6,FALSE),3)-ROUND(VLOOKUP(R824,$A$383:$H$388,7,FALSE),3)</f>
        <v>173.70400000000001</v>
      </c>
      <c r="U824" s="322">
        <f>Balanço_Lastro!U833</f>
        <v>0</v>
      </c>
      <c r="V824" s="324">
        <f t="shared" ref="V824:V838" si="185">T824*U824</f>
        <v>0</v>
      </c>
      <c r="W824" s="323"/>
    </row>
    <row r="825" spans="1:23" ht="15" x14ac:dyDescent="0.25">
      <c r="A825" s="167">
        <f>Balanço_MRE!A825</f>
        <v>558735</v>
      </c>
      <c r="B825" s="167" t="str">
        <f>Balanço_MRE!B825</f>
        <v>CVRD PIE I5 &gt;&gt; 0214_0119</v>
      </c>
      <c r="C825" s="167" t="str">
        <f>Balanço_MRE!C825</f>
        <v>Contratos de Venda</v>
      </c>
      <c r="D825" s="192" t="str">
        <f>Balanço_MRE!D825</f>
        <v>NORDESTE</v>
      </c>
      <c r="E825" s="79">
        <f>Balanço_MRE!E825</f>
        <v>0</v>
      </c>
      <c r="F825" s="262">
        <f>Balanço_MRE!F825</f>
        <v>0</v>
      </c>
      <c r="G825" s="263">
        <f>Balanço_MRE!G825</f>
        <v>0</v>
      </c>
      <c r="H825" s="193">
        <f>Balanço_MRE!H825</f>
        <v>0</v>
      </c>
      <c r="I825" s="83"/>
      <c r="J825" s="9" t="e">
        <f>VLOOKUP(A825,#REF!,26,FALSE)</f>
        <v>#REF!</v>
      </c>
      <c r="K825" s="9" t="e">
        <f>VLOOKUP(A825,#REF!,8,FALSE)</f>
        <v>#REF!</v>
      </c>
      <c r="L825" s="9" t="e">
        <f>VLOOKUP(A825,#REF!,32,FALSE)</f>
        <v>#REF!</v>
      </c>
      <c r="M825" s="9" t="e">
        <f>VLOOKUP(A825,#REF!,33,FALSE)</f>
        <v>#REF!</v>
      </c>
      <c r="N825" s="247" t="e">
        <f t="shared" si="184"/>
        <v>#REF!</v>
      </c>
      <c r="O825" s="321" t="s">
        <v>89</v>
      </c>
      <c r="P825" s="321"/>
      <c r="Q825" s="321" t="s">
        <v>128</v>
      </c>
      <c r="R825" s="379" t="s">
        <v>58</v>
      </c>
      <c r="S825" s="321" t="s">
        <v>132</v>
      </c>
      <c r="T825" s="325">
        <f>ROUND(VLOOKUP(R825,$A$383:$H$388,6,FALSE),3)-ROUND(VLOOKUP(R825,$A$383:$H$388,7,FALSE),3)</f>
        <v>1566.6080000000002</v>
      </c>
      <c r="U825" s="321">
        <f>Balanço_Lastro!U834</f>
        <v>0</v>
      </c>
      <c r="V825" s="324">
        <f t="shared" si="185"/>
        <v>0</v>
      </c>
      <c r="W825" s="323"/>
    </row>
    <row r="826" spans="1:23" ht="15" x14ac:dyDescent="0.25">
      <c r="A826" s="167">
        <f>Balanço_MRE!A826</f>
        <v>569433</v>
      </c>
      <c r="B826" s="167" t="str">
        <f>Balanço_MRE!B826</f>
        <v>FERTILIZANTES NE &gt;&gt; 0214_0119</v>
      </c>
      <c r="C826" s="167" t="str">
        <f>Balanço_MRE!C826</f>
        <v>Contratos de Venda</v>
      </c>
      <c r="D826" s="192" t="str">
        <f>Balanço_MRE!D826</f>
        <v>NORDESTE</v>
      </c>
      <c r="E826" s="79">
        <f>Balanço_MRE!E826</f>
        <v>0</v>
      </c>
      <c r="F826" s="262">
        <f>Balanço_MRE!F826</f>
        <v>0</v>
      </c>
      <c r="G826" s="263">
        <f>Balanço_MRE!G826</f>
        <v>0</v>
      </c>
      <c r="H826" s="193">
        <f>Balanço_MRE!H826</f>
        <v>0</v>
      </c>
      <c r="I826" s="83"/>
      <c r="J826" s="9" t="e">
        <f>VLOOKUP(A826,#REF!,26,FALSE)</f>
        <v>#REF!</v>
      </c>
      <c r="K826" s="9" t="e">
        <f>VLOOKUP(A826,#REF!,8,FALSE)</f>
        <v>#REF!</v>
      </c>
      <c r="L826" s="9" t="e">
        <f>VLOOKUP(A826,#REF!,32,FALSE)</f>
        <v>#REF!</v>
      </c>
      <c r="M826" s="9" t="e">
        <f>VLOOKUP(A826,#REF!,33,FALSE)</f>
        <v>#REF!</v>
      </c>
      <c r="N826" s="247" t="e">
        <f t="shared" si="184"/>
        <v>#REF!</v>
      </c>
      <c r="O826" s="321" t="s">
        <v>89</v>
      </c>
      <c r="P826" s="321"/>
      <c r="Q826" s="321" t="s">
        <v>128</v>
      </c>
      <c r="R826" s="379" t="s">
        <v>61</v>
      </c>
      <c r="S826" s="321" t="s">
        <v>132</v>
      </c>
      <c r="T826" s="325">
        <f>ROUND(VLOOKUP(R826,$A$383:$H$388,6,FALSE),3)-ROUND(VLOOKUP(R826,$A$383:$H$388,7,FALSE),3)</f>
        <v>333.62400000000002</v>
      </c>
      <c r="U826" s="321" t="e">
        <f>Balanço_Lastro!#REF!</f>
        <v>#REF!</v>
      </c>
      <c r="V826" s="324" t="e">
        <f t="shared" si="185"/>
        <v>#REF!</v>
      </c>
      <c r="W826" s="323"/>
    </row>
    <row r="827" spans="1:23" ht="15" x14ac:dyDescent="0.25">
      <c r="A827" s="167">
        <f>Balanço_MRE!A827</f>
        <v>768173</v>
      </c>
      <c r="B827" s="167" t="str">
        <f>Balanço_MRE!B827</f>
        <v>RIO DOCE D &gt;&gt; 0115_0118</v>
      </c>
      <c r="C827" s="167" t="str">
        <f>Balanço_MRE!C827</f>
        <v>Contratos de Venda</v>
      </c>
      <c r="D827" s="192" t="str">
        <f>Balanço_MRE!D827</f>
        <v>NORDESTE</v>
      </c>
      <c r="E827" s="79">
        <f>Balanço_MRE!E827</f>
        <v>0</v>
      </c>
      <c r="F827" s="262">
        <f>Balanço_MRE!F827</f>
        <v>0</v>
      </c>
      <c r="G827" s="263">
        <f>Balanço_MRE!G827</f>
        <v>0</v>
      </c>
      <c r="H827" s="193">
        <f>Balanço_MRE!H827</f>
        <v>0</v>
      </c>
      <c r="I827" s="83"/>
      <c r="J827" s="9" t="e">
        <f>VLOOKUP(A827,#REF!,26,FALSE)</f>
        <v>#REF!</v>
      </c>
      <c r="K827" s="9" t="e">
        <f>VLOOKUP(A827,#REF!,8,FALSE)</f>
        <v>#REF!</v>
      </c>
      <c r="L827" s="9" t="e">
        <f>VLOOKUP(A827,#REF!,32,FALSE)</f>
        <v>#REF!</v>
      </c>
      <c r="M827" s="9" t="e">
        <f>VLOOKUP(A827,#REF!,33,FALSE)</f>
        <v>#REF!</v>
      </c>
      <c r="N827" s="247" t="e">
        <f t="shared" si="184"/>
        <v>#REF!</v>
      </c>
      <c r="O827" s="321" t="s">
        <v>89</v>
      </c>
      <c r="P827" s="321"/>
      <c r="Q827" s="321" t="s">
        <v>128</v>
      </c>
      <c r="R827" s="379" t="s">
        <v>55</v>
      </c>
      <c r="S827" s="321" t="s">
        <v>132</v>
      </c>
      <c r="T827" s="325" t="e">
        <f>#REF!</f>
        <v>#REF!</v>
      </c>
      <c r="U827" s="321">
        <f>Balanço_Lastro!U835</f>
        <v>0</v>
      </c>
      <c r="V827" s="324" t="e">
        <f t="shared" si="185"/>
        <v>#REF!</v>
      </c>
      <c r="W827" s="323"/>
    </row>
    <row r="828" spans="1:23" ht="15" x14ac:dyDescent="0.25">
      <c r="A828" s="167">
        <f>Balanço_MRE!A828</f>
        <v>880826</v>
      </c>
      <c r="B828" s="167" t="str">
        <f>Balanço_MRE!B828</f>
        <v>CVRD CL2 &gt;&gt; 0216_1219</v>
      </c>
      <c r="C828" s="167" t="str">
        <f>Balanço_MRE!C828</f>
        <v>Contratos de Venda</v>
      </c>
      <c r="D828" s="192" t="str">
        <f>Balanço_MRE!D828</f>
        <v>NORTE</v>
      </c>
      <c r="E828" s="79">
        <f>Balanço_MRE!E828</f>
        <v>0</v>
      </c>
      <c r="F828" s="262">
        <f>Balanço_MRE!F828</f>
        <v>0</v>
      </c>
      <c r="G828" s="263">
        <f>Balanço_MRE!G828</f>
        <v>0</v>
      </c>
      <c r="H828" s="193">
        <f>Balanço_MRE!H828</f>
        <v>0</v>
      </c>
      <c r="I828" s="301">
        <f>SUMIF($D$383:$D$388,$D$828,$F$383:$F$388)
-SUMIF($D$383:$D$388,$D$828,$G$383:$G$388)</f>
        <v>23492.756218247436</v>
      </c>
      <c r="J828" s="9" t="e">
        <f>VLOOKUP(A828,#REF!,26,FALSE)</f>
        <v>#REF!</v>
      </c>
      <c r="K828" s="9" t="e">
        <f>VLOOKUP(A828,#REF!,8,FALSE)</f>
        <v>#REF!</v>
      </c>
      <c r="L828" s="9" t="e">
        <f>VLOOKUP(A828,#REF!,32,FALSE)</f>
        <v>#REF!</v>
      </c>
      <c r="M828" s="9" t="e">
        <f>VLOOKUP(A828,#REF!,33,FALSE)</f>
        <v>#REF!</v>
      </c>
      <c r="N828" s="247" t="e">
        <f t="shared" si="184"/>
        <v>#REF!</v>
      </c>
      <c r="O828" s="321" t="s">
        <v>89</v>
      </c>
      <c r="P828" s="321"/>
      <c r="Q828" s="321" t="s">
        <v>133</v>
      </c>
      <c r="R828" s="379" t="s">
        <v>63</v>
      </c>
      <c r="S828" s="321" t="s">
        <v>132</v>
      </c>
      <c r="T828" s="325"/>
      <c r="U828" s="321">
        <f>Balanço_Lastro!U836</f>
        <v>0</v>
      </c>
      <c r="V828" s="324">
        <f t="shared" si="185"/>
        <v>0</v>
      </c>
      <c r="W828" s="323"/>
    </row>
    <row r="829" spans="1:23" ht="15" x14ac:dyDescent="0.25">
      <c r="A829" s="167">
        <f>Balanço_MRE!A829</f>
        <v>584517</v>
      </c>
      <c r="B829" s="167" t="str">
        <f>Balanço_MRE!B829</f>
        <v>CVRD PIE I5 &gt;&gt; 0214_0119</v>
      </c>
      <c r="C829" s="167" t="str">
        <f>Balanço_MRE!C829</f>
        <v>Contratos de Venda</v>
      </c>
      <c r="D829" s="192" t="str">
        <f>Balanço_MRE!D829</f>
        <v>NORTE</v>
      </c>
      <c r="E829" s="79">
        <f>Balanço_MRE!E829</f>
        <v>0</v>
      </c>
      <c r="F829" s="262">
        <f>Balanço_MRE!F829</f>
        <v>0</v>
      </c>
      <c r="G829" s="263">
        <f>Balanço_MRE!G829</f>
        <v>0</v>
      </c>
      <c r="H829" s="193">
        <f>Balanço_MRE!H829</f>
        <v>0</v>
      </c>
      <c r="I829" s="83"/>
      <c r="J829" s="9" t="e">
        <f>VLOOKUP(A829,#REF!,26,FALSE)</f>
        <v>#REF!</v>
      </c>
      <c r="K829" s="9" t="e">
        <f>VLOOKUP(A829,#REF!,8,FALSE)</f>
        <v>#REF!</v>
      </c>
      <c r="L829" s="9" t="e">
        <f>VLOOKUP(A829,#REF!,32,FALSE)</f>
        <v>#REF!</v>
      </c>
      <c r="M829" s="9" t="e">
        <f>VLOOKUP(A829,#REF!,33,FALSE)</f>
        <v>#REF!</v>
      </c>
      <c r="N829" s="247" t="e">
        <f t="shared" si="184"/>
        <v>#REF!</v>
      </c>
      <c r="O829" s="321" t="s">
        <v>90</v>
      </c>
      <c r="P829" s="321"/>
      <c r="Q829" s="321" t="s">
        <v>134</v>
      </c>
      <c r="R829" s="379" t="s">
        <v>64</v>
      </c>
      <c r="S829" s="321" t="s">
        <v>132</v>
      </c>
      <c r="T829" s="325" t="e">
        <f>ROUND(VLOOKUP(R829,$A$383:$H$388,6,FALSE),3)-ROUND(VLOOKUP(R829,$A$383:$H$388,7,FALSE),3)</f>
        <v>#N/A</v>
      </c>
      <c r="U829" s="321">
        <f>Balanço_Lastro!U837</f>
        <v>0</v>
      </c>
      <c r="V829" s="324" t="e">
        <f t="shared" si="185"/>
        <v>#N/A</v>
      </c>
      <c r="W829" s="323"/>
    </row>
    <row r="830" spans="1:23" ht="15" x14ac:dyDescent="0.25">
      <c r="A830" s="167">
        <f>Balanço_MRE!A830</f>
        <v>566834</v>
      </c>
      <c r="B830" s="167" t="str">
        <f>Balanço_MRE!B830</f>
        <v>ALIANÇA GERAÇÃO &gt;&gt; 0214_0119</v>
      </c>
      <c r="C830" s="167" t="str">
        <f>Balanço_MRE!C830</f>
        <v>Contratos de Venda</v>
      </c>
      <c r="D830" s="192" t="str">
        <f>Balanço_MRE!D830</f>
        <v>SUDESTE</v>
      </c>
      <c r="E830" s="79">
        <f>Balanço_MRE!E830</f>
        <v>0</v>
      </c>
      <c r="F830" s="262">
        <f>Balanço_MRE!F830</f>
        <v>0</v>
      </c>
      <c r="G830" s="263">
        <f>Balanço_MRE!G830</f>
        <v>0</v>
      </c>
      <c r="H830" s="193">
        <f>Balanço_MRE!H830</f>
        <v>0</v>
      </c>
      <c r="I830" s="83"/>
      <c r="J830" s="9" t="e">
        <f>VLOOKUP(A830,#REF!,26,FALSE)</f>
        <v>#REF!</v>
      </c>
      <c r="K830" s="9" t="e">
        <f>VLOOKUP(A830,#REF!,8,FALSE)</f>
        <v>#REF!</v>
      </c>
      <c r="L830" s="9" t="e">
        <f>VLOOKUP(A830,#REF!,32,FALSE)</f>
        <v>#REF!</v>
      </c>
      <c r="M830" s="9" t="e">
        <f>VLOOKUP(A830,#REF!,33,FALSE)</f>
        <v>#REF!</v>
      </c>
      <c r="N830" s="247" t="e">
        <f t="shared" si="184"/>
        <v>#REF!</v>
      </c>
      <c r="O830" s="247" t="s">
        <v>89</v>
      </c>
      <c r="P830" s="247"/>
      <c r="Q830" s="247" t="s">
        <v>128</v>
      </c>
      <c r="R830" s="247" t="s">
        <v>39</v>
      </c>
      <c r="S830" s="247" t="s">
        <v>132</v>
      </c>
      <c r="T830" s="247" t="e">
        <f>(ROUND(VLOOKUP(R830,$A$431:$H$438,6,FALSE),3)/$F$442)*$F$824</f>
        <v>#N/A</v>
      </c>
      <c r="U830" s="247">
        <f>Balanço_Lastro!U836</f>
        <v>0</v>
      </c>
      <c r="V830" s="247" t="e">
        <f t="shared" si="185"/>
        <v>#N/A</v>
      </c>
      <c r="W830" s="247"/>
    </row>
    <row r="831" spans="1:23" ht="15" x14ac:dyDescent="0.25">
      <c r="A831" s="167">
        <f>Balanço_MRE!A831</f>
        <v>947189</v>
      </c>
      <c r="B831" s="167" t="str">
        <f>Balanço_MRE!B831</f>
        <v>CPBS MATRIZ &gt;&gt;</v>
      </c>
      <c r="C831" s="167" t="str">
        <f>Balanço_MRE!C831</f>
        <v>Contratos de Venda</v>
      </c>
      <c r="D831" s="192" t="str">
        <f>Balanço_MRE!D831</f>
        <v>SUDESTE</v>
      </c>
      <c r="E831" s="79">
        <f>Balanço_MRE!E831</f>
        <v>0</v>
      </c>
      <c r="F831" s="262">
        <f>Balanço_MRE!F831</f>
        <v>0</v>
      </c>
      <c r="G831" s="263">
        <f>Balanço_MRE!G831</f>
        <v>0</v>
      </c>
      <c r="H831" s="193">
        <f>Balanço_MRE!H831</f>
        <v>0</v>
      </c>
      <c r="I831" s="83"/>
      <c r="J831" s="9"/>
      <c r="K831" s="9"/>
      <c r="L831" s="9"/>
      <c r="M831" s="9"/>
      <c r="N831" s="247"/>
      <c r="O831" s="247"/>
      <c r="P831" s="247"/>
      <c r="Q831" s="247"/>
      <c r="R831" s="247"/>
      <c r="S831" s="247"/>
      <c r="T831" s="247"/>
      <c r="U831" s="247"/>
      <c r="V831" s="247"/>
      <c r="W831" s="247"/>
    </row>
    <row r="832" spans="1:23" ht="15" x14ac:dyDescent="0.25">
      <c r="A832" s="167">
        <f>Balanço_MRE!A832</f>
        <v>558731</v>
      </c>
      <c r="B832" s="167" t="str">
        <f>Balanço_MRE!B832</f>
        <v>CVRD &gt;&gt; 0214_0119</v>
      </c>
      <c r="C832" s="167" t="str">
        <f>Balanço_MRE!C832</f>
        <v>Contratos de Venda</v>
      </c>
      <c r="D832" s="192" t="str">
        <f>Balanço_MRE!D832</f>
        <v>SUDESTE</v>
      </c>
      <c r="E832" s="79">
        <f>Balanço_MRE!E832</f>
        <v>0</v>
      </c>
      <c r="F832" s="262">
        <f>Balanço_MRE!F832</f>
        <v>0</v>
      </c>
      <c r="G832" s="263">
        <f>Balanço_MRE!G832</f>
        <v>0</v>
      </c>
      <c r="H832" s="193">
        <f>Balanço_MRE!H832</f>
        <v>0</v>
      </c>
      <c r="I832" s="83"/>
      <c r="J832" s="9" t="e">
        <f>VLOOKUP(A832,#REF!,26,FALSE)</f>
        <v>#REF!</v>
      </c>
      <c r="K832" s="9" t="e">
        <f>VLOOKUP(A832,#REF!,8,FALSE)</f>
        <v>#REF!</v>
      </c>
      <c r="L832" s="9" t="e">
        <f>VLOOKUP(A832,#REF!,32,FALSE)</f>
        <v>#REF!</v>
      </c>
      <c r="M832" s="9" t="e">
        <f>VLOOKUP(A832,#REF!,33,FALSE)</f>
        <v>#REF!</v>
      </c>
      <c r="N832" s="247" t="e">
        <f t="shared" ref="N832:N845" si="186">(J832*$B$33)-F832</f>
        <v>#REF!</v>
      </c>
      <c r="O832" s="247" t="s">
        <v>89</v>
      </c>
      <c r="P832" s="247"/>
      <c r="Q832" s="247" t="s">
        <v>128</v>
      </c>
      <c r="R832" s="247" t="s">
        <v>40</v>
      </c>
      <c r="S832" s="247" t="s">
        <v>132</v>
      </c>
      <c r="T832" s="247" t="e">
        <f t="shared" ref="T832:T837" si="187">(ROUND(VLOOKUP(R832,$A$431:$H$438,6,FALSE),3)/$F$442)*$F$824</f>
        <v>#N/A</v>
      </c>
      <c r="U832" s="247">
        <f>Balanço_Lastro!U837</f>
        <v>0</v>
      </c>
      <c r="V832" s="247" t="e">
        <f t="shared" si="185"/>
        <v>#N/A</v>
      </c>
      <c r="W832" s="247"/>
    </row>
    <row r="833" spans="1:23" ht="15" x14ac:dyDescent="0.25">
      <c r="A833" s="167">
        <f>Balanço_MRE!A833</f>
        <v>566833</v>
      </c>
      <c r="B833" s="167" t="str">
        <f>Balanço_MRE!B833</f>
        <v>CVRD APE I5G &gt;&gt; 0215_0119</v>
      </c>
      <c r="C833" s="167" t="str">
        <f>Balanço_MRE!C833</f>
        <v>Contratos de Venda</v>
      </c>
      <c r="D833" s="192" t="str">
        <f>Balanço_MRE!D833</f>
        <v>SUDESTE</v>
      </c>
      <c r="E833" s="79">
        <f>Balanço_MRE!E833</f>
        <v>0</v>
      </c>
      <c r="F833" s="262">
        <f>Balanço_MRE!F833</f>
        <v>0</v>
      </c>
      <c r="G833" s="263">
        <f>Balanço_MRE!G833</f>
        <v>0</v>
      </c>
      <c r="H833" s="193">
        <f>Balanço_MRE!H833</f>
        <v>0</v>
      </c>
      <c r="I833" s="83"/>
      <c r="J833" s="9" t="e">
        <f>VLOOKUP(A833,#REF!,26,FALSE)</f>
        <v>#REF!</v>
      </c>
      <c r="K833" s="9" t="e">
        <f>VLOOKUP(A833,#REF!,8,FALSE)</f>
        <v>#REF!</v>
      </c>
      <c r="L833" s="9" t="e">
        <f>VLOOKUP(A833,#REF!,32,FALSE)</f>
        <v>#REF!</v>
      </c>
      <c r="M833" s="9" t="e">
        <f>VLOOKUP(A833,#REF!,33,FALSE)</f>
        <v>#REF!</v>
      </c>
      <c r="N833" s="247" t="e">
        <f t="shared" si="186"/>
        <v>#REF!</v>
      </c>
      <c r="O833" s="247" t="s">
        <v>89</v>
      </c>
      <c r="P833" s="247"/>
      <c r="Q833" s="247" t="s">
        <v>133</v>
      </c>
      <c r="R833" s="247" t="s">
        <v>44</v>
      </c>
      <c r="S833" s="247" t="s">
        <v>132</v>
      </c>
      <c r="T833" s="247">
        <f t="shared" si="187"/>
        <v>0</v>
      </c>
      <c r="U833" s="247">
        <f>Balanço_Lastro!U843</f>
        <v>0</v>
      </c>
      <c r="V833" s="247">
        <f t="shared" si="185"/>
        <v>0</v>
      </c>
      <c r="W833" s="247"/>
    </row>
    <row r="834" spans="1:23" ht="15" x14ac:dyDescent="0.25">
      <c r="A834" s="167">
        <f>Balanço_MRE!A834</f>
        <v>1119574</v>
      </c>
      <c r="B834" s="167" t="str">
        <f>Balanço_MRE!B834</f>
        <v>CVRD CE &gt;&gt;</v>
      </c>
      <c r="C834" s="167" t="str">
        <f>Balanço_MRE!C834</f>
        <v>Contratos de Venda</v>
      </c>
      <c r="D834" s="192" t="str">
        <f>Balanço_MRE!D834</f>
        <v>SUDESTE</v>
      </c>
      <c r="E834" s="79">
        <f>Balanço_MRE!E834</f>
        <v>0.90051899999999996</v>
      </c>
      <c r="F834" s="262">
        <f>Balanço_MRE!F834</f>
        <v>669.98646859106555</v>
      </c>
      <c r="G834" s="263">
        <f>Balanço_MRE!G834</f>
        <v>246.72</v>
      </c>
      <c r="H834" s="193">
        <f>Balanço_MRE!H834</f>
        <v>165299.0615307877</v>
      </c>
      <c r="I834" s="83"/>
      <c r="J834" s="9" t="e">
        <f>VLOOKUP(A834,#REF!,26,FALSE)</f>
        <v>#REF!</v>
      </c>
      <c r="K834" s="9" t="e">
        <f>VLOOKUP(A834,#REF!,8,FALSE)</f>
        <v>#REF!</v>
      </c>
      <c r="L834" s="9" t="e">
        <f>VLOOKUP(A834,#REF!,32,FALSE)</f>
        <v>#REF!</v>
      </c>
      <c r="M834" s="9" t="e">
        <f>VLOOKUP(A834,#REF!,33,FALSE)</f>
        <v>#REF!</v>
      </c>
      <c r="N834" s="247" t="e">
        <f t="shared" si="186"/>
        <v>#REF!</v>
      </c>
      <c r="O834" s="247" t="s">
        <v>89</v>
      </c>
      <c r="P834" s="247"/>
      <c r="Q834" s="247" t="s">
        <v>133</v>
      </c>
      <c r="R834" s="247" t="s">
        <v>45</v>
      </c>
      <c r="S834" s="247" t="s">
        <v>132</v>
      </c>
      <c r="T834" s="247">
        <f t="shared" si="187"/>
        <v>0</v>
      </c>
      <c r="U834" s="247">
        <f>Balanço_Lastro!U844</f>
        <v>0</v>
      </c>
      <c r="V834" s="247">
        <f t="shared" si="185"/>
        <v>0</v>
      </c>
      <c r="W834" s="247"/>
    </row>
    <row r="835" spans="1:23" ht="15" x14ac:dyDescent="0.25">
      <c r="A835" s="167">
        <f>Balanço_MRE!A835</f>
        <v>73396</v>
      </c>
      <c r="B835" s="167" t="str">
        <f>Balanço_MRE!B835</f>
        <v>CVRD CL2 &gt;&gt; 0111_0119</v>
      </c>
      <c r="C835" s="167" t="str">
        <f>Balanço_MRE!C835</f>
        <v>Contratos de Venda</v>
      </c>
      <c r="D835" s="192" t="str">
        <f>Balanço_MRE!D835</f>
        <v>SUDESTE</v>
      </c>
      <c r="E835" s="79">
        <f>Balanço_MRE!E835</f>
        <v>0</v>
      </c>
      <c r="F835" s="262">
        <f>Balanço_MRE!F835</f>
        <v>0</v>
      </c>
      <c r="G835" s="263">
        <f>Balanço_MRE!G835</f>
        <v>0</v>
      </c>
      <c r="H835" s="193">
        <f>Balanço_MRE!H835</f>
        <v>0</v>
      </c>
      <c r="I835" s="301">
        <f>SUMIF($D$383:$D$388,$D$835,$F$383:$F$388)
-SUMIF($D$383:$D$388,$D$835,$G$383:$G$388)</f>
        <v>12954.064768224933</v>
      </c>
      <c r="J835" s="9" t="e">
        <f>VLOOKUP(A835,#REF!,26,FALSE)</f>
        <v>#REF!</v>
      </c>
      <c r="K835" s="9" t="e">
        <f>VLOOKUP(A835,#REF!,8,FALSE)</f>
        <v>#REF!</v>
      </c>
      <c r="L835" s="9" t="e">
        <f>VLOOKUP(A835,#REF!,32,FALSE)</f>
        <v>#REF!</v>
      </c>
      <c r="M835" s="9" t="e">
        <f>VLOOKUP(A835,#REF!,33,FALSE)</f>
        <v>#REF!</v>
      </c>
      <c r="N835" s="247" t="e">
        <f t="shared" si="186"/>
        <v>#REF!</v>
      </c>
      <c r="O835" s="247" t="s">
        <v>89</v>
      </c>
      <c r="P835" s="247"/>
      <c r="Q835" s="247" t="s">
        <v>133</v>
      </c>
      <c r="R835" s="247" t="s">
        <v>41</v>
      </c>
      <c r="S835" s="247" t="s">
        <v>132</v>
      </c>
      <c r="T835" s="247" t="e">
        <f t="shared" si="187"/>
        <v>#N/A</v>
      </c>
      <c r="U835" s="247">
        <f>U834</f>
        <v>0</v>
      </c>
      <c r="V835" s="247" t="e">
        <f t="shared" si="185"/>
        <v>#N/A</v>
      </c>
      <c r="W835" s="247"/>
    </row>
    <row r="836" spans="1:23" ht="15" x14ac:dyDescent="0.25">
      <c r="A836" s="167">
        <f>Balanço_MRE!A836</f>
        <v>395160</v>
      </c>
      <c r="B836" s="167" t="str">
        <f>Balanço_MRE!B836</f>
        <v>CVRD CL3 &gt;&gt; 1213_0119</v>
      </c>
      <c r="C836" s="167" t="str">
        <f>Balanço_MRE!C836</f>
        <v>Contratos de Venda</v>
      </c>
      <c r="D836" s="192" t="str">
        <f>Balanço_MRE!D836</f>
        <v>SUDESTE</v>
      </c>
      <c r="E836" s="79">
        <f>Balanço_MRE!E836</f>
        <v>0</v>
      </c>
      <c r="F836" s="262">
        <f>Balanço_MRE!F836</f>
        <v>0</v>
      </c>
      <c r="G836" s="263">
        <f>Balanço_MRE!G836</f>
        <v>0</v>
      </c>
      <c r="H836" s="193">
        <f>Balanço_MRE!H836</f>
        <v>0</v>
      </c>
      <c r="I836" s="83"/>
      <c r="J836" s="9" t="e">
        <f>VLOOKUP(A836,#REF!,26,FALSE)</f>
        <v>#REF!</v>
      </c>
      <c r="K836" s="9" t="e">
        <f>VLOOKUP(A836,#REF!,8,FALSE)</f>
        <v>#REF!</v>
      </c>
      <c r="L836" s="9" t="e">
        <f>VLOOKUP(A836,#REF!,32,FALSE)</f>
        <v>#REF!</v>
      </c>
      <c r="M836" s="9" t="e">
        <f>VLOOKUP(A836,#REF!,33,FALSE)</f>
        <v>#REF!</v>
      </c>
      <c r="N836" s="247" t="e">
        <f t="shared" si="186"/>
        <v>#REF!</v>
      </c>
      <c r="O836" s="247" t="s">
        <v>89</v>
      </c>
      <c r="P836" s="247"/>
      <c r="Q836" s="247" t="s">
        <v>133</v>
      </c>
      <c r="R836" s="247" t="s">
        <v>46</v>
      </c>
      <c r="S836" s="247" t="s">
        <v>132</v>
      </c>
      <c r="T836" s="247">
        <f t="shared" si="187"/>
        <v>0</v>
      </c>
      <c r="U836" s="247">
        <f>Balanço_Lastro!U857</f>
        <v>0</v>
      </c>
      <c r="V836" s="247">
        <f t="shared" si="185"/>
        <v>0</v>
      </c>
      <c r="W836" s="247"/>
    </row>
    <row r="837" spans="1:23" ht="15" x14ac:dyDescent="0.25">
      <c r="A837" s="167">
        <f>Balanço_MRE!A837</f>
        <v>558733</v>
      </c>
      <c r="B837" s="167" t="str">
        <f>Balanço_MRE!B837</f>
        <v>CVRD PIE I5 &gt;&gt; 0214_0119</v>
      </c>
      <c r="C837" s="167" t="str">
        <f>Balanço_MRE!C837</f>
        <v>Contratos de Venda</v>
      </c>
      <c r="D837" s="192" t="str">
        <f>Balanço_MRE!D837</f>
        <v>SUDESTE</v>
      </c>
      <c r="E837" s="79">
        <f>Balanço_MRE!E837</f>
        <v>0</v>
      </c>
      <c r="F837" s="262">
        <f>Balanço_MRE!F837</f>
        <v>0</v>
      </c>
      <c r="G837" s="263">
        <f>Balanço_MRE!G837</f>
        <v>0</v>
      </c>
      <c r="H837" s="193">
        <f>Balanço_MRE!H837</f>
        <v>0</v>
      </c>
      <c r="I837" s="83"/>
      <c r="J837" s="9" t="e">
        <f>VLOOKUP(A837,#REF!,26,FALSE)</f>
        <v>#REF!</v>
      </c>
      <c r="K837" s="9" t="e">
        <f>VLOOKUP(A837,#REF!,8,FALSE)</f>
        <v>#REF!</v>
      </c>
      <c r="L837" s="9" t="e">
        <f>VLOOKUP(A837,#REF!,32,FALSE)</f>
        <v>#REF!</v>
      </c>
      <c r="M837" s="9" t="e">
        <f>VLOOKUP(A837,#REF!,33,FALSE)</f>
        <v>#REF!</v>
      </c>
      <c r="N837" s="247" t="e">
        <f t="shared" si="186"/>
        <v>#REF!</v>
      </c>
      <c r="O837" s="247" t="s">
        <v>89</v>
      </c>
      <c r="P837" s="247"/>
      <c r="Q837" s="247" t="s">
        <v>133</v>
      </c>
      <c r="R837" s="247" t="s">
        <v>48</v>
      </c>
      <c r="S837" s="247" t="s">
        <v>132</v>
      </c>
      <c r="T837" s="247">
        <f t="shared" si="187"/>
        <v>0</v>
      </c>
      <c r="U837" s="247">
        <f>Balanço_Lastro!U847</f>
        <v>0</v>
      </c>
      <c r="V837" s="247">
        <f t="shared" si="185"/>
        <v>0</v>
      </c>
      <c r="W837" s="247"/>
    </row>
    <row r="838" spans="1:23" ht="15" x14ac:dyDescent="0.25">
      <c r="A838" s="167">
        <f>Balanço_MRE!A838</f>
        <v>996724</v>
      </c>
      <c r="B838" s="167" t="str">
        <f>Balanço_MRE!B838</f>
        <v>FERTILIZANTES EI &gt;&gt; 0214_0119</v>
      </c>
      <c r="C838" s="167" t="str">
        <f>Balanço_MRE!C838</f>
        <v>Contratos de Venda</v>
      </c>
      <c r="D838" s="192" t="str">
        <f>Balanço_MRE!D838</f>
        <v>SUDESTE</v>
      </c>
      <c r="E838" s="79">
        <f>Balanço_MRE!E838</f>
        <v>6.2135999999999997E-2</v>
      </c>
      <c r="F838" s="262">
        <f>Balanço_MRE!F838</f>
        <v>46.228904467353942</v>
      </c>
      <c r="G838" s="263">
        <f>Balanço_MRE!G838</f>
        <v>105.86455645161291</v>
      </c>
      <c r="H838" s="193">
        <f>Balanço_MRE!H838</f>
        <v>4894.002466680412</v>
      </c>
      <c r="I838" s="83"/>
      <c r="J838" s="9" t="e">
        <f>VLOOKUP(A838,#REF!,26,FALSE)</f>
        <v>#REF!</v>
      </c>
      <c r="K838" s="9" t="e">
        <f>VLOOKUP(A838,#REF!,8,FALSE)</f>
        <v>#REF!</v>
      </c>
      <c r="L838" s="9" t="e">
        <f>VLOOKUP(A838,#REF!,32,FALSE)</f>
        <v>#REF!</v>
      </c>
      <c r="M838" s="9" t="e">
        <f>VLOOKUP(A838,#REF!,33,FALSE)</f>
        <v>#REF!</v>
      </c>
      <c r="N838" s="247" t="e">
        <f t="shared" si="186"/>
        <v>#REF!</v>
      </c>
      <c r="O838" s="247" t="s">
        <v>90</v>
      </c>
      <c r="P838" s="247"/>
      <c r="Q838" s="247" t="s">
        <v>127</v>
      </c>
      <c r="R838" s="247" t="s">
        <v>135</v>
      </c>
      <c r="S838" s="247" t="s">
        <v>136</v>
      </c>
      <c r="T838" s="247">
        <v>0</v>
      </c>
      <c r="U838" s="247">
        <f>Balanço_Lastro!U850</f>
        <v>0</v>
      </c>
      <c r="V838" s="247">
        <f t="shared" si="185"/>
        <v>0</v>
      </c>
      <c r="W838" s="247"/>
    </row>
    <row r="839" spans="1:23" ht="15" x14ac:dyDescent="0.25">
      <c r="A839" s="167">
        <f>Balanço_MRE!A839</f>
        <v>835504</v>
      </c>
      <c r="B839" s="167" t="str">
        <f>Balanço_MRE!B839</f>
        <v>FERTILIZANTES SE &gt;&gt; 0815_0119</v>
      </c>
      <c r="C839" s="167" t="str">
        <f>Balanço_MRE!C839</f>
        <v>Contratos de Venda</v>
      </c>
      <c r="D839" s="192" t="str">
        <f>Balanço_MRE!D839</f>
        <v>SUDESTE</v>
      </c>
      <c r="E839" s="79">
        <f>Balanço_MRE!E839</f>
        <v>0</v>
      </c>
      <c r="F839" s="262">
        <f>Balanço_MRE!F839</f>
        <v>0</v>
      </c>
      <c r="G839" s="263">
        <f>Balanço_MRE!G839</f>
        <v>0</v>
      </c>
      <c r="H839" s="193">
        <f>Balanço_MRE!H839</f>
        <v>0</v>
      </c>
      <c r="I839" s="83"/>
      <c r="J839" s="9"/>
      <c r="K839" s="9"/>
      <c r="L839" s="9"/>
      <c r="M839" s="9"/>
      <c r="N839" s="247"/>
      <c r="O839" s="145"/>
      <c r="P839" s="145"/>
      <c r="Q839" s="146"/>
      <c r="R839" s="302"/>
      <c r="S839" s="149"/>
      <c r="T839" s="150"/>
      <c r="U839" s="150"/>
      <c r="V839" s="150"/>
      <c r="W839" s="303"/>
    </row>
    <row r="840" spans="1:23" ht="15" x14ac:dyDescent="0.25">
      <c r="A840" s="167">
        <f>Balanço_MRE!A840</f>
        <v>1097147</v>
      </c>
      <c r="B840" s="167" t="str">
        <f>Balanço_MRE!B840</f>
        <v>MCR - PGC_0,269MWm &gt;&gt; 0118_1218</v>
      </c>
      <c r="C840" s="167" t="str">
        <f>Balanço_MRE!C840</f>
        <v>Contratos de Venda</v>
      </c>
      <c r="D840" s="192" t="str">
        <f>Balanço_MRE!D840</f>
        <v>SUDESTE</v>
      </c>
      <c r="E840" s="79">
        <f>Balanço_MRE!E840</f>
        <v>0.124103</v>
      </c>
      <c r="F840" s="262">
        <f>Balanço_MRE!F840</f>
        <v>92.33232854603628</v>
      </c>
      <c r="G840" s="263">
        <f>Balanço_MRE!G840</f>
        <v>219.51</v>
      </c>
      <c r="H840" s="193">
        <f>Balanço_MRE!H840</f>
        <v>20267.869439140424</v>
      </c>
      <c r="I840" s="83"/>
      <c r="J840" s="9"/>
      <c r="K840" s="9"/>
      <c r="L840" s="9"/>
      <c r="M840" s="9"/>
      <c r="N840" s="247"/>
      <c r="O840" s="145"/>
      <c r="P840" s="145"/>
      <c r="Q840" s="146"/>
      <c r="R840" s="302"/>
      <c r="S840" s="149"/>
      <c r="T840" s="150"/>
      <c r="U840" s="150"/>
      <c r="V840" s="150"/>
      <c r="W840" s="303"/>
    </row>
    <row r="841" spans="1:23" ht="15" x14ac:dyDescent="0.25">
      <c r="A841" s="167">
        <f>Balanço_MRE!A841</f>
        <v>1097148</v>
      </c>
      <c r="B841" s="167" t="str">
        <f>Balanço_MRE!B841</f>
        <v>MCR - STA CRUZ_1,4MWm &gt;&gt; 0118_1218</v>
      </c>
      <c r="C841" s="167" t="str">
        <f>Balanço_MRE!C841</f>
        <v>Contratos de Venda</v>
      </c>
      <c r="D841" s="192" t="str">
        <f>Balanço_MRE!D841</f>
        <v>SUDESTE</v>
      </c>
      <c r="E841" s="79">
        <f>Balanço_MRE!E841</f>
        <v>1.0670360000000001</v>
      </c>
      <c r="F841" s="262">
        <f>Balanço_MRE!F841</f>
        <v>793.8746480981157</v>
      </c>
      <c r="G841" s="263">
        <f>Balanço_MRE!G841</f>
        <v>219.51</v>
      </c>
      <c r="H841" s="193">
        <f>Balanço_MRE!H841</f>
        <v>174263.42400401738</v>
      </c>
      <c r="I841" s="83"/>
      <c r="J841" s="9"/>
      <c r="K841" s="9"/>
      <c r="L841" s="9"/>
      <c r="M841" s="9"/>
      <c r="N841" s="247"/>
      <c r="O841" s="145"/>
      <c r="P841" s="145"/>
      <c r="Q841" s="146"/>
      <c r="R841" s="302"/>
      <c r="S841" s="149"/>
      <c r="T841" s="150"/>
      <c r="U841" s="150"/>
      <c r="V841" s="150"/>
      <c r="W841" s="303"/>
    </row>
    <row r="842" spans="1:23" ht="15" x14ac:dyDescent="0.25">
      <c r="A842" s="167">
        <f>Balanço_MRE!A842</f>
        <v>1097157</v>
      </c>
      <c r="B842" s="167" t="str">
        <f>Balanço_MRE!B842</f>
        <v>MCR - URUCUM &gt;&gt; 0118_1218</v>
      </c>
      <c r="C842" s="167" t="str">
        <f>Balanço_MRE!C842</f>
        <v>Contratos de Venda</v>
      </c>
      <c r="D842" s="192" t="str">
        <f>Balanço_MRE!D842</f>
        <v>SUDESTE</v>
      </c>
      <c r="E842" s="79">
        <f>Balanço_MRE!E842</f>
        <v>0.73677300000000001</v>
      </c>
      <c r="F842" s="262">
        <f>Balanço_MRE!F842</f>
        <v>548.15936132243132</v>
      </c>
      <c r="G842" s="263">
        <f>Balanço_MRE!G842</f>
        <v>219.51</v>
      </c>
      <c r="H842" s="193">
        <f>Balanço_MRE!H842</f>
        <v>120326.46140388689</v>
      </c>
      <c r="I842" s="83"/>
      <c r="J842" s="9"/>
      <c r="K842" s="9"/>
      <c r="L842" s="9"/>
      <c r="M842" s="9"/>
      <c r="N842" s="247"/>
      <c r="O842" s="145"/>
      <c r="P842" s="145"/>
      <c r="Q842" s="146"/>
      <c r="R842" s="302"/>
      <c r="S842" s="149"/>
      <c r="T842" s="150"/>
      <c r="U842" s="150"/>
      <c r="V842" s="150"/>
      <c r="W842" s="303"/>
    </row>
    <row r="843" spans="1:23" ht="15" x14ac:dyDescent="0.25">
      <c r="A843" s="167">
        <f>Balanço_MRE!A843</f>
        <v>832615</v>
      </c>
      <c r="B843" s="167" t="str">
        <f>Balanço_MRE!B843</f>
        <v>RIO DOCE CO &gt;&gt; 0715_0119</v>
      </c>
      <c r="C843" s="167" t="str">
        <f>Balanço_MRE!C843</f>
        <v>Contratos de Venda</v>
      </c>
      <c r="D843" s="192" t="str">
        <f>Balanço_MRE!D843</f>
        <v>SUDESTE</v>
      </c>
      <c r="E843" s="79">
        <f>Balanço_MRE!E843</f>
        <v>0</v>
      </c>
      <c r="F843" s="262">
        <f>Balanço_MRE!F843</f>
        <v>0</v>
      </c>
      <c r="G843" s="263">
        <f>Balanço_MRE!G843</f>
        <v>0</v>
      </c>
      <c r="H843" s="193">
        <f>Balanço_MRE!H843</f>
        <v>0</v>
      </c>
      <c r="I843" s="83"/>
      <c r="J843" s="9" t="e">
        <f>VLOOKUP(A843,#REF!,26,FALSE)</f>
        <v>#REF!</v>
      </c>
      <c r="K843" s="9" t="e">
        <f>VLOOKUP(A843,#REF!,8,FALSE)</f>
        <v>#REF!</v>
      </c>
      <c r="L843" s="9" t="e">
        <f>VLOOKUP(A843,#REF!,32,FALSE)</f>
        <v>#REF!</v>
      </c>
      <c r="M843" s="9" t="e">
        <f>VLOOKUP(A843,#REF!,33,FALSE)</f>
        <v>#REF!</v>
      </c>
      <c r="N843" s="247" t="e">
        <f t="shared" si="186"/>
        <v>#REF!</v>
      </c>
    </row>
    <row r="844" spans="1:23" ht="15" x14ac:dyDescent="0.25">
      <c r="A844" s="167">
        <f>Balanço_MRE!A844</f>
        <v>747536</v>
      </c>
      <c r="B844" s="167" t="str">
        <f>Balanço_MRE!B844</f>
        <v>RIO DOCE SE D &gt;&gt; 0115_0119</v>
      </c>
      <c r="C844" s="167" t="str">
        <f>Balanço_MRE!C844</f>
        <v>Contratos de Venda</v>
      </c>
      <c r="D844" s="192" t="str">
        <f>Balanço_MRE!D844</f>
        <v>SUDESTE</v>
      </c>
      <c r="E844" s="79">
        <f>Balanço_MRE!E844</f>
        <v>0</v>
      </c>
      <c r="F844" s="262">
        <f>Balanço_MRE!F844</f>
        <v>0</v>
      </c>
      <c r="G844" s="263">
        <f>Balanço_MRE!G844</f>
        <v>0</v>
      </c>
      <c r="H844" s="193">
        <f>Balanço_MRE!H844</f>
        <v>0</v>
      </c>
      <c r="I844" s="83"/>
      <c r="J844" s="9" t="e">
        <f>VLOOKUP(A844,#REF!,26,FALSE)</f>
        <v>#REF!</v>
      </c>
      <c r="K844" s="9" t="e">
        <f>VLOOKUP(A844,#REF!,8,FALSE)</f>
        <v>#REF!</v>
      </c>
      <c r="L844" s="9" t="e">
        <f>VLOOKUP(A844,#REF!,32,FALSE)</f>
        <v>#REF!</v>
      </c>
      <c r="M844" s="9" t="e">
        <f>VLOOKUP(A844,#REF!,33,FALSE)</f>
        <v>#REF!</v>
      </c>
      <c r="N844" s="247" t="e">
        <f t="shared" si="186"/>
        <v>#REF!</v>
      </c>
    </row>
    <row r="845" spans="1:23" ht="15" x14ac:dyDescent="0.25">
      <c r="A845" s="167">
        <f>Balanço_MRE!A845</f>
        <v>876788</v>
      </c>
      <c r="B845" s="167" t="str">
        <f>Balanço_MRE!B845</f>
        <v>SALOBO &gt;&gt; 0116_1219</v>
      </c>
      <c r="C845" s="167" t="str">
        <f>Balanço_MRE!C845</f>
        <v>Contratos de Venda</v>
      </c>
      <c r="D845" s="192" t="str">
        <f>Balanço_MRE!D845</f>
        <v>SUDESTE</v>
      </c>
      <c r="E845" s="79">
        <f>Balanço_MRE!E845</f>
        <v>0</v>
      </c>
      <c r="F845" s="262">
        <f>Balanço_MRE!F845</f>
        <v>0</v>
      </c>
      <c r="G845" s="263">
        <f>Balanço_MRE!G845</f>
        <v>0</v>
      </c>
      <c r="H845" s="193">
        <f>Balanço_MRE!H845</f>
        <v>0</v>
      </c>
      <c r="I845" s="83"/>
      <c r="J845" s="9" t="e">
        <f>VLOOKUP(A845,#REF!,26,FALSE)</f>
        <v>#REF!</v>
      </c>
      <c r="K845" s="9" t="e">
        <f>VLOOKUP(A845,#REF!,8,FALSE)</f>
        <v>#REF!</v>
      </c>
      <c r="L845" s="9" t="e">
        <f>VLOOKUP(A845,#REF!,32,FALSE)</f>
        <v>#REF!</v>
      </c>
      <c r="M845" s="9" t="e">
        <f>VLOOKUP(A845,#REF!,33,FALSE)</f>
        <v>#REF!</v>
      </c>
      <c r="N845" s="247" t="e">
        <f t="shared" si="186"/>
        <v>#REF!</v>
      </c>
    </row>
    <row r="846" spans="1:23" ht="15" x14ac:dyDescent="0.25">
      <c r="A846" s="167">
        <f>Balanço_MRE!A846</f>
        <v>924758</v>
      </c>
      <c r="B846" s="167" t="str">
        <f>Balanço_MRE!B846</f>
        <v>CCEEI-CemigGT_ValeEnergia_EI5_2017_2018_Assinado 20102016</v>
      </c>
      <c r="C846" s="167" t="str">
        <f>Balanço_MRE!C846</f>
        <v>Contratos de Venda</v>
      </c>
      <c r="D846" s="192" t="str">
        <f>Balanço_MRE!D846</f>
        <v>SUDESTE</v>
      </c>
      <c r="E846" s="79">
        <f>Balanço_MRE!E846</f>
        <v>20</v>
      </c>
      <c r="F846" s="262">
        <f>Balanço_MRE!F846</f>
        <v>14880</v>
      </c>
      <c r="G846" s="263">
        <f>Balanço_MRE!G846</f>
        <v>201.73</v>
      </c>
      <c r="H846" s="193">
        <f>Balanço_MRE!H846</f>
        <v>3001742.4</v>
      </c>
      <c r="J846" s="9"/>
      <c r="K846" s="9"/>
      <c r="L846" s="9"/>
      <c r="M846" s="9"/>
      <c r="N846" s="247"/>
    </row>
    <row r="847" spans="1:23" ht="15" x14ac:dyDescent="0.25">
      <c r="A847" s="167">
        <f>Balanço_MRE!A847</f>
        <v>916171</v>
      </c>
      <c r="B847" s="167" t="str">
        <f>Balanço_MRE!B847</f>
        <v>CVI_3,0_VE_01012017_31122018_VOTENER_SECO</v>
      </c>
      <c r="C847" s="167" t="str">
        <f>Balanço_MRE!C847</f>
        <v>Contratos de Venda</v>
      </c>
      <c r="D847" s="192" t="str">
        <f>Balanço_MRE!D847</f>
        <v>SUDESTE</v>
      </c>
      <c r="E847" s="79">
        <f>Balanço_MRE!E847</f>
        <v>3</v>
      </c>
      <c r="F847" s="262">
        <f>Balanço_MRE!F847</f>
        <v>2232</v>
      </c>
      <c r="G847" s="263">
        <f>Balanço_MRE!G847</f>
        <v>212.67</v>
      </c>
      <c r="H847" s="193">
        <f>Balanço_MRE!H847</f>
        <v>474679.43999999994</v>
      </c>
      <c r="J847" s="9"/>
      <c r="K847" s="9"/>
      <c r="L847" s="9"/>
      <c r="M847" s="9"/>
      <c r="N847" s="247"/>
    </row>
    <row r="848" spans="1:23" ht="15" x14ac:dyDescent="0.25">
      <c r="A848" s="167">
        <f>Balanço_MRE!A848</f>
        <v>1167530</v>
      </c>
      <c r="B848" s="167" t="str">
        <f>Balanço_MRE!B848</f>
        <v>CVRD TIG</v>
      </c>
      <c r="C848" s="167" t="str">
        <f>Balanço_MRE!C848</f>
        <v>Contratos de Venda</v>
      </c>
      <c r="D848" s="192" t="str">
        <f>Balanço_MRE!D848</f>
        <v>SUDESTE</v>
      </c>
      <c r="E848" s="79">
        <f>Balanço_MRE!E848</f>
        <v>0</v>
      </c>
      <c r="F848" s="262">
        <f>Balanço_MRE!F848</f>
        <v>0</v>
      </c>
      <c r="G848" s="263">
        <f>Balanço_MRE!G848</f>
        <v>0</v>
      </c>
      <c r="H848" s="193">
        <f>Balanço_MRE!H848</f>
        <v>0</v>
      </c>
      <c r="J848" s="9"/>
      <c r="K848" s="9"/>
      <c r="L848" s="9"/>
      <c r="M848" s="9"/>
      <c r="N848" s="247"/>
    </row>
    <row r="849" spans="1:14" ht="15" x14ac:dyDescent="0.25">
      <c r="A849" s="167">
        <f>Balanço_MRE!A849</f>
        <v>1182243</v>
      </c>
      <c r="B849" s="167" t="str">
        <f>Balanço_MRE!B849</f>
        <v>CVE_3_AMERICA_012019_122019</v>
      </c>
      <c r="C849" s="167" t="str">
        <f>Balanço_MRE!C849</f>
        <v>Contratos de Venda</v>
      </c>
      <c r="D849" s="192" t="str">
        <f>Balanço_MRE!D849</f>
        <v>SUDESTE</v>
      </c>
      <c r="E849" s="79">
        <f>Balanço_MRE!E849</f>
        <v>3</v>
      </c>
      <c r="F849" s="262">
        <f>Balanço_MRE!F849</f>
        <v>2232</v>
      </c>
      <c r="G849" s="263">
        <f>Balanço_MRE!G849</f>
        <v>256.82727982777146</v>
      </c>
      <c r="H849" s="193">
        <f>Balanço_MRE!H849</f>
        <v>573238.48857558588</v>
      </c>
      <c r="J849" s="9"/>
      <c r="K849" s="9"/>
      <c r="L849" s="9"/>
      <c r="M849" s="9"/>
      <c r="N849" s="247"/>
    </row>
    <row r="850" spans="1:14" ht="15" x14ac:dyDescent="0.25">
      <c r="A850" s="167">
        <f>Balanço_MRE!A850</f>
        <v>1182244</v>
      </c>
      <c r="B850" s="167" t="str">
        <f>Balanço_MRE!B850</f>
        <v>CVE_5_DEAL_012019_122019</v>
      </c>
      <c r="C850" s="167" t="str">
        <f>Balanço_MRE!C850</f>
        <v>Contratos de Venda</v>
      </c>
      <c r="D850" s="192" t="str">
        <f>Balanço_MRE!D850</f>
        <v>SUDESTE</v>
      </c>
      <c r="E850" s="79">
        <f>Balanço_MRE!E850</f>
        <v>5</v>
      </c>
      <c r="F850" s="262">
        <f>Balanço_MRE!F850</f>
        <v>3720</v>
      </c>
      <c r="G850" s="263">
        <f>Balanço_MRE!G850</f>
        <v>208.45477169013134</v>
      </c>
      <c r="H850" s="193">
        <f>Balanço_MRE!H850</f>
        <v>775451.75068728859</v>
      </c>
      <c r="J850" s="9"/>
      <c r="K850" s="9"/>
      <c r="L850" s="9"/>
      <c r="M850" s="9"/>
      <c r="N850" s="247"/>
    </row>
    <row r="851" spans="1:14" ht="15" x14ac:dyDescent="0.25">
      <c r="A851" s="167">
        <f>Balanço_MRE!A851</f>
        <v>1182245</v>
      </c>
      <c r="B851" s="167" t="str">
        <f>Balanço_MRE!B851</f>
        <v>CVE_10_FOCUS_012019_122019</v>
      </c>
      <c r="C851" s="167" t="str">
        <f>Balanço_MRE!C851</f>
        <v>Contratos de Venda</v>
      </c>
      <c r="D851" s="192" t="str">
        <f>Balanço_MRE!D851</f>
        <v>SUDESTE</v>
      </c>
      <c r="E851" s="79">
        <f>Balanço_MRE!E851</f>
        <v>10</v>
      </c>
      <c r="F851" s="262">
        <f>Balanço_MRE!F851</f>
        <v>7440</v>
      </c>
      <c r="G851" s="263">
        <f>Balanço_MRE!G851</f>
        <v>283.11668642431499</v>
      </c>
      <c r="H851" s="193">
        <f>Balanço_MRE!H851</f>
        <v>2106388.1469969037</v>
      </c>
      <c r="J851" s="9"/>
      <c r="K851" s="9"/>
      <c r="L851" s="9"/>
      <c r="M851" s="9"/>
      <c r="N851" s="247"/>
    </row>
    <row r="852" spans="1:14" ht="15" x14ac:dyDescent="0.25">
      <c r="A852" s="167">
        <f>Balanço_MRE!A852</f>
        <v>1182246</v>
      </c>
      <c r="B852" s="167" t="str">
        <f>Balanço_MRE!B852</f>
        <v>CVE_2_RRCOMERCIALIZADORA_012019_122019</v>
      </c>
      <c r="C852" s="167" t="str">
        <f>Balanço_MRE!C852</f>
        <v>Contratos de Venda</v>
      </c>
      <c r="D852" s="192" t="str">
        <f>Balanço_MRE!D852</f>
        <v>SUDESTE</v>
      </c>
      <c r="E852" s="79">
        <f>Balanço_MRE!E852</f>
        <v>2</v>
      </c>
      <c r="F852" s="262">
        <f>Balanço_MRE!F852</f>
        <v>1488</v>
      </c>
      <c r="G852" s="263">
        <f>Balanço_MRE!G852</f>
        <v>270</v>
      </c>
      <c r="H852" s="193">
        <f>Balanço_MRE!H852</f>
        <v>401760</v>
      </c>
      <c r="J852" s="9"/>
      <c r="K852" s="9"/>
      <c r="L852" s="9"/>
      <c r="M852" s="9"/>
      <c r="N852" s="247"/>
    </row>
    <row r="853" spans="1:14" ht="15" x14ac:dyDescent="0.25">
      <c r="A853" s="167">
        <f>Balanço_MRE!A853</f>
        <v>1182247</v>
      </c>
      <c r="B853" s="167" t="str">
        <f>Balanço_MRE!B853</f>
        <v>CVE_5_WX_012019_122019</v>
      </c>
      <c r="C853" s="167" t="str">
        <f>Balanço_MRE!C853</f>
        <v>Contratos de Venda</v>
      </c>
      <c r="D853" s="192" t="str">
        <f>Balanço_MRE!D853</f>
        <v>SUDESTE</v>
      </c>
      <c r="E853" s="79">
        <f>Balanço_MRE!E853</f>
        <v>5</v>
      </c>
      <c r="F853" s="262">
        <f>Balanço_MRE!F853</f>
        <v>3720</v>
      </c>
      <c r="G853" s="263">
        <f>Balanço_MRE!G853</f>
        <v>260</v>
      </c>
      <c r="H853" s="193">
        <f>Balanço_MRE!H853</f>
        <v>967200</v>
      </c>
      <c r="J853" s="9"/>
      <c r="K853" s="9"/>
      <c r="L853" s="9"/>
      <c r="M853" s="9"/>
      <c r="N853" s="247"/>
    </row>
    <row r="854" spans="1:14" ht="15" x14ac:dyDescent="0.25">
      <c r="A854" s="167">
        <f>Balanço_MRE!A854</f>
        <v>1196348</v>
      </c>
      <c r="B854" s="167" t="str">
        <f>Balanço_MRE!B854</f>
        <v>CVE_7,5_STIMA_012019_122019</v>
      </c>
      <c r="C854" s="167" t="str">
        <f>Balanço_MRE!C854</f>
        <v>Contratos de Venda</v>
      </c>
      <c r="D854" s="192" t="str">
        <f>Balanço_MRE!D854</f>
        <v>SUDESTE</v>
      </c>
      <c r="E854" s="79">
        <f>Balanço_MRE!E854</f>
        <v>7.5</v>
      </c>
      <c r="F854" s="262">
        <f>Balanço_MRE!F854</f>
        <v>5580</v>
      </c>
      <c r="G854" s="263">
        <f>Balanço_MRE!G854</f>
        <v>241.1</v>
      </c>
      <c r="H854" s="193">
        <f>Balanço_MRE!H854</f>
        <v>1345338</v>
      </c>
      <c r="J854" s="9"/>
      <c r="K854" s="9"/>
      <c r="L854" s="9"/>
      <c r="M854" s="9"/>
      <c r="N854" s="247"/>
    </row>
    <row r="855" spans="1:14" ht="15" x14ac:dyDescent="0.25">
      <c r="A855" s="167">
        <f>Balanço_MRE!A855</f>
        <v>1196349</v>
      </c>
      <c r="B855" s="167" t="str">
        <f>Balanço_MRE!B855</f>
        <v>CVE_3_MERITO_012019_122019</v>
      </c>
      <c r="C855" s="167" t="str">
        <f>Balanço_MRE!C855</f>
        <v>Contratos de Venda</v>
      </c>
      <c r="D855" s="192" t="str">
        <f>Balanço_MRE!D855</f>
        <v>SUDESTE</v>
      </c>
      <c r="E855" s="79">
        <f>Balanço_MRE!E855</f>
        <v>3</v>
      </c>
      <c r="F855" s="262">
        <f>Balanço_MRE!F855</f>
        <v>2232</v>
      </c>
      <c r="G855" s="263">
        <f>Balanço_MRE!G855</f>
        <v>240.5</v>
      </c>
      <c r="H855" s="193">
        <f>Balanço_MRE!H855</f>
        <v>536796</v>
      </c>
      <c r="J855" s="9"/>
      <c r="K855" s="9"/>
      <c r="L855" s="9"/>
      <c r="M855" s="9"/>
      <c r="N855" s="247"/>
    </row>
    <row r="856" spans="1:14" ht="15" x14ac:dyDescent="0.25">
      <c r="A856" s="167">
        <f>Balanço_MRE!A856</f>
        <v>1196350</v>
      </c>
      <c r="B856" s="167" t="str">
        <f>Balanço_MRE!B856</f>
        <v>CVE_5_FOCUS_012019_122019</v>
      </c>
      <c r="C856" s="167" t="str">
        <f>Balanço_MRE!C856</f>
        <v>Contratos de Venda</v>
      </c>
      <c r="D856" s="192" t="str">
        <f>Balanço_MRE!D856</f>
        <v>SUDESTE</v>
      </c>
      <c r="E856" s="79">
        <f>Balanço_MRE!E856</f>
        <v>5</v>
      </c>
      <c r="F856" s="262">
        <f>Balanço_MRE!F856</f>
        <v>3720</v>
      </c>
      <c r="G856" s="263">
        <f>Balanço_MRE!G856</f>
        <v>240.04999999999998</v>
      </c>
      <c r="H856" s="193">
        <f>Balanço_MRE!H856</f>
        <v>892985.99999999988</v>
      </c>
      <c r="J856" s="9"/>
      <c r="K856" s="9"/>
      <c r="L856" s="9"/>
      <c r="M856" s="9"/>
      <c r="N856" s="247"/>
    </row>
    <row r="857" spans="1:14" ht="15" x14ac:dyDescent="0.25">
      <c r="A857" s="167">
        <f>Balanço_MRE!A857</f>
        <v>1196351</v>
      </c>
      <c r="B857" s="167" t="str">
        <f>Balanço_MRE!B857</f>
        <v>CVE_7_TARGUS_012019_122019</v>
      </c>
      <c r="C857" s="167" t="str">
        <f>Balanço_MRE!C857</f>
        <v>Contratos de Venda</v>
      </c>
      <c r="D857" s="192" t="str">
        <f>Balanço_MRE!D857</f>
        <v>NORDESTE</v>
      </c>
      <c r="E857" s="79">
        <f>Balanço_MRE!E857</f>
        <v>7</v>
      </c>
      <c r="F857" s="262">
        <f>Balanço_MRE!F857</f>
        <v>5208</v>
      </c>
      <c r="G857" s="263">
        <f>Balanço_MRE!G857</f>
        <v>242</v>
      </c>
      <c r="H857" s="193">
        <f>Balanço_MRE!H857</f>
        <v>1260336</v>
      </c>
      <c r="J857" s="9"/>
      <c r="K857" s="9"/>
      <c r="L857" s="9"/>
      <c r="M857" s="9"/>
      <c r="N857" s="247"/>
    </row>
    <row r="858" spans="1:14" ht="15" x14ac:dyDescent="0.25">
      <c r="A858" s="167">
        <f>Balanço_MRE!A858</f>
        <v>1196352</v>
      </c>
      <c r="B858" s="167" t="str">
        <f>Balanço_MRE!B858</f>
        <v>CVE_10_SOLENERGIAS_012019_122019</v>
      </c>
      <c r="C858" s="167" t="str">
        <f>Balanço_MRE!C858</f>
        <v>Contratos de Venda</v>
      </c>
      <c r="D858" s="192" t="str">
        <f>Balanço_MRE!D858</f>
        <v>NORDESTE</v>
      </c>
      <c r="E858" s="79">
        <f>Balanço_MRE!E858</f>
        <v>10</v>
      </c>
      <c r="F858" s="262">
        <f>Balanço_MRE!F858</f>
        <v>7440</v>
      </c>
      <c r="G858" s="263">
        <f>Balanço_MRE!G858</f>
        <v>240.08</v>
      </c>
      <c r="H858" s="193">
        <f>Balanço_MRE!H858</f>
        <v>1786195.2000000002</v>
      </c>
      <c r="J858" s="9"/>
      <c r="K858" s="9"/>
      <c r="L858" s="9"/>
      <c r="M858" s="9"/>
      <c r="N858" s="247"/>
    </row>
    <row r="859" spans="1:14" ht="15" x14ac:dyDescent="0.25">
      <c r="A859" s="167">
        <f>Balanço_MRE!A859</f>
        <v>1197054</v>
      </c>
      <c r="B859" s="167" t="str">
        <f>Balanço_MRE!B859</f>
        <v>CVE_20_SAFIRA_012019_122019</v>
      </c>
      <c r="C859" s="167" t="str">
        <f>Balanço_MRE!C859</f>
        <v>Contratos de Venda</v>
      </c>
      <c r="D859" s="192" t="str">
        <f>Balanço_MRE!D859</f>
        <v>NORDESTE</v>
      </c>
      <c r="E859" s="79">
        <f>Balanço_MRE!E859</f>
        <v>20</v>
      </c>
      <c r="F859" s="262">
        <f>Balanço_MRE!F859</f>
        <v>14880</v>
      </c>
      <c r="G859" s="263">
        <f>Balanço_MRE!G859</f>
        <v>233.77</v>
      </c>
      <c r="H859" s="193">
        <f>Balanço_MRE!H859</f>
        <v>3478497.6</v>
      </c>
      <c r="J859" s="9"/>
      <c r="K859" s="9"/>
      <c r="L859" s="9"/>
      <c r="M859" s="9"/>
      <c r="N859" s="247"/>
    </row>
    <row r="860" spans="1:14" ht="15" x14ac:dyDescent="0.25">
      <c r="A860" s="167">
        <f>Balanço_MRE!A860</f>
        <v>1197055</v>
      </c>
      <c r="B860" s="167" t="str">
        <f>Balanço_MRE!B860</f>
        <v>CVE_5_TARGUS_012019_122019</v>
      </c>
      <c r="C860" s="167" t="str">
        <f>Balanço_MRE!C860</f>
        <v>Contratos de Venda</v>
      </c>
      <c r="D860" s="192" t="str">
        <f>Balanço_MRE!D860</f>
        <v>NORDESTE</v>
      </c>
      <c r="E860" s="79">
        <f>Balanço_MRE!E860</f>
        <v>5</v>
      </c>
      <c r="F860" s="262">
        <f>Balanço_MRE!F860</f>
        <v>3720</v>
      </c>
      <c r="G860" s="263">
        <f>Balanço_MRE!G860</f>
        <v>231.50000000000003</v>
      </c>
      <c r="H860" s="193">
        <f>Balanço_MRE!H860</f>
        <v>861180.00000000012</v>
      </c>
      <c r="J860" s="9"/>
      <c r="K860" s="9"/>
      <c r="L860" s="9"/>
      <c r="M860" s="9"/>
      <c r="N860" s="247"/>
    </row>
    <row r="861" spans="1:14" ht="15" x14ac:dyDescent="0.25">
      <c r="A861" s="167">
        <f>Balanço_MRE!A861</f>
        <v>1197056</v>
      </c>
      <c r="B861" s="167" t="str">
        <f>Balanço_MRE!B861</f>
        <v>CVE_7,5_STIMA_012019_122019</v>
      </c>
      <c r="C861" s="167" t="str">
        <f>Balanço_MRE!C861</f>
        <v>Contratos de Venda</v>
      </c>
      <c r="D861" s="192" t="str">
        <f>Balanço_MRE!D861</f>
        <v>NORDESTE</v>
      </c>
      <c r="E861" s="79">
        <f>Balanço_MRE!E861</f>
        <v>7.5</v>
      </c>
      <c r="F861" s="262">
        <f>Balanço_MRE!F861</f>
        <v>5580</v>
      </c>
      <c r="G861" s="263">
        <f>Balanço_MRE!G861</f>
        <v>241.1</v>
      </c>
      <c r="H861" s="193">
        <f>Balanço_MRE!H861</f>
        <v>1345338</v>
      </c>
      <c r="J861" s="9"/>
      <c r="K861" s="9"/>
      <c r="L861" s="9"/>
      <c r="M861" s="9"/>
      <c r="N861" s="247"/>
    </row>
    <row r="862" spans="1:14" ht="15" x14ac:dyDescent="0.25">
      <c r="A862" s="167">
        <f>Balanço_MRE!A862</f>
        <v>0</v>
      </c>
      <c r="B862" s="167">
        <f>Balanço_MRE!B862</f>
        <v>0</v>
      </c>
      <c r="C862" s="167">
        <f>Balanço_MRE!C862</f>
        <v>0</v>
      </c>
      <c r="D862" s="192">
        <f>Balanço_MRE!D862</f>
        <v>0</v>
      </c>
      <c r="E862" s="79">
        <f>Balanço_MRE!E862</f>
        <v>0</v>
      </c>
      <c r="F862" s="262">
        <f>Balanço_MRE!F862</f>
        <v>0</v>
      </c>
      <c r="G862" s="263">
        <f>Balanço_MRE!G862</f>
        <v>0</v>
      </c>
      <c r="H862" s="193">
        <f>Balanço_MRE!H862</f>
        <v>0</v>
      </c>
      <c r="J862" s="9"/>
      <c r="K862" s="9"/>
      <c r="L862" s="9"/>
      <c r="M862" s="9"/>
      <c r="N862" s="247"/>
    </row>
    <row r="863" spans="1:14" ht="15" x14ac:dyDescent="0.25">
      <c r="A863" s="167">
        <f>Balanço_MRE!A863</f>
        <v>0</v>
      </c>
      <c r="B863" s="167">
        <f>Balanço_MRE!B863</f>
        <v>0</v>
      </c>
      <c r="C863" s="167">
        <f>Balanço_MRE!C863</f>
        <v>0</v>
      </c>
      <c r="D863" s="192">
        <f>Balanço_MRE!D863</f>
        <v>0</v>
      </c>
      <c r="E863" s="79">
        <f>Balanço_MRE!E863</f>
        <v>0</v>
      </c>
      <c r="F863" s="262">
        <f>Balanço_MRE!F863</f>
        <v>0</v>
      </c>
      <c r="G863" s="263">
        <f>Balanço_MRE!G863</f>
        <v>0</v>
      </c>
      <c r="H863" s="193">
        <f>Balanço_MRE!H863</f>
        <v>0</v>
      </c>
      <c r="J863" s="9"/>
      <c r="K863" s="9"/>
      <c r="L863" s="9"/>
      <c r="M863" s="9"/>
      <c r="N863" s="247"/>
    </row>
    <row r="864" spans="1:14" ht="15" x14ac:dyDescent="0.25">
      <c r="A864" s="167">
        <f>Balanço_MRE!A864</f>
        <v>0</v>
      </c>
      <c r="B864" s="167">
        <f>Balanço_MRE!B864</f>
        <v>0</v>
      </c>
      <c r="C864" s="167">
        <f>Balanço_MRE!C864</f>
        <v>0</v>
      </c>
      <c r="D864" s="192">
        <f>Balanço_MRE!D864</f>
        <v>0</v>
      </c>
      <c r="E864" s="79">
        <f>Balanço_MRE!E864</f>
        <v>0</v>
      </c>
      <c r="F864" s="262">
        <f>Balanço_MRE!F864</f>
        <v>0</v>
      </c>
      <c r="G864" s="263">
        <f>Balanço_MRE!G864</f>
        <v>0</v>
      </c>
      <c r="H864" s="193">
        <f>Balanço_MRE!H864</f>
        <v>0</v>
      </c>
      <c r="J864" s="9"/>
      <c r="K864" s="9"/>
      <c r="L864" s="9"/>
      <c r="M864" s="9"/>
      <c r="N864" s="247"/>
    </row>
    <row r="865" spans="1:14" ht="15" x14ac:dyDescent="0.25">
      <c r="A865" s="167">
        <f>Balanço_MRE!A865</f>
        <v>0</v>
      </c>
      <c r="B865" s="167">
        <f>Balanço_MRE!B865</f>
        <v>0</v>
      </c>
      <c r="C865" s="167">
        <f>Balanço_MRE!C865</f>
        <v>0</v>
      </c>
      <c r="D865" s="192">
        <f>Balanço_MRE!D865</f>
        <v>0</v>
      </c>
      <c r="E865" s="79">
        <f>Balanço_MRE!E865</f>
        <v>0</v>
      </c>
      <c r="F865" s="262">
        <f>Balanço_MRE!F865</f>
        <v>0</v>
      </c>
      <c r="G865" s="263">
        <f>Balanço_MRE!G865</f>
        <v>0</v>
      </c>
      <c r="H865" s="193">
        <f>Balanço_MRE!H865</f>
        <v>0</v>
      </c>
      <c r="J865" s="9"/>
      <c r="K865" s="9"/>
      <c r="L865" s="9"/>
      <c r="M865" s="9"/>
      <c r="N865" s="247"/>
    </row>
    <row r="866" spans="1:14" ht="15" x14ac:dyDescent="0.25">
      <c r="A866" s="167">
        <f>Balanço_MRE!A866</f>
        <v>0</v>
      </c>
      <c r="B866" s="167">
        <f>Balanço_MRE!B866</f>
        <v>0</v>
      </c>
      <c r="C866" s="167">
        <f>Balanço_MRE!C866</f>
        <v>0</v>
      </c>
      <c r="D866" s="192">
        <f>Balanço_MRE!D866</f>
        <v>0</v>
      </c>
      <c r="E866" s="79">
        <f>Balanço_MRE!E866</f>
        <v>0</v>
      </c>
      <c r="F866" s="262">
        <f>Balanço_MRE!F866</f>
        <v>0</v>
      </c>
      <c r="G866" s="263">
        <f>Balanço_MRE!G866</f>
        <v>0</v>
      </c>
      <c r="H866" s="193">
        <f>Balanço_MRE!H866</f>
        <v>0</v>
      </c>
      <c r="J866" s="9"/>
      <c r="K866" s="9"/>
      <c r="L866" s="9"/>
      <c r="M866" s="9"/>
      <c r="N866" s="247"/>
    </row>
    <row r="867" spans="1:14" ht="15" x14ac:dyDescent="0.25">
      <c r="A867" s="167">
        <f>Balanço_MRE!A867</f>
        <v>0</v>
      </c>
      <c r="B867" s="167">
        <f>Balanço_MRE!B867</f>
        <v>0</v>
      </c>
      <c r="C867" s="167">
        <f>Balanço_MRE!C867</f>
        <v>0</v>
      </c>
      <c r="D867" s="192">
        <f>Balanço_MRE!D867</f>
        <v>0</v>
      </c>
      <c r="E867" s="79">
        <f>Balanço_MRE!E867</f>
        <v>0</v>
      </c>
      <c r="F867" s="262">
        <f>Balanço_MRE!F867</f>
        <v>0</v>
      </c>
      <c r="G867" s="263">
        <f>Balanço_MRE!G867</f>
        <v>0</v>
      </c>
      <c r="H867" s="193">
        <f>Balanço_MRE!H867</f>
        <v>0</v>
      </c>
      <c r="J867" s="9"/>
      <c r="K867" s="9"/>
      <c r="L867" s="9"/>
      <c r="M867" s="9"/>
      <c r="N867" s="247"/>
    </row>
    <row r="868" spans="1:14" ht="15" x14ac:dyDescent="0.25">
      <c r="A868" s="167">
        <f>Balanço_MRE!A868</f>
        <v>0</v>
      </c>
      <c r="B868" s="167">
        <f>Balanço_MRE!B868</f>
        <v>0</v>
      </c>
      <c r="C868" s="167">
        <f>Balanço_MRE!C868</f>
        <v>0</v>
      </c>
      <c r="D868" s="192">
        <f>Balanço_MRE!D868</f>
        <v>0</v>
      </c>
      <c r="E868" s="79">
        <f>Balanço_MRE!E868</f>
        <v>0</v>
      </c>
      <c r="F868" s="262">
        <f>Balanço_MRE!F868</f>
        <v>0</v>
      </c>
      <c r="G868" s="263">
        <f>Balanço_MRE!G868</f>
        <v>0</v>
      </c>
      <c r="H868" s="193">
        <f>Balanço_MRE!H868</f>
        <v>0</v>
      </c>
      <c r="J868" s="9"/>
      <c r="K868" s="9"/>
      <c r="L868" s="9"/>
      <c r="M868" s="9"/>
      <c r="N868" s="247"/>
    </row>
    <row r="869" spans="1:14" ht="15" x14ac:dyDescent="0.25">
      <c r="A869" s="167">
        <f>Balanço_MRE!A869</f>
        <v>0</v>
      </c>
      <c r="B869" s="167">
        <f>Balanço_MRE!B869</f>
        <v>0</v>
      </c>
      <c r="C869" s="167">
        <f>Balanço_MRE!C869</f>
        <v>0</v>
      </c>
      <c r="D869" s="192">
        <f>Balanço_MRE!D869</f>
        <v>0</v>
      </c>
      <c r="E869" s="79">
        <f>Balanço_MRE!E869</f>
        <v>0</v>
      </c>
      <c r="F869" s="262">
        <f>Balanço_MRE!F869</f>
        <v>0</v>
      </c>
      <c r="G869" s="263">
        <f>Balanço_MRE!G869</f>
        <v>0</v>
      </c>
      <c r="H869" s="193">
        <f>Balanço_MRE!H869</f>
        <v>0</v>
      </c>
      <c r="J869" s="9"/>
      <c r="K869" s="9"/>
      <c r="L869" s="9"/>
      <c r="M869" s="9"/>
      <c r="N869" s="247"/>
    </row>
    <row r="870" spans="1:14" ht="15" x14ac:dyDescent="0.25">
      <c r="A870" s="167">
        <f>Balanço_MRE!A870</f>
        <v>0</v>
      </c>
      <c r="B870" s="167">
        <f>Balanço_MRE!B870</f>
        <v>0</v>
      </c>
      <c r="C870" s="167">
        <f>Balanço_MRE!C870</f>
        <v>0</v>
      </c>
      <c r="D870" s="192">
        <f>Balanço_MRE!D870</f>
        <v>0</v>
      </c>
      <c r="E870" s="79">
        <f>Balanço_MRE!E870</f>
        <v>0</v>
      </c>
      <c r="F870" s="262">
        <f>Balanço_MRE!F870</f>
        <v>0</v>
      </c>
      <c r="G870" s="263">
        <f>Balanço_MRE!G870</f>
        <v>0</v>
      </c>
      <c r="H870" s="193">
        <f>Balanço_MRE!H870</f>
        <v>0</v>
      </c>
      <c r="J870" s="9"/>
      <c r="K870" s="9"/>
      <c r="L870" s="9"/>
      <c r="M870" s="9"/>
      <c r="N870" s="247"/>
    </row>
    <row r="871" spans="1:14" ht="15" x14ac:dyDescent="0.25">
      <c r="A871" s="167" t="str">
        <f>Balanço_MRE!A871</f>
        <v xml:space="preserve"> </v>
      </c>
      <c r="B871" s="167">
        <f>Balanço_MRE!B871</f>
        <v>0</v>
      </c>
      <c r="C871" s="167">
        <f>Balanço_MRE!C871</f>
        <v>0</v>
      </c>
      <c r="D871" s="192">
        <f>Balanço_MRE!D871</f>
        <v>0</v>
      </c>
      <c r="E871" s="79">
        <f>Balanço_MRE!E871</f>
        <v>0</v>
      </c>
      <c r="F871" s="262">
        <f>Balanço_MRE!F871</f>
        <v>0</v>
      </c>
      <c r="G871" s="263">
        <f>Balanço_MRE!G871</f>
        <v>0</v>
      </c>
      <c r="H871" s="193">
        <f>Balanço_MRE!H871</f>
        <v>0</v>
      </c>
      <c r="J871" s="9"/>
      <c r="K871" s="9"/>
      <c r="L871" s="9"/>
      <c r="M871" s="9"/>
      <c r="N871" s="247"/>
    </row>
    <row r="872" spans="1:14" ht="15" x14ac:dyDescent="0.25">
      <c r="A872" s="167">
        <f>Balanço_MRE!A872</f>
        <v>0</v>
      </c>
      <c r="B872" s="167">
        <f>Balanço_MRE!B872</f>
        <v>0</v>
      </c>
      <c r="C872" s="167">
        <f>Balanço_MRE!C872</f>
        <v>0</v>
      </c>
      <c r="D872" s="192">
        <f>Balanço_MRE!D872</f>
        <v>0</v>
      </c>
      <c r="E872" s="79">
        <f>Balanço_MRE!E872</f>
        <v>0</v>
      </c>
      <c r="F872" s="262">
        <f>Balanço_MRE!F872</f>
        <v>0</v>
      </c>
      <c r="G872" s="263">
        <f>Balanço_MRE!G872</f>
        <v>0</v>
      </c>
      <c r="H872" s="193">
        <f>Balanço_MRE!H872</f>
        <v>0</v>
      </c>
      <c r="J872" s="9"/>
      <c r="K872" s="9"/>
      <c r="L872" s="9"/>
      <c r="M872" s="9"/>
      <c r="N872" s="247"/>
    </row>
    <row r="873" spans="1:14" ht="15" x14ac:dyDescent="0.25">
      <c r="A873" s="198"/>
      <c r="B873" s="198"/>
      <c r="C873" s="198"/>
      <c r="D873" s="261"/>
      <c r="E873" s="85"/>
      <c r="F873" s="86"/>
      <c r="G873" s="317"/>
      <c r="H873" s="317"/>
      <c r="J873" s="393"/>
      <c r="K873" s="393"/>
      <c r="L873" s="393"/>
      <c r="M873" s="393"/>
      <c r="N873" s="247"/>
    </row>
    <row r="874" spans="1:14" ht="15" x14ac:dyDescent="0.25">
      <c r="A874" s="15" t="s">
        <v>32</v>
      </c>
      <c r="B874" s="16"/>
      <c r="C874" s="16"/>
      <c r="D874" s="17"/>
      <c r="E874" s="18">
        <f>SUM(E823:E873)</f>
        <v>115.890567</v>
      </c>
      <c r="F874" s="21">
        <f>SUM(F823:F873)</f>
        <v>86222.581711025006</v>
      </c>
      <c r="G874" s="19">
        <f>IFERROR(H874/F874,0)</f>
        <v>235.34644222453844</v>
      </c>
      <c r="H874" s="27">
        <f>SUM(H823:H873)</f>
        <v>20292177.845104292</v>
      </c>
      <c r="N874" s="247"/>
    </row>
    <row r="875" spans="1:14" ht="15" x14ac:dyDescent="0.25">
      <c r="E875" s="316"/>
      <c r="F875" s="115"/>
      <c r="N875" s="247"/>
    </row>
    <row r="876" spans="1:14" ht="15" x14ac:dyDescent="0.25">
      <c r="A876" s="548" t="s">
        <v>233</v>
      </c>
      <c r="B876" s="548"/>
      <c r="C876" s="548"/>
      <c r="E876" s="116" t="s">
        <v>19</v>
      </c>
      <c r="F876" s="116"/>
      <c r="G876" s="117" t="s">
        <v>20</v>
      </c>
      <c r="H876" s="117"/>
      <c r="I876" s="118" t="s">
        <v>21</v>
      </c>
      <c r="J876" s="118"/>
      <c r="K876" s="119" t="s">
        <v>22</v>
      </c>
      <c r="L876" s="119"/>
      <c r="N876" s="247"/>
    </row>
    <row r="877" spans="1:14" ht="15" x14ac:dyDescent="0.25">
      <c r="A877" s="10" t="s">
        <v>2</v>
      </c>
      <c r="B877" s="10" t="s">
        <v>137</v>
      </c>
      <c r="C877" s="10" t="s">
        <v>25</v>
      </c>
      <c r="E877" s="207" t="s">
        <v>137</v>
      </c>
      <c r="F877" s="208" t="s">
        <v>25</v>
      </c>
      <c r="G877" s="209" t="s">
        <v>137</v>
      </c>
      <c r="H877" s="210" t="s">
        <v>25</v>
      </c>
      <c r="I877" s="211" t="s">
        <v>137</v>
      </c>
      <c r="J877" s="212" t="s">
        <v>25</v>
      </c>
      <c r="K877" s="213" t="s">
        <v>137</v>
      </c>
      <c r="L877" s="214" t="s">
        <v>25</v>
      </c>
      <c r="N877" s="247"/>
    </row>
    <row r="878" spans="1:14" ht="15" x14ac:dyDescent="0.25">
      <c r="A878" s="29" t="s">
        <v>69</v>
      </c>
      <c r="B878" s="70">
        <v>0</v>
      </c>
      <c r="C878" s="83">
        <v>0</v>
      </c>
      <c r="E878" s="120">
        <f t="shared" ref="E878:E884" si="188">SUMIFS($E$795:$E$873,$C$795:$C$873,$A878,$D$795:$D$873,$E$876)</f>
        <v>0</v>
      </c>
      <c r="F878" s="121">
        <f t="shared" ref="F878:F884" si="189">SUMIFS($F$795:$F$873,$C$795:$C$873,$A878,$D$795:$D$873,$E$876)</f>
        <v>0</v>
      </c>
      <c r="G878" s="122">
        <f t="shared" ref="G878:G884" si="190">SUMIFS($E$795:$E$873,$C$795:$C$873,$A878,$D$795:$D$873,$G$876)</f>
        <v>0</v>
      </c>
      <c r="H878" s="123">
        <f t="shared" ref="H878:H884" si="191">SUMIFS($F$795:$F$873,$C$795:$C$873,$A878,$D$795:$D$873,$G$876)</f>
        <v>0</v>
      </c>
      <c r="I878" s="124">
        <f t="shared" ref="I878:I884" si="192">SUMIFS($E$795:$E$873,$C$795:$C$873,$A878,$D$795:$D$873,$I$876)</f>
        <v>0</v>
      </c>
      <c r="J878" s="125">
        <f t="shared" ref="J878:J884" si="193">SUMIFS($F$795:$F$873,$C$795:$C$873,$A878,$D$795:$D$873,$I$876)</f>
        <v>0</v>
      </c>
      <c r="K878" s="126">
        <f t="shared" ref="K878:K884" si="194">SUMIFS($E$795:$E$873,$C$795:$C$873,$A878,$D$795:$D$873,$K$876)</f>
        <v>0</v>
      </c>
      <c r="L878" s="127">
        <f t="shared" ref="L878:L884" si="195">SUMIFS($F$795:$F$873,$C$795:$C$873,$A878,$D$795:$D$873,$K$876)</f>
        <v>0</v>
      </c>
      <c r="N878" s="247"/>
    </row>
    <row r="879" spans="1:14" ht="15" x14ac:dyDescent="0.25">
      <c r="A879" s="29" t="s">
        <v>47</v>
      </c>
      <c r="B879" s="70">
        <v>0</v>
      </c>
      <c r="C879" s="83">
        <v>0</v>
      </c>
      <c r="E879" s="120">
        <f t="shared" si="188"/>
        <v>0</v>
      </c>
      <c r="F879" s="121">
        <f t="shared" si="189"/>
        <v>0</v>
      </c>
      <c r="G879" s="122">
        <f t="shared" si="190"/>
        <v>0</v>
      </c>
      <c r="H879" s="123">
        <f t="shared" si="191"/>
        <v>0</v>
      </c>
      <c r="I879" s="124">
        <f t="shared" si="192"/>
        <v>0</v>
      </c>
      <c r="J879" s="125">
        <f t="shared" si="193"/>
        <v>0</v>
      </c>
      <c r="K879" s="126">
        <f t="shared" si="194"/>
        <v>0</v>
      </c>
      <c r="L879" s="127">
        <f t="shared" si="195"/>
        <v>0</v>
      </c>
      <c r="N879" s="247"/>
    </row>
    <row r="880" spans="1:14" ht="15" x14ac:dyDescent="0.25">
      <c r="A880" s="29" t="s">
        <v>79</v>
      </c>
      <c r="B880" s="70">
        <v>0</v>
      </c>
      <c r="C880" s="83">
        <v>0</v>
      </c>
      <c r="E880" s="120">
        <f t="shared" si="188"/>
        <v>0</v>
      </c>
      <c r="F880" s="121">
        <f t="shared" si="189"/>
        <v>0</v>
      </c>
      <c r="G880" s="122">
        <f t="shared" si="190"/>
        <v>0</v>
      </c>
      <c r="H880" s="123">
        <f t="shared" si="191"/>
        <v>0</v>
      </c>
      <c r="I880" s="124">
        <f t="shared" si="192"/>
        <v>0</v>
      </c>
      <c r="J880" s="125">
        <f t="shared" si="193"/>
        <v>0</v>
      </c>
      <c r="K880" s="126">
        <f t="shared" si="194"/>
        <v>0</v>
      </c>
      <c r="L880" s="127">
        <f t="shared" si="195"/>
        <v>0</v>
      </c>
      <c r="N880" s="247"/>
    </row>
    <row r="881" spans="1:17" ht="15" x14ac:dyDescent="0.25">
      <c r="A881" s="29" t="s">
        <v>71</v>
      </c>
      <c r="B881" s="70">
        <f>E819</f>
        <v>131.82099899999997</v>
      </c>
      <c r="C881" s="83">
        <f>F819</f>
        <v>98074.823255999974</v>
      </c>
      <c r="E881" s="120">
        <f t="shared" si="188"/>
        <v>0</v>
      </c>
      <c r="F881" s="121">
        <f t="shared" si="189"/>
        <v>0</v>
      </c>
      <c r="G881" s="122">
        <f t="shared" si="190"/>
        <v>62.199999000000005</v>
      </c>
      <c r="H881" s="123">
        <f t="shared" si="191"/>
        <v>46276.799256000006</v>
      </c>
      <c r="I881" s="124">
        <f t="shared" si="192"/>
        <v>69.620999999999995</v>
      </c>
      <c r="J881" s="125">
        <f t="shared" si="193"/>
        <v>51798.024000000005</v>
      </c>
      <c r="K881" s="126">
        <f t="shared" si="194"/>
        <v>0</v>
      </c>
      <c r="L881" s="127">
        <f t="shared" si="195"/>
        <v>0</v>
      </c>
      <c r="N881" s="247"/>
    </row>
    <row r="882" spans="1:17" ht="15" x14ac:dyDescent="0.25">
      <c r="A882" s="29" t="s">
        <v>9</v>
      </c>
      <c r="B882" s="70">
        <f>0</f>
        <v>0</v>
      </c>
      <c r="C882" s="83">
        <f>0</f>
        <v>0</v>
      </c>
      <c r="E882" s="120">
        <f t="shared" si="188"/>
        <v>0</v>
      </c>
      <c r="F882" s="121">
        <f t="shared" si="189"/>
        <v>0</v>
      </c>
      <c r="G882" s="122">
        <f t="shared" si="190"/>
        <v>0</v>
      </c>
      <c r="H882" s="123">
        <f t="shared" si="191"/>
        <v>0</v>
      </c>
      <c r="I882" s="124">
        <f t="shared" si="192"/>
        <v>0</v>
      </c>
      <c r="J882" s="125">
        <f t="shared" si="193"/>
        <v>0</v>
      </c>
      <c r="K882" s="126">
        <f t="shared" si="194"/>
        <v>0</v>
      </c>
      <c r="L882" s="127">
        <f t="shared" si="195"/>
        <v>0</v>
      </c>
      <c r="N882" s="247"/>
    </row>
    <row r="883" spans="1:17" ht="15" x14ac:dyDescent="0.25">
      <c r="A883" s="29" t="s">
        <v>80</v>
      </c>
      <c r="B883" s="70">
        <v>0</v>
      </c>
      <c r="C883" s="83">
        <v>0</v>
      </c>
      <c r="E883" s="120">
        <f t="shared" si="188"/>
        <v>0</v>
      </c>
      <c r="F883" s="121">
        <f t="shared" si="189"/>
        <v>0</v>
      </c>
      <c r="G883" s="122">
        <f t="shared" si="190"/>
        <v>0</v>
      </c>
      <c r="H883" s="123">
        <f t="shared" si="191"/>
        <v>0</v>
      </c>
      <c r="I883" s="124">
        <f t="shared" si="192"/>
        <v>0</v>
      </c>
      <c r="J883" s="125">
        <f t="shared" si="193"/>
        <v>0</v>
      </c>
      <c r="K883" s="126">
        <f t="shared" si="194"/>
        <v>0</v>
      </c>
      <c r="L883" s="127">
        <f t="shared" si="195"/>
        <v>0</v>
      </c>
      <c r="N883" s="247"/>
    </row>
    <row r="884" spans="1:17" ht="15" x14ac:dyDescent="0.25">
      <c r="A884" s="29" t="s">
        <v>77</v>
      </c>
      <c r="B884" s="70">
        <f>E874</f>
        <v>115.890567</v>
      </c>
      <c r="C884" s="83">
        <f>F874</f>
        <v>86222.581711025006</v>
      </c>
      <c r="E884" s="120">
        <f t="shared" si="188"/>
        <v>0</v>
      </c>
      <c r="F884" s="121">
        <f t="shared" si="189"/>
        <v>0</v>
      </c>
      <c r="G884" s="122">
        <f t="shared" si="190"/>
        <v>49.5</v>
      </c>
      <c r="H884" s="123">
        <f t="shared" si="191"/>
        <v>36828</v>
      </c>
      <c r="I884" s="124">
        <f t="shared" si="192"/>
        <v>66.390567000000004</v>
      </c>
      <c r="J884" s="125">
        <f t="shared" si="193"/>
        <v>49394.581711025006</v>
      </c>
      <c r="K884" s="126">
        <f t="shared" si="194"/>
        <v>0</v>
      </c>
      <c r="L884" s="127">
        <f t="shared" si="195"/>
        <v>0</v>
      </c>
      <c r="N884" s="247"/>
    </row>
    <row r="885" spans="1:17" ht="15" x14ac:dyDescent="0.25">
      <c r="A885" s="11" t="s">
        <v>81</v>
      </c>
      <c r="B885" s="12">
        <f>SUM(B878:B881)-SUM(B882:B884)</f>
        <v>15.930431999999968</v>
      </c>
      <c r="C885" s="12">
        <f>SUM(C878:C881)-SUM(C882:C884)</f>
        <v>11852.241544974968</v>
      </c>
      <c r="E885" s="128">
        <f>SUM(E878:E881)-SUM(E882:E884)</f>
        <v>0</v>
      </c>
      <c r="F885" s="129">
        <f>SUM(F878:F881)-SUM(F882:F884)</f>
        <v>0</v>
      </c>
      <c r="G885" s="130">
        <f t="shared" ref="G885:L885" si="196">SUM(G878:G881)-SUM(G882:G884)</f>
        <v>12.699999000000005</v>
      </c>
      <c r="H885" s="131">
        <f t="shared" si="196"/>
        <v>9448.7992560000057</v>
      </c>
      <c r="I885" s="132">
        <f t="shared" si="196"/>
        <v>3.2304329999999908</v>
      </c>
      <c r="J885" s="133">
        <f t="shared" si="196"/>
        <v>2403.4422889749985</v>
      </c>
      <c r="K885" s="134">
        <f t="shared" si="196"/>
        <v>0</v>
      </c>
      <c r="L885" s="135">
        <f t="shared" si="196"/>
        <v>0</v>
      </c>
      <c r="N885" s="247"/>
    </row>
    <row r="886" spans="1:17" ht="15" x14ac:dyDescent="0.25">
      <c r="A886" s="11" t="s">
        <v>82</v>
      </c>
      <c r="B886" s="12">
        <f>SUM(B878:B881)-SUM(B882:B885)</f>
        <v>0</v>
      </c>
      <c r="C886" s="12">
        <f>SUM(C878:C881)-SUM(C882:C885)</f>
        <v>0</v>
      </c>
      <c r="E886" s="128">
        <f>SUM(E878:E881)-SUM(E882:E885)</f>
        <v>0</v>
      </c>
      <c r="F886" s="129">
        <f t="shared" ref="F886:L886" si="197">SUM(F878:F881)-SUM(F882:F885)</f>
        <v>0</v>
      </c>
      <c r="G886" s="130">
        <f t="shared" si="197"/>
        <v>0</v>
      </c>
      <c r="H886" s="131">
        <f t="shared" si="197"/>
        <v>0</v>
      </c>
      <c r="I886" s="132">
        <f t="shared" si="197"/>
        <v>0</v>
      </c>
      <c r="J886" s="133">
        <f t="shared" si="197"/>
        <v>0</v>
      </c>
      <c r="K886" s="134">
        <f t="shared" si="197"/>
        <v>0</v>
      </c>
      <c r="L886" s="135">
        <f t="shared" si="197"/>
        <v>0</v>
      </c>
      <c r="N886" s="247"/>
    </row>
    <row r="887" spans="1:17" ht="15" x14ac:dyDescent="0.25">
      <c r="N887" s="247"/>
    </row>
    <row r="888" spans="1:17" ht="15" x14ac:dyDescent="0.25">
      <c r="E888" s="153">
        <f>(F885*$H$5)+(H885*$J$5)+(J885*$L$5)+(L885*$N$5)</f>
        <v>667293.89263884723</v>
      </c>
      <c r="N888" s="247"/>
    </row>
    <row r="889" spans="1:17" ht="15" x14ac:dyDescent="0.25">
      <c r="N889" s="247"/>
    </row>
    <row r="890" spans="1:17" ht="15" x14ac:dyDescent="0.25">
      <c r="N890" s="247"/>
    </row>
    <row r="891" spans="1:17" ht="15" x14ac:dyDescent="0.25">
      <c r="A891" s="564" t="s">
        <v>390</v>
      </c>
      <c r="B891" s="564"/>
      <c r="C891" s="564"/>
      <c r="D891" s="564"/>
      <c r="E891" s="564"/>
      <c r="F891" s="564"/>
      <c r="G891" s="564"/>
      <c r="H891" s="564"/>
      <c r="N891" s="247"/>
    </row>
    <row r="892" spans="1:17" ht="15" x14ac:dyDescent="0.25">
      <c r="A892" s="564"/>
      <c r="B892" s="564"/>
      <c r="C892" s="564"/>
      <c r="D892" s="564"/>
      <c r="E892" s="564"/>
      <c r="F892" s="564"/>
      <c r="G892" s="564"/>
      <c r="H892" s="564"/>
      <c r="N892" s="247"/>
    </row>
    <row r="893" spans="1:17" ht="3.75" customHeight="1" x14ac:dyDescent="0.2"/>
    <row r="894" spans="1:17" x14ac:dyDescent="0.2">
      <c r="A894" s="548" t="s">
        <v>85</v>
      </c>
      <c r="B894" s="548"/>
      <c r="C894" s="548"/>
      <c r="D894" s="548"/>
      <c r="E894" s="548"/>
      <c r="F894" s="548"/>
      <c r="G894" s="548"/>
      <c r="H894" s="548"/>
    </row>
    <row r="895" spans="1:17" x14ac:dyDescent="0.2">
      <c r="A895" s="10" t="s">
        <v>8</v>
      </c>
      <c r="B895" s="10"/>
      <c r="C895" s="10" t="s">
        <v>2</v>
      </c>
      <c r="D895" s="10" t="s">
        <v>3</v>
      </c>
      <c r="E895" s="10" t="s">
        <v>137</v>
      </c>
      <c r="F895" s="10" t="s">
        <v>25</v>
      </c>
      <c r="G895" s="10" t="s">
        <v>95</v>
      </c>
      <c r="H895" s="10" t="s">
        <v>240</v>
      </c>
      <c r="J895" s="396" t="s">
        <v>114</v>
      </c>
      <c r="K895" s="396" t="s">
        <v>117</v>
      </c>
      <c r="L895" s="396" t="s">
        <v>150</v>
      </c>
      <c r="M895" s="396" t="s">
        <v>115</v>
      </c>
      <c r="N895" s="396" t="s">
        <v>116</v>
      </c>
      <c r="O895" s="396" t="s">
        <v>151</v>
      </c>
      <c r="P895" s="397"/>
    </row>
    <row r="896" spans="1:17" ht="15" x14ac:dyDescent="0.25">
      <c r="A896" s="167" t="str">
        <f>Balanço_MRE!A896</f>
        <v>Fertilizantes - Cubatão (CUB1)</v>
      </c>
      <c r="B896" s="167">
        <f>Balanço_MRE!B896</f>
        <v>0</v>
      </c>
      <c r="C896" s="167" t="str">
        <f>Balanço_MRE!C896</f>
        <v>Carga</v>
      </c>
      <c r="D896" s="192" t="str">
        <f>Balanço_MRE!D896</f>
        <v>SUDESTE</v>
      </c>
      <c r="E896" s="79">
        <f>Balanço_MRE!E896</f>
        <v>7.241079</v>
      </c>
      <c r="F896" s="262">
        <f>Balanço_MRE!F896</f>
        <v>5387.3628041237171</v>
      </c>
      <c r="G896" s="263">
        <f>Balanço_MRE!G896</f>
        <v>108.47799999999999</v>
      </c>
      <c r="H896" s="193">
        <f>Balanço_MRE!H896</f>
        <v>0.03</v>
      </c>
      <c r="I896" s="144"/>
      <c r="J896" s="247">
        <f>Balanço_MRE!J896</f>
        <v>0</v>
      </c>
      <c r="K896" s="247">
        <f>Balanço_MRE!K896</f>
        <v>0</v>
      </c>
      <c r="L896" s="247">
        <f>Balanço_MRE!L896</f>
        <v>0</v>
      </c>
      <c r="M896" s="247">
        <f>Balanço_MRE!M896</f>
        <v>0</v>
      </c>
      <c r="N896" s="247">
        <f>Balanço_MRE!N896</f>
        <v>0</v>
      </c>
      <c r="O896" s="247">
        <f>Balanço_MRE!O896</f>
        <v>0</v>
      </c>
      <c r="P896" s="247">
        <f>Balanço_MRE!P896</f>
        <v>0</v>
      </c>
      <c r="Q896" s="247"/>
    </row>
    <row r="897" spans="1:23" ht="15" x14ac:dyDescent="0.25">
      <c r="A897" s="167" t="str">
        <f>Balanço_MRE!A897</f>
        <v>Fertilizantes - Piaçaguera (CUB2)</v>
      </c>
      <c r="B897" s="167">
        <f>Balanço_MRE!B897</f>
        <v>0</v>
      </c>
      <c r="C897" s="167" t="str">
        <f>Balanço_MRE!C897</f>
        <v>Carga</v>
      </c>
      <c r="D897" s="192" t="str">
        <f>Balanço_MRE!D897</f>
        <v>SUDESTE</v>
      </c>
      <c r="E897" s="79">
        <f>Balanço_MRE!E897</f>
        <v>21.297051</v>
      </c>
      <c r="F897" s="262">
        <f>Balanço_MRE!F897</f>
        <v>15845.006261030916</v>
      </c>
      <c r="G897" s="263">
        <f>Balanço_MRE!G897</f>
        <v>354.529</v>
      </c>
      <c r="H897" s="193">
        <f>Balanço_MRE!H897</f>
        <v>0.03</v>
      </c>
      <c r="I897" s="144"/>
      <c r="J897" s="247">
        <f>Balanço_MRE!J897</f>
        <v>0</v>
      </c>
      <c r="K897" s="247">
        <f>Balanço_MRE!K897</f>
        <v>0</v>
      </c>
      <c r="L897" s="247">
        <f>Balanço_MRE!L897</f>
        <v>0</v>
      </c>
      <c r="M897" s="247">
        <f>Balanço_MRE!M897</f>
        <v>0</v>
      </c>
      <c r="N897" s="247">
        <f>Balanço_MRE!N897</f>
        <v>0</v>
      </c>
      <c r="O897" s="247">
        <f>Balanço_MRE!O897</f>
        <v>0</v>
      </c>
      <c r="P897" s="247">
        <f>Balanço_MRE!P897</f>
        <v>0</v>
      </c>
      <c r="Q897" s="247"/>
    </row>
    <row r="898" spans="1:23" x14ac:dyDescent="0.2">
      <c r="A898" s="167" t="str">
        <f>Balanço_MRE!A898</f>
        <v>Fertilizantes - Cubatão (CUB3)</v>
      </c>
      <c r="B898" s="167">
        <f>Balanço_MRE!B898</f>
        <v>0</v>
      </c>
      <c r="C898" s="167" t="str">
        <f>Balanço_MRE!C898</f>
        <v>Carga</v>
      </c>
      <c r="D898" s="192" t="str">
        <f>Balanço_MRE!D898</f>
        <v>SUDESTE</v>
      </c>
      <c r="E898" s="79">
        <f>Balanço_MRE!E898</f>
        <v>4.6775120000000001</v>
      </c>
      <c r="F898" s="262">
        <f>Balanço_MRE!F898</f>
        <v>3480.0690366157132</v>
      </c>
      <c r="G898" s="263">
        <f>Balanço_MRE!G898</f>
        <v>58.878</v>
      </c>
      <c r="H898" s="193">
        <f>Balanço_MRE!H898</f>
        <v>0.03</v>
      </c>
      <c r="I898" s="144"/>
      <c r="J898" s="151" t="str">
        <f>Balanço_MRE!J898</f>
        <v>TBLC-08.267</v>
      </c>
      <c r="K898" s="95">
        <f>Balanço_MRE!K898</f>
        <v>4687.2</v>
      </c>
      <c r="L898" s="43">
        <f>Balanço_MRE!L898</f>
        <v>3888.2322175999998</v>
      </c>
      <c r="M898" s="96">
        <f>Balanço_MRE!M898</f>
        <v>5155.92</v>
      </c>
      <c r="N898" s="228">
        <f>Balanço_MRE!N898</f>
        <v>3421.1910366157131</v>
      </c>
      <c r="O898" s="229">
        <f>Balanço_MRE!O898</f>
        <v>3888.2322175999998</v>
      </c>
      <c r="P898" s="228">
        <f>Balanço_MRE!P898</f>
        <v>3421.1910366157131</v>
      </c>
      <c r="Q898" s="228"/>
    </row>
    <row r="899" spans="1:23" ht="15" x14ac:dyDescent="0.25">
      <c r="A899" s="171"/>
      <c r="B899" s="172"/>
      <c r="C899" s="171"/>
      <c r="D899" s="173"/>
      <c r="E899" s="174"/>
      <c r="F899" s="175"/>
      <c r="G899" s="175"/>
      <c r="H899" s="175"/>
      <c r="J899" s="247"/>
      <c r="K899" s="247"/>
      <c r="L899" s="247"/>
      <c r="M899" s="247"/>
      <c r="N899" s="247"/>
      <c r="O899" s="247"/>
      <c r="P899" s="228"/>
    </row>
    <row r="900" spans="1:23" ht="15" x14ac:dyDescent="0.25">
      <c r="A900" s="80" t="s">
        <v>32</v>
      </c>
      <c r="B900" s="16"/>
      <c r="C900" s="16"/>
      <c r="D900" s="17"/>
      <c r="E900" s="81">
        <f>SUM(E896:E899)</f>
        <v>33.215642000000003</v>
      </c>
      <c r="F900" s="84">
        <f>SUM(F896:F899)</f>
        <v>24712.438101770349</v>
      </c>
      <c r="G900" s="84">
        <f>SUM(G896:G899)</f>
        <v>521.88499999999999</v>
      </c>
      <c r="H900" s="84"/>
      <c r="I900" s="115"/>
      <c r="J900" s="144"/>
      <c r="K900" s="115"/>
      <c r="L900" s="115"/>
      <c r="M900" s="115"/>
      <c r="N900" s="247"/>
      <c r="O900" s="115"/>
    </row>
    <row r="901" spans="1:23" ht="15" x14ac:dyDescent="0.25">
      <c r="F901" s="115"/>
      <c r="G901" s="109"/>
      <c r="N901" s="247"/>
    </row>
    <row r="902" spans="1:23" ht="15" x14ac:dyDescent="0.25">
      <c r="A902" s="548" t="s">
        <v>70</v>
      </c>
      <c r="B902" s="548"/>
      <c r="C902" s="548"/>
      <c r="D902" s="548"/>
      <c r="E902" s="548"/>
      <c r="F902" s="548"/>
      <c r="G902" s="548"/>
      <c r="H902" s="548"/>
      <c r="N902" s="247"/>
    </row>
    <row r="903" spans="1:23" ht="15" x14ac:dyDescent="0.25">
      <c r="A903" s="10" t="s">
        <v>252</v>
      </c>
      <c r="B903" s="10" t="s">
        <v>1</v>
      </c>
      <c r="C903" s="10" t="s">
        <v>2</v>
      </c>
      <c r="D903" s="10" t="s">
        <v>3</v>
      </c>
      <c r="E903" s="10" t="s">
        <v>137</v>
      </c>
      <c r="F903" s="10" t="s">
        <v>25</v>
      </c>
      <c r="G903" s="10" t="s">
        <v>253</v>
      </c>
      <c r="H903" s="10" t="s">
        <v>254</v>
      </c>
      <c r="J903" s="10" t="s">
        <v>72</v>
      </c>
      <c r="K903" s="10" t="s">
        <v>73</v>
      </c>
      <c r="L903" s="10" t="s">
        <v>74</v>
      </c>
      <c r="M903" s="10" t="s">
        <v>75</v>
      </c>
      <c r="N903" s="247"/>
      <c r="O903" s="565"/>
      <c r="P903" s="566"/>
      <c r="Q903" s="566"/>
      <c r="R903" s="566"/>
      <c r="S903" s="566"/>
      <c r="T903" s="566"/>
      <c r="U903" s="566"/>
      <c r="V903" s="566"/>
      <c r="W903" s="567"/>
    </row>
    <row r="904" spans="1:23" ht="15" x14ac:dyDescent="0.25">
      <c r="A904" s="167">
        <f>Balanço_MRE!A904</f>
        <v>0</v>
      </c>
      <c r="B904" s="167" t="str">
        <f>Balanço_MRE!B904</f>
        <v>PROINFA | ACEP &gt;&gt; SE</v>
      </c>
      <c r="C904" s="167" t="str">
        <f>Balanço_MRE!C904</f>
        <v>Contratos de Compra</v>
      </c>
      <c r="D904" s="192" t="str">
        <f>Balanço_MRE!D904</f>
        <v>SUDESTE</v>
      </c>
      <c r="E904" s="79">
        <f>Balanço_MRE!E904</f>
        <v>0.70145800000000003</v>
      </c>
      <c r="F904" s="262">
        <f>Balanço_MRE!F904</f>
        <v>521.88499999999999</v>
      </c>
      <c r="G904" s="263">
        <f>Balanço_MRE!G904</f>
        <v>0</v>
      </c>
      <c r="H904" s="193">
        <f>Balanço_MRE!H904</f>
        <v>0</v>
      </c>
      <c r="I904" s="152"/>
      <c r="J904" s="247" t="e">
        <f>SUM([30]Contratos!$W$3:$W$10)</f>
        <v>#REF!</v>
      </c>
      <c r="K904" s="247" t="e">
        <f>#REF!</f>
        <v>#REF!</v>
      </c>
      <c r="L904" s="247"/>
      <c r="M904" s="247"/>
      <c r="N904" s="247"/>
      <c r="O904" s="318"/>
      <c r="P904" s="319"/>
      <c r="Q904" s="319"/>
      <c r="R904" s="319"/>
      <c r="S904" s="319"/>
      <c r="T904" s="319"/>
      <c r="U904" s="319"/>
      <c r="V904" s="319"/>
      <c r="W904" s="320"/>
    </row>
    <row r="905" spans="1:23" ht="15" x14ac:dyDescent="0.25">
      <c r="A905" s="167">
        <f>Balanço_MRE!A905</f>
        <v>996722</v>
      </c>
      <c r="B905" s="167" t="str">
        <f>Balanço_MRE!B905</f>
        <v>CVRD PIE &gt;&gt; 0717_0119</v>
      </c>
      <c r="C905" s="167" t="str">
        <f>Balanço_MRE!C905</f>
        <v>Contratos de Compra</v>
      </c>
      <c r="D905" s="192" t="str">
        <f>Balanço_MRE!D905</f>
        <v>SUDESTE</v>
      </c>
      <c r="E905" s="79">
        <f>Balanço_MRE!E905</f>
        <v>0</v>
      </c>
      <c r="F905" s="262">
        <f>Balanço_MRE!F905</f>
        <v>0</v>
      </c>
      <c r="G905" s="263">
        <f>Balanço_MRE!G905</f>
        <v>0</v>
      </c>
      <c r="H905" s="193">
        <f>Balanço_MRE!H905</f>
        <v>0</v>
      </c>
      <c r="J905" s="9" t="e">
        <f>VLOOKUP(A905,[31]RelatorioContratos_080817_10532!$A$3:$AG$680,26,FALSE)</f>
        <v>#N/A</v>
      </c>
      <c r="K905" s="9" t="e">
        <f>VLOOKUP(A905,[31]RelatorioContratos_080817_10532!$A$3:$AG$680,8,FALSE)</f>
        <v>#N/A</v>
      </c>
      <c r="L905" s="9" t="e">
        <f>VLOOKUP(A905,[31]RelatorioContratos_080817_10532!$A$3:$AG$680,32,FALSE)</f>
        <v>#N/A</v>
      </c>
      <c r="M905" s="9" t="e">
        <f>VLOOKUP(A905,[31]RelatorioContratos_080817_10532!$A$3:$AG$680,33,FALSE)</f>
        <v>#N/A</v>
      </c>
      <c r="N905" s="247"/>
      <c r="O905" s="360"/>
      <c r="P905" s="361"/>
      <c r="Q905" s="361"/>
      <c r="R905" s="362"/>
      <c r="S905" s="361"/>
      <c r="T905" s="363"/>
      <c r="U905" s="364"/>
      <c r="V905" s="365"/>
      <c r="W905" s="371"/>
    </row>
    <row r="906" spans="1:23" ht="15" x14ac:dyDescent="0.25">
      <c r="A906" s="167">
        <f>Balanço_MRE!A906</f>
        <v>1097176</v>
      </c>
      <c r="B906" s="167" t="str">
        <f>Balanço_MRE!B906</f>
        <v>CCVE_26_30,30_VE_2018_a_2021_CUBATAO</v>
      </c>
      <c r="C906" s="167" t="str">
        <f>Balanço_MRE!C906</f>
        <v>Contratos de Compra</v>
      </c>
      <c r="D906" s="192" t="str">
        <f>Balanço_MRE!D906</f>
        <v>SUDESTE</v>
      </c>
      <c r="E906" s="79">
        <f>Balanço_MRE!E906</f>
        <v>32.514184</v>
      </c>
      <c r="F906" s="262">
        <f>Balanço_MRE!F906</f>
        <v>24190.553101770351</v>
      </c>
      <c r="G906" s="263">
        <f>Balanço_MRE!G906</f>
        <v>174.27200874507366</v>
      </c>
      <c r="H906" s="193">
        <f>Balanço_MRE!H906</f>
        <v>4215736.2816998912</v>
      </c>
      <c r="J906" s="9"/>
      <c r="K906" s="9"/>
      <c r="L906" s="9"/>
      <c r="M906" s="9"/>
      <c r="N906" s="247"/>
      <c r="O906" s="360"/>
      <c r="P906" s="361"/>
      <c r="Q906" s="361"/>
      <c r="R906" s="362"/>
      <c r="S906" s="361"/>
      <c r="T906" s="363"/>
      <c r="U906" s="361"/>
      <c r="V906" s="365"/>
      <c r="W906" s="371"/>
    </row>
    <row r="907" spans="1:23" ht="15.75" thickBot="1" x14ac:dyDescent="0.3">
      <c r="A907" s="167">
        <f>Balanço_MRE!A907</f>
        <v>0</v>
      </c>
      <c r="B907" s="167">
        <f>Balanço_MRE!B907</f>
        <v>0</v>
      </c>
      <c r="C907" s="167">
        <f>Balanço_MRE!C907</f>
        <v>0</v>
      </c>
      <c r="D907" s="192">
        <f>Balanço_MRE!D907</f>
        <v>0</v>
      </c>
      <c r="E907" s="79">
        <f>Balanço_MRE!E907</f>
        <v>0</v>
      </c>
      <c r="F907" s="262">
        <f>Balanço_MRE!F907</f>
        <v>0</v>
      </c>
      <c r="G907" s="263">
        <f>Balanço_MRE!G907</f>
        <v>0</v>
      </c>
      <c r="H907" s="193">
        <f>Balanço_MRE!H907</f>
        <v>0</v>
      </c>
      <c r="I907" s="115"/>
      <c r="J907" s="9" t="e">
        <f>VLOOKUP(A908,#REF!,26,FALSE)</f>
        <v>#REF!</v>
      </c>
      <c r="K907" s="9" t="e">
        <f>VLOOKUP(A908,#REF!,8,FALSE)</f>
        <v>#REF!</v>
      </c>
      <c r="L907" s="9" t="e">
        <f>VLOOKUP(A908,#REF!,32,FALSE)</f>
        <v>#REF!</v>
      </c>
      <c r="M907" s="9" t="e">
        <f>VLOOKUP(A908,#REF!,33,FALSE)</f>
        <v>#REF!</v>
      </c>
      <c r="N907" s="247"/>
      <c r="O907" s="366"/>
      <c r="P907" s="367"/>
      <c r="Q907" s="367"/>
      <c r="R907" s="368"/>
      <c r="S907" s="367"/>
      <c r="T907" s="369"/>
      <c r="U907" s="367"/>
      <c r="V907" s="370"/>
      <c r="W907" s="372"/>
    </row>
    <row r="908" spans="1:23" ht="15.75" thickTop="1" x14ac:dyDescent="0.25">
      <c r="A908" s="167">
        <f>Balanço_MRE!A908</f>
        <v>0</v>
      </c>
      <c r="B908" s="167">
        <f>Balanço_MRE!B908</f>
        <v>0</v>
      </c>
      <c r="C908" s="167">
        <f>Balanço_MRE!C908</f>
        <v>0</v>
      </c>
      <c r="D908" s="192">
        <f>Balanço_MRE!D908</f>
        <v>0</v>
      </c>
      <c r="E908" s="79">
        <f>Balanço_MRE!E908</f>
        <v>0</v>
      </c>
      <c r="F908" s="262">
        <f>Balanço_MRE!F908</f>
        <v>0</v>
      </c>
      <c r="G908" s="263">
        <f>Balanço_MRE!G908</f>
        <v>0</v>
      </c>
      <c r="H908" s="193">
        <f>Balanço_MRE!H908</f>
        <v>0</v>
      </c>
      <c r="I908" s="152"/>
      <c r="J908" s="9" t="e">
        <f>VLOOKUP(A907,#REF!,26,FALSE)</f>
        <v>#REF!</v>
      </c>
      <c r="K908" s="9" t="e">
        <f>VLOOKUP(A907,#REF!,8,FALSE)</f>
        <v>#REF!</v>
      </c>
      <c r="L908" s="9" t="e">
        <f>VLOOKUP(A907,#REF!,32,FALSE)</f>
        <v>#REF!</v>
      </c>
      <c r="M908" s="9" t="e">
        <f>VLOOKUP(A907,#REF!,33,FALSE)</f>
        <v>#REF!</v>
      </c>
      <c r="N908" s="247"/>
      <c r="O908" s="373"/>
      <c r="P908" s="374"/>
      <c r="Q908" s="374"/>
      <c r="R908" s="374"/>
      <c r="S908" s="374"/>
      <c r="T908" s="375"/>
      <c r="U908" s="376"/>
      <c r="V908" s="374"/>
      <c r="W908" s="377"/>
    </row>
    <row r="909" spans="1:23" ht="15" x14ac:dyDescent="0.25">
      <c r="A909" s="167">
        <f>Balanço_MRE!A909</f>
        <v>0</v>
      </c>
      <c r="B909" s="167">
        <f>Balanço_MRE!B909</f>
        <v>0</v>
      </c>
      <c r="C909" s="167">
        <f>Balanço_MRE!C909</f>
        <v>0</v>
      </c>
      <c r="D909" s="192">
        <f>Balanço_MRE!D909</f>
        <v>0</v>
      </c>
      <c r="E909" s="79">
        <f>Balanço_MRE!E909</f>
        <v>0</v>
      </c>
      <c r="F909" s="262">
        <f>Balanço_MRE!F909</f>
        <v>0</v>
      </c>
      <c r="G909" s="263">
        <f>Balanço_MRE!G909</f>
        <v>0</v>
      </c>
      <c r="H909" s="193">
        <f>Balanço_MRE!H909</f>
        <v>0</v>
      </c>
      <c r="J909" s="247"/>
      <c r="K909" s="247"/>
      <c r="L909" s="247"/>
      <c r="M909" s="247"/>
      <c r="N909" s="247"/>
      <c r="O909" s="247"/>
    </row>
    <row r="910" spans="1:23" ht="15" x14ac:dyDescent="0.25">
      <c r="A910" s="198"/>
      <c r="B910" s="198"/>
      <c r="C910" s="198"/>
      <c r="D910" s="261"/>
      <c r="E910" s="85"/>
      <c r="F910" s="86"/>
      <c r="G910" s="86"/>
      <c r="H910" s="86"/>
      <c r="J910" s="393"/>
      <c r="K910" s="393"/>
      <c r="L910" s="393"/>
      <c r="M910" s="393"/>
      <c r="N910" s="247"/>
      <c r="O910" s="247"/>
    </row>
    <row r="911" spans="1:23" ht="15" x14ac:dyDescent="0.25">
      <c r="A911" s="80" t="s">
        <v>32</v>
      </c>
      <c r="B911" s="16"/>
      <c r="C911" s="16"/>
      <c r="D911" s="17"/>
      <c r="E911" s="81">
        <f>SUM(E904:E910)</f>
        <v>33.215642000000003</v>
      </c>
      <c r="F911" s="84">
        <f>SUM(F904:F910)</f>
        <v>24712.438101770349</v>
      </c>
      <c r="G911" s="82">
        <f>IFERROR(H911/F911,0)</f>
        <v>170.5916779371876</v>
      </c>
      <c r="H911" s="82">
        <f>SUM(H904:H910)</f>
        <v>4215736.2816998912</v>
      </c>
      <c r="I911" s="115"/>
      <c r="N911" s="247"/>
    </row>
    <row r="912" spans="1:23" ht="15" x14ac:dyDescent="0.25">
      <c r="N912" s="247"/>
    </row>
    <row r="913" spans="1:14" ht="15" x14ac:dyDescent="0.25">
      <c r="A913" s="548" t="s">
        <v>233</v>
      </c>
      <c r="B913" s="548"/>
      <c r="C913" s="548"/>
      <c r="E913" s="116" t="s">
        <v>19</v>
      </c>
      <c r="F913" s="116"/>
      <c r="G913" s="117" t="s">
        <v>20</v>
      </c>
      <c r="H913" s="117"/>
      <c r="I913" s="118" t="s">
        <v>21</v>
      </c>
      <c r="J913" s="118"/>
      <c r="K913" s="119" t="s">
        <v>22</v>
      </c>
      <c r="L913" s="119"/>
      <c r="N913" s="247"/>
    </row>
    <row r="914" spans="1:14" ht="15" x14ac:dyDescent="0.25">
      <c r="A914" s="10" t="s">
        <v>2</v>
      </c>
      <c r="B914" s="10" t="s">
        <v>137</v>
      </c>
      <c r="C914" s="10" t="s">
        <v>25</v>
      </c>
      <c r="E914" s="207" t="s">
        <v>137</v>
      </c>
      <c r="F914" s="208" t="s">
        <v>25</v>
      </c>
      <c r="G914" s="209" t="s">
        <v>137</v>
      </c>
      <c r="H914" s="210" t="s">
        <v>25</v>
      </c>
      <c r="I914" s="211" t="s">
        <v>137</v>
      </c>
      <c r="J914" s="212" t="s">
        <v>25</v>
      </c>
      <c r="K914" s="213" t="s">
        <v>137</v>
      </c>
      <c r="L914" s="214" t="s">
        <v>25</v>
      </c>
      <c r="N914" s="247"/>
    </row>
    <row r="915" spans="1:14" ht="15" x14ac:dyDescent="0.25">
      <c r="A915" s="29" t="s">
        <v>69</v>
      </c>
      <c r="B915" s="70">
        <v>0</v>
      </c>
      <c r="C915" s="83">
        <v>0</v>
      </c>
      <c r="E915" s="120">
        <f t="shared" ref="E915:E921" si="198">SUMIFS($E$896:$E$910,$C$896:$C$910,$A915,$D$896:$D$910,$E$913)</f>
        <v>0</v>
      </c>
      <c r="F915" s="121">
        <f t="shared" ref="F915:F921" si="199">SUMIFS($F$896:$F$910,$C$896:$C$910,$A915,$D$896:$D$910,$E$913)</f>
        <v>0</v>
      </c>
      <c r="G915" s="122">
        <f t="shared" ref="G915:G921" si="200">SUMIFS($E$896:$E$910,$C$896:$C$910,$A915,$D$896:$D$910,$G$913)</f>
        <v>0</v>
      </c>
      <c r="H915" s="123">
        <f t="shared" ref="H915:H921" si="201">SUMIFS($F$896:$F$910,$C$896:$C$910,$A915,$D$896:$D$910,$G$913)</f>
        <v>0</v>
      </c>
      <c r="I915" s="124">
        <f t="shared" ref="I915:I921" si="202">SUMIFS($E$896:$E$910,$C$896:$C$910,$A915,$D$896:$D$910,$I$913)</f>
        <v>0</v>
      </c>
      <c r="J915" s="125">
        <f t="shared" ref="J915:J921" si="203">SUMIFS($F$896:$F$910,$C$896:$C$910,$A915,$D$896:$D$910,$I$913)</f>
        <v>0</v>
      </c>
      <c r="K915" s="126">
        <f t="shared" ref="K915:K921" si="204">SUMIFS($E$896:$E$910,$C$896:$C$910,$A915,$D$896:$D$910,$K$913)</f>
        <v>0</v>
      </c>
      <c r="L915" s="127">
        <f t="shared" ref="L915:L921" si="205">SUMIFS($F$896:$F$910,$C$896:$C$910,$A915,$D$896:$D$910,$K$913)</f>
        <v>0</v>
      </c>
      <c r="N915" s="247"/>
    </row>
    <row r="916" spans="1:14" ht="15" x14ac:dyDescent="0.25">
      <c r="A916" s="29" t="s">
        <v>47</v>
      </c>
      <c r="B916" s="70">
        <v>0</v>
      </c>
      <c r="C916" s="83">
        <v>0</v>
      </c>
      <c r="E916" s="120">
        <f t="shared" si="198"/>
        <v>0</v>
      </c>
      <c r="F916" s="121">
        <f t="shared" si="199"/>
        <v>0</v>
      </c>
      <c r="G916" s="122">
        <f t="shared" si="200"/>
        <v>0</v>
      </c>
      <c r="H916" s="123">
        <f t="shared" si="201"/>
        <v>0</v>
      </c>
      <c r="I916" s="124">
        <f t="shared" si="202"/>
        <v>0</v>
      </c>
      <c r="J916" s="125">
        <f t="shared" si="203"/>
        <v>0</v>
      </c>
      <c r="K916" s="126">
        <f t="shared" si="204"/>
        <v>0</v>
      </c>
      <c r="L916" s="127">
        <f t="shared" si="205"/>
        <v>0</v>
      </c>
      <c r="N916" s="247"/>
    </row>
    <row r="917" spans="1:14" ht="15" x14ac:dyDescent="0.25">
      <c r="A917" s="29" t="s">
        <v>79</v>
      </c>
      <c r="B917" s="70">
        <v>0</v>
      </c>
      <c r="C917" s="83">
        <v>0</v>
      </c>
      <c r="E917" s="120">
        <f t="shared" si="198"/>
        <v>0</v>
      </c>
      <c r="F917" s="121">
        <f t="shared" si="199"/>
        <v>0</v>
      </c>
      <c r="G917" s="122">
        <f t="shared" si="200"/>
        <v>0</v>
      </c>
      <c r="H917" s="123">
        <f t="shared" si="201"/>
        <v>0</v>
      </c>
      <c r="I917" s="124">
        <f t="shared" si="202"/>
        <v>0</v>
      </c>
      <c r="J917" s="125">
        <f t="shared" si="203"/>
        <v>0</v>
      </c>
      <c r="K917" s="126">
        <f t="shared" si="204"/>
        <v>0</v>
      </c>
      <c r="L917" s="127">
        <f t="shared" si="205"/>
        <v>0</v>
      </c>
      <c r="N917" s="247"/>
    </row>
    <row r="918" spans="1:14" ht="15" x14ac:dyDescent="0.25">
      <c r="A918" s="29" t="s">
        <v>71</v>
      </c>
      <c r="B918" s="70">
        <f>E911</f>
        <v>33.215642000000003</v>
      </c>
      <c r="C918" s="83">
        <f>F911</f>
        <v>24712.438101770349</v>
      </c>
      <c r="E918" s="120">
        <f t="shared" si="198"/>
        <v>0</v>
      </c>
      <c r="F918" s="121">
        <f t="shared" si="199"/>
        <v>0</v>
      </c>
      <c r="G918" s="122">
        <f t="shared" si="200"/>
        <v>0</v>
      </c>
      <c r="H918" s="123">
        <f t="shared" si="201"/>
        <v>0</v>
      </c>
      <c r="I918" s="124">
        <f t="shared" si="202"/>
        <v>33.215642000000003</v>
      </c>
      <c r="J918" s="125">
        <f t="shared" si="203"/>
        <v>24712.438101770349</v>
      </c>
      <c r="K918" s="126">
        <f t="shared" si="204"/>
        <v>0</v>
      </c>
      <c r="L918" s="127">
        <f t="shared" si="205"/>
        <v>0</v>
      </c>
      <c r="N918" s="247"/>
    </row>
    <row r="919" spans="1:14" ht="15" x14ac:dyDescent="0.25">
      <c r="A919" s="29" t="s">
        <v>9</v>
      </c>
      <c r="B919" s="70">
        <f>E900</f>
        <v>33.215642000000003</v>
      </c>
      <c r="C919" s="83">
        <f>F900</f>
        <v>24712.438101770349</v>
      </c>
      <c r="E919" s="120">
        <f t="shared" si="198"/>
        <v>0</v>
      </c>
      <c r="F919" s="121">
        <f t="shared" si="199"/>
        <v>0</v>
      </c>
      <c r="G919" s="122">
        <f t="shared" si="200"/>
        <v>0</v>
      </c>
      <c r="H919" s="123">
        <f t="shared" si="201"/>
        <v>0</v>
      </c>
      <c r="I919" s="124">
        <f t="shared" si="202"/>
        <v>33.215642000000003</v>
      </c>
      <c r="J919" s="125">
        <f t="shared" si="203"/>
        <v>24712.438101770349</v>
      </c>
      <c r="K919" s="126">
        <f t="shared" si="204"/>
        <v>0</v>
      </c>
      <c r="L919" s="127">
        <f t="shared" si="205"/>
        <v>0</v>
      </c>
      <c r="N919" s="247"/>
    </row>
    <row r="920" spans="1:14" ht="15" x14ac:dyDescent="0.25">
      <c r="A920" s="29" t="s">
        <v>80</v>
      </c>
      <c r="B920" s="70">
        <v>0</v>
      </c>
      <c r="C920" s="83">
        <v>0</v>
      </c>
      <c r="E920" s="120">
        <f t="shared" si="198"/>
        <v>0</v>
      </c>
      <c r="F920" s="121">
        <f t="shared" si="199"/>
        <v>0</v>
      </c>
      <c r="G920" s="122">
        <f t="shared" si="200"/>
        <v>0</v>
      </c>
      <c r="H920" s="123">
        <f t="shared" si="201"/>
        <v>0</v>
      </c>
      <c r="I920" s="124">
        <f t="shared" si="202"/>
        <v>0</v>
      </c>
      <c r="J920" s="125">
        <f t="shared" si="203"/>
        <v>0</v>
      </c>
      <c r="K920" s="126">
        <f t="shared" si="204"/>
        <v>0</v>
      </c>
      <c r="L920" s="127">
        <f t="shared" si="205"/>
        <v>0</v>
      </c>
      <c r="N920" s="247"/>
    </row>
    <row r="921" spans="1:14" ht="15" x14ac:dyDescent="0.25">
      <c r="A921" s="29" t="s">
        <v>77</v>
      </c>
      <c r="B921" s="70">
        <v>0</v>
      </c>
      <c r="C921" s="83">
        <v>0</v>
      </c>
      <c r="E921" s="120">
        <f t="shared" si="198"/>
        <v>0</v>
      </c>
      <c r="F921" s="121">
        <f t="shared" si="199"/>
        <v>0</v>
      </c>
      <c r="G921" s="122">
        <f t="shared" si="200"/>
        <v>0</v>
      </c>
      <c r="H921" s="123">
        <f t="shared" si="201"/>
        <v>0</v>
      </c>
      <c r="I921" s="124">
        <f t="shared" si="202"/>
        <v>0</v>
      </c>
      <c r="J921" s="125">
        <f t="shared" si="203"/>
        <v>0</v>
      </c>
      <c r="K921" s="126">
        <f t="shared" si="204"/>
        <v>0</v>
      </c>
      <c r="L921" s="127">
        <f t="shared" si="205"/>
        <v>0</v>
      </c>
      <c r="N921" s="247"/>
    </row>
    <row r="922" spans="1:14" ht="15" x14ac:dyDescent="0.25">
      <c r="A922" s="11" t="s">
        <v>81</v>
      </c>
      <c r="B922" s="12">
        <f>SUM(B915:B918)-SUM(B919:B921)</f>
        <v>0</v>
      </c>
      <c r="C922" s="12">
        <f>SUM(C915:C918)-SUM(C919:C921)</f>
        <v>0</v>
      </c>
      <c r="E922" s="128">
        <f>SUM(E915:E918)-SUM(E919:E921)</f>
        <v>0</v>
      </c>
      <c r="F922" s="129">
        <f>SUM(F915:F918)-SUM(F919:F921)</f>
        <v>0</v>
      </c>
      <c r="G922" s="130">
        <f t="shared" ref="G922:L922" si="206">SUM(G915:G918)-SUM(G919:G921)</f>
        <v>0</v>
      </c>
      <c r="H922" s="131">
        <f t="shared" si="206"/>
        <v>0</v>
      </c>
      <c r="I922" s="132">
        <f t="shared" si="206"/>
        <v>0</v>
      </c>
      <c r="J922" s="133">
        <f t="shared" si="206"/>
        <v>0</v>
      </c>
      <c r="K922" s="134">
        <f t="shared" si="206"/>
        <v>0</v>
      </c>
      <c r="L922" s="135">
        <f t="shared" si="206"/>
        <v>0</v>
      </c>
      <c r="N922" s="247"/>
    </row>
    <row r="923" spans="1:14" ht="15" x14ac:dyDescent="0.25">
      <c r="A923" s="11" t="s">
        <v>82</v>
      </c>
      <c r="B923" s="12">
        <f>SUM(B915:B918)-SUM(B919:B922)</f>
        <v>0</v>
      </c>
      <c r="C923" s="12">
        <f>SUM(C915:C918)-SUM(C919:C922)</f>
        <v>0</v>
      </c>
      <c r="E923" s="128">
        <f>SUM(E915:E918)-SUM(E919:E922)</f>
        <v>0</v>
      </c>
      <c r="F923" s="129">
        <f t="shared" ref="F923:L923" si="207">SUM(F915:F918)-SUM(F919:F922)</f>
        <v>0</v>
      </c>
      <c r="G923" s="130">
        <f t="shared" si="207"/>
        <v>0</v>
      </c>
      <c r="H923" s="131">
        <f t="shared" si="207"/>
        <v>0</v>
      </c>
      <c r="I923" s="132">
        <f t="shared" si="207"/>
        <v>0</v>
      </c>
      <c r="J923" s="133">
        <f t="shared" si="207"/>
        <v>0</v>
      </c>
      <c r="K923" s="134">
        <f t="shared" si="207"/>
        <v>0</v>
      </c>
      <c r="L923" s="135">
        <f t="shared" si="207"/>
        <v>0</v>
      </c>
      <c r="N923" s="247"/>
    </row>
    <row r="924" spans="1:14" ht="15" x14ac:dyDescent="0.25">
      <c r="N924" s="247"/>
    </row>
    <row r="925" spans="1:14" ht="15" x14ac:dyDescent="0.25">
      <c r="E925" s="153">
        <f>(F922*$H$5)+(H922*$J$5)+(J922*$L$5)+(L922*$N$5)</f>
        <v>0</v>
      </c>
      <c r="N925" s="247"/>
    </row>
    <row r="926" spans="1:14" ht="15" x14ac:dyDescent="0.25">
      <c r="N926" s="247"/>
    </row>
    <row r="927" spans="1:14" ht="15" x14ac:dyDescent="0.25">
      <c r="N927" s="247"/>
    </row>
    <row r="928" spans="1:14" ht="15" x14ac:dyDescent="0.25">
      <c r="A928" s="564" t="s">
        <v>391</v>
      </c>
      <c r="B928" s="564"/>
      <c r="C928" s="564"/>
      <c r="D928" s="564"/>
      <c r="E928" s="564"/>
      <c r="F928" s="564"/>
      <c r="G928" s="564"/>
      <c r="H928" s="564"/>
      <c r="I928" s="247"/>
      <c r="J928" s="247"/>
      <c r="K928" s="247"/>
      <c r="L928" s="247"/>
      <c r="N928" s="247"/>
    </row>
    <row r="929" spans="1:14" ht="15" x14ac:dyDescent="0.25">
      <c r="A929" s="564"/>
      <c r="B929" s="564"/>
      <c r="C929" s="564"/>
      <c r="D929" s="564"/>
      <c r="E929" s="564"/>
      <c r="F929" s="564"/>
      <c r="G929" s="564"/>
      <c r="H929" s="564"/>
      <c r="I929" s="247"/>
      <c r="J929" s="247"/>
      <c r="K929" s="247"/>
      <c r="L929" s="247"/>
      <c r="N929" s="247"/>
    </row>
    <row r="930" spans="1:14" ht="3.75" customHeight="1" x14ac:dyDescent="0.25">
      <c r="I930" s="247"/>
      <c r="J930" s="247"/>
      <c r="K930" s="247"/>
      <c r="L930" s="247"/>
      <c r="N930" s="247"/>
    </row>
    <row r="931" spans="1:14" ht="15" x14ac:dyDescent="0.25">
      <c r="A931" s="548" t="s">
        <v>85</v>
      </c>
      <c r="B931" s="548"/>
      <c r="C931" s="548"/>
      <c r="D931" s="548"/>
      <c r="E931" s="548"/>
      <c r="F931" s="548"/>
      <c r="G931" s="548"/>
      <c r="H931" s="548"/>
      <c r="I931" s="247"/>
      <c r="J931" s="247" t="s">
        <v>119</v>
      </c>
      <c r="K931" s="247" t="s">
        <v>216</v>
      </c>
      <c r="L931" s="247"/>
      <c r="N931" s="247"/>
    </row>
    <row r="932" spans="1:14" ht="15" x14ac:dyDescent="0.25">
      <c r="A932" s="10" t="s">
        <v>8</v>
      </c>
      <c r="B932" s="10"/>
      <c r="C932" s="10" t="s">
        <v>2</v>
      </c>
      <c r="D932" s="10" t="s">
        <v>3</v>
      </c>
      <c r="E932" s="10" t="s">
        <v>137</v>
      </c>
      <c r="F932" s="10" t="s">
        <v>25</v>
      </c>
      <c r="G932" s="10" t="s">
        <v>95</v>
      </c>
      <c r="H932" s="10" t="s">
        <v>240</v>
      </c>
      <c r="I932" s="247"/>
      <c r="J932" s="247" t="s">
        <v>217</v>
      </c>
      <c r="K932" s="247">
        <v>222.57143999999997</v>
      </c>
      <c r="L932" s="247"/>
      <c r="N932" s="247"/>
    </row>
    <row r="933" spans="1:14" ht="15" x14ac:dyDescent="0.25">
      <c r="A933" s="167" t="str">
        <f>Balanço_MRE!A933</f>
        <v>Fertilizantes - Mosaic (CUB4)</v>
      </c>
      <c r="B933" s="167">
        <f>Balanço_MRE!B933</f>
        <v>0</v>
      </c>
      <c r="C933" s="167" t="str">
        <f>Balanço_MRE!C933</f>
        <v>Carga</v>
      </c>
      <c r="D933" s="192" t="str">
        <f>Balanço_MRE!D933</f>
        <v>SUDESTE</v>
      </c>
      <c r="E933" s="79">
        <f>Balanço_MRE!E933</f>
        <v>6.2135999999999997E-2</v>
      </c>
      <c r="F933" s="262">
        <f>Balanço_MRE!F933</f>
        <v>46.228904467353942</v>
      </c>
      <c r="G933" s="263">
        <f>Balanço_MRE!G933</f>
        <v>1.218</v>
      </c>
      <c r="H933" s="193">
        <f>Balanço_MRE!H933</f>
        <v>0.03</v>
      </c>
      <c r="I933" s="247"/>
      <c r="J933" s="247" t="s">
        <v>165</v>
      </c>
      <c r="K933" s="247">
        <f>IF((F942-K932)&lt;0,0,(F942-K932))</f>
        <v>0</v>
      </c>
      <c r="L933" s="247"/>
      <c r="N933" s="247"/>
    </row>
    <row r="934" spans="1:14" ht="15" x14ac:dyDescent="0.25">
      <c r="A934" s="215"/>
      <c r="B934" s="215"/>
      <c r="C934" s="215"/>
      <c r="D934" s="216"/>
      <c r="E934" s="174"/>
      <c r="F934" s="175"/>
      <c r="G934" s="175"/>
      <c r="H934" s="175"/>
      <c r="I934" s="247"/>
      <c r="J934" s="247"/>
      <c r="K934" s="247"/>
      <c r="L934" s="247"/>
      <c r="N934" s="247"/>
    </row>
    <row r="935" spans="1:14" ht="15" x14ac:dyDescent="0.25">
      <c r="A935" s="80" t="s">
        <v>32</v>
      </c>
      <c r="B935" s="16"/>
      <c r="C935" s="16"/>
      <c r="D935" s="17"/>
      <c r="E935" s="81">
        <f>SUM(E933:E934)</f>
        <v>6.2135999999999997E-2</v>
      </c>
      <c r="F935" s="84">
        <f>SUM(F933:F934)</f>
        <v>46.228904467353942</v>
      </c>
      <c r="G935" s="84">
        <f>SUM(G933:G934)</f>
        <v>1.218</v>
      </c>
      <c r="H935" s="84"/>
      <c r="I935" s="247"/>
      <c r="J935" s="247"/>
      <c r="K935" s="247"/>
      <c r="L935" s="247"/>
      <c r="N935" s="247"/>
    </row>
    <row r="936" spans="1:14" ht="15" x14ac:dyDescent="0.25">
      <c r="I936" s="247"/>
      <c r="J936" s="247"/>
      <c r="K936" s="247"/>
      <c r="L936" s="247"/>
      <c r="N936" s="247"/>
    </row>
    <row r="937" spans="1:14" ht="15" x14ac:dyDescent="0.25">
      <c r="A937" s="548" t="s">
        <v>70</v>
      </c>
      <c r="B937" s="548"/>
      <c r="C937" s="548"/>
      <c r="D937" s="548"/>
      <c r="E937" s="548"/>
      <c r="F937" s="548"/>
      <c r="G937" s="548"/>
      <c r="H937" s="548"/>
      <c r="N937" s="247"/>
    </row>
    <row r="938" spans="1:14" ht="15" x14ac:dyDescent="0.25">
      <c r="A938" s="10" t="s">
        <v>252</v>
      </c>
      <c r="B938" s="10" t="s">
        <v>1</v>
      </c>
      <c r="C938" s="10" t="s">
        <v>2</v>
      </c>
      <c r="D938" s="10" t="s">
        <v>3</v>
      </c>
      <c r="E938" s="10" t="s">
        <v>137</v>
      </c>
      <c r="F938" s="10" t="s">
        <v>25</v>
      </c>
      <c r="G938" s="10" t="s">
        <v>253</v>
      </c>
      <c r="H938" s="10" t="s">
        <v>254</v>
      </c>
      <c r="J938" s="10" t="s">
        <v>72</v>
      </c>
      <c r="K938" s="10" t="s">
        <v>73</v>
      </c>
      <c r="L938" s="10" t="s">
        <v>74</v>
      </c>
      <c r="M938" s="10" t="s">
        <v>75</v>
      </c>
      <c r="N938" s="247"/>
    </row>
    <row r="939" spans="1:14" ht="15" x14ac:dyDescent="0.25">
      <c r="A939" s="167">
        <f>Balanço_MRE!A939</f>
        <v>27503</v>
      </c>
      <c r="B939" s="167" t="str">
        <f>Balanço_MRE!B939</f>
        <v>PROINFA | ACEP &gt;&gt; 0807_1225</v>
      </c>
      <c r="C939" s="167" t="str">
        <f>Balanço_MRE!C939</f>
        <v>Contratos de Compra</v>
      </c>
      <c r="D939" s="192" t="str">
        <f>Balanço_MRE!D939</f>
        <v>SUDESTE</v>
      </c>
      <c r="E939" s="79">
        <f>Balanço_MRE!E939</f>
        <v>1.637E-3</v>
      </c>
      <c r="F939" s="262">
        <f>Balanço_MRE!F939</f>
        <v>1.218</v>
      </c>
      <c r="G939" s="263">
        <f>Balanço_MRE!G939</f>
        <v>0</v>
      </c>
      <c r="H939" s="193">
        <f>Balanço_MRE!H939</f>
        <v>0</v>
      </c>
      <c r="J939" s="247" t="str">
        <f>+[32]Contratos!W3</f>
        <v>6,165</v>
      </c>
      <c r="K939" s="247" t="str">
        <f>+[32]Contratos!X3</f>
        <v>Ajustado e Validado</v>
      </c>
      <c r="L939" s="247"/>
      <c r="M939" s="247"/>
      <c r="N939" s="247"/>
    </row>
    <row r="940" spans="1:14" ht="15" x14ac:dyDescent="0.25">
      <c r="A940" s="167">
        <f>Balanço_MRE!A940</f>
        <v>566601</v>
      </c>
      <c r="B940" s="167" t="str">
        <f>Balanço_MRE!B940</f>
        <v>CVRD APE I5G &gt;&gt; 0214_0119</v>
      </c>
      <c r="C940" s="167" t="str">
        <f>Balanço_MRE!C940</f>
        <v>Contratos de Compra</v>
      </c>
      <c r="D940" s="192" t="str">
        <f>Balanço_MRE!D940</f>
        <v>SUDESTE</v>
      </c>
      <c r="E940" s="79">
        <f>Balanço_MRE!E940</f>
        <v>0</v>
      </c>
      <c r="F940" s="262">
        <f>Balanço_MRE!F940</f>
        <v>0</v>
      </c>
      <c r="G940" s="263">
        <f>Balanço_MRE!G940</f>
        <v>0</v>
      </c>
      <c r="H940" s="193">
        <f>Balanço_MRE!H940</f>
        <v>0</v>
      </c>
      <c r="J940" s="9" t="e">
        <f>VLOOKUP(A940,[33]RelatorioContratos_080817_10515!$A$2:$AE$247,26,FALSE)</f>
        <v>#N/A</v>
      </c>
      <c r="K940" s="9" t="e">
        <f>VLOOKUP(A940,[33]RelatorioContratos_080817_10515!$A$2:$AE$247,8,FALSE)</f>
        <v>#N/A</v>
      </c>
      <c r="L940" s="9" t="e">
        <f>VLOOKUP(A940,[33]RelatorioContratos_080817_10515!$A$2:$AZ$247,32,FALSE)</f>
        <v>#N/A</v>
      </c>
      <c r="M940" s="9" t="e">
        <f>VLOOKUP(A940,[33]RelatorioContratos_080817_10515!$A$2:$AZ$247,33,FALSE)</f>
        <v>#N/A</v>
      </c>
      <c r="N940" s="247"/>
    </row>
    <row r="941" spans="1:14" ht="15" x14ac:dyDescent="0.25">
      <c r="A941" s="167">
        <f>Balanço_MRE!A941</f>
        <v>746825</v>
      </c>
      <c r="B941" s="167" t="str">
        <f>Balanço_MRE!B941</f>
        <v>CVRD PIE I5 &gt;&gt; 0115_0117</v>
      </c>
      <c r="C941" s="167" t="str">
        <f>Balanço_MRE!C941</f>
        <v>Contratos de Compra</v>
      </c>
      <c r="D941" s="192" t="str">
        <f>Balanço_MRE!D941</f>
        <v>SUDESTE</v>
      </c>
      <c r="E941" s="79">
        <f>Balanço_MRE!E941</f>
        <v>0</v>
      </c>
      <c r="F941" s="262">
        <f>Balanço_MRE!F941</f>
        <v>0</v>
      </c>
      <c r="G941" s="263">
        <f>Balanço_MRE!G941</f>
        <v>0</v>
      </c>
      <c r="H941" s="193">
        <f>Balanço_MRE!H941</f>
        <v>0</v>
      </c>
      <c r="J941" s="9" t="e">
        <f>VLOOKUP(A941,[33]RelatorioContratos_080817_10515!$A$2:$AE$247,26,FALSE)</f>
        <v>#N/A</v>
      </c>
      <c r="K941" s="9" t="e">
        <f>VLOOKUP(A941,[33]RelatorioContratos_080817_10515!$A$2:$AE$247,8,FALSE)</f>
        <v>#N/A</v>
      </c>
      <c r="L941" s="9" t="e">
        <f>VLOOKUP(A941,[33]RelatorioContratos_080817_10515!$A$2:$AZ$247,32,FALSE)</f>
        <v>#N/A</v>
      </c>
      <c r="M941" s="9" t="e">
        <f>VLOOKUP(A941,[33]RelatorioContratos_080817_10515!$A$2:$AZ$247,33,FALSE)</f>
        <v>#N/A</v>
      </c>
      <c r="N941" s="247"/>
    </row>
    <row r="942" spans="1:14" ht="15" x14ac:dyDescent="0.25">
      <c r="A942" s="167">
        <f>Balanço_MRE!A942</f>
        <v>558736</v>
      </c>
      <c r="B942" s="167" t="str">
        <f>Balanço_MRE!B942</f>
        <v>CVRD PIE I5 &gt;&gt; 0214_0119</v>
      </c>
      <c r="C942" s="167" t="str">
        <f>Balanço_MRE!C942</f>
        <v>Contratos de Compra</v>
      </c>
      <c r="D942" s="192" t="str">
        <f>Balanço_MRE!D942</f>
        <v>SUDESTE</v>
      </c>
      <c r="E942" s="79">
        <f>Balanço_MRE!E942</f>
        <v>0</v>
      </c>
      <c r="F942" s="262">
        <f>Balanço_MRE!F942</f>
        <v>0</v>
      </c>
      <c r="G942" s="263">
        <f>Balanço_MRE!G942</f>
        <v>0</v>
      </c>
      <c r="H942" s="193">
        <f>Balanço_MRE!H942</f>
        <v>0</v>
      </c>
      <c r="J942" s="9" t="str">
        <f>VLOOKUP(A942,[33]RelatorioContratos_080817_10515!$A$2:$AE$247,26,FALSE)</f>
        <v>0,000000</v>
      </c>
      <c r="K942" s="9" t="str">
        <f>VLOOKUP(A942,[33]RelatorioContratos_080817_10515!$A$2:$AE$247,8,FALSE)</f>
        <v>31/01/2019 23</v>
      </c>
      <c r="L942" s="9" t="str">
        <f>VLOOKUP(A942,[33]RelatorioContratos_080817_10515!$A$2:$AZ$247,32,FALSE)</f>
        <v>FLAT</v>
      </c>
      <c r="M942" s="9" t="str">
        <f>VLOOKUP(A942,[33]RelatorioContratos_080817_10515!$A$2:$AZ$247,33,FALSE)</f>
        <v>Validado</v>
      </c>
      <c r="N942" s="247"/>
    </row>
    <row r="943" spans="1:14" ht="15" x14ac:dyDescent="0.25">
      <c r="A943" s="167">
        <f>Balanço_MRE!A943</f>
        <v>996724</v>
      </c>
      <c r="B943" s="167" t="str">
        <f>Balanço_MRE!B943</f>
        <v>VALE ENE I5 &gt;&gt; 0214_0119</v>
      </c>
      <c r="C943" s="167" t="str">
        <f>Balanço_MRE!C943</f>
        <v>Contratos de Compra</v>
      </c>
      <c r="D943" s="192" t="str">
        <f>Balanço_MRE!D943</f>
        <v>SUDESTE</v>
      </c>
      <c r="E943" s="79">
        <f>Balanço_MRE!E943</f>
        <v>6.2135999999999997E-2</v>
      </c>
      <c r="F943" s="262">
        <f>Balanço_MRE!F943</f>
        <v>46.228904467353942</v>
      </c>
      <c r="G943" s="263">
        <f>Balanço_MRE!G943</f>
        <v>105.86455645161291</v>
      </c>
      <c r="H943" s="193">
        <f>Balanço_MRE!H943</f>
        <v>4894.002466680412</v>
      </c>
      <c r="J943" s="9" t="e">
        <f>VLOOKUP(A943,[33]RelatorioContratos_080817_10515!$A$2:$AE$247,26,FALSE)</f>
        <v>#N/A</v>
      </c>
      <c r="K943" s="9" t="e">
        <f>VLOOKUP(A943,[33]RelatorioContratos_080817_10515!$A$2:$AE$247,8,FALSE)</f>
        <v>#N/A</v>
      </c>
      <c r="L943" s="9" t="e">
        <f>VLOOKUP(A943,[33]RelatorioContratos_080817_10515!$A$2:$AZ$247,32,FALSE)</f>
        <v>#N/A</v>
      </c>
      <c r="M943" s="9" t="e">
        <f>VLOOKUP(A943,[33]RelatorioContratos_080817_10515!$A$2:$AZ$247,33,FALSE)</f>
        <v>#N/A</v>
      </c>
      <c r="N943" s="247"/>
    </row>
    <row r="944" spans="1:14" ht="15" x14ac:dyDescent="0.25">
      <c r="A944" s="215"/>
      <c r="B944" s="215"/>
      <c r="C944" s="215"/>
      <c r="D944" s="216"/>
      <c r="E944" s="174"/>
      <c r="F944" s="175"/>
      <c r="G944" s="175"/>
      <c r="H944" s="175"/>
      <c r="J944" s="393"/>
      <c r="K944" s="393"/>
      <c r="L944" s="393"/>
      <c r="M944" s="393"/>
      <c r="N944" s="247"/>
    </row>
    <row r="945" spans="1:14" ht="15" x14ac:dyDescent="0.25">
      <c r="A945" s="80" t="s">
        <v>32</v>
      </c>
      <c r="B945" s="16"/>
      <c r="C945" s="16"/>
      <c r="D945" s="17"/>
      <c r="E945" s="81">
        <f>SUM(E939:E944)</f>
        <v>6.3772999999999996E-2</v>
      </c>
      <c r="F945" s="84">
        <f>SUM(F939:F944)</f>
        <v>47.446904467353946</v>
      </c>
      <c r="G945" s="82">
        <f>IFERROR(H945/F945,0)</f>
        <v>103.14692858514621</v>
      </c>
      <c r="H945" s="82">
        <f>SUM(H939:H944)</f>
        <v>4894.002466680412</v>
      </c>
      <c r="I945" s="115"/>
      <c r="N945" s="247"/>
    </row>
    <row r="946" spans="1:14" ht="15" x14ac:dyDescent="0.25">
      <c r="N946" s="247"/>
    </row>
    <row r="947" spans="1:14" ht="15" x14ac:dyDescent="0.25">
      <c r="A947" s="548" t="s">
        <v>233</v>
      </c>
      <c r="B947" s="548"/>
      <c r="C947" s="548"/>
      <c r="E947" s="116" t="s">
        <v>19</v>
      </c>
      <c r="F947" s="116"/>
      <c r="G947" s="117" t="s">
        <v>20</v>
      </c>
      <c r="H947" s="117"/>
      <c r="I947" s="118" t="s">
        <v>21</v>
      </c>
      <c r="J947" s="118"/>
      <c r="K947" s="119" t="s">
        <v>22</v>
      </c>
      <c r="L947" s="119"/>
      <c r="N947" s="247"/>
    </row>
    <row r="948" spans="1:14" ht="15" x14ac:dyDescent="0.25">
      <c r="A948" s="10" t="s">
        <v>2</v>
      </c>
      <c r="B948" s="10" t="s">
        <v>137</v>
      </c>
      <c r="C948" s="10" t="s">
        <v>25</v>
      </c>
      <c r="E948" s="207" t="s">
        <v>137</v>
      </c>
      <c r="F948" s="208" t="s">
        <v>25</v>
      </c>
      <c r="G948" s="209" t="s">
        <v>137</v>
      </c>
      <c r="H948" s="210" t="s">
        <v>25</v>
      </c>
      <c r="I948" s="211" t="s">
        <v>137</v>
      </c>
      <c r="J948" s="212" t="s">
        <v>25</v>
      </c>
      <c r="K948" s="213" t="s">
        <v>137</v>
      </c>
      <c r="L948" s="214" t="s">
        <v>25</v>
      </c>
      <c r="N948" s="247"/>
    </row>
    <row r="949" spans="1:14" ht="15" x14ac:dyDescent="0.25">
      <c r="A949" s="29" t="s">
        <v>69</v>
      </c>
      <c r="B949" s="70">
        <v>0</v>
      </c>
      <c r="C949" s="83">
        <v>0</v>
      </c>
      <c r="E949" s="120">
        <f t="shared" ref="E949:E955" si="208">SUMIFS($E$933:$E$944,$C$933:$C$944,$A949,$D$933:$D$944,$E$947)</f>
        <v>0</v>
      </c>
      <c r="F949" s="121">
        <f t="shared" ref="F949:F955" si="209">SUMIFS($F$933:$F$944,$C$933:$C$944,$A949,$D$933:$D$944,$E$947)</f>
        <v>0</v>
      </c>
      <c r="G949" s="122">
        <f t="shared" ref="G949:G955" si="210">SUMIFS($E$933:$E$944,$C$933:$C$944,$A949,$D$933:$D$944,$G$947)</f>
        <v>0</v>
      </c>
      <c r="H949" s="123">
        <f t="shared" ref="H949:H955" si="211">SUMIFS($F$933:$F$944,$C$933:$C$944,$A949,$D$933:$D$944,$G$947)</f>
        <v>0</v>
      </c>
      <c r="I949" s="124">
        <f t="shared" ref="I949:I955" si="212">SUMIFS($E$933:$E$944,$C$933:$C$944,$A949,$D$933:$D$944,$I$947)</f>
        <v>0</v>
      </c>
      <c r="J949" s="125">
        <f t="shared" ref="J949:J955" si="213">SUMIFS($F$933:$F$944,$C$933:$C$944,$A949,$D$933:$D$944,$I$947)</f>
        <v>0</v>
      </c>
      <c r="K949" s="126">
        <f t="shared" ref="K949:K955" si="214">SUMIFS($E$933:$E$944,$C$933:$C$944,$A949,$D$933:$D$944,$K$947)</f>
        <v>0</v>
      </c>
      <c r="L949" s="127">
        <f t="shared" ref="L949:L955" si="215">SUMIFS($F$933:$F$944,$C$933:$C$944,$A949,$D$933:$D$944,$K$947)</f>
        <v>0</v>
      </c>
      <c r="N949" s="247"/>
    </row>
    <row r="950" spans="1:14" ht="15" x14ac:dyDescent="0.25">
      <c r="A950" s="29" t="s">
        <v>47</v>
      </c>
      <c r="B950" s="70">
        <v>0</v>
      </c>
      <c r="C950" s="83">
        <v>0</v>
      </c>
      <c r="E950" s="120">
        <f t="shared" si="208"/>
        <v>0</v>
      </c>
      <c r="F950" s="121">
        <f t="shared" si="209"/>
        <v>0</v>
      </c>
      <c r="G950" s="122">
        <f t="shared" si="210"/>
        <v>0</v>
      </c>
      <c r="H950" s="123">
        <f t="shared" si="211"/>
        <v>0</v>
      </c>
      <c r="I950" s="124">
        <f t="shared" si="212"/>
        <v>0</v>
      </c>
      <c r="J950" s="125">
        <f t="shared" si="213"/>
        <v>0</v>
      </c>
      <c r="K950" s="126">
        <f t="shared" si="214"/>
        <v>0</v>
      </c>
      <c r="L950" s="127">
        <f t="shared" si="215"/>
        <v>0</v>
      </c>
      <c r="N950" s="247"/>
    </row>
    <row r="951" spans="1:14" ht="15" x14ac:dyDescent="0.25">
      <c r="A951" s="29" t="s">
        <v>79</v>
      </c>
      <c r="B951" s="70">
        <v>0</v>
      </c>
      <c r="C951" s="83">
        <v>0</v>
      </c>
      <c r="E951" s="120">
        <f t="shared" si="208"/>
        <v>0</v>
      </c>
      <c r="F951" s="121">
        <f t="shared" si="209"/>
        <v>0</v>
      </c>
      <c r="G951" s="122">
        <f t="shared" si="210"/>
        <v>0</v>
      </c>
      <c r="H951" s="123">
        <f t="shared" si="211"/>
        <v>0</v>
      </c>
      <c r="I951" s="124">
        <f t="shared" si="212"/>
        <v>0</v>
      </c>
      <c r="J951" s="125">
        <f t="shared" si="213"/>
        <v>0</v>
      </c>
      <c r="K951" s="126">
        <f t="shared" si="214"/>
        <v>0</v>
      </c>
      <c r="L951" s="127">
        <f t="shared" si="215"/>
        <v>0</v>
      </c>
      <c r="N951" s="247"/>
    </row>
    <row r="952" spans="1:14" ht="15" x14ac:dyDescent="0.25">
      <c r="A952" s="29" t="s">
        <v>71</v>
      </c>
      <c r="B952" s="70">
        <f>E945</f>
        <v>6.3772999999999996E-2</v>
      </c>
      <c r="C952" s="83">
        <f>F945</f>
        <v>47.446904467353946</v>
      </c>
      <c r="E952" s="120">
        <f t="shared" si="208"/>
        <v>0</v>
      </c>
      <c r="F952" s="121">
        <f t="shared" si="209"/>
        <v>0</v>
      </c>
      <c r="G952" s="122">
        <f t="shared" si="210"/>
        <v>0</v>
      </c>
      <c r="H952" s="123">
        <f t="shared" si="211"/>
        <v>0</v>
      </c>
      <c r="I952" s="124">
        <f t="shared" si="212"/>
        <v>6.3772999999999996E-2</v>
      </c>
      <c r="J952" s="125">
        <f t="shared" si="213"/>
        <v>47.446904467353946</v>
      </c>
      <c r="K952" s="126">
        <f t="shared" si="214"/>
        <v>0</v>
      </c>
      <c r="L952" s="127">
        <f t="shared" si="215"/>
        <v>0</v>
      </c>
      <c r="N952" s="247"/>
    </row>
    <row r="953" spans="1:14" ht="15" x14ac:dyDescent="0.25">
      <c r="A953" s="29" t="s">
        <v>9</v>
      </c>
      <c r="B953" s="70">
        <f>E935</f>
        <v>6.2135999999999997E-2</v>
      </c>
      <c r="C953" s="83">
        <f>F935</f>
        <v>46.228904467353942</v>
      </c>
      <c r="E953" s="120">
        <f t="shared" si="208"/>
        <v>0</v>
      </c>
      <c r="F953" s="121">
        <f t="shared" si="209"/>
        <v>0</v>
      </c>
      <c r="G953" s="122">
        <f t="shared" si="210"/>
        <v>0</v>
      </c>
      <c r="H953" s="123">
        <f t="shared" si="211"/>
        <v>0</v>
      </c>
      <c r="I953" s="124">
        <f t="shared" si="212"/>
        <v>6.2135999999999997E-2</v>
      </c>
      <c r="J953" s="125">
        <f t="shared" si="213"/>
        <v>46.228904467353942</v>
      </c>
      <c r="K953" s="126">
        <f t="shared" si="214"/>
        <v>0</v>
      </c>
      <c r="L953" s="127">
        <f t="shared" si="215"/>
        <v>0</v>
      </c>
      <c r="N953" s="247"/>
    </row>
    <row r="954" spans="1:14" ht="15" x14ac:dyDescent="0.25">
      <c r="A954" s="29" t="s">
        <v>80</v>
      </c>
      <c r="B954" s="70">
        <v>0</v>
      </c>
      <c r="C954" s="83">
        <v>0</v>
      </c>
      <c r="E954" s="120">
        <f t="shared" si="208"/>
        <v>0</v>
      </c>
      <c r="F954" s="121">
        <f t="shared" si="209"/>
        <v>0</v>
      </c>
      <c r="G954" s="122">
        <f t="shared" si="210"/>
        <v>0</v>
      </c>
      <c r="H954" s="123">
        <f t="shared" si="211"/>
        <v>0</v>
      </c>
      <c r="I954" s="124">
        <f t="shared" si="212"/>
        <v>0</v>
      </c>
      <c r="J954" s="125">
        <f t="shared" si="213"/>
        <v>0</v>
      </c>
      <c r="K954" s="126">
        <f t="shared" si="214"/>
        <v>0</v>
      </c>
      <c r="L954" s="127">
        <f t="shared" si="215"/>
        <v>0</v>
      </c>
      <c r="N954" s="247"/>
    </row>
    <row r="955" spans="1:14" ht="15" x14ac:dyDescent="0.25">
      <c r="A955" s="29" t="s">
        <v>77</v>
      </c>
      <c r="B955" s="70">
        <v>0</v>
      </c>
      <c r="C955" s="83">
        <v>0</v>
      </c>
      <c r="E955" s="120">
        <f t="shared" si="208"/>
        <v>0</v>
      </c>
      <c r="F955" s="121">
        <f t="shared" si="209"/>
        <v>0</v>
      </c>
      <c r="G955" s="122">
        <f t="shared" si="210"/>
        <v>0</v>
      </c>
      <c r="H955" s="123">
        <f t="shared" si="211"/>
        <v>0</v>
      </c>
      <c r="I955" s="124">
        <f t="shared" si="212"/>
        <v>0</v>
      </c>
      <c r="J955" s="125">
        <f t="shared" si="213"/>
        <v>0</v>
      </c>
      <c r="K955" s="126">
        <f t="shared" si="214"/>
        <v>0</v>
      </c>
      <c r="L955" s="127">
        <f t="shared" si="215"/>
        <v>0</v>
      </c>
      <c r="N955" s="247"/>
    </row>
    <row r="956" spans="1:14" ht="15" x14ac:dyDescent="0.25">
      <c r="A956" s="11" t="s">
        <v>81</v>
      </c>
      <c r="B956" s="12">
        <f>SUM(B949:B952)-SUM(B953:B955)</f>
        <v>1.6369999999999996E-3</v>
      </c>
      <c r="C956" s="12">
        <f>SUM(C949:C952)-SUM(C953:C955)</f>
        <v>1.2180000000000035</v>
      </c>
      <c r="E956" s="128">
        <f>SUM(E949:E952)-SUM(E953:E955)</f>
        <v>0</v>
      </c>
      <c r="F956" s="129">
        <f>SUM(F949:F952)-SUM(F953:F955)</f>
        <v>0</v>
      </c>
      <c r="G956" s="130">
        <f t="shared" ref="G956:L956" si="216">SUM(G949:G952)-SUM(G953:G955)</f>
        <v>0</v>
      </c>
      <c r="H956" s="131">
        <f t="shared" si="216"/>
        <v>0</v>
      </c>
      <c r="I956" s="132">
        <f>SUM(I949:I952)-SUM(I953:I955)</f>
        <v>1.6369999999999996E-3</v>
      </c>
      <c r="J956" s="133">
        <f t="shared" si="216"/>
        <v>1.2180000000000035</v>
      </c>
      <c r="K956" s="134">
        <f t="shared" si="216"/>
        <v>0</v>
      </c>
      <c r="L956" s="135">
        <f t="shared" si="216"/>
        <v>0</v>
      </c>
      <c r="N956" s="247"/>
    </row>
    <row r="957" spans="1:14" ht="15" x14ac:dyDescent="0.25">
      <c r="A957" s="11" t="s">
        <v>82</v>
      </c>
      <c r="B957" s="12">
        <f>SUM(B949:B952)-SUM(B953:B956)</f>
        <v>0</v>
      </c>
      <c r="C957" s="12">
        <f>SUM(C949:C952)-SUM(C953:C956)</f>
        <v>0</v>
      </c>
      <c r="E957" s="128">
        <f>SUM(E949:E952)-SUM(E953:E956)</f>
        <v>0</v>
      </c>
      <c r="F957" s="129">
        <f t="shared" ref="F957:L957" si="217">SUM(F949:F952)-SUM(F953:F956)</f>
        <v>0</v>
      </c>
      <c r="G957" s="130">
        <f t="shared" si="217"/>
        <v>0</v>
      </c>
      <c r="H957" s="131">
        <f t="shared" si="217"/>
        <v>0</v>
      </c>
      <c r="I957" s="132">
        <f t="shared" si="217"/>
        <v>0</v>
      </c>
      <c r="J957" s="133">
        <f t="shared" si="217"/>
        <v>0</v>
      </c>
      <c r="K957" s="134">
        <f t="shared" si="217"/>
        <v>0</v>
      </c>
      <c r="L957" s="135">
        <f t="shared" si="217"/>
        <v>0</v>
      </c>
      <c r="N957" s="247"/>
    </row>
    <row r="958" spans="1:14" ht="15" x14ac:dyDescent="0.25">
      <c r="N958" s="247"/>
    </row>
    <row r="959" spans="1:14" ht="15" x14ac:dyDescent="0.25">
      <c r="E959" s="153">
        <f>(F956*$H$5)+(H956*$J$5)+(J956*$L$5)+(L956*$N$5)</f>
        <v>105.58178975806483</v>
      </c>
      <c r="N959" s="247"/>
    </row>
    <row r="960" spans="1:14" ht="15" x14ac:dyDescent="0.25">
      <c r="E960" s="155"/>
      <c r="N960" s="247"/>
    </row>
    <row r="961" spans="1:18" ht="15" x14ac:dyDescent="0.25">
      <c r="N961" s="247"/>
    </row>
    <row r="962" spans="1:18" ht="15" x14ac:dyDescent="0.25">
      <c r="A962" s="564" t="s">
        <v>430</v>
      </c>
      <c r="B962" s="564"/>
      <c r="C962" s="564"/>
      <c r="D962" s="564"/>
      <c r="E962" s="564"/>
      <c r="F962" s="564"/>
      <c r="G962" s="564"/>
      <c r="H962" s="564"/>
      <c r="N962" s="247"/>
    </row>
    <row r="963" spans="1:18" ht="15" x14ac:dyDescent="0.25">
      <c r="A963" s="564"/>
      <c r="B963" s="564"/>
      <c r="C963" s="564"/>
      <c r="D963" s="564"/>
      <c r="E963" s="564"/>
      <c r="F963" s="564"/>
      <c r="G963" s="564"/>
      <c r="H963" s="564"/>
      <c r="N963" s="247"/>
    </row>
    <row r="964" spans="1:18" ht="3.75" customHeight="1" x14ac:dyDescent="0.2"/>
    <row r="965" spans="1:18" x14ac:dyDescent="0.2">
      <c r="A965" s="548" t="s">
        <v>85</v>
      </c>
      <c r="B965" s="548"/>
      <c r="C965" s="548"/>
      <c r="D965" s="548"/>
      <c r="E965" s="548"/>
      <c r="F965" s="548"/>
      <c r="G965" s="548"/>
      <c r="H965" s="548"/>
    </row>
    <row r="966" spans="1:18" x14ac:dyDescent="0.2">
      <c r="A966" s="10" t="s">
        <v>8</v>
      </c>
      <c r="B966" s="10"/>
      <c r="C966" s="10" t="s">
        <v>2</v>
      </c>
      <c r="D966" s="10" t="s">
        <v>3</v>
      </c>
      <c r="E966" s="10" t="s">
        <v>137</v>
      </c>
      <c r="F966" s="10" t="s">
        <v>25</v>
      </c>
      <c r="G966" s="10" t="s">
        <v>95</v>
      </c>
      <c r="H966" s="10" t="s">
        <v>240</v>
      </c>
      <c r="J966" s="396" t="s">
        <v>114</v>
      </c>
      <c r="K966" s="396" t="s">
        <v>117</v>
      </c>
      <c r="L966" s="548" t="s">
        <v>150</v>
      </c>
      <c r="M966" s="548" t="s">
        <v>115</v>
      </c>
      <c r="N966" s="396" t="s">
        <v>116</v>
      </c>
      <c r="O966" s="396" t="s">
        <v>151</v>
      </c>
      <c r="P966" s="396"/>
      <c r="Q966" s="397"/>
    </row>
    <row r="967" spans="1:18" ht="15" x14ac:dyDescent="0.25">
      <c r="A967" s="167" t="str">
        <f>Balanço_MRE!A967</f>
        <v>Potássio</v>
      </c>
      <c r="B967" s="167">
        <f>Balanço_MRE!B967</f>
        <v>0</v>
      </c>
      <c r="C967" s="167" t="str">
        <f>Balanço_MRE!C967</f>
        <v>Carga</v>
      </c>
      <c r="D967" s="192" t="str">
        <f>Balanço_MRE!D967</f>
        <v>NORDESTE</v>
      </c>
      <c r="E967" s="79">
        <f>Balanço_MRE!E967</f>
        <v>17.992032999999999</v>
      </c>
      <c r="F967" s="262">
        <f>Balanço_MRE!F967</f>
        <v>13386.07237131176</v>
      </c>
      <c r="G967" s="263">
        <f>Balanço_MRE!G967</f>
        <v>277.52199999999999</v>
      </c>
      <c r="H967" s="193">
        <f>Balanço_MRE!H967</f>
        <v>0.03</v>
      </c>
      <c r="I967" s="144"/>
      <c r="J967" s="247"/>
      <c r="K967" s="247"/>
      <c r="L967" s="247"/>
      <c r="M967" s="247"/>
      <c r="N967" s="247"/>
      <c r="O967" s="247"/>
      <c r="P967" s="247"/>
      <c r="Q967" s="186"/>
    </row>
    <row r="968" spans="1:18" s="247" customFormat="1" ht="14.25" customHeight="1" x14ac:dyDescent="0.25">
      <c r="A968" s="167" t="str">
        <f>Balanço_MRE!A968</f>
        <v>Fertilizantes - Araxá (CMA)</v>
      </c>
      <c r="B968" s="167">
        <f>Balanço_MRE!B968</f>
        <v>0</v>
      </c>
      <c r="C968" s="167" t="str">
        <f>Balanço_MRE!C968</f>
        <v>Carga</v>
      </c>
      <c r="D968" s="192" t="str">
        <f>Balanço_MRE!D968</f>
        <v>SUDESTE</v>
      </c>
      <c r="E968" s="79">
        <f>Balanço_MRE!E968</f>
        <v>13.047775</v>
      </c>
      <c r="F968" s="262">
        <f>Balanço_MRE!F968</f>
        <v>9707.5443718805491</v>
      </c>
      <c r="G968" s="263">
        <f>Balanço_MRE!G968</f>
        <v>312.06400000000002</v>
      </c>
      <c r="H968" s="193">
        <f>Balanço_MRE!H968</f>
        <v>0.03</v>
      </c>
      <c r="I968" s="22">
        <f>SUM(F968:F973)-SUM(G968:G973)</f>
        <v>68932.614309776051</v>
      </c>
    </row>
    <row r="969" spans="1:18" x14ac:dyDescent="0.2">
      <c r="A969" s="167" t="str">
        <f>Balanço_MRE!A969</f>
        <v>Fertilizantes - Cajati (CAJ)</v>
      </c>
      <c r="B969" s="167">
        <f>Balanço_MRE!B969</f>
        <v>0</v>
      </c>
      <c r="C969" s="167" t="str">
        <f>Balanço_MRE!C969</f>
        <v>Carga</v>
      </c>
      <c r="D969" s="192" t="str">
        <f>Balanço_MRE!D969</f>
        <v>SUDESTE</v>
      </c>
      <c r="E969" s="79">
        <f>Balanço_MRE!E969</f>
        <v>11.429135</v>
      </c>
      <c r="F969" s="262">
        <f>Balanço_MRE!F969</f>
        <v>8503.2766822253816</v>
      </c>
      <c r="G969" s="263">
        <f>Balanço_MRE!G969</f>
        <v>195.23599999999999</v>
      </c>
      <c r="H969" s="193">
        <f>Balanço_MRE!H969</f>
        <v>0.03</v>
      </c>
      <c r="I969" s="144"/>
      <c r="J969" s="151"/>
      <c r="K969" s="95"/>
      <c r="L969" s="96"/>
      <c r="M969" s="43"/>
      <c r="N969" s="96"/>
      <c r="O969" s="96"/>
      <c r="P969" s="229"/>
    </row>
    <row r="970" spans="1:18" ht="15" x14ac:dyDescent="0.25">
      <c r="A970" s="167" t="str">
        <f>Balanço_MRE!A970</f>
        <v>Fertilizantes - Catalão (CMC)</v>
      </c>
      <c r="B970" s="167">
        <f>Balanço_MRE!B970</f>
        <v>0</v>
      </c>
      <c r="C970" s="167" t="str">
        <f>Balanço_MRE!C970</f>
        <v>Carga</v>
      </c>
      <c r="D970" s="192" t="str">
        <f>Balanço_MRE!D970</f>
        <v>SUDESTE</v>
      </c>
      <c r="E970" s="79">
        <f>Balanço_MRE!E970</f>
        <v>14.160371</v>
      </c>
      <c r="F970" s="262">
        <f>Balanço_MRE!F970</f>
        <v>10535.3160928546</v>
      </c>
      <c r="G970" s="263">
        <f>Balanço_MRE!G970</f>
        <v>271.92700000000002</v>
      </c>
      <c r="H970" s="193">
        <f>Balanço_MRE!H970</f>
        <v>0.03</v>
      </c>
      <c r="I970" s="144"/>
      <c r="J970" s="247" t="s">
        <v>113</v>
      </c>
      <c r="K970" s="247">
        <f>24.4*$B$33</f>
        <v>18153.599999999999</v>
      </c>
      <c r="L970" s="247">
        <f>(0*1.0291)-G970</f>
        <v>-271.92700000000002</v>
      </c>
      <c r="M970" s="247">
        <f>K970*1.05</f>
        <v>19061.28</v>
      </c>
      <c r="N970" s="63">
        <f>IF(SUM($F$970:$F$970)-SUM($G$970:$G$970)&gt;SUM($M$970:$M$970),M970-G970,F970-G970)</f>
        <v>10263.389092854601</v>
      </c>
      <c r="O970" s="247">
        <f>IF((L970)&gt;M970,(M970-G970),(L970))+0.001</f>
        <v>-271.92600000000004</v>
      </c>
      <c r="P970" s="247">
        <f>F970-G970</f>
        <v>10263.389092854601</v>
      </c>
    </row>
    <row r="971" spans="1:18" ht="15" x14ac:dyDescent="0.25">
      <c r="A971" s="167" t="str">
        <f>Balanço_MRE!A971</f>
        <v>Fertilizantes - Tapira (CMT)</v>
      </c>
      <c r="B971" s="167">
        <f>Balanço_MRE!B971</f>
        <v>0</v>
      </c>
      <c r="C971" s="167" t="str">
        <f>Balanço_MRE!C971</f>
        <v>Carga</v>
      </c>
      <c r="D971" s="192" t="str">
        <f>Balanço_MRE!D971</f>
        <v>SUDESTE</v>
      </c>
      <c r="E971" s="79">
        <f>Balanço_MRE!E971</f>
        <v>33.094213000000003</v>
      </c>
      <c r="F971" s="262">
        <f>Balanço_MRE!F971</f>
        <v>24622.094162815512</v>
      </c>
      <c r="G971" s="263">
        <f>Balanço_MRE!G971</f>
        <v>596.89800000000002</v>
      </c>
      <c r="H971" s="193">
        <f>Balanço_MRE!H971</f>
        <v>0.03</v>
      </c>
      <c r="I971" s="108"/>
      <c r="J971" s="247" t="s">
        <v>111</v>
      </c>
      <c r="K971" s="247">
        <f>36.6*$B$33</f>
        <v>27230.400000000001</v>
      </c>
      <c r="L971" s="247">
        <f>(0*1.0291)-G971</f>
        <v>-596.89800000000002</v>
      </c>
      <c r="M971" s="247">
        <f>K971*1.05</f>
        <v>28591.920000000002</v>
      </c>
      <c r="N971" s="247">
        <f>IF((SUM(F971:F972)-SUM(G971:G972))&gt;SUM(M971:M972),(M971-G971),(F971-G971))</f>
        <v>24025.196162815511</v>
      </c>
      <c r="O971" s="247">
        <f>IF(SUM(L971:L972)&gt;SUM(M971:M972),M971,L971)</f>
        <v>-596.89800000000002</v>
      </c>
      <c r="P971" s="247">
        <f>F971-G971</f>
        <v>24025.196162815511</v>
      </c>
    </row>
    <row r="972" spans="1:18" ht="15" x14ac:dyDescent="0.25">
      <c r="A972" s="167" t="str">
        <f>Balanço_MRE!A972</f>
        <v>Fertilizantes - Uberaba (CIU)</v>
      </c>
      <c r="B972" s="167">
        <f>Balanço_MRE!B972</f>
        <v>0</v>
      </c>
      <c r="C972" s="167" t="str">
        <f>Balanço_MRE!C972</f>
        <v>Carga</v>
      </c>
      <c r="D972" s="192" t="str">
        <f>Balanço_MRE!D972</f>
        <v>SUDESTE</v>
      </c>
      <c r="E972" s="79">
        <f>Balanço_MRE!E972</f>
        <v>19.936700999999999</v>
      </c>
      <c r="F972" s="262">
        <f>Balanço_MRE!F972</f>
        <v>14832.905567010313</v>
      </c>
      <c r="G972" s="263">
        <f>Balanço_MRE!G972</f>
        <v>398.41199999999998</v>
      </c>
      <c r="H972" s="193">
        <f>Balanço_MRE!H972</f>
        <v>0.03</v>
      </c>
      <c r="I972" s="108"/>
      <c r="J972" s="247" t="s">
        <v>111</v>
      </c>
      <c r="K972" s="247">
        <f>22.5*$B$33</f>
        <v>16740</v>
      </c>
      <c r="L972" s="247">
        <f>(0*1.0291)-G972</f>
        <v>-398.41199999999998</v>
      </c>
      <c r="M972" s="247">
        <f>K972*1.05</f>
        <v>17577</v>
      </c>
      <c r="N972" s="247">
        <f>IF((SUM(F971:F972)-SUM(G971:G972))&gt;SUM(M971:M972),(M972-G972),(F972-G972))</f>
        <v>14434.493567010313</v>
      </c>
      <c r="O972" s="247">
        <f>IF(SUM(L971:L972)&gt;SUM(M971:M972),M972,L972)</f>
        <v>-398.41199999999998</v>
      </c>
      <c r="P972" s="247">
        <f>F972-G972</f>
        <v>14434.493567010313</v>
      </c>
    </row>
    <row r="973" spans="1:18" ht="15" x14ac:dyDescent="0.25">
      <c r="A973" s="167" t="s">
        <v>509</v>
      </c>
      <c r="B973" s="167"/>
      <c r="C973" s="167" t="str">
        <f>Balanço_MRE!C973</f>
        <v>Carga</v>
      </c>
      <c r="D973" s="192" t="str">
        <f>Balanço_MRE!D973</f>
        <v>SUDESTE</v>
      </c>
      <c r="E973" s="79">
        <f>Balanço_MRE!E973</f>
        <v>3.3682989999999999</v>
      </c>
      <c r="F973" s="262">
        <f>[7]Consolidação!$G$65</f>
        <v>2506.0144329896921</v>
      </c>
      <c r="G973" s="263"/>
      <c r="H973" s="193">
        <f>Balanço_MRE!H973</f>
        <v>0.03</v>
      </c>
      <c r="I973" s="108"/>
      <c r="J973" s="247"/>
      <c r="K973" s="247"/>
      <c r="L973" s="247"/>
      <c r="M973" s="247"/>
      <c r="N973" s="247"/>
      <c r="O973" s="247"/>
      <c r="P973" s="247"/>
    </row>
    <row r="974" spans="1:18" ht="15" x14ac:dyDescent="0.25">
      <c r="A974" s="171"/>
      <c r="B974" s="172"/>
      <c r="C974" s="171"/>
      <c r="D974" s="173"/>
      <c r="E974" s="174"/>
      <c r="F974" s="175"/>
      <c r="G974" s="175"/>
      <c r="H974" s="175"/>
      <c r="J974" s="247"/>
      <c r="K974" s="247"/>
      <c r="L974" s="247"/>
      <c r="M974" s="247"/>
      <c r="N974" s="247"/>
      <c r="O974" s="247"/>
      <c r="P974" s="247"/>
    </row>
    <row r="975" spans="1:18" ht="15" x14ac:dyDescent="0.25">
      <c r="A975" s="80" t="s">
        <v>32</v>
      </c>
      <c r="B975" s="16"/>
      <c r="C975" s="16"/>
      <c r="D975" s="17"/>
      <c r="E975" s="81">
        <f>SUM(E967:E974)</f>
        <v>113.028527</v>
      </c>
      <c r="F975" s="84">
        <f>SUM(F967:F974)</f>
        <v>84093.223681087795</v>
      </c>
      <c r="G975" s="84">
        <f>SUM(G967:G974)</f>
        <v>2052.0589999999997</v>
      </c>
      <c r="H975" s="84"/>
      <c r="I975" s="115"/>
      <c r="J975" s="144"/>
      <c r="K975" s="115"/>
      <c r="L975" s="115"/>
      <c r="M975" s="115"/>
      <c r="N975" s="115"/>
      <c r="O975" s="63"/>
      <c r="P975" s="115"/>
    </row>
    <row r="976" spans="1:18" ht="15" x14ac:dyDescent="0.25">
      <c r="F976" s="115"/>
      <c r="M976" s="110"/>
      <c r="N976" s="247"/>
      <c r="O976" s="380"/>
      <c r="P976" s="247"/>
      <c r="Q976" s="247"/>
      <c r="R976" s="247"/>
    </row>
    <row r="977" spans="1:18" ht="15" x14ac:dyDescent="0.25">
      <c r="A977" s="548" t="s">
        <v>70</v>
      </c>
      <c r="B977" s="548"/>
      <c r="C977" s="548"/>
      <c r="D977" s="548"/>
      <c r="E977" s="548"/>
      <c r="F977" s="548"/>
      <c r="G977" s="548"/>
      <c r="H977" s="548"/>
      <c r="M977" s="137"/>
      <c r="N977" s="22"/>
      <c r="O977" s="247"/>
      <c r="P977" s="247"/>
      <c r="Q977" s="247"/>
      <c r="R977" s="247"/>
    </row>
    <row r="978" spans="1:18" ht="15" x14ac:dyDescent="0.25">
      <c r="A978" s="10" t="s">
        <v>252</v>
      </c>
      <c r="B978" s="10" t="s">
        <v>1</v>
      </c>
      <c r="C978" s="10" t="s">
        <v>2</v>
      </c>
      <c r="D978" s="10" t="s">
        <v>3</v>
      </c>
      <c r="E978" s="10" t="s">
        <v>137</v>
      </c>
      <c r="F978" s="10" t="s">
        <v>25</v>
      </c>
      <c r="G978" s="10" t="s">
        <v>253</v>
      </c>
      <c r="H978" s="10" t="s">
        <v>254</v>
      </c>
      <c r="J978" s="10" t="s">
        <v>72</v>
      </c>
      <c r="K978" s="10" t="s">
        <v>73</v>
      </c>
      <c r="L978" s="10" t="s">
        <v>74</v>
      </c>
      <c r="M978" s="10" t="s">
        <v>75</v>
      </c>
      <c r="N978" s="247"/>
      <c r="P978" s="247"/>
      <c r="Q978" s="247"/>
      <c r="R978" s="247"/>
    </row>
    <row r="979" spans="1:18" ht="15" x14ac:dyDescent="0.25">
      <c r="A979" s="167">
        <f>Balanço_MRE!A979</f>
        <v>0</v>
      </c>
      <c r="B979" s="167" t="str">
        <f>Balanço_MRE!B979</f>
        <v>PROINFA | ACEP &gt;&gt; NE</v>
      </c>
      <c r="C979" s="167" t="str">
        <f>Balanço_MRE!C979</f>
        <v>Contratos de Compra</v>
      </c>
      <c r="D979" s="192" t="str">
        <f>Balanço_MRE!D979</f>
        <v>NORDESTE</v>
      </c>
      <c r="E979" s="79">
        <f>Balanço_MRE!E979</f>
        <v>0.37301299999999998</v>
      </c>
      <c r="F979" s="262">
        <f>Balanço_MRE!F979</f>
        <v>277.52199999999999</v>
      </c>
      <c r="G979" s="263">
        <f>Balanço_MRE!G979</f>
        <v>0</v>
      </c>
      <c r="H979" s="193">
        <f>Balanço_MRE!H979</f>
        <v>0</v>
      </c>
      <c r="I979" s="152"/>
      <c r="J979" s="247">
        <f>[30]Contratos!W3</f>
        <v>266.11200000000002</v>
      </c>
      <c r="K979" s="247" t="e">
        <f>#REF!</f>
        <v>#REF!</v>
      </c>
      <c r="L979" s="247"/>
      <c r="M979" s="247"/>
      <c r="N979" s="247"/>
      <c r="O979" s="247"/>
      <c r="P979" s="247"/>
      <c r="Q979" s="247"/>
      <c r="R979" s="247"/>
    </row>
    <row r="980" spans="1:18" ht="15" x14ac:dyDescent="0.25">
      <c r="A980" s="167">
        <f>Balanço_MRE!A980</f>
        <v>0</v>
      </c>
      <c r="B980" s="167" t="str">
        <f>Balanço_MRE!B980</f>
        <v>PROINFA | ACEP &gt;&gt; SE</v>
      </c>
      <c r="C980" s="167" t="str">
        <f>Balanço_MRE!C980</f>
        <v>Contratos de Compra</v>
      </c>
      <c r="D980" s="192" t="str">
        <f>Balanço_MRE!D980</f>
        <v>SUDESTE</v>
      </c>
      <c r="E980" s="79">
        <f>Balanço_MRE!E980</f>
        <v>2.4559030000000002</v>
      </c>
      <c r="F980" s="262">
        <f>Balanço_MRE!F980</f>
        <v>1827.192</v>
      </c>
      <c r="G980" s="263">
        <f>Balanço_MRE!G980</f>
        <v>0</v>
      </c>
      <c r="H980" s="193">
        <f>Balanço_MRE!H980</f>
        <v>0</v>
      </c>
      <c r="I980" s="152"/>
      <c r="J980" s="247" t="e">
        <f>SUM([30]Contratos!$W$3:$W$10)</f>
        <v>#REF!</v>
      </c>
      <c r="K980" s="247" t="e">
        <f>#REF!</f>
        <v>#REF!</v>
      </c>
      <c r="L980" s="247"/>
      <c r="M980" s="247"/>
      <c r="N980" s="247"/>
      <c r="O980" s="247"/>
      <c r="P980" s="247"/>
      <c r="Q980" s="247"/>
      <c r="R980" s="247"/>
    </row>
    <row r="981" spans="1:18" ht="15" x14ac:dyDescent="0.25">
      <c r="A981" s="167">
        <f>Balanço_MRE!A981</f>
        <v>80089</v>
      </c>
      <c r="B981" s="167" t="str">
        <f>Balanço_MRE!B981</f>
        <v>CHESF_025_0109_1217</v>
      </c>
      <c r="C981" s="167" t="str">
        <f>Balanço_MRE!C981</f>
        <v>Contratos de Compra</v>
      </c>
      <c r="D981" s="192" t="str">
        <f>Balanço_MRE!D981</f>
        <v>NORDESTE</v>
      </c>
      <c r="E981" s="79">
        <f>Balanço_MRE!E981</f>
        <v>0</v>
      </c>
      <c r="F981" s="262">
        <f>Balanço_MRE!F981</f>
        <v>0</v>
      </c>
      <c r="G981" s="263">
        <f>Balanço_MRE!G981</f>
        <v>0</v>
      </c>
      <c r="H981" s="193">
        <f>Balanço_MRE!H981</f>
        <v>0</v>
      </c>
      <c r="I981" s="109"/>
      <c r="J981" s="9" t="str">
        <f>VLOOKUP(A981,[31]RelatorioContratos_080817_10532!$A$3:$AG$680,26,FALSE)</f>
        <v>25,000000</v>
      </c>
      <c r="K981" s="9" t="str">
        <f>VLOOKUP(A981,[31]RelatorioContratos_080817_10532!$A$3:$AG$680,8,FALSE)</f>
        <v>31/12/2017 23</v>
      </c>
      <c r="L981" s="9" t="str">
        <f>VLOOKUP(A981,[31]RelatorioContratos_080817_10532!$A$3:$AG$680,32,FALSE)</f>
        <v>FLAT</v>
      </c>
      <c r="M981" s="9" t="str">
        <f>VLOOKUP(A981,[31]RelatorioContratos_080817_10532!$A$3:$AG$680,33,FALSE)</f>
        <v>Validado</v>
      </c>
      <c r="N981" s="247"/>
      <c r="O981" s="247"/>
    </row>
    <row r="982" spans="1:18" ht="15" x14ac:dyDescent="0.25">
      <c r="A982" s="167">
        <f>Balanço_MRE!A982</f>
        <v>569436</v>
      </c>
      <c r="B982" s="167" t="str">
        <f>Balanço_MRE!B982</f>
        <v>CVRD PIE I5 &gt;&gt; 0214_0119</v>
      </c>
      <c r="C982" s="167" t="str">
        <f>Balanço_MRE!C982</f>
        <v>Contratos de Compra</v>
      </c>
      <c r="D982" s="192" t="str">
        <f>Balanço_MRE!D982</f>
        <v>NORDESTE</v>
      </c>
      <c r="E982" s="79">
        <f>Balanço_MRE!E982</f>
        <v>0</v>
      </c>
      <c r="F982" s="262">
        <f>Balanço_MRE!F982</f>
        <v>0</v>
      </c>
      <c r="G982" s="263">
        <f>Balanço_MRE!G982</f>
        <v>0</v>
      </c>
      <c r="H982" s="193">
        <f>Balanço_MRE!H982</f>
        <v>0</v>
      </c>
      <c r="J982" s="9" t="e">
        <f>VLOOKUP(A982,#REF!,26,FALSE)</f>
        <v>#REF!</v>
      </c>
      <c r="K982" s="9" t="e">
        <f>VLOOKUP(A982,#REF!,8,FALSE)</f>
        <v>#REF!</v>
      </c>
      <c r="L982" s="9" t="e">
        <f>VLOOKUP(A982,#REF!,32,FALSE)</f>
        <v>#REF!</v>
      </c>
      <c r="M982" s="9" t="e">
        <f>VLOOKUP(A982,#REF!,33,FALSE)</f>
        <v>#REF!</v>
      </c>
      <c r="N982" s="247"/>
      <c r="O982" s="247"/>
    </row>
    <row r="983" spans="1:18" ht="15" x14ac:dyDescent="0.25">
      <c r="A983" s="167">
        <f>Balanço_MRE!A983</f>
        <v>569433</v>
      </c>
      <c r="B983" s="167" t="str">
        <f>Balanço_MRE!B983</f>
        <v>VALE ENE I5 &gt;&gt; 0214_0119</v>
      </c>
      <c r="C983" s="167" t="str">
        <f>Balanço_MRE!C983</f>
        <v>Contratos de Compra</v>
      </c>
      <c r="D983" s="192" t="str">
        <f>Balanço_MRE!D983</f>
        <v>NORDESTE</v>
      </c>
      <c r="E983" s="79">
        <f>Balanço_MRE!E983</f>
        <v>0</v>
      </c>
      <c r="F983" s="262">
        <f>Balanço_MRE!F983</f>
        <v>0</v>
      </c>
      <c r="G983" s="263">
        <f>Balanço_MRE!G983</f>
        <v>0</v>
      </c>
      <c r="H983" s="193">
        <f>Balanço_MRE!H983</f>
        <v>0</v>
      </c>
      <c r="J983" s="9" t="e">
        <f>VLOOKUP(A983,#REF!,26,FALSE)</f>
        <v>#REF!</v>
      </c>
      <c r="K983" s="9" t="e">
        <f>VLOOKUP(A983,#REF!,8,FALSE)</f>
        <v>#REF!</v>
      </c>
      <c r="L983" s="9" t="e">
        <f>VLOOKUP(A983,#REF!,32,FALSE)</f>
        <v>#REF!</v>
      </c>
      <c r="M983" s="9" t="e">
        <f>VLOOKUP(A983,#REF!,33,FALSE)</f>
        <v>#REF!</v>
      </c>
      <c r="N983" s="247"/>
      <c r="O983" s="247"/>
    </row>
    <row r="984" spans="1:18" ht="15" x14ac:dyDescent="0.25">
      <c r="A984" s="167">
        <f>Balanço_MRE!A984</f>
        <v>947191</v>
      </c>
      <c r="B984" s="167" t="str">
        <f>Balanço_MRE!B984</f>
        <v>VALE ENERGIA &gt;&gt;</v>
      </c>
      <c r="C984" s="167" t="str">
        <f>Balanço_MRE!C984</f>
        <v>Contratos de Compra</v>
      </c>
      <c r="D984" s="192" t="str">
        <f>Balanço_MRE!D984</f>
        <v>NORDESTE</v>
      </c>
      <c r="E984" s="79">
        <f>Balanço_MRE!E984</f>
        <v>0</v>
      </c>
      <c r="F984" s="262">
        <f>Balanço_MRE!F984</f>
        <v>0</v>
      </c>
      <c r="G984" s="263">
        <f>Balanço_MRE!G984</f>
        <v>0</v>
      </c>
      <c r="H984" s="193">
        <f>Balanço_MRE!H984</f>
        <v>0</v>
      </c>
      <c r="J984" s="9" t="e">
        <f>VLOOKUP(A984,[31]RelatorioContratos_080817_10532!$A$3:$AG$680,26,FALSE)</f>
        <v>#N/A</v>
      </c>
      <c r="K984" s="9" t="e">
        <f>VLOOKUP(A984,[31]RelatorioContratos_080817_10532!$A$3:$AG$680,8,FALSE)</f>
        <v>#N/A</v>
      </c>
      <c r="L984" s="9" t="e">
        <f>VLOOKUP(A984,[31]RelatorioContratos_080817_10532!$A$3:$AG$680,32,FALSE)</f>
        <v>#N/A</v>
      </c>
      <c r="M984" s="9" t="e">
        <f>VLOOKUP(A984,[31]RelatorioContratos_080817_10532!$A$3:$AG$680,33,FALSE)</f>
        <v>#N/A</v>
      </c>
      <c r="N984" s="247"/>
      <c r="O984" s="247"/>
    </row>
    <row r="985" spans="1:18" ht="15" x14ac:dyDescent="0.25">
      <c r="A985" s="167">
        <f>Balanço_MRE!A985</f>
        <v>558732</v>
      </c>
      <c r="B985" s="167" t="str">
        <f>Balanço_MRE!B985</f>
        <v>CVRD PIE &gt;&gt; 0214_0119</v>
      </c>
      <c r="C985" s="167" t="str">
        <f>Balanço_MRE!C985</f>
        <v>Contratos de Compra</v>
      </c>
      <c r="D985" s="192" t="str">
        <f>Balanço_MRE!D985</f>
        <v>SUDESTE</v>
      </c>
      <c r="E985" s="79">
        <f>Balanço_MRE!E985</f>
        <v>0</v>
      </c>
      <c r="F985" s="262">
        <f>Balanço_MRE!F985</f>
        <v>0</v>
      </c>
      <c r="G985" s="263">
        <f>Balanço_MRE!G985</f>
        <v>0</v>
      </c>
      <c r="H985" s="193">
        <f>Balanço_MRE!H985</f>
        <v>0</v>
      </c>
      <c r="J985" s="9" t="e">
        <f>VLOOKUP(A985,[31]RelatorioContratos_080817_10532!$A$3:$AG$680,26,FALSE)</f>
        <v>#N/A</v>
      </c>
      <c r="K985" s="9" t="e">
        <f>VLOOKUP(A985,[31]RelatorioContratos_080817_10532!$A$3:$AG$680,8,FALSE)</f>
        <v>#N/A</v>
      </c>
      <c r="L985" s="9" t="e">
        <f>VLOOKUP(A985,[31]RelatorioContratos_080817_10532!$A$3:$AG$680,32,FALSE)</f>
        <v>#N/A</v>
      </c>
      <c r="M985" s="9" t="e">
        <f>VLOOKUP(A985,[31]RelatorioContratos_080817_10532!$A$3:$AG$680,33,FALSE)</f>
        <v>#N/A</v>
      </c>
      <c r="N985" s="247"/>
      <c r="O985" s="247"/>
    </row>
    <row r="986" spans="1:18" ht="15" x14ac:dyDescent="0.25">
      <c r="A986" s="167">
        <f>Balanço_MRE!A986</f>
        <v>1106200</v>
      </c>
      <c r="B986" s="167" t="str">
        <f>Balanço_MRE!B986</f>
        <v>CCVE_100_108_VE_2018_a_2021_FERTILIZANTES</v>
      </c>
      <c r="C986" s="167" t="str">
        <f>Balanço_MRE!C986</f>
        <v>Contratos de Compra</v>
      </c>
      <c r="D986" s="192" t="str">
        <f>Balanço_MRE!D986</f>
        <v>SUDESTE</v>
      </c>
      <c r="E986" s="79">
        <f>Balanço_MRE!E986</f>
        <v>92.580590000000001</v>
      </c>
      <c r="F986" s="262">
        <f>Balanço_MRE!F986</f>
        <v>68879.959309776052</v>
      </c>
      <c r="G986" s="263">
        <f>Balanço_MRE!G986</f>
        <v>177.61002848961675</v>
      </c>
      <c r="H986" s="193">
        <f>Balanço_MRE!H986</f>
        <v>12233771.535372967</v>
      </c>
      <c r="J986" s="9"/>
      <c r="K986" s="9"/>
      <c r="L986" s="9"/>
      <c r="M986" s="9"/>
      <c r="N986" s="247"/>
      <c r="O986" s="247"/>
    </row>
    <row r="987" spans="1:18" ht="15" x14ac:dyDescent="0.25">
      <c r="A987" s="167">
        <f>Balanço_MRE!A987</f>
        <v>1129937</v>
      </c>
      <c r="B987" s="167" t="str">
        <f>Balanço_MRE!B987</f>
        <v>CCVE_20_VE_2018_a_2021_FERTILIZANTES</v>
      </c>
      <c r="C987" s="167" t="str">
        <f>Balanço_MRE!C987</f>
        <v>Contratos de Compra</v>
      </c>
      <c r="D987" s="192" t="str">
        <f>Balanço_MRE!D987</f>
        <v>NORDESTE</v>
      </c>
      <c r="E987" s="79">
        <f>Balanço_MRE!E987</f>
        <v>18</v>
      </c>
      <c r="F987" s="262">
        <f>Balanço_MRE!F987</f>
        <v>13392</v>
      </c>
      <c r="G987" s="263">
        <f>Balanço_MRE!G987</f>
        <v>197.96457790981177</v>
      </c>
      <c r="H987" s="193">
        <f>Balanço_MRE!H987</f>
        <v>2651141.6273681992</v>
      </c>
      <c r="J987" s="9"/>
      <c r="K987" s="9"/>
      <c r="L987" s="9"/>
      <c r="M987" s="9"/>
      <c r="N987" s="247"/>
      <c r="O987" s="247"/>
    </row>
    <row r="988" spans="1:18" ht="15" x14ac:dyDescent="0.25">
      <c r="A988" s="167">
        <f>Balanço_MRE!A988</f>
        <v>0</v>
      </c>
      <c r="B988" s="167">
        <f>Balanço_MRE!B988</f>
        <v>0</v>
      </c>
      <c r="C988" s="167">
        <f>Balanço_MRE!C988</f>
        <v>0</v>
      </c>
      <c r="D988" s="192">
        <f>Balanço_MRE!D988</f>
        <v>0</v>
      </c>
      <c r="E988" s="79">
        <f>Balanço_MRE!E988</f>
        <v>0</v>
      </c>
      <c r="F988" s="262">
        <f>Balanço_MRE!F988</f>
        <v>0</v>
      </c>
      <c r="G988" s="263">
        <f>Balanço_MRE!G988</f>
        <v>0</v>
      </c>
      <c r="H988" s="193">
        <f>Balanço_MRE!H988</f>
        <v>0</v>
      </c>
      <c r="I988" s="378"/>
      <c r="J988" s="9" t="e">
        <f>VLOOKUP(A988,#REF!,26,FALSE)</f>
        <v>#REF!</v>
      </c>
      <c r="K988" s="9" t="e">
        <f>VLOOKUP(A988,#REF!,8,FALSE)</f>
        <v>#REF!</v>
      </c>
      <c r="L988" s="9" t="e">
        <f>VLOOKUP(A988,#REF!,32,FALSE)</f>
        <v>#REF!</v>
      </c>
      <c r="M988" s="9" t="e">
        <f>VLOOKUP(A988,#REF!,33,FALSE)</f>
        <v>#REF!</v>
      </c>
      <c r="N988" s="247"/>
      <c r="O988" s="247"/>
    </row>
    <row r="989" spans="1:18" ht="15" x14ac:dyDescent="0.25">
      <c r="A989" s="167">
        <f>Balanço_MRE!A989</f>
        <v>0</v>
      </c>
      <c r="B989" s="167">
        <f>Balanço_MRE!B989</f>
        <v>0</v>
      </c>
      <c r="C989" s="167">
        <f>Balanço_MRE!C989</f>
        <v>0</v>
      </c>
      <c r="D989" s="192">
        <f>Balanço_MRE!D989</f>
        <v>0</v>
      </c>
      <c r="E989" s="79">
        <f>Balanço_MRE!E989</f>
        <v>0</v>
      </c>
      <c r="F989" s="262">
        <f>Balanço_MRE!F989</f>
        <v>0</v>
      </c>
      <c r="G989" s="263">
        <f>Balanço_MRE!G989</f>
        <v>0</v>
      </c>
      <c r="H989" s="193">
        <f>Balanço_MRE!H989</f>
        <v>0</v>
      </c>
      <c r="I989" s="152"/>
      <c r="J989" s="9" t="e">
        <f>VLOOKUP(A989,#REF!,26,FALSE)</f>
        <v>#REF!</v>
      </c>
      <c r="K989" s="9" t="e">
        <f>VLOOKUP(A989,#REF!,8,FALSE)</f>
        <v>#REF!</v>
      </c>
      <c r="L989" s="9" t="e">
        <f>VLOOKUP(A989,#REF!,32,FALSE)</f>
        <v>#REF!</v>
      </c>
      <c r="M989" s="9" t="e">
        <f>VLOOKUP(A989,#REF!,33,FALSE)</f>
        <v>#REF!</v>
      </c>
      <c r="N989" s="247"/>
      <c r="O989" s="247"/>
    </row>
    <row r="990" spans="1:18" ht="15" x14ac:dyDescent="0.25">
      <c r="A990" s="167">
        <f>Balanço_MRE!A990</f>
        <v>0</v>
      </c>
      <c r="B990" s="167">
        <f>Balanço_MRE!B990</f>
        <v>0</v>
      </c>
      <c r="C990" s="167">
        <f>Balanço_MRE!C990</f>
        <v>0</v>
      </c>
      <c r="D990" s="192">
        <f>Balanço_MRE!D990</f>
        <v>0</v>
      </c>
      <c r="E990" s="79">
        <f>Balanço_MRE!E990</f>
        <v>0</v>
      </c>
      <c r="F990" s="262">
        <f>Balanço_MRE!F990</f>
        <v>0</v>
      </c>
      <c r="G990" s="263">
        <f>Balanço_MRE!G990</f>
        <v>0</v>
      </c>
      <c r="H990" s="193">
        <f>Balanço_MRE!H990</f>
        <v>0</v>
      </c>
      <c r="I990" s="152"/>
      <c r="J990" s="9"/>
      <c r="K990" s="9"/>
      <c r="L990" s="9"/>
      <c r="M990" s="9"/>
      <c r="N990" s="247"/>
      <c r="O990" s="247"/>
    </row>
    <row r="991" spans="1:18" ht="15" x14ac:dyDescent="0.25">
      <c r="A991" s="198"/>
      <c r="B991" s="198"/>
      <c r="C991" s="198"/>
      <c r="D991" s="261"/>
      <c r="E991" s="85"/>
      <c r="F991" s="86"/>
      <c r="G991" s="86"/>
      <c r="H991" s="86"/>
      <c r="J991" s="393"/>
      <c r="K991" s="393"/>
      <c r="L991" s="393"/>
      <c r="M991" s="393"/>
      <c r="N991" s="247"/>
      <c r="O991" s="247"/>
    </row>
    <row r="992" spans="1:18" ht="15" x14ac:dyDescent="0.25">
      <c r="A992" s="80" t="s">
        <v>32</v>
      </c>
      <c r="B992" s="16"/>
      <c r="C992" s="16"/>
      <c r="D992" s="17"/>
      <c r="E992" s="81">
        <f>SUM(E979:E991)</f>
        <v>113.40950600000001</v>
      </c>
      <c r="F992" s="84">
        <f>SUM(F979:F991)</f>
        <v>84376.673309776059</v>
      </c>
      <c r="G992" s="82">
        <f>IFERROR(H992/F992,0)</f>
        <v>176.41028709550426</v>
      </c>
      <c r="H992" s="82">
        <f>SUM(H979:H991)</f>
        <v>14884913.162741166</v>
      </c>
      <c r="I992" s="115"/>
      <c r="N992" s="247"/>
    </row>
    <row r="993" spans="1:18" customFormat="1" ht="15" x14ac:dyDescent="0.25"/>
    <row r="994" spans="1:18" ht="15" x14ac:dyDescent="0.25">
      <c r="A994" s="548" t="s">
        <v>76</v>
      </c>
      <c r="B994" s="548"/>
      <c r="C994" s="548"/>
      <c r="D994" s="548"/>
      <c r="E994" s="548"/>
      <c r="F994" s="548"/>
      <c r="G994" s="548"/>
      <c r="H994" s="548"/>
      <c r="M994" s="137"/>
      <c r="N994" s="22"/>
      <c r="O994" s="247"/>
      <c r="P994" s="247"/>
      <c r="Q994" s="247"/>
      <c r="R994" s="247"/>
    </row>
    <row r="995" spans="1:18" ht="15" x14ac:dyDescent="0.25">
      <c r="A995" s="10" t="s">
        <v>252</v>
      </c>
      <c r="B995" s="10" t="s">
        <v>1</v>
      </c>
      <c r="C995" s="10" t="s">
        <v>2</v>
      </c>
      <c r="D995" s="10" t="s">
        <v>3</v>
      </c>
      <c r="E995" s="10" t="s">
        <v>137</v>
      </c>
      <c r="F995" s="10" t="s">
        <v>25</v>
      </c>
      <c r="G995" s="10" t="s">
        <v>253</v>
      </c>
      <c r="H995" s="10" t="s">
        <v>254</v>
      </c>
      <c r="J995" s="10" t="s">
        <v>72</v>
      </c>
      <c r="K995" s="10" t="s">
        <v>73</v>
      </c>
      <c r="L995" s="10" t="s">
        <v>74</v>
      </c>
      <c r="M995" s="10" t="s">
        <v>75</v>
      </c>
      <c r="N995" s="247"/>
      <c r="P995" s="247"/>
      <c r="Q995" s="247"/>
      <c r="R995" s="247"/>
    </row>
    <row r="996" spans="1:18" ht="15" x14ac:dyDescent="0.25">
      <c r="A996" s="167">
        <f>Balanço_MRE!A996</f>
        <v>0</v>
      </c>
      <c r="B996" s="167">
        <f>Balanço_MRE!B996</f>
        <v>0</v>
      </c>
      <c r="C996" s="167">
        <f>Balanço_MRE!C996</f>
        <v>0</v>
      </c>
      <c r="D996" s="192">
        <f>Balanço_MRE!D996</f>
        <v>0</v>
      </c>
      <c r="E996" s="79">
        <f>Balanço_MRE!E996</f>
        <v>0</v>
      </c>
      <c r="F996" s="262">
        <f>Balanço_MRE!F996</f>
        <v>0</v>
      </c>
      <c r="G996" s="263">
        <f>Balanço_MRE!G996</f>
        <v>0</v>
      </c>
      <c r="H996" s="193">
        <f>Balanço_MRE!H996</f>
        <v>0</v>
      </c>
      <c r="I996" s="152"/>
      <c r="J996" s="9" t="e">
        <f>VLOOKUP(A996,[31]RelatorioContratos_080817_10532!$A$3:$AG$680,26,FALSE)</f>
        <v>#N/A</v>
      </c>
      <c r="K996" s="9" t="e">
        <f>VLOOKUP(A996,[31]RelatorioContratos_080817_10532!$A$3:$AG$680,8,FALSE)</f>
        <v>#N/A</v>
      </c>
      <c r="L996" s="9" t="e">
        <f>VLOOKUP(A996,[31]RelatorioContratos_080817_10532!$A$3:$AG$680,32,FALSE)</f>
        <v>#N/A</v>
      </c>
      <c r="M996" s="9" t="e">
        <f>VLOOKUP(A996,[31]RelatorioContratos_080817_10532!$A$3:$AG$680,33,FALSE)</f>
        <v>#N/A</v>
      </c>
      <c r="N996" s="247"/>
      <c r="O996" s="247"/>
      <c r="P996" s="247"/>
      <c r="Q996" s="247"/>
      <c r="R996" s="247"/>
    </row>
    <row r="997" spans="1:18" ht="15" x14ac:dyDescent="0.25">
      <c r="A997" s="167">
        <f>Balanço_MRE!A997</f>
        <v>0</v>
      </c>
      <c r="B997" s="167">
        <f>Balanço_MRE!B997</f>
        <v>0</v>
      </c>
      <c r="C997" s="167">
        <f>Balanço_MRE!C997</f>
        <v>0</v>
      </c>
      <c r="D997" s="192">
        <f>Balanço_MRE!D997</f>
        <v>0</v>
      </c>
      <c r="E997" s="79">
        <f>Balanço_MRE!E997</f>
        <v>0</v>
      </c>
      <c r="F997" s="262">
        <f>Balanço_MRE!F997</f>
        <v>0</v>
      </c>
      <c r="G997" s="263">
        <f>Balanço_MRE!G997</f>
        <v>0</v>
      </c>
      <c r="H997" s="193">
        <f>Balanço_MRE!H997</f>
        <v>0</v>
      </c>
      <c r="I997" s="152"/>
      <c r="J997" s="9" t="e">
        <f>VLOOKUP(A997,[31]RelatorioContratos_080817_10532!$A$3:$AG$680,26,FALSE)</f>
        <v>#N/A</v>
      </c>
      <c r="K997" s="9" t="e">
        <f>VLOOKUP(A997,[31]RelatorioContratos_080817_10532!$A$3:$AG$680,8,FALSE)</f>
        <v>#N/A</v>
      </c>
      <c r="L997" s="9" t="e">
        <f>VLOOKUP(A997,[31]RelatorioContratos_080817_10532!$A$3:$AG$680,32,FALSE)</f>
        <v>#N/A</v>
      </c>
      <c r="M997" s="9" t="e">
        <f>VLOOKUP(A997,[31]RelatorioContratos_080817_10532!$A$3:$AG$680,33,FALSE)</f>
        <v>#N/A</v>
      </c>
      <c r="N997" s="247"/>
      <c r="O997" s="247"/>
      <c r="P997" s="247"/>
      <c r="Q997" s="247"/>
      <c r="R997" s="247"/>
    </row>
    <row r="998" spans="1:18" ht="15" x14ac:dyDescent="0.25">
      <c r="A998" s="167">
        <f>Balanço_MRE!A998</f>
        <v>0</v>
      </c>
      <c r="B998" s="167">
        <f>Balanço_MRE!B998</f>
        <v>0</v>
      </c>
      <c r="C998" s="167">
        <f>Balanço_MRE!C998</f>
        <v>0</v>
      </c>
      <c r="D998" s="192">
        <f>Balanço_MRE!D998</f>
        <v>0</v>
      </c>
      <c r="E998" s="79">
        <f>Balanço_MRE!E998</f>
        <v>0</v>
      </c>
      <c r="F998" s="262">
        <f>Balanço_MRE!F998</f>
        <v>0</v>
      </c>
      <c r="G998" s="263">
        <f>Balanço_MRE!G998</f>
        <v>0</v>
      </c>
      <c r="H998" s="193">
        <f>Balanço_MRE!H998</f>
        <v>0</v>
      </c>
      <c r="I998" s="109"/>
      <c r="J998" s="9" t="e">
        <f>VLOOKUP(A998,[31]RelatorioContratos_080817_10532!$A$3:$AG$680,26,FALSE)</f>
        <v>#N/A</v>
      </c>
      <c r="K998" s="9" t="e">
        <f>VLOOKUP(A998,[31]RelatorioContratos_080817_10532!$A$3:$AG$680,8,FALSE)</f>
        <v>#N/A</v>
      </c>
      <c r="L998" s="9" t="e">
        <f>VLOOKUP(A998,[31]RelatorioContratos_080817_10532!$A$3:$AG$680,32,FALSE)</f>
        <v>#N/A</v>
      </c>
      <c r="M998" s="9" t="e">
        <f>VLOOKUP(A998,[31]RelatorioContratos_080817_10532!$A$3:$AG$680,33,FALSE)</f>
        <v>#N/A</v>
      </c>
      <c r="N998" s="247"/>
      <c r="O998" s="247"/>
    </row>
    <row r="999" spans="1:18" ht="15" x14ac:dyDescent="0.25">
      <c r="A999" s="198"/>
      <c r="B999" s="198"/>
      <c r="C999" s="198"/>
      <c r="D999" s="261"/>
      <c r="E999" s="85"/>
      <c r="F999" s="86"/>
      <c r="G999" s="86"/>
      <c r="H999" s="86"/>
      <c r="J999" s="393"/>
      <c r="K999" s="393"/>
      <c r="L999" s="393"/>
      <c r="M999" s="393"/>
      <c r="N999" s="247"/>
      <c r="O999" s="247"/>
    </row>
    <row r="1000" spans="1:18" ht="15" x14ac:dyDescent="0.25">
      <c r="A1000" s="80" t="s">
        <v>32</v>
      </c>
      <c r="B1000" s="16"/>
      <c r="C1000" s="16"/>
      <c r="D1000" s="17"/>
      <c r="E1000" s="81">
        <f>SUM(E996:E999)</f>
        <v>0</v>
      </c>
      <c r="F1000" s="84">
        <f>SUM(F996:F999)</f>
        <v>0</v>
      </c>
      <c r="G1000" s="82">
        <f>IFERROR(H1000/F1000,0)</f>
        <v>0</v>
      </c>
      <c r="H1000" s="82">
        <f>SUM(H996:H999)</f>
        <v>0</v>
      </c>
      <c r="I1000" s="115"/>
      <c r="N1000" s="247"/>
    </row>
    <row r="1001" spans="1:18" ht="15" x14ac:dyDescent="0.25">
      <c r="E1001" s="109"/>
      <c r="F1001" s="109"/>
      <c r="G1001" s="109"/>
      <c r="N1001" s="247"/>
    </row>
    <row r="1002" spans="1:18" ht="15" x14ac:dyDescent="0.25">
      <c r="A1002" s="548" t="s">
        <v>233</v>
      </c>
      <c r="B1002" s="548"/>
      <c r="C1002" s="548"/>
      <c r="E1002" s="116" t="s">
        <v>19</v>
      </c>
      <c r="F1002" s="116"/>
      <c r="G1002" s="117" t="s">
        <v>20</v>
      </c>
      <c r="H1002" s="117"/>
      <c r="I1002" s="118" t="s">
        <v>21</v>
      </c>
      <c r="J1002" s="118"/>
      <c r="K1002" s="119" t="s">
        <v>22</v>
      </c>
      <c r="L1002" s="119"/>
      <c r="N1002" s="247"/>
    </row>
    <row r="1003" spans="1:18" ht="15" x14ac:dyDescent="0.25">
      <c r="A1003" s="10" t="s">
        <v>2</v>
      </c>
      <c r="B1003" s="10" t="s">
        <v>137</v>
      </c>
      <c r="C1003" s="10" t="s">
        <v>25</v>
      </c>
      <c r="E1003" s="207" t="s">
        <v>137</v>
      </c>
      <c r="F1003" s="208" t="s">
        <v>25</v>
      </c>
      <c r="G1003" s="209" t="s">
        <v>137</v>
      </c>
      <c r="H1003" s="210" t="s">
        <v>25</v>
      </c>
      <c r="I1003" s="211" t="s">
        <v>137</v>
      </c>
      <c r="J1003" s="212" t="s">
        <v>25</v>
      </c>
      <c r="K1003" s="213" t="s">
        <v>137</v>
      </c>
      <c r="L1003" s="214" t="s">
        <v>25</v>
      </c>
      <c r="N1003" s="247"/>
    </row>
    <row r="1004" spans="1:18" ht="15" x14ac:dyDescent="0.25">
      <c r="A1004" s="29" t="s">
        <v>69</v>
      </c>
      <c r="B1004" s="70">
        <v>0</v>
      </c>
      <c r="C1004" s="83">
        <v>0</v>
      </c>
      <c r="E1004" s="120">
        <f t="shared" ref="E1004:E1010" si="218">SUMIFS($E$967:$E$991,$C$967:$C$991,$A1004,$D$967:$D$991,$E$1002)</f>
        <v>0</v>
      </c>
      <c r="F1004" s="121">
        <f t="shared" ref="F1004:F1010" si="219">SUMIFS($F$967:$F$991,$C$967:$C$991,$A1004,$D$967:$D$991,$E$1002)</f>
        <v>0</v>
      </c>
      <c r="G1004" s="122">
        <f t="shared" ref="G1004:G1009" si="220">SUMIFS($E$967:$E$991,$C$967:$C$991,$A1004,$D$967:$D$991,$G$1002)</f>
        <v>0</v>
      </c>
      <c r="H1004" s="123">
        <f t="shared" ref="H1004:H1009" si="221">SUMIFS($F$967:$F$991,$C$967:$C$991,$A1004,$D$967:$D$991,$G$1002)</f>
        <v>0</v>
      </c>
      <c r="I1004" s="124">
        <f t="shared" ref="I1004:I1010" si="222">SUMIFS($E$967:$E$991,$C$967:$C$991,$A1004,$D$967:$D$991,$I$1002)</f>
        <v>0</v>
      </c>
      <c r="J1004" s="125">
        <f t="shared" ref="J1004:J1010" si="223">SUMIFS($F$967:$F$991,$C$967:$C$991,$A1004,$D$967:$D$991,$I$1002)</f>
        <v>0</v>
      </c>
      <c r="K1004" s="126">
        <f t="shared" ref="K1004:K1010" si="224">SUMIFS($E$967:$E$991,$C$967:$C$991,$A1004,$D$967:$D$991,$K$1002)</f>
        <v>0</v>
      </c>
      <c r="L1004" s="127">
        <f t="shared" ref="L1004:L1010" si="225">SUMIFS($F$967:$F$991,$C$967:$C$991,$A1004,$D$967:$D$991,$K$1002)</f>
        <v>0</v>
      </c>
      <c r="N1004" s="247"/>
    </row>
    <row r="1005" spans="1:18" ht="15" x14ac:dyDescent="0.25">
      <c r="A1005" s="29" t="s">
        <v>47</v>
      </c>
      <c r="B1005" s="70">
        <v>0</v>
      </c>
      <c r="C1005" s="83">
        <v>0</v>
      </c>
      <c r="E1005" s="120">
        <f t="shared" si="218"/>
        <v>0</v>
      </c>
      <c r="F1005" s="121">
        <f t="shared" si="219"/>
        <v>0</v>
      </c>
      <c r="G1005" s="122">
        <f t="shared" si="220"/>
        <v>0</v>
      </c>
      <c r="H1005" s="123">
        <f t="shared" si="221"/>
        <v>0</v>
      </c>
      <c r="I1005" s="124">
        <f t="shared" si="222"/>
        <v>0</v>
      </c>
      <c r="J1005" s="125">
        <f t="shared" si="223"/>
        <v>0</v>
      </c>
      <c r="K1005" s="126">
        <f t="shared" si="224"/>
        <v>0</v>
      </c>
      <c r="L1005" s="127">
        <f t="shared" si="225"/>
        <v>0</v>
      </c>
      <c r="N1005" s="247"/>
    </row>
    <row r="1006" spans="1:18" ht="15" x14ac:dyDescent="0.25">
      <c r="A1006" s="29" t="s">
        <v>79</v>
      </c>
      <c r="B1006" s="70">
        <v>0</v>
      </c>
      <c r="C1006" s="83">
        <v>0</v>
      </c>
      <c r="E1006" s="120">
        <f t="shared" si="218"/>
        <v>0</v>
      </c>
      <c r="F1006" s="121">
        <f t="shared" si="219"/>
        <v>0</v>
      </c>
      <c r="G1006" s="122">
        <f t="shared" si="220"/>
        <v>0</v>
      </c>
      <c r="H1006" s="123">
        <f t="shared" si="221"/>
        <v>0</v>
      </c>
      <c r="I1006" s="124">
        <f t="shared" si="222"/>
        <v>0</v>
      </c>
      <c r="J1006" s="125">
        <f t="shared" si="223"/>
        <v>0</v>
      </c>
      <c r="K1006" s="126">
        <f t="shared" si="224"/>
        <v>0</v>
      </c>
      <c r="L1006" s="127">
        <f t="shared" si="225"/>
        <v>0</v>
      </c>
      <c r="N1006" s="247"/>
    </row>
    <row r="1007" spans="1:18" ht="15" x14ac:dyDescent="0.25">
      <c r="A1007" s="29" t="s">
        <v>71</v>
      </c>
      <c r="B1007" s="70">
        <f>E992</f>
        <v>113.40950600000001</v>
      </c>
      <c r="C1007" s="83">
        <f>F992</f>
        <v>84376.673309776059</v>
      </c>
      <c r="E1007" s="120">
        <f t="shared" si="218"/>
        <v>0</v>
      </c>
      <c r="F1007" s="121">
        <f t="shared" si="219"/>
        <v>0</v>
      </c>
      <c r="G1007" s="122">
        <f t="shared" si="220"/>
        <v>18.373013</v>
      </c>
      <c r="H1007" s="123">
        <f t="shared" si="221"/>
        <v>13669.522000000001</v>
      </c>
      <c r="I1007" s="124">
        <f t="shared" si="222"/>
        <v>95.036493000000007</v>
      </c>
      <c r="J1007" s="125">
        <f t="shared" si="223"/>
        <v>70707.151309776047</v>
      </c>
      <c r="K1007" s="126">
        <f t="shared" si="224"/>
        <v>0</v>
      </c>
      <c r="L1007" s="127">
        <f t="shared" si="225"/>
        <v>0</v>
      </c>
      <c r="N1007" s="247"/>
    </row>
    <row r="1008" spans="1:18" ht="15" x14ac:dyDescent="0.25">
      <c r="A1008" s="29" t="s">
        <v>9</v>
      </c>
      <c r="B1008" s="70">
        <f>E975</f>
        <v>113.028527</v>
      </c>
      <c r="C1008" s="83">
        <f>F975</f>
        <v>84093.223681087795</v>
      </c>
      <c r="E1008" s="120">
        <f t="shared" si="218"/>
        <v>0</v>
      </c>
      <c r="F1008" s="121">
        <f t="shared" si="219"/>
        <v>0</v>
      </c>
      <c r="G1008" s="122">
        <f t="shared" si="220"/>
        <v>17.992032999999999</v>
      </c>
      <c r="H1008" s="123">
        <f t="shared" si="221"/>
        <v>13386.07237131176</v>
      </c>
      <c r="I1008" s="124">
        <f t="shared" si="222"/>
        <v>95.03649399999999</v>
      </c>
      <c r="J1008" s="125">
        <f t="shared" si="223"/>
        <v>70707.151309776047</v>
      </c>
      <c r="K1008" s="126">
        <f t="shared" si="224"/>
        <v>0</v>
      </c>
      <c r="L1008" s="127">
        <f t="shared" si="225"/>
        <v>0</v>
      </c>
      <c r="N1008" s="247"/>
    </row>
    <row r="1009" spans="1:18" ht="15" x14ac:dyDescent="0.25">
      <c r="A1009" s="29" t="s">
        <v>80</v>
      </c>
      <c r="B1009" s="70">
        <v>0</v>
      </c>
      <c r="C1009" s="83">
        <v>0</v>
      </c>
      <c r="E1009" s="120">
        <f t="shared" si="218"/>
        <v>0</v>
      </c>
      <c r="F1009" s="121">
        <f t="shared" si="219"/>
        <v>0</v>
      </c>
      <c r="G1009" s="122">
        <f t="shared" si="220"/>
        <v>0</v>
      </c>
      <c r="H1009" s="123">
        <f t="shared" si="221"/>
        <v>0</v>
      </c>
      <c r="I1009" s="124">
        <f t="shared" si="222"/>
        <v>0</v>
      </c>
      <c r="J1009" s="125">
        <f t="shared" si="223"/>
        <v>0</v>
      </c>
      <c r="K1009" s="126">
        <f t="shared" si="224"/>
        <v>0</v>
      </c>
      <c r="L1009" s="127">
        <f t="shared" si="225"/>
        <v>0</v>
      </c>
      <c r="N1009" s="247"/>
    </row>
    <row r="1010" spans="1:18" ht="15" x14ac:dyDescent="0.25">
      <c r="A1010" s="29" t="s">
        <v>77</v>
      </c>
      <c r="B1010" s="70">
        <f>E1000</f>
        <v>0</v>
      </c>
      <c r="C1010" s="70">
        <f>F1000</f>
        <v>0</v>
      </c>
      <c r="E1010" s="120">
        <f t="shared" si="218"/>
        <v>0</v>
      </c>
      <c r="F1010" s="121">
        <f t="shared" si="219"/>
        <v>0</v>
      </c>
      <c r="G1010" s="122">
        <f>SUMIFS($E$967:$E$1000,$C$967:$C$1000,$A1010,$D$967:$D$1000,$G$1002)</f>
        <v>0</v>
      </c>
      <c r="H1010" s="123">
        <f>SUMIFS($F$967:$F$1000,$C$967:$C$1000,$A1010,$D$967:$D$1000,$G$1002)</f>
        <v>0</v>
      </c>
      <c r="I1010" s="124">
        <f t="shared" si="222"/>
        <v>0</v>
      </c>
      <c r="J1010" s="125">
        <f t="shared" si="223"/>
        <v>0</v>
      </c>
      <c r="K1010" s="126">
        <f t="shared" si="224"/>
        <v>0</v>
      </c>
      <c r="L1010" s="127">
        <f t="shared" si="225"/>
        <v>0</v>
      </c>
      <c r="N1010" s="247"/>
    </row>
    <row r="1011" spans="1:18" ht="15" x14ac:dyDescent="0.25">
      <c r="A1011" s="11" t="s">
        <v>81</v>
      </c>
      <c r="B1011" s="12">
        <f>SUM(B1004:B1007)-SUM(B1008:B1010)</f>
        <v>0.38097900000001061</v>
      </c>
      <c r="C1011" s="12">
        <f>SUM(C1004:C1007)-SUM(C1008:C1010)</f>
        <v>283.44962868826406</v>
      </c>
      <c r="E1011" s="128">
        <f>SUM(E1004:E1007)-SUM(E1008:E1010)</f>
        <v>0</v>
      </c>
      <c r="F1011" s="129">
        <f>SUM(F1004:F1007)-SUM(F1008:F1010)</f>
        <v>0</v>
      </c>
      <c r="G1011" s="130">
        <f t="shared" ref="G1011:L1011" si="226">SUM(G1004:G1007)-SUM(G1008:G1010)</f>
        <v>0.38098000000000098</v>
      </c>
      <c r="H1011" s="131">
        <f t="shared" si="226"/>
        <v>283.44962868824041</v>
      </c>
      <c r="I1011" s="132">
        <f t="shared" si="226"/>
        <v>-9.9999998326438799E-7</v>
      </c>
      <c r="J1011" s="133">
        <f t="shared" si="226"/>
        <v>0</v>
      </c>
      <c r="K1011" s="134">
        <f t="shared" si="226"/>
        <v>0</v>
      </c>
      <c r="L1011" s="135">
        <f t="shared" si="226"/>
        <v>0</v>
      </c>
      <c r="N1011" s="247"/>
    </row>
    <row r="1012" spans="1:18" ht="15" x14ac:dyDescent="0.25">
      <c r="A1012" s="11" t="s">
        <v>82</v>
      </c>
      <c r="B1012" s="12">
        <f>SUM(B1004:B1007)-SUM(B1008:B1011)</f>
        <v>0</v>
      </c>
      <c r="C1012" s="12">
        <f>SUM(C1004:C1007)-SUM(C1008:C1011)</f>
        <v>0</v>
      </c>
      <c r="E1012" s="128">
        <f>SUM(E1004:E1007)-SUM(E1008:E1011)</f>
        <v>0</v>
      </c>
      <c r="F1012" s="129">
        <f t="shared" ref="F1012:L1012" si="227">SUM(F1004:F1007)-SUM(F1008:F1011)</f>
        <v>0</v>
      </c>
      <c r="G1012" s="130">
        <f t="shared" si="227"/>
        <v>0</v>
      </c>
      <c r="H1012" s="131">
        <f t="shared" si="227"/>
        <v>0</v>
      </c>
      <c r="I1012" s="132">
        <f t="shared" si="227"/>
        <v>0</v>
      </c>
      <c r="J1012" s="133">
        <f t="shared" si="227"/>
        <v>0</v>
      </c>
      <c r="K1012" s="134">
        <f t="shared" si="227"/>
        <v>0</v>
      </c>
      <c r="L1012" s="135">
        <f t="shared" si="227"/>
        <v>0</v>
      </c>
      <c r="N1012" s="247"/>
    </row>
    <row r="1013" spans="1:18" ht="15" x14ac:dyDescent="0.25">
      <c r="N1013" s="247"/>
    </row>
    <row r="1014" spans="1:18" ht="15" x14ac:dyDescent="0.25">
      <c r="E1014" s="153">
        <f>(F1011*$H$5)+(H1011*$J$5)+(J1011*$L$5)+(L1011*$N$5)</f>
        <v>13767.879948300581</v>
      </c>
      <c r="N1014" s="247"/>
    </row>
    <row r="1015" spans="1:18" ht="15" x14ac:dyDescent="0.25">
      <c r="N1015" s="247"/>
    </row>
    <row r="1016" spans="1:18" ht="15" x14ac:dyDescent="0.25">
      <c r="A1016" s="564" t="s">
        <v>429</v>
      </c>
      <c r="B1016" s="564"/>
      <c r="C1016" s="564"/>
      <c r="D1016" s="564"/>
      <c r="E1016" s="564"/>
      <c r="F1016" s="564"/>
      <c r="G1016" s="564"/>
      <c r="H1016" s="564"/>
      <c r="N1016" s="247"/>
    </row>
    <row r="1017" spans="1:18" ht="15" x14ac:dyDescent="0.25">
      <c r="A1017" s="564"/>
      <c r="B1017" s="564"/>
      <c r="C1017" s="564"/>
      <c r="D1017" s="564"/>
      <c r="E1017" s="564"/>
      <c r="F1017" s="564"/>
      <c r="G1017" s="564"/>
      <c r="H1017" s="564"/>
      <c r="N1017" s="247"/>
    </row>
    <row r="1018" spans="1:18" ht="3.75" customHeight="1" x14ac:dyDescent="0.2"/>
    <row r="1019" spans="1:18" x14ac:dyDescent="0.2">
      <c r="A1019" s="548" t="s">
        <v>85</v>
      </c>
      <c r="B1019" s="548"/>
      <c r="C1019" s="548"/>
      <c r="D1019" s="548"/>
      <c r="E1019" s="548"/>
      <c r="F1019" s="548"/>
      <c r="G1019" s="548"/>
      <c r="H1019" s="548"/>
    </row>
    <row r="1020" spans="1:18" x14ac:dyDescent="0.2">
      <c r="A1020" s="10" t="s">
        <v>8</v>
      </c>
      <c r="B1020" s="10"/>
      <c r="C1020" s="10" t="s">
        <v>2</v>
      </c>
      <c r="D1020" s="10" t="s">
        <v>3</v>
      </c>
      <c r="E1020" s="10" t="s">
        <v>137</v>
      </c>
      <c r="F1020" s="10" t="s">
        <v>25</v>
      </c>
      <c r="G1020" s="10" t="s">
        <v>95</v>
      </c>
      <c r="H1020" s="10" t="s">
        <v>240</v>
      </c>
      <c r="J1020" s="522" t="s">
        <v>114</v>
      </c>
      <c r="K1020" s="522" t="s">
        <v>117</v>
      </c>
      <c r="L1020" s="548" t="s">
        <v>150</v>
      </c>
      <c r="M1020" s="548" t="s">
        <v>115</v>
      </c>
      <c r="N1020" s="522" t="s">
        <v>116</v>
      </c>
      <c r="O1020" s="522" t="s">
        <v>151</v>
      </c>
      <c r="P1020" s="522"/>
      <c r="Q1020" s="523"/>
    </row>
    <row r="1021" spans="1:18" ht="15" x14ac:dyDescent="0.25">
      <c r="A1021" s="167" t="str">
        <f>Balanço_MRE!A1021</f>
        <v>Bombeamento de Uberaba</v>
      </c>
      <c r="B1021" s="167">
        <f>Balanço_MRE!B1021</f>
        <v>0</v>
      </c>
      <c r="C1021" s="167" t="str">
        <f>Balanço_MRE!C1021</f>
        <v>Carga</v>
      </c>
      <c r="D1021" s="192" t="str">
        <f>Balanço_MRE!D1021</f>
        <v>SUDESTE</v>
      </c>
      <c r="E1021" s="79">
        <f>Balanço_MRE!E1021</f>
        <v>7.9491000000000006E-2</v>
      </c>
      <c r="F1021" s="262">
        <f>Balanço_MRE!F1021</f>
        <v>59.141372413793093</v>
      </c>
      <c r="G1021" s="263">
        <f>Balanço_MRE!G1021</f>
        <v>0</v>
      </c>
      <c r="H1021" s="193">
        <f>Balanço_MRE!H1021</f>
        <v>0.03</v>
      </c>
      <c r="I1021" s="144"/>
      <c r="J1021" s="247"/>
      <c r="K1021" s="247"/>
      <c r="L1021" s="247"/>
      <c r="M1021" s="247"/>
      <c r="N1021" s="247"/>
      <c r="O1021" s="247"/>
      <c r="P1021" s="247"/>
      <c r="Q1021" s="186"/>
    </row>
    <row r="1022" spans="1:18" ht="15" x14ac:dyDescent="0.25">
      <c r="A1022" s="171"/>
      <c r="B1022" s="172"/>
      <c r="C1022" s="171"/>
      <c r="D1022" s="173"/>
      <c r="E1022" s="174"/>
      <c r="F1022" s="175"/>
      <c r="G1022" s="175"/>
      <c r="H1022" s="175"/>
      <c r="J1022" s="247"/>
      <c r="K1022" s="247"/>
      <c r="L1022" s="247"/>
      <c r="M1022" s="247"/>
      <c r="N1022" s="247"/>
      <c r="O1022" s="247"/>
      <c r="P1022" s="247"/>
    </row>
    <row r="1023" spans="1:18" ht="15" x14ac:dyDescent="0.25">
      <c r="A1023" s="80" t="s">
        <v>32</v>
      </c>
      <c r="B1023" s="16"/>
      <c r="C1023" s="16"/>
      <c r="D1023" s="17"/>
      <c r="E1023" s="81">
        <f>SUM(E1021:E1022)</f>
        <v>7.9491000000000006E-2</v>
      </c>
      <c r="F1023" s="84">
        <f>SUM(F1021:F1022)</f>
        <v>59.141372413793093</v>
      </c>
      <c r="G1023" s="84">
        <f>SUM(G1021:G1022)</f>
        <v>0</v>
      </c>
      <c r="H1023" s="84"/>
      <c r="I1023" s="115"/>
      <c r="J1023" s="144"/>
      <c r="K1023" s="115"/>
      <c r="L1023" s="115"/>
      <c r="M1023" s="115"/>
      <c r="N1023" s="115"/>
      <c r="O1023" s="63"/>
      <c r="P1023" s="115"/>
    </row>
    <row r="1024" spans="1:18" ht="15" x14ac:dyDescent="0.25">
      <c r="F1024" s="115"/>
      <c r="M1024" s="110"/>
      <c r="N1024" s="247"/>
      <c r="O1024" s="380"/>
      <c r="P1024" s="247"/>
      <c r="Q1024" s="247"/>
      <c r="R1024" s="247"/>
    </row>
    <row r="1025" spans="1:18" ht="15" x14ac:dyDescent="0.25">
      <c r="A1025" s="548" t="s">
        <v>70</v>
      </c>
      <c r="B1025" s="548"/>
      <c r="C1025" s="548"/>
      <c r="D1025" s="548"/>
      <c r="E1025" s="548"/>
      <c r="F1025" s="548"/>
      <c r="G1025" s="548"/>
      <c r="H1025" s="548"/>
      <c r="M1025" s="137"/>
      <c r="N1025" s="22"/>
      <c r="O1025" s="247"/>
      <c r="P1025" s="247"/>
      <c r="Q1025" s="247"/>
      <c r="R1025" s="247"/>
    </row>
    <row r="1026" spans="1:18" ht="15" x14ac:dyDescent="0.25">
      <c r="A1026" s="10" t="s">
        <v>252</v>
      </c>
      <c r="B1026" s="10" t="s">
        <v>1</v>
      </c>
      <c r="C1026" s="10" t="s">
        <v>2</v>
      </c>
      <c r="D1026" s="10" t="s">
        <v>3</v>
      </c>
      <c r="E1026" s="10" t="s">
        <v>137</v>
      </c>
      <c r="F1026" s="10" t="s">
        <v>25</v>
      </c>
      <c r="G1026" s="10" t="s">
        <v>253</v>
      </c>
      <c r="H1026" s="10" t="s">
        <v>254</v>
      </c>
      <c r="J1026" s="10" t="s">
        <v>72</v>
      </c>
      <c r="K1026" s="10" t="s">
        <v>73</v>
      </c>
      <c r="L1026" s="10" t="s">
        <v>74</v>
      </c>
      <c r="M1026" s="10" t="s">
        <v>75</v>
      </c>
      <c r="N1026" s="247"/>
      <c r="P1026" s="247"/>
      <c r="Q1026" s="247"/>
      <c r="R1026" s="247"/>
    </row>
    <row r="1027" spans="1:18" ht="15" x14ac:dyDescent="0.25">
      <c r="A1027" s="167">
        <f>Balanço_MRE!A1027</f>
        <v>0</v>
      </c>
      <c r="B1027" s="167" t="str">
        <f>Balanço_MRE!B1027</f>
        <v>PROINFA | ACEP &gt;&gt; SE</v>
      </c>
      <c r="C1027" s="167" t="str">
        <f>Balanço_MRE!C1027</f>
        <v>Contratos de Compra</v>
      </c>
      <c r="D1027" s="192" t="str">
        <f>Balanço_MRE!D1027</f>
        <v>SUDESTE</v>
      </c>
      <c r="E1027" s="79">
        <f>Balanço_MRE!E1027</f>
        <v>0</v>
      </c>
      <c r="F1027" s="262">
        <f>Balanço_MRE!F1027</f>
        <v>0</v>
      </c>
      <c r="G1027" s="263">
        <f>Balanço_MRE!G1027</f>
        <v>0</v>
      </c>
      <c r="H1027" s="193">
        <f>Balanço_MRE!H1027</f>
        <v>0</v>
      </c>
      <c r="I1027" s="152"/>
      <c r="J1027" s="247" t="e">
        <f>[30]Contratos!W56</f>
        <v>#REF!</v>
      </c>
      <c r="K1027" s="247" t="e">
        <f>#REF!</f>
        <v>#REF!</v>
      </c>
      <c r="L1027" s="247"/>
      <c r="M1027" s="247"/>
      <c r="N1027" s="247"/>
      <c r="O1027" s="247"/>
      <c r="P1027" s="247"/>
      <c r="Q1027" s="247"/>
      <c r="R1027" s="247"/>
    </row>
    <row r="1028" spans="1:18" ht="15" x14ac:dyDescent="0.25">
      <c r="A1028" s="167">
        <f>Balanço_MRE!A1028</f>
        <v>0</v>
      </c>
      <c r="B1028" s="167">
        <f>Balanço_MRE!B1028</f>
        <v>0</v>
      </c>
      <c r="C1028" s="167">
        <f>Balanço_MRE!C1028</f>
        <v>0</v>
      </c>
      <c r="D1028" s="192">
        <f>Balanço_MRE!D1028</f>
        <v>0</v>
      </c>
      <c r="E1028" s="79">
        <f>Balanço_MRE!E1028</f>
        <v>0</v>
      </c>
      <c r="F1028" s="262">
        <f>Balanço_MRE!F1028</f>
        <v>0</v>
      </c>
      <c r="G1028" s="263">
        <f>Balanço_MRE!G1028</f>
        <v>0</v>
      </c>
      <c r="H1028" s="193">
        <f>Balanço_MRE!H1028</f>
        <v>0</v>
      </c>
      <c r="I1028" s="109"/>
      <c r="J1028" s="9" t="e">
        <f>VLOOKUP(A1028,[31]RelatorioContratos_080817_10532!$A$3:$AG$680,26,FALSE)</f>
        <v>#N/A</v>
      </c>
      <c r="K1028" s="9" t="e">
        <f>VLOOKUP(A1028,[31]RelatorioContratos_080817_10532!$A$3:$AG$680,8,FALSE)</f>
        <v>#N/A</v>
      </c>
      <c r="L1028" s="9" t="e">
        <f>VLOOKUP(A1028,[31]RelatorioContratos_080817_10532!$A$3:$AG$680,32,FALSE)</f>
        <v>#N/A</v>
      </c>
      <c r="M1028" s="9" t="e">
        <f>VLOOKUP(A1028,[31]RelatorioContratos_080817_10532!$A$3:$AG$680,33,FALSE)</f>
        <v>#N/A</v>
      </c>
      <c r="N1028" s="247"/>
      <c r="O1028" s="247"/>
    </row>
    <row r="1029" spans="1:18" ht="15" x14ac:dyDescent="0.25">
      <c r="A1029" s="167">
        <f>Balanço_MRE!A1029</f>
        <v>0</v>
      </c>
      <c r="B1029" s="167">
        <f>Balanço_MRE!B1029</f>
        <v>0</v>
      </c>
      <c r="C1029" s="167">
        <f>Balanço_MRE!C1029</f>
        <v>0</v>
      </c>
      <c r="D1029" s="192">
        <f>Balanço_MRE!D1029</f>
        <v>0</v>
      </c>
      <c r="E1029" s="79">
        <f>Balanço_MRE!E1029</f>
        <v>0</v>
      </c>
      <c r="F1029" s="262">
        <f>Balanço_MRE!F1029</f>
        <v>0</v>
      </c>
      <c r="G1029" s="263">
        <f>Balanço_MRE!G1029</f>
        <v>0</v>
      </c>
      <c r="H1029" s="193">
        <f>Balanço_MRE!H1029</f>
        <v>0</v>
      </c>
      <c r="J1029" s="9" t="e">
        <f>VLOOKUP(A1029,#REF!,26,FALSE)</f>
        <v>#REF!</v>
      </c>
      <c r="K1029" s="9" t="e">
        <f>VLOOKUP(A1029,#REF!,8,FALSE)</f>
        <v>#REF!</v>
      </c>
      <c r="L1029" s="9" t="e">
        <f>VLOOKUP(A1029,#REF!,32,FALSE)</f>
        <v>#REF!</v>
      </c>
      <c r="M1029" s="9" t="e">
        <f>VLOOKUP(A1029,#REF!,33,FALSE)</f>
        <v>#REF!</v>
      </c>
      <c r="N1029" s="247"/>
      <c r="O1029" s="247"/>
    </row>
    <row r="1030" spans="1:18" ht="15" x14ac:dyDescent="0.25">
      <c r="A1030" s="198"/>
      <c r="B1030" s="198"/>
      <c r="C1030" s="198"/>
      <c r="D1030" s="261"/>
      <c r="E1030" s="85"/>
      <c r="F1030" s="86"/>
      <c r="G1030" s="86"/>
      <c r="H1030" s="86"/>
      <c r="J1030" s="393"/>
      <c r="K1030" s="393"/>
      <c r="L1030" s="393"/>
      <c r="M1030" s="393"/>
      <c r="N1030" s="247"/>
      <c r="O1030" s="247"/>
    </row>
    <row r="1031" spans="1:18" ht="15" x14ac:dyDescent="0.25">
      <c r="A1031" s="80" t="s">
        <v>32</v>
      </c>
      <c r="B1031" s="16"/>
      <c r="C1031" s="16"/>
      <c r="D1031" s="17"/>
      <c r="E1031" s="81">
        <f>SUM(E1027:E1030)</f>
        <v>0</v>
      </c>
      <c r="F1031" s="84">
        <f>SUM(F1027:F1030)</f>
        <v>0</v>
      </c>
      <c r="G1031" s="82">
        <f>IFERROR(H1031/F1031,0)</f>
        <v>0</v>
      </c>
      <c r="H1031" s="82">
        <f>SUM(H1027:H1030)</f>
        <v>0</v>
      </c>
      <c r="I1031" s="115"/>
      <c r="N1031" s="247"/>
    </row>
    <row r="1032" spans="1:18" s="247" customFormat="1" ht="15" x14ac:dyDescent="0.25"/>
    <row r="1033" spans="1:18" ht="15" x14ac:dyDescent="0.25">
      <c r="A1033" s="548" t="s">
        <v>76</v>
      </c>
      <c r="B1033" s="548"/>
      <c r="C1033" s="548"/>
      <c r="D1033" s="548"/>
      <c r="E1033" s="548"/>
      <c r="F1033" s="548"/>
      <c r="G1033" s="548"/>
      <c r="H1033" s="548"/>
      <c r="M1033" s="137"/>
      <c r="N1033" s="22"/>
      <c r="O1033" s="247"/>
      <c r="P1033" s="247"/>
      <c r="Q1033" s="247"/>
      <c r="R1033" s="247"/>
    </row>
    <row r="1034" spans="1:18" ht="15" x14ac:dyDescent="0.25">
      <c r="A1034" s="10" t="s">
        <v>252</v>
      </c>
      <c r="B1034" s="10" t="s">
        <v>1</v>
      </c>
      <c r="C1034" s="10" t="s">
        <v>2</v>
      </c>
      <c r="D1034" s="10" t="s">
        <v>3</v>
      </c>
      <c r="E1034" s="10" t="s">
        <v>137</v>
      </c>
      <c r="F1034" s="10" t="s">
        <v>25</v>
      </c>
      <c r="G1034" s="10" t="s">
        <v>253</v>
      </c>
      <c r="H1034" s="10" t="s">
        <v>254</v>
      </c>
      <c r="J1034" s="10" t="s">
        <v>72</v>
      </c>
      <c r="K1034" s="10" t="s">
        <v>73</v>
      </c>
      <c r="L1034" s="10" t="s">
        <v>74</v>
      </c>
      <c r="M1034" s="10" t="s">
        <v>75</v>
      </c>
      <c r="N1034" s="247"/>
      <c r="P1034" s="247"/>
      <c r="Q1034" s="247"/>
      <c r="R1034" s="247"/>
    </row>
    <row r="1035" spans="1:18" ht="15" x14ac:dyDescent="0.25">
      <c r="A1035" s="167">
        <f>Balanço_MRE!A1036</f>
        <v>0</v>
      </c>
      <c r="B1035" s="167">
        <f>Balanço_MRE!B1036</f>
        <v>0</v>
      </c>
      <c r="C1035" s="167">
        <f>Balanço_MRE!C1036</f>
        <v>0</v>
      </c>
      <c r="D1035" s="192">
        <f>Balanço_MRE!D1036</f>
        <v>0</v>
      </c>
      <c r="E1035" s="79">
        <f>Balanço_MRE!E1036</f>
        <v>0</v>
      </c>
      <c r="F1035" s="262">
        <f>Balanço_MRE!F1036</f>
        <v>0</v>
      </c>
      <c r="G1035" s="263">
        <f>Balanço_MRE!G1036</f>
        <v>0</v>
      </c>
      <c r="H1035" s="193">
        <f>Balanço_MRE!H1036</f>
        <v>0</v>
      </c>
      <c r="I1035" s="152"/>
      <c r="J1035" s="9" t="e">
        <f>VLOOKUP(A1035,[31]RelatorioContratos_080817_10532!$A$3:$AG$680,26,FALSE)</f>
        <v>#N/A</v>
      </c>
      <c r="K1035" s="9" t="e">
        <f>VLOOKUP(A1035,[31]RelatorioContratos_080817_10532!$A$3:$AG$680,8,FALSE)</f>
        <v>#N/A</v>
      </c>
      <c r="L1035" s="9" t="e">
        <f>VLOOKUP(A1035,[31]RelatorioContratos_080817_10532!$A$3:$AG$680,32,FALSE)</f>
        <v>#N/A</v>
      </c>
      <c r="M1035" s="9" t="e">
        <f>VLOOKUP(A1035,[31]RelatorioContratos_080817_10532!$A$3:$AG$680,33,FALSE)</f>
        <v>#N/A</v>
      </c>
      <c r="N1035" s="247"/>
      <c r="O1035" s="247"/>
      <c r="P1035" s="247"/>
      <c r="Q1035" s="247"/>
      <c r="R1035" s="247"/>
    </row>
    <row r="1036" spans="1:18" ht="15" x14ac:dyDescent="0.25">
      <c r="A1036" s="167">
        <f>Balanço_MRE!A1037</f>
        <v>0</v>
      </c>
      <c r="B1036" s="167">
        <f>Balanço_MRE!B1037</f>
        <v>0</v>
      </c>
      <c r="C1036" s="167">
        <f>Balanço_MRE!C1037</f>
        <v>0</v>
      </c>
      <c r="D1036" s="192">
        <f>Balanço_MRE!D1037</f>
        <v>0</v>
      </c>
      <c r="E1036" s="79">
        <f>Balanço_MRE!E1037</f>
        <v>0</v>
      </c>
      <c r="F1036" s="262">
        <f>Balanço_MRE!F1037</f>
        <v>0</v>
      </c>
      <c r="G1036" s="263">
        <f>Balanço_MRE!G1037</f>
        <v>0</v>
      </c>
      <c r="H1036" s="193">
        <f>Balanço_MRE!H1037</f>
        <v>0</v>
      </c>
      <c r="I1036" s="152"/>
      <c r="J1036" s="9" t="e">
        <f>VLOOKUP(A1036,[31]RelatorioContratos_080817_10532!$A$3:$AG$680,26,FALSE)</f>
        <v>#N/A</v>
      </c>
      <c r="K1036" s="9" t="e">
        <f>VLOOKUP(A1036,[31]RelatorioContratos_080817_10532!$A$3:$AG$680,8,FALSE)</f>
        <v>#N/A</v>
      </c>
      <c r="L1036" s="9" t="e">
        <f>VLOOKUP(A1036,[31]RelatorioContratos_080817_10532!$A$3:$AG$680,32,FALSE)</f>
        <v>#N/A</v>
      </c>
      <c r="M1036" s="9" t="e">
        <f>VLOOKUP(A1036,[31]RelatorioContratos_080817_10532!$A$3:$AG$680,33,FALSE)</f>
        <v>#N/A</v>
      </c>
      <c r="N1036" s="247"/>
      <c r="O1036" s="247"/>
      <c r="P1036" s="247"/>
      <c r="Q1036" s="247"/>
      <c r="R1036" s="247"/>
    </row>
    <row r="1037" spans="1:18" ht="15" x14ac:dyDescent="0.25">
      <c r="A1037" s="198"/>
      <c r="B1037" s="198"/>
      <c r="C1037" s="198"/>
      <c r="D1037" s="261"/>
      <c r="E1037" s="85"/>
      <c r="F1037" s="86"/>
      <c r="G1037" s="86"/>
      <c r="H1037" s="86"/>
      <c r="J1037" s="393"/>
      <c r="K1037" s="393"/>
      <c r="L1037" s="393"/>
      <c r="M1037" s="393"/>
      <c r="N1037" s="247"/>
      <c r="O1037" s="247"/>
    </row>
    <row r="1038" spans="1:18" ht="15" x14ac:dyDescent="0.25">
      <c r="A1038" s="80" t="s">
        <v>32</v>
      </c>
      <c r="B1038" s="16"/>
      <c r="C1038" s="16"/>
      <c r="D1038" s="17"/>
      <c r="E1038" s="81">
        <f>SUM(E1035:E1037)</f>
        <v>0</v>
      </c>
      <c r="F1038" s="84">
        <f>SUM(F1035:F1037)</f>
        <v>0</v>
      </c>
      <c r="G1038" s="82">
        <f>IFERROR(H1038/F1038,0)</f>
        <v>0</v>
      </c>
      <c r="H1038" s="82">
        <f>SUM(H1035:H1037)</f>
        <v>0</v>
      </c>
      <c r="I1038" s="115"/>
      <c r="N1038" s="247"/>
    </row>
    <row r="1039" spans="1:18" ht="15" x14ac:dyDescent="0.25">
      <c r="E1039" s="109"/>
      <c r="F1039" s="109"/>
      <c r="G1039" s="109"/>
      <c r="N1039" s="247"/>
    </row>
    <row r="1040" spans="1:18" ht="15" x14ac:dyDescent="0.25">
      <c r="A1040" s="548" t="s">
        <v>233</v>
      </c>
      <c r="B1040" s="548"/>
      <c r="C1040" s="548"/>
      <c r="E1040" s="116" t="s">
        <v>19</v>
      </c>
      <c r="F1040" s="116"/>
      <c r="G1040" s="117" t="s">
        <v>20</v>
      </c>
      <c r="H1040" s="117"/>
      <c r="I1040" s="118" t="s">
        <v>21</v>
      </c>
      <c r="J1040" s="118"/>
      <c r="K1040" s="119" t="s">
        <v>22</v>
      </c>
      <c r="L1040" s="119"/>
      <c r="N1040" s="247"/>
    </row>
    <row r="1041" spans="1:14" ht="15" x14ac:dyDescent="0.25">
      <c r="A1041" s="10" t="s">
        <v>2</v>
      </c>
      <c r="B1041" s="10" t="s">
        <v>137</v>
      </c>
      <c r="C1041" s="10" t="s">
        <v>25</v>
      </c>
      <c r="E1041" s="207" t="s">
        <v>137</v>
      </c>
      <c r="F1041" s="208" t="s">
        <v>25</v>
      </c>
      <c r="G1041" s="209" t="s">
        <v>137</v>
      </c>
      <c r="H1041" s="210" t="s">
        <v>25</v>
      </c>
      <c r="I1041" s="211" t="s">
        <v>137</v>
      </c>
      <c r="J1041" s="212" t="s">
        <v>25</v>
      </c>
      <c r="K1041" s="213" t="s">
        <v>137</v>
      </c>
      <c r="L1041" s="214" t="s">
        <v>25</v>
      </c>
      <c r="N1041" s="247"/>
    </row>
    <row r="1042" spans="1:14" ht="15" x14ac:dyDescent="0.25">
      <c r="A1042" s="29" t="s">
        <v>69</v>
      </c>
      <c r="B1042" s="70">
        <v>0</v>
      </c>
      <c r="C1042" s="83">
        <v>0</v>
      </c>
      <c r="E1042" s="120">
        <f t="shared" ref="E1042:E1048" si="228">SUMIFS($E$967:$E$991,$C$967:$C$991,$A1042,$D$967:$D$991,$E$1002)</f>
        <v>0</v>
      </c>
      <c r="F1042" s="121">
        <f t="shared" ref="F1042:F1048" si="229">SUMIFS($F$967:$F$991,$C$967:$C$991,$A1042,$D$967:$D$991,$E$1002)</f>
        <v>0</v>
      </c>
      <c r="G1042" s="122">
        <f t="shared" ref="G1042:G1047" si="230">SUMIFS($E$967:$E$991,$C$967:$C$991,$A1042,$D$967:$D$991,$G$1002)</f>
        <v>0</v>
      </c>
      <c r="H1042" s="123">
        <f t="shared" ref="H1042:H1047" si="231">SUMIFS($F$967:$F$991,$C$967:$C$991,$A1042,$D$967:$D$991,$G$1002)</f>
        <v>0</v>
      </c>
      <c r="I1042" s="124">
        <f t="shared" ref="I1042:I1048" si="232">SUMIFS($E$967:$E$991,$C$967:$C$991,$A1042,$D$967:$D$991,$I$1002)</f>
        <v>0</v>
      </c>
      <c r="J1042" s="125">
        <f t="shared" ref="J1042:J1048" si="233">SUMIFS($F$967:$F$991,$C$967:$C$991,$A1042,$D$967:$D$991,$I$1002)</f>
        <v>0</v>
      </c>
      <c r="K1042" s="126">
        <f t="shared" ref="K1042:K1048" si="234">SUMIFS($E$967:$E$991,$C$967:$C$991,$A1042,$D$967:$D$991,$K$1002)</f>
        <v>0</v>
      </c>
      <c r="L1042" s="127">
        <f t="shared" ref="L1042:L1048" si="235">SUMIFS($F$967:$F$991,$C$967:$C$991,$A1042,$D$967:$D$991,$K$1002)</f>
        <v>0</v>
      </c>
      <c r="N1042" s="247"/>
    </row>
    <row r="1043" spans="1:14" ht="15" x14ac:dyDescent="0.25">
      <c r="A1043" s="29" t="s">
        <v>47</v>
      </c>
      <c r="B1043" s="70">
        <v>0</v>
      </c>
      <c r="C1043" s="83">
        <v>0</v>
      </c>
      <c r="E1043" s="120">
        <f t="shared" si="228"/>
        <v>0</v>
      </c>
      <c r="F1043" s="121">
        <f t="shared" si="229"/>
        <v>0</v>
      </c>
      <c r="G1043" s="122">
        <f t="shared" si="230"/>
        <v>0</v>
      </c>
      <c r="H1043" s="123">
        <f t="shared" si="231"/>
        <v>0</v>
      </c>
      <c r="I1043" s="124">
        <f t="shared" si="232"/>
        <v>0</v>
      </c>
      <c r="J1043" s="125">
        <f t="shared" si="233"/>
        <v>0</v>
      </c>
      <c r="K1043" s="126">
        <f t="shared" si="234"/>
        <v>0</v>
      </c>
      <c r="L1043" s="127">
        <f t="shared" si="235"/>
        <v>0</v>
      </c>
      <c r="N1043" s="247"/>
    </row>
    <row r="1044" spans="1:14" ht="15" x14ac:dyDescent="0.25">
      <c r="A1044" s="29" t="s">
        <v>79</v>
      </c>
      <c r="B1044" s="70">
        <v>0</v>
      </c>
      <c r="C1044" s="83">
        <v>0</v>
      </c>
      <c r="E1044" s="120">
        <f t="shared" si="228"/>
        <v>0</v>
      </c>
      <c r="F1044" s="121">
        <f t="shared" si="229"/>
        <v>0</v>
      </c>
      <c r="G1044" s="122">
        <f t="shared" si="230"/>
        <v>0</v>
      </c>
      <c r="H1044" s="123">
        <f t="shared" si="231"/>
        <v>0</v>
      </c>
      <c r="I1044" s="124">
        <f t="shared" si="232"/>
        <v>0</v>
      </c>
      <c r="J1044" s="125">
        <f t="shared" si="233"/>
        <v>0</v>
      </c>
      <c r="K1044" s="126">
        <f t="shared" si="234"/>
        <v>0</v>
      </c>
      <c r="L1044" s="127">
        <f t="shared" si="235"/>
        <v>0</v>
      </c>
      <c r="N1044" s="247"/>
    </row>
    <row r="1045" spans="1:14" ht="15" x14ac:dyDescent="0.25">
      <c r="A1045" s="29" t="s">
        <v>71</v>
      </c>
      <c r="B1045" s="70">
        <f>E1031</f>
        <v>0</v>
      </c>
      <c r="C1045" s="83">
        <f>F1031</f>
        <v>0</v>
      </c>
      <c r="E1045" s="120">
        <f t="shared" si="228"/>
        <v>0</v>
      </c>
      <c r="F1045" s="121">
        <f t="shared" si="229"/>
        <v>0</v>
      </c>
      <c r="G1045" s="122">
        <f t="shared" si="230"/>
        <v>18.373013</v>
      </c>
      <c r="H1045" s="123">
        <f t="shared" si="231"/>
        <v>13669.522000000001</v>
      </c>
      <c r="I1045" s="124">
        <f t="shared" si="232"/>
        <v>95.036493000000007</v>
      </c>
      <c r="J1045" s="125">
        <f t="shared" si="233"/>
        <v>70707.151309776047</v>
      </c>
      <c r="K1045" s="126">
        <f t="shared" si="234"/>
        <v>0</v>
      </c>
      <c r="L1045" s="127">
        <f t="shared" si="235"/>
        <v>0</v>
      </c>
      <c r="N1045" s="247"/>
    </row>
    <row r="1046" spans="1:14" ht="15" x14ac:dyDescent="0.25">
      <c r="A1046" s="29" t="s">
        <v>9</v>
      </c>
      <c r="B1046" s="70">
        <f>E1023</f>
        <v>7.9491000000000006E-2</v>
      </c>
      <c r="C1046" s="83">
        <f>F1023</f>
        <v>59.141372413793093</v>
      </c>
      <c r="E1046" s="120">
        <f t="shared" si="228"/>
        <v>0</v>
      </c>
      <c r="F1046" s="121">
        <f t="shared" si="229"/>
        <v>0</v>
      </c>
      <c r="G1046" s="122">
        <f t="shared" si="230"/>
        <v>17.992032999999999</v>
      </c>
      <c r="H1046" s="123">
        <f t="shared" si="231"/>
        <v>13386.07237131176</v>
      </c>
      <c r="I1046" s="124">
        <f t="shared" si="232"/>
        <v>95.03649399999999</v>
      </c>
      <c r="J1046" s="125">
        <f t="shared" si="233"/>
        <v>70707.151309776047</v>
      </c>
      <c r="K1046" s="126">
        <f t="shared" si="234"/>
        <v>0</v>
      </c>
      <c r="L1046" s="127">
        <f t="shared" si="235"/>
        <v>0</v>
      </c>
      <c r="N1046" s="247"/>
    </row>
    <row r="1047" spans="1:14" ht="15" x14ac:dyDescent="0.25">
      <c r="A1047" s="29" t="s">
        <v>80</v>
      </c>
      <c r="B1047" s="70">
        <v>0</v>
      </c>
      <c r="C1047" s="83">
        <v>0</v>
      </c>
      <c r="E1047" s="120">
        <f t="shared" si="228"/>
        <v>0</v>
      </c>
      <c r="F1047" s="121">
        <f t="shared" si="229"/>
        <v>0</v>
      </c>
      <c r="G1047" s="122">
        <f t="shared" si="230"/>
        <v>0</v>
      </c>
      <c r="H1047" s="123">
        <f t="shared" si="231"/>
        <v>0</v>
      </c>
      <c r="I1047" s="124">
        <f t="shared" si="232"/>
        <v>0</v>
      </c>
      <c r="J1047" s="125">
        <f t="shared" si="233"/>
        <v>0</v>
      </c>
      <c r="K1047" s="126">
        <f t="shared" si="234"/>
        <v>0</v>
      </c>
      <c r="L1047" s="127">
        <f t="shared" si="235"/>
        <v>0</v>
      </c>
      <c r="N1047" s="247"/>
    </row>
    <row r="1048" spans="1:14" ht="15" x14ac:dyDescent="0.25">
      <c r="A1048" s="29" t="s">
        <v>77</v>
      </c>
      <c r="B1048" s="70">
        <f>E1038</f>
        <v>0</v>
      </c>
      <c r="C1048" s="70">
        <f>F1038</f>
        <v>0</v>
      </c>
      <c r="E1048" s="120">
        <f t="shared" si="228"/>
        <v>0</v>
      </c>
      <c r="F1048" s="121">
        <f t="shared" si="229"/>
        <v>0</v>
      </c>
      <c r="G1048" s="122">
        <f>SUMIFS($E$967:$E$1000,$C$967:$C$1000,$A1048,$D$967:$D$1000,$G$1002)</f>
        <v>0</v>
      </c>
      <c r="H1048" s="123">
        <f>SUMIFS($F$967:$F$1000,$C$967:$C$1000,$A1048,$D$967:$D$1000,$G$1002)</f>
        <v>0</v>
      </c>
      <c r="I1048" s="124">
        <f t="shared" si="232"/>
        <v>0</v>
      </c>
      <c r="J1048" s="125">
        <f t="shared" si="233"/>
        <v>0</v>
      </c>
      <c r="K1048" s="126">
        <f t="shared" si="234"/>
        <v>0</v>
      </c>
      <c r="L1048" s="127">
        <f t="shared" si="235"/>
        <v>0</v>
      </c>
      <c r="N1048" s="247"/>
    </row>
    <row r="1049" spans="1:14" ht="15" x14ac:dyDescent="0.25">
      <c r="A1049" s="11" t="s">
        <v>81</v>
      </c>
      <c r="B1049" s="12">
        <f>SUM(B1042:B1045)-SUM(B1046:B1048)</f>
        <v>-7.9491000000000006E-2</v>
      </c>
      <c r="C1049" s="12">
        <f>SUM(C1042:C1045)-SUM(C1046:C1048)</f>
        <v>-59.141372413793093</v>
      </c>
      <c r="E1049" s="128">
        <f>SUM(E1042:E1045)-SUM(E1046:E1048)</f>
        <v>0</v>
      </c>
      <c r="F1049" s="129">
        <f>SUM(F1042:F1045)-SUM(F1046:F1048)</f>
        <v>0</v>
      </c>
      <c r="G1049" s="130">
        <f t="shared" ref="G1049:L1049" si="236">SUM(G1042:G1045)-SUM(G1046:G1048)</f>
        <v>0.38098000000000098</v>
      </c>
      <c r="H1049" s="131">
        <f t="shared" si="236"/>
        <v>283.44962868824041</v>
      </c>
      <c r="I1049" s="132">
        <f t="shared" si="236"/>
        <v>-9.9999998326438799E-7</v>
      </c>
      <c r="J1049" s="133">
        <f t="shared" si="236"/>
        <v>0</v>
      </c>
      <c r="K1049" s="134">
        <f t="shared" si="236"/>
        <v>0</v>
      </c>
      <c r="L1049" s="135">
        <f t="shared" si="236"/>
        <v>0</v>
      </c>
      <c r="N1049" s="247"/>
    </row>
    <row r="1050" spans="1:14" ht="15" x14ac:dyDescent="0.25">
      <c r="A1050" s="11" t="s">
        <v>82</v>
      </c>
      <c r="B1050" s="12">
        <f>SUM(B1042:B1045)-SUM(B1046:B1049)</f>
        <v>0</v>
      </c>
      <c r="C1050" s="12">
        <f>SUM(C1042:C1045)-SUM(C1046:C1049)</f>
        <v>0</v>
      </c>
      <c r="E1050" s="128">
        <f>SUM(E1042:E1045)-SUM(E1046:E1049)</f>
        <v>0</v>
      </c>
      <c r="F1050" s="129">
        <f t="shared" ref="F1050:L1050" si="237">SUM(F1042:F1045)-SUM(F1046:F1049)</f>
        <v>0</v>
      </c>
      <c r="G1050" s="130">
        <f t="shared" si="237"/>
        <v>0</v>
      </c>
      <c r="H1050" s="131">
        <f t="shared" si="237"/>
        <v>0</v>
      </c>
      <c r="I1050" s="132">
        <f t="shared" si="237"/>
        <v>0</v>
      </c>
      <c r="J1050" s="133">
        <f t="shared" si="237"/>
        <v>0</v>
      </c>
      <c r="K1050" s="134">
        <f t="shared" si="237"/>
        <v>0</v>
      </c>
      <c r="L1050" s="135">
        <f t="shared" si="237"/>
        <v>0</v>
      </c>
      <c r="N1050" s="247"/>
    </row>
    <row r="1051" spans="1:14" ht="15" x14ac:dyDescent="0.25">
      <c r="N1051" s="247"/>
    </row>
    <row r="1052" spans="1:14" ht="15" x14ac:dyDescent="0.25">
      <c r="E1052" s="153">
        <f>(F1049*$H$5)+(H1049*$J$5)+(J1049*$L$5)+(L1049*$N$5)</f>
        <v>13767.879948300581</v>
      </c>
      <c r="N1052" s="247"/>
    </row>
    <row r="1053" spans="1:14" ht="15" x14ac:dyDescent="0.25">
      <c r="N1053" s="247"/>
    </row>
    <row r="1054" spans="1:14" ht="15" x14ac:dyDescent="0.25">
      <c r="N1054" s="247"/>
    </row>
    <row r="1055" spans="1:14" ht="15" x14ac:dyDescent="0.25">
      <c r="A1055" s="564" t="s">
        <v>220</v>
      </c>
      <c r="B1055" s="564"/>
      <c r="C1055" s="564"/>
      <c r="D1055" s="564"/>
      <c r="E1055" s="564"/>
      <c r="F1055" s="564"/>
      <c r="G1055" s="564"/>
      <c r="H1055" s="564"/>
      <c r="N1055" s="247"/>
    </row>
  </sheetData>
  <mergeCells count="98">
    <mergeCell ref="A488:H488"/>
    <mergeCell ref="A500:C500"/>
    <mergeCell ref="O741:W741"/>
    <mergeCell ref="A320:H320"/>
    <mergeCell ref="O822:W822"/>
    <mergeCell ref="A526:H526"/>
    <mergeCell ref="A608:H608"/>
    <mergeCell ref="A352:H352"/>
    <mergeCell ref="A363:C363"/>
    <mergeCell ref="A378:H379"/>
    <mergeCell ref="A381:H381"/>
    <mergeCell ref="A391:H391"/>
    <mergeCell ref="A891:H892"/>
    <mergeCell ref="A894:H894"/>
    <mergeCell ref="A615:C615"/>
    <mergeCell ref="A630:H631"/>
    <mergeCell ref="A633:H633"/>
    <mergeCell ref="A639:H639"/>
    <mergeCell ref="A655:C655"/>
    <mergeCell ref="A740:H740"/>
    <mergeCell ref="A876:C876"/>
    <mergeCell ref="A775:C775"/>
    <mergeCell ref="A793:H793"/>
    <mergeCell ref="A821:H821"/>
    <mergeCell ref="A296:H296"/>
    <mergeCell ref="A1055:H1055"/>
    <mergeCell ref="A931:H931"/>
    <mergeCell ref="A937:H937"/>
    <mergeCell ref="A947:C947"/>
    <mergeCell ref="A977:H977"/>
    <mergeCell ref="A1002:C1002"/>
    <mergeCell ref="A962:H963"/>
    <mergeCell ref="A965:H965"/>
    <mergeCell ref="A515:H516"/>
    <mergeCell ref="A518:H518"/>
    <mergeCell ref="A536:C536"/>
    <mergeCell ref="A560:H560"/>
    <mergeCell ref="A570:C570"/>
    <mergeCell ref="A479:H480"/>
    <mergeCell ref="A482:H482"/>
    <mergeCell ref="A928:H929"/>
    <mergeCell ref="A585:H586"/>
    <mergeCell ref="A588:H588"/>
    <mergeCell ref="A710:H710"/>
    <mergeCell ref="A411:C411"/>
    <mergeCell ref="A426:H427"/>
    <mergeCell ref="A429:H429"/>
    <mergeCell ref="A790:H791"/>
    <mergeCell ref="A670:H671"/>
    <mergeCell ref="A444:H444"/>
    <mergeCell ref="A465:C465"/>
    <mergeCell ref="A551:H552"/>
    <mergeCell ref="A707:H708"/>
    <mergeCell ref="A902:H902"/>
    <mergeCell ref="A913:C913"/>
    <mergeCell ref="A594:H594"/>
    <mergeCell ref="A72:C72"/>
    <mergeCell ref="A266:H267"/>
    <mergeCell ref="A269:H269"/>
    <mergeCell ref="A187:H188"/>
    <mergeCell ref="A190:H190"/>
    <mergeCell ref="A200:H200"/>
    <mergeCell ref="A218:C218"/>
    <mergeCell ref="A233:H234"/>
    <mergeCell ref="A251:C251"/>
    <mergeCell ref="A87:H88"/>
    <mergeCell ref="A90:H90"/>
    <mergeCell ref="A97:H97"/>
    <mergeCell ref="A144:H144"/>
    <mergeCell ref="A172:C172"/>
    <mergeCell ref="A39:H39"/>
    <mergeCell ref="A47:H47"/>
    <mergeCell ref="A54:H54"/>
    <mergeCell ref="A2:G2"/>
    <mergeCell ref="A3:G3"/>
    <mergeCell ref="A36:H37"/>
    <mergeCell ref="A994:H994"/>
    <mergeCell ref="O903:W903"/>
    <mergeCell ref="L966:M966"/>
    <mergeCell ref="O5:O7"/>
    <mergeCell ref="A554:H554"/>
    <mergeCell ref="A673:H673"/>
    <mergeCell ref="A679:H679"/>
    <mergeCell ref="A692:C692"/>
    <mergeCell ref="C6:E6"/>
    <mergeCell ref="G6:H6"/>
    <mergeCell ref="I6:J6"/>
    <mergeCell ref="K6:L6"/>
    <mergeCell ref="M6:N6"/>
    <mergeCell ref="A327:C327"/>
    <mergeCell ref="A342:H343"/>
    <mergeCell ref="A345:H345"/>
    <mergeCell ref="A1040:C1040"/>
    <mergeCell ref="A1016:H1017"/>
    <mergeCell ref="A1019:H1019"/>
    <mergeCell ref="L1020:M1020"/>
    <mergeCell ref="A1025:H1025"/>
    <mergeCell ref="A1033:H1033"/>
  </mergeCells>
  <conditionalFormatting sqref="O5 G11:N11 G21:O22 O14:O20 O8:O12 O23 G28:O28">
    <cfRule type="cellIs" dxfId="240" priority="267" stopIfTrue="1" operator="lessThan">
      <formula>0</formula>
    </cfRule>
  </conditionalFormatting>
  <conditionalFormatting sqref="G12:N12">
    <cfRule type="cellIs" dxfId="239" priority="266" stopIfTrue="1" operator="lessThan">
      <formula>0</formula>
    </cfRule>
  </conditionalFormatting>
  <conditionalFormatting sqref="G8:N8">
    <cfRule type="cellIs" dxfId="238" priority="265" stopIfTrue="1" operator="lessThan">
      <formula>0</formula>
    </cfRule>
  </conditionalFormatting>
  <conditionalFormatting sqref="G14:N14">
    <cfRule type="cellIs" dxfId="237" priority="264" stopIfTrue="1" operator="lessThan">
      <formula>0</formula>
    </cfRule>
  </conditionalFormatting>
  <conditionalFormatting sqref="G15:N17">
    <cfRule type="cellIs" dxfId="236" priority="263" stopIfTrue="1" operator="lessThan">
      <formula>0</formula>
    </cfRule>
  </conditionalFormatting>
  <conditionalFormatting sqref="O13">
    <cfRule type="cellIs" dxfId="235" priority="262" stopIfTrue="1" operator="lessThan">
      <formula>0</formula>
    </cfRule>
  </conditionalFormatting>
  <conditionalFormatting sqref="G13:N13">
    <cfRule type="cellIs" dxfId="234" priority="261" stopIfTrue="1" operator="lessThan">
      <formula>0</formula>
    </cfRule>
  </conditionalFormatting>
  <conditionalFormatting sqref="G9:N9">
    <cfRule type="cellIs" dxfId="233" priority="260" stopIfTrue="1" operator="lessThan">
      <formula>0</formula>
    </cfRule>
  </conditionalFormatting>
  <conditionalFormatting sqref="G10:N10">
    <cfRule type="cellIs" dxfId="232" priority="259" stopIfTrue="1" operator="lessThan">
      <formula>0</formula>
    </cfRule>
  </conditionalFormatting>
  <conditionalFormatting sqref="G18:N18">
    <cfRule type="cellIs" dxfId="231" priority="258" stopIfTrue="1" operator="lessThan">
      <formula>0</formula>
    </cfRule>
  </conditionalFormatting>
  <conditionalFormatting sqref="G19:N19">
    <cfRule type="cellIs" dxfId="230" priority="257" stopIfTrue="1" operator="lessThan">
      <formula>0</formula>
    </cfRule>
  </conditionalFormatting>
  <conditionalFormatting sqref="G20:N20">
    <cfRule type="cellIs" dxfId="229" priority="256" stopIfTrue="1" operator="lessThan">
      <formula>0</formula>
    </cfRule>
  </conditionalFormatting>
  <conditionalFormatting sqref="G23:N23">
    <cfRule type="cellIs" dxfId="228" priority="255" stopIfTrue="1" operator="lessThan">
      <formula>0</formula>
    </cfRule>
  </conditionalFormatting>
  <conditionalFormatting sqref="O30">
    <cfRule type="cellIs" dxfId="227" priority="254" stopIfTrue="1" operator="lessThan">
      <formula>0</formula>
    </cfRule>
  </conditionalFormatting>
  <conditionalFormatting sqref="G30:N30">
    <cfRule type="cellIs" dxfId="226" priority="253" stopIfTrue="1" operator="lessThan">
      <formula>0</formula>
    </cfRule>
  </conditionalFormatting>
  <conditionalFormatting sqref="O31">
    <cfRule type="cellIs" dxfId="225" priority="252" stopIfTrue="1" operator="lessThan">
      <formula>0</formula>
    </cfRule>
  </conditionalFormatting>
  <conditionalFormatting sqref="G31:N31">
    <cfRule type="cellIs" dxfId="224" priority="251" stopIfTrue="1" operator="lessThan">
      <formula>0</formula>
    </cfRule>
  </conditionalFormatting>
  <conditionalFormatting sqref="K944 M944 M795:M817 K795:K817 M491:M496 K491:K496">
    <cfRule type="cellIs" dxfId="223" priority="239" stopIfTrue="1" operator="equal">
      <formula>"Ajustado e Validado"</formula>
    </cfRule>
    <cfRule type="cellIs" dxfId="222" priority="240" stopIfTrue="1" operator="equal">
      <formula>"Inserido e não validado"</formula>
    </cfRule>
    <cfRule type="cellIs" dxfId="221" priority="241" stopIfTrue="1" operator="equal">
      <formula>"Validado"</formula>
    </cfRule>
    <cfRule type="cellIs" dxfId="220" priority="242" stopIfTrue="1" operator="equal">
      <formula>"Não Validado"</formula>
    </cfRule>
  </conditionalFormatting>
  <conditionalFormatting sqref="K991 M991">
    <cfRule type="cellIs" dxfId="219" priority="235" stopIfTrue="1" operator="equal">
      <formula>"Ajustado e Validado"</formula>
    </cfRule>
    <cfRule type="cellIs" dxfId="218" priority="236" stopIfTrue="1" operator="equal">
      <formula>"Inserido e não validado"</formula>
    </cfRule>
    <cfRule type="cellIs" dxfId="217" priority="237" stopIfTrue="1" operator="equal">
      <formula>"Validado"</formula>
    </cfRule>
    <cfRule type="cellIs" dxfId="216" priority="238" stopIfTrue="1" operator="equal">
      <formula>"Não Validado"</formula>
    </cfRule>
  </conditionalFormatting>
  <conditionalFormatting sqref="K910 M910">
    <cfRule type="cellIs" dxfId="215" priority="243" stopIfTrue="1" operator="equal">
      <formula>"Ajustado e Validado"</formula>
    </cfRule>
    <cfRule type="cellIs" dxfId="214" priority="244" stopIfTrue="1" operator="equal">
      <formula>"Inserido e não validado"</formula>
    </cfRule>
    <cfRule type="cellIs" dxfId="213" priority="245" stopIfTrue="1" operator="equal">
      <formula>"Validado"</formula>
    </cfRule>
    <cfRule type="cellIs" dxfId="212" priority="246" stopIfTrue="1" operator="equal">
      <formula>"Não Validado"</formula>
    </cfRule>
  </conditionalFormatting>
  <conditionalFormatting sqref="K873 M873">
    <cfRule type="cellIs" dxfId="211" priority="247" stopIfTrue="1" operator="equal">
      <formula>"Ajustado e Validado"</formula>
    </cfRule>
    <cfRule type="cellIs" dxfId="210" priority="248" stopIfTrue="1" operator="equal">
      <formula>"Inserido e não validado"</formula>
    </cfRule>
    <cfRule type="cellIs" dxfId="209" priority="249" stopIfTrue="1" operator="equal">
      <formula>"Validado"</formula>
    </cfRule>
    <cfRule type="cellIs" dxfId="208" priority="250" stopIfTrue="1" operator="equal">
      <formula>"Não Validado"</formula>
    </cfRule>
  </conditionalFormatting>
  <conditionalFormatting sqref="K818 M818">
    <cfRule type="cellIs" dxfId="207" priority="223" stopIfTrue="1" operator="equal">
      <formula>"Ajustado e Validado"</formula>
    </cfRule>
    <cfRule type="cellIs" dxfId="206" priority="224" stopIfTrue="1" operator="equal">
      <formula>"Inserido e não validado"</formula>
    </cfRule>
    <cfRule type="cellIs" dxfId="205" priority="225" stopIfTrue="1" operator="equal">
      <formula>"Validado"</formula>
    </cfRule>
    <cfRule type="cellIs" dxfId="204" priority="226" stopIfTrue="1" operator="equal">
      <formula>"Não Validado"</formula>
    </cfRule>
  </conditionalFormatting>
  <conditionalFormatting sqref="K772 M772">
    <cfRule type="cellIs" dxfId="203" priority="219" stopIfTrue="1" operator="equal">
      <formula>"Ajustado e Validado"</formula>
    </cfRule>
    <cfRule type="cellIs" dxfId="202" priority="220" stopIfTrue="1" operator="equal">
      <formula>"Inserido e não validado"</formula>
    </cfRule>
    <cfRule type="cellIs" dxfId="201" priority="221" stopIfTrue="1" operator="equal">
      <formula>"Validado"</formula>
    </cfRule>
    <cfRule type="cellIs" dxfId="200" priority="222" stopIfTrue="1" operator="equal">
      <formula>"Não Validado"</formula>
    </cfRule>
  </conditionalFormatting>
  <conditionalFormatting sqref="K737 M737">
    <cfRule type="cellIs" dxfId="199" priority="215" stopIfTrue="1" operator="equal">
      <formula>"Ajustado e Validado"</formula>
    </cfRule>
    <cfRule type="cellIs" dxfId="198" priority="216" stopIfTrue="1" operator="equal">
      <formula>"Inserido e não validado"</formula>
    </cfRule>
    <cfRule type="cellIs" dxfId="197" priority="217" stopIfTrue="1" operator="equal">
      <formula>"Validado"</formula>
    </cfRule>
    <cfRule type="cellIs" dxfId="196" priority="218" stopIfTrue="1" operator="equal">
      <formula>"Não Validado"</formula>
    </cfRule>
  </conditionalFormatting>
  <conditionalFormatting sqref="K689 M689">
    <cfRule type="cellIs" dxfId="195" priority="211" stopIfTrue="1" operator="equal">
      <formula>"Ajustado e Validado"</formula>
    </cfRule>
    <cfRule type="cellIs" dxfId="194" priority="212" stopIfTrue="1" operator="equal">
      <formula>"Inserido e não validado"</formula>
    </cfRule>
    <cfRule type="cellIs" dxfId="193" priority="213" stopIfTrue="1" operator="equal">
      <formula>"Validado"</formula>
    </cfRule>
    <cfRule type="cellIs" dxfId="192" priority="214" stopIfTrue="1" operator="equal">
      <formula>"Não Validado"</formula>
    </cfRule>
  </conditionalFormatting>
  <conditionalFormatting sqref="K651 M651">
    <cfRule type="cellIs" dxfId="191" priority="207" stopIfTrue="1" operator="equal">
      <formula>"Ajustado e Validado"</formula>
    </cfRule>
    <cfRule type="cellIs" dxfId="190" priority="208" stopIfTrue="1" operator="equal">
      <formula>"Inserido e não validado"</formula>
    </cfRule>
    <cfRule type="cellIs" dxfId="189" priority="209" stopIfTrue="1" operator="equal">
      <formula>"Validado"</formula>
    </cfRule>
    <cfRule type="cellIs" dxfId="188" priority="210" stopIfTrue="1" operator="equal">
      <formula>"Não Validado"</formula>
    </cfRule>
  </conditionalFormatting>
  <conditionalFormatting sqref="K605 M605">
    <cfRule type="cellIs" dxfId="187" priority="203" stopIfTrue="1" operator="equal">
      <formula>"Ajustado e Validado"</formula>
    </cfRule>
    <cfRule type="cellIs" dxfId="186" priority="204" stopIfTrue="1" operator="equal">
      <formula>"Inserido e não validado"</formula>
    </cfRule>
    <cfRule type="cellIs" dxfId="185" priority="205" stopIfTrue="1" operator="equal">
      <formula>"Validado"</formula>
    </cfRule>
    <cfRule type="cellIs" dxfId="184" priority="206" stopIfTrue="1" operator="equal">
      <formula>"Não Validado"</formula>
    </cfRule>
  </conditionalFormatting>
  <conditionalFormatting sqref="K567 M567">
    <cfRule type="cellIs" dxfId="183" priority="199" stopIfTrue="1" operator="equal">
      <formula>"Ajustado e Validado"</formula>
    </cfRule>
    <cfRule type="cellIs" dxfId="182" priority="200" stopIfTrue="1" operator="equal">
      <formula>"Inserido e não validado"</formula>
    </cfRule>
    <cfRule type="cellIs" dxfId="181" priority="201" stopIfTrue="1" operator="equal">
      <formula>"Validado"</formula>
    </cfRule>
    <cfRule type="cellIs" dxfId="180" priority="202" stopIfTrue="1" operator="equal">
      <formula>"Não Validado"</formula>
    </cfRule>
  </conditionalFormatting>
  <conditionalFormatting sqref="K533 M533">
    <cfRule type="cellIs" dxfId="179" priority="195" stopIfTrue="1" operator="equal">
      <formula>"Ajustado e Validado"</formula>
    </cfRule>
    <cfRule type="cellIs" dxfId="178" priority="196" stopIfTrue="1" operator="equal">
      <formula>"Inserido e não validado"</formula>
    </cfRule>
    <cfRule type="cellIs" dxfId="177" priority="197" stopIfTrue="1" operator="equal">
      <formula>"Validado"</formula>
    </cfRule>
    <cfRule type="cellIs" dxfId="176" priority="198" stopIfTrue="1" operator="equal">
      <formula>"Não Validado"</formula>
    </cfRule>
  </conditionalFormatting>
  <conditionalFormatting sqref="K462 M462">
    <cfRule type="cellIs" dxfId="175" priority="191" stopIfTrue="1" operator="equal">
      <formula>"Ajustado e Validado"</formula>
    </cfRule>
    <cfRule type="cellIs" dxfId="174" priority="192" stopIfTrue="1" operator="equal">
      <formula>"Inserido e não validado"</formula>
    </cfRule>
    <cfRule type="cellIs" dxfId="173" priority="193" stopIfTrue="1" operator="equal">
      <formula>"Validado"</formula>
    </cfRule>
    <cfRule type="cellIs" dxfId="172" priority="194" stopIfTrue="1" operator="equal">
      <formula>"Não Validado"</formula>
    </cfRule>
  </conditionalFormatting>
  <conditionalFormatting sqref="K408 M408">
    <cfRule type="cellIs" dxfId="171" priority="187" stopIfTrue="1" operator="equal">
      <formula>"Ajustado e Validado"</formula>
    </cfRule>
    <cfRule type="cellIs" dxfId="170" priority="188" stopIfTrue="1" operator="equal">
      <formula>"Inserido e não validado"</formula>
    </cfRule>
    <cfRule type="cellIs" dxfId="169" priority="189" stopIfTrue="1" operator="equal">
      <formula>"Validado"</formula>
    </cfRule>
    <cfRule type="cellIs" dxfId="168" priority="190" stopIfTrue="1" operator="equal">
      <formula>"Não Validado"</formula>
    </cfRule>
  </conditionalFormatting>
  <conditionalFormatting sqref="K360 M360">
    <cfRule type="cellIs" dxfId="167" priority="183" stopIfTrue="1" operator="equal">
      <formula>"Ajustado e Validado"</formula>
    </cfRule>
    <cfRule type="cellIs" dxfId="166" priority="184" stopIfTrue="1" operator="equal">
      <formula>"Inserido e não validado"</formula>
    </cfRule>
    <cfRule type="cellIs" dxfId="165" priority="185" stopIfTrue="1" operator="equal">
      <formula>"Validado"</formula>
    </cfRule>
    <cfRule type="cellIs" dxfId="164" priority="186" stopIfTrue="1" operator="equal">
      <formula>"Não Validado"</formula>
    </cfRule>
  </conditionalFormatting>
  <conditionalFormatting sqref="K317 M317">
    <cfRule type="cellIs" dxfId="163" priority="179" stopIfTrue="1" operator="equal">
      <formula>"Ajustado e Validado"</formula>
    </cfRule>
    <cfRule type="cellIs" dxfId="162" priority="180" stopIfTrue="1" operator="equal">
      <formula>"Inserido e não validado"</formula>
    </cfRule>
    <cfRule type="cellIs" dxfId="161" priority="181" stopIfTrue="1" operator="equal">
      <formula>"Validado"</formula>
    </cfRule>
    <cfRule type="cellIs" dxfId="160" priority="182" stopIfTrue="1" operator="equal">
      <formula>"Não Validado"</formula>
    </cfRule>
  </conditionalFormatting>
  <conditionalFormatting sqref="K247 M247">
    <cfRule type="cellIs" dxfId="159" priority="175" stopIfTrue="1" operator="equal">
      <formula>"Ajustado e Validado"</formula>
    </cfRule>
    <cfRule type="cellIs" dxfId="158" priority="176" stopIfTrue="1" operator="equal">
      <formula>"Inserido e não validado"</formula>
    </cfRule>
    <cfRule type="cellIs" dxfId="157" priority="177" stopIfTrue="1" operator="equal">
      <formula>"Validado"</formula>
    </cfRule>
    <cfRule type="cellIs" dxfId="156" priority="178" stopIfTrue="1" operator="equal">
      <formula>"Não Validado"</formula>
    </cfRule>
  </conditionalFormatting>
  <conditionalFormatting sqref="K215 M215">
    <cfRule type="cellIs" dxfId="155" priority="171" stopIfTrue="1" operator="equal">
      <formula>"Ajustado e Validado"</formula>
    </cfRule>
    <cfRule type="cellIs" dxfId="154" priority="172" stopIfTrue="1" operator="equal">
      <formula>"Inserido e não validado"</formula>
    </cfRule>
    <cfRule type="cellIs" dxfId="153" priority="173" stopIfTrue="1" operator="equal">
      <formula>"Validado"</formula>
    </cfRule>
    <cfRule type="cellIs" dxfId="152" priority="174" stopIfTrue="1" operator="equal">
      <formula>"Não Validado"</formula>
    </cfRule>
  </conditionalFormatting>
  <conditionalFormatting sqref="K197 M197">
    <cfRule type="cellIs" dxfId="151" priority="167" stopIfTrue="1" operator="equal">
      <formula>"Ajustado e Validado"</formula>
    </cfRule>
    <cfRule type="cellIs" dxfId="150" priority="168" stopIfTrue="1" operator="equal">
      <formula>"Inserido e não validado"</formula>
    </cfRule>
    <cfRule type="cellIs" dxfId="149" priority="169" stopIfTrue="1" operator="equal">
      <formula>"Validado"</formula>
    </cfRule>
    <cfRule type="cellIs" dxfId="148" priority="170" stopIfTrue="1" operator="equal">
      <formula>"Não Validado"</formula>
    </cfRule>
  </conditionalFormatting>
  <conditionalFormatting sqref="K169 M169">
    <cfRule type="cellIs" dxfId="147" priority="163" stopIfTrue="1" operator="equal">
      <formula>"Ajustado e Validado"</formula>
    </cfRule>
    <cfRule type="cellIs" dxfId="146" priority="164" stopIfTrue="1" operator="equal">
      <formula>"Inserido e não validado"</formula>
    </cfRule>
    <cfRule type="cellIs" dxfId="145" priority="165" stopIfTrue="1" operator="equal">
      <formula>"Validado"</formula>
    </cfRule>
    <cfRule type="cellIs" dxfId="144" priority="166" stopIfTrue="1" operator="equal">
      <formula>"Não Validado"</formula>
    </cfRule>
  </conditionalFormatting>
  <conditionalFormatting sqref="K129:K141 M129:M141">
    <cfRule type="cellIs" dxfId="143" priority="159" stopIfTrue="1" operator="equal">
      <formula>"Ajustado e Validado"</formula>
    </cfRule>
    <cfRule type="cellIs" dxfId="142" priority="160" stopIfTrue="1" operator="equal">
      <formula>"Inserido e não validado"</formula>
    </cfRule>
    <cfRule type="cellIs" dxfId="141" priority="161" stopIfTrue="1" operator="equal">
      <formula>"Validado"</formula>
    </cfRule>
    <cfRule type="cellIs" dxfId="140" priority="162" stopIfTrue="1" operator="equal">
      <formula>"Não Validado"</formula>
    </cfRule>
  </conditionalFormatting>
  <conditionalFormatting sqref="K69 M69">
    <cfRule type="cellIs" dxfId="139" priority="155" stopIfTrue="1" operator="equal">
      <formula>"Ajustado e Validado"</formula>
    </cfRule>
    <cfRule type="cellIs" dxfId="138" priority="156" stopIfTrue="1" operator="equal">
      <formula>"Inserido e não validado"</formula>
    </cfRule>
    <cfRule type="cellIs" dxfId="137" priority="157" stopIfTrue="1" operator="equal">
      <formula>"Validado"</formula>
    </cfRule>
    <cfRule type="cellIs" dxfId="136" priority="158" stopIfTrue="1" operator="equal">
      <formula>"Não Validado"</formula>
    </cfRule>
  </conditionalFormatting>
  <conditionalFormatting sqref="K51 M51">
    <cfRule type="cellIs" dxfId="135" priority="151" stopIfTrue="1" operator="equal">
      <formula>"Ajustado e Validado"</formula>
    </cfRule>
    <cfRule type="cellIs" dxfId="134" priority="152" stopIfTrue="1" operator="equal">
      <formula>"Inserido e não validado"</formula>
    </cfRule>
    <cfRule type="cellIs" dxfId="133" priority="153" stopIfTrue="1" operator="equal">
      <formula>"Validado"</formula>
    </cfRule>
    <cfRule type="cellIs" dxfId="132" priority="154" stopIfTrue="1" operator="equal">
      <formula>"Não Validado"</formula>
    </cfRule>
  </conditionalFormatting>
  <conditionalFormatting sqref="M56:M66 K56:K66 M49:M50 K49:K50 K68 M68">
    <cfRule type="cellIs" dxfId="131" priority="147" stopIfTrue="1" operator="equal">
      <formula>"Ajustado e Validado"</formula>
    </cfRule>
    <cfRule type="cellIs" dxfId="130" priority="148" stopIfTrue="1" operator="equal">
      <formula>"Inserido e não validado"</formula>
    </cfRule>
    <cfRule type="cellIs" dxfId="129" priority="149" stopIfTrue="1" operator="equal">
      <formula>"Validado"</formula>
    </cfRule>
    <cfRule type="cellIs" dxfId="128" priority="150" stopIfTrue="1" operator="equal">
      <formula>"Não Validado"</formula>
    </cfRule>
  </conditionalFormatting>
  <conditionalFormatting sqref="M99:M128 K99:K128">
    <cfRule type="cellIs" dxfId="127" priority="143" stopIfTrue="1" operator="equal">
      <formula>"Ajustado e Validado"</formula>
    </cfRule>
    <cfRule type="cellIs" dxfId="126" priority="144" stopIfTrue="1" operator="equal">
      <formula>"Inserido e não validado"</formula>
    </cfRule>
    <cfRule type="cellIs" dxfId="125" priority="145" stopIfTrue="1" operator="equal">
      <formula>"Validado"</formula>
    </cfRule>
    <cfRule type="cellIs" dxfId="124" priority="146" stopIfTrue="1" operator="equal">
      <formula>"Não Validado"</formula>
    </cfRule>
  </conditionalFormatting>
  <conditionalFormatting sqref="M146:M168 K146:K168">
    <cfRule type="cellIs" dxfId="123" priority="139" stopIfTrue="1" operator="equal">
      <formula>"Ajustado e Validado"</formula>
    </cfRule>
    <cfRule type="cellIs" dxfId="122" priority="140" stopIfTrue="1" operator="equal">
      <formula>"Inserido e não validado"</formula>
    </cfRule>
    <cfRule type="cellIs" dxfId="121" priority="141" stopIfTrue="1" operator="equal">
      <formula>"Validado"</formula>
    </cfRule>
    <cfRule type="cellIs" dxfId="120" priority="142" stopIfTrue="1" operator="equal">
      <formula>"Não Validado"</formula>
    </cfRule>
  </conditionalFormatting>
  <conditionalFormatting sqref="M192:M196 K192:K196">
    <cfRule type="cellIs" dxfId="119" priority="135" stopIfTrue="1" operator="equal">
      <formula>"Ajustado e Validado"</formula>
    </cfRule>
    <cfRule type="cellIs" dxfId="118" priority="136" stopIfTrue="1" operator="equal">
      <formula>"Inserido e não validado"</formula>
    </cfRule>
    <cfRule type="cellIs" dxfId="117" priority="137" stopIfTrue="1" operator="equal">
      <formula>"Validado"</formula>
    </cfRule>
    <cfRule type="cellIs" dxfId="116" priority="138" stopIfTrue="1" operator="equal">
      <formula>"Não Validado"</formula>
    </cfRule>
  </conditionalFormatting>
  <conditionalFormatting sqref="M202:M214 K202:K214">
    <cfRule type="cellIs" dxfId="115" priority="131" stopIfTrue="1" operator="equal">
      <formula>"Ajustado e Validado"</formula>
    </cfRule>
    <cfRule type="cellIs" dxfId="114" priority="132" stopIfTrue="1" operator="equal">
      <formula>"Inserido e não validado"</formula>
    </cfRule>
    <cfRule type="cellIs" dxfId="113" priority="133" stopIfTrue="1" operator="equal">
      <formula>"Validado"</formula>
    </cfRule>
    <cfRule type="cellIs" dxfId="112" priority="134" stopIfTrue="1" operator="equal">
      <formula>"Não Validado"</formula>
    </cfRule>
  </conditionalFormatting>
  <conditionalFormatting sqref="M245:M246 K245:K246">
    <cfRule type="cellIs" dxfId="111" priority="127" stopIfTrue="1" operator="equal">
      <formula>"Ajustado e Validado"</formula>
    </cfRule>
    <cfRule type="cellIs" dxfId="110" priority="128" stopIfTrue="1" operator="equal">
      <formula>"Inserido e não validado"</formula>
    </cfRule>
    <cfRule type="cellIs" dxfId="109" priority="129" stopIfTrue="1" operator="equal">
      <formula>"Validado"</formula>
    </cfRule>
    <cfRule type="cellIs" dxfId="108" priority="130" stopIfTrue="1" operator="equal">
      <formula>"Não Validado"</formula>
    </cfRule>
  </conditionalFormatting>
  <conditionalFormatting sqref="M300:M316 K300:K316">
    <cfRule type="cellIs" dxfId="107" priority="123" stopIfTrue="1" operator="equal">
      <formula>"Ajustado e Validado"</formula>
    </cfRule>
    <cfRule type="cellIs" dxfId="106" priority="124" stopIfTrue="1" operator="equal">
      <formula>"Inserido e não validado"</formula>
    </cfRule>
    <cfRule type="cellIs" dxfId="105" priority="125" stopIfTrue="1" operator="equal">
      <formula>"Validado"</formula>
    </cfRule>
    <cfRule type="cellIs" dxfId="104" priority="126" stopIfTrue="1" operator="equal">
      <formula>"Não Validado"</formula>
    </cfRule>
  </conditionalFormatting>
  <conditionalFormatting sqref="M355:M356 K355:K356">
    <cfRule type="cellIs" dxfId="103" priority="119" stopIfTrue="1" operator="equal">
      <formula>"Ajustado e Validado"</formula>
    </cfRule>
    <cfRule type="cellIs" dxfId="102" priority="120" stopIfTrue="1" operator="equal">
      <formula>"Inserido e não validado"</formula>
    </cfRule>
    <cfRule type="cellIs" dxfId="101" priority="121" stopIfTrue="1" operator="equal">
      <formula>"Validado"</formula>
    </cfRule>
    <cfRule type="cellIs" dxfId="100" priority="122" stopIfTrue="1" operator="equal">
      <formula>"Não Validado"</formula>
    </cfRule>
  </conditionalFormatting>
  <conditionalFormatting sqref="M395:M407 K395:K407">
    <cfRule type="cellIs" dxfId="99" priority="115" stopIfTrue="1" operator="equal">
      <formula>"Ajustado e Validado"</formula>
    </cfRule>
    <cfRule type="cellIs" dxfId="98" priority="116" stopIfTrue="1" operator="equal">
      <formula>"Inserido e não validado"</formula>
    </cfRule>
    <cfRule type="cellIs" dxfId="97" priority="117" stopIfTrue="1" operator="equal">
      <formula>"Validado"</formula>
    </cfRule>
    <cfRule type="cellIs" dxfId="96" priority="118" stopIfTrue="1" operator="equal">
      <formula>"Não Validado"</formula>
    </cfRule>
  </conditionalFormatting>
  <conditionalFormatting sqref="M447:M461 K447:K461">
    <cfRule type="cellIs" dxfId="95" priority="111" stopIfTrue="1" operator="equal">
      <formula>"Ajustado e Validado"</formula>
    </cfRule>
    <cfRule type="cellIs" dxfId="94" priority="112" stopIfTrue="1" operator="equal">
      <formula>"Inserido e não validado"</formula>
    </cfRule>
    <cfRule type="cellIs" dxfId="93" priority="113" stopIfTrue="1" operator="equal">
      <formula>"Validado"</formula>
    </cfRule>
    <cfRule type="cellIs" dxfId="92" priority="114" stopIfTrue="1" operator="equal">
      <formula>"Não Validado"</formula>
    </cfRule>
  </conditionalFormatting>
  <conditionalFormatting sqref="M529:M532 K529:K532">
    <cfRule type="cellIs" dxfId="91" priority="107" stopIfTrue="1" operator="equal">
      <formula>"Ajustado e Validado"</formula>
    </cfRule>
    <cfRule type="cellIs" dxfId="90" priority="108" stopIfTrue="1" operator="equal">
      <formula>"Inserido e não validado"</formula>
    </cfRule>
    <cfRule type="cellIs" dxfId="89" priority="109" stopIfTrue="1" operator="equal">
      <formula>"Validado"</formula>
    </cfRule>
    <cfRule type="cellIs" dxfId="88" priority="110" stopIfTrue="1" operator="equal">
      <formula>"Não Validado"</formula>
    </cfRule>
  </conditionalFormatting>
  <conditionalFormatting sqref="M563:M566 K563:K566">
    <cfRule type="cellIs" dxfId="87" priority="103" stopIfTrue="1" operator="equal">
      <formula>"Ajustado e Validado"</formula>
    </cfRule>
    <cfRule type="cellIs" dxfId="86" priority="104" stopIfTrue="1" operator="equal">
      <formula>"Inserido e não validado"</formula>
    </cfRule>
    <cfRule type="cellIs" dxfId="85" priority="105" stopIfTrue="1" operator="equal">
      <formula>"Validado"</formula>
    </cfRule>
    <cfRule type="cellIs" dxfId="84" priority="106" stopIfTrue="1" operator="equal">
      <formula>"Não Validado"</formula>
    </cfRule>
  </conditionalFormatting>
  <conditionalFormatting sqref="M597:M604 K597:K604">
    <cfRule type="cellIs" dxfId="83" priority="99" stopIfTrue="1" operator="equal">
      <formula>"Ajustado e Validado"</formula>
    </cfRule>
    <cfRule type="cellIs" dxfId="82" priority="100" stopIfTrue="1" operator="equal">
      <formula>"Inserido e não validado"</formula>
    </cfRule>
    <cfRule type="cellIs" dxfId="81" priority="101" stopIfTrue="1" operator="equal">
      <formula>"Validado"</formula>
    </cfRule>
    <cfRule type="cellIs" dxfId="80" priority="102" stopIfTrue="1" operator="equal">
      <formula>"Não Validado"</formula>
    </cfRule>
  </conditionalFormatting>
  <conditionalFormatting sqref="M642:M650 K642:K650">
    <cfRule type="cellIs" dxfId="79" priority="95" stopIfTrue="1" operator="equal">
      <formula>"Ajustado e Validado"</formula>
    </cfRule>
    <cfRule type="cellIs" dxfId="78" priority="96" stopIfTrue="1" operator="equal">
      <formula>"Inserido e não validado"</formula>
    </cfRule>
    <cfRule type="cellIs" dxfId="77" priority="97" stopIfTrue="1" operator="equal">
      <formula>"Validado"</formula>
    </cfRule>
    <cfRule type="cellIs" dxfId="76" priority="98" stopIfTrue="1" operator="equal">
      <formula>"Não Validado"</formula>
    </cfRule>
  </conditionalFormatting>
  <conditionalFormatting sqref="M682:M688 K682:K688">
    <cfRule type="cellIs" dxfId="75" priority="91" stopIfTrue="1" operator="equal">
      <formula>"Ajustado e Validado"</formula>
    </cfRule>
    <cfRule type="cellIs" dxfId="74" priority="92" stopIfTrue="1" operator="equal">
      <formula>"Inserido e não validado"</formula>
    </cfRule>
    <cfRule type="cellIs" dxfId="73" priority="93" stopIfTrue="1" operator="equal">
      <formula>"Validado"</formula>
    </cfRule>
    <cfRule type="cellIs" dxfId="72" priority="94" stopIfTrue="1" operator="equal">
      <formula>"Não Validado"</formula>
    </cfRule>
  </conditionalFormatting>
  <conditionalFormatting sqref="M712:M736 K712:K736">
    <cfRule type="cellIs" dxfId="71" priority="87" stopIfTrue="1" operator="equal">
      <formula>"Ajustado e Validado"</formula>
    </cfRule>
    <cfRule type="cellIs" dxfId="70" priority="88" stopIfTrue="1" operator="equal">
      <formula>"Inserido e não validado"</formula>
    </cfRule>
    <cfRule type="cellIs" dxfId="69" priority="89" stopIfTrue="1" operator="equal">
      <formula>"Validado"</formula>
    </cfRule>
    <cfRule type="cellIs" dxfId="68" priority="90" stopIfTrue="1" operator="equal">
      <formula>"Não Validado"</formula>
    </cfRule>
  </conditionalFormatting>
  <conditionalFormatting sqref="M742:M771 K742:K771">
    <cfRule type="cellIs" dxfId="67" priority="83" stopIfTrue="1" operator="equal">
      <formula>"Ajustado e Validado"</formula>
    </cfRule>
    <cfRule type="cellIs" dxfId="66" priority="84" stopIfTrue="1" operator="equal">
      <formula>"Inserido e não validado"</formula>
    </cfRule>
    <cfRule type="cellIs" dxfId="65" priority="85" stopIfTrue="1" operator="equal">
      <formula>"Validado"</formula>
    </cfRule>
    <cfRule type="cellIs" dxfId="64" priority="86" stopIfTrue="1" operator="equal">
      <formula>"Não Validado"</formula>
    </cfRule>
  </conditionalFormatting>
  <conditionalFormatting sqref="M823:M872 K823:K872">
    <cfRule type="cellIs" dxfId="63" priority="75" stopIfTrue="1" operator="equal">
      <formula>"Ajustado e Validado"</formula>
    </cfRule>
    <cfRule type="cellIs" dxfId="62" priority="76" stopIfTrue="1" operator="equal">
      <formula>"Inserido e não validado"</formula>
    </cfRule>
    <cfRule type="cellIs" dxfId="61" priority="77" stopIfTrue="1" operator="equal">
      <formula>"Validado"</formula>
    </cfRule>
    <cfRule type="cellIs" dxfId="60" priority="78" stopIfTrue="1" operator="equal">
      <formula>"Não Validado"</formula>
    </cfRule>
  </conditionalFormatting>
  <conditionalFormatting sqref="M905:M908 K905:K908">
    <cfRule type="cellIs" dxfId="59" priority="71" stopIfTrue="1" operator="equal">
      <formula>"Ajustado e Validado"</formula>
    </cfRule>
    <cfRule type="cellIs" dxfId="58" priority="72" stopIfTrue="1" operator="equal">
      <formula>"Inserido e não validado"</formula>
    </cfRule>
    <cfRule type="cellIs" dxfId="57" priority="73" stopIfTrue="1" operator="equal">
      <formula>"Validado"</formula>
    </cfRule>
    <cfRule type="cellIs" dxfId="56" priority="74" stopIfTrue="1" operator="equal">
      <formula>"Não Validado"</formula>
    </cfRule>
  </conditionalFormatting>
  <conditionalFormatting sqref="M940:M943 K940:K943">
    <cfRule type="cellIs" dxfId="55" priority="67" stopIfTrue="1" operator="equal">
      <formula>"Ajustado e Validado"</formula>
    </cfRule>
    <cfRule type="cellIs" dxfId="54" priority="68" stopIfTrue="1" operator="equal">
      <formula>"Inserido e não validado"</formula>
    </cfRule>
    <cfRule type="cellIs" dxfId="53" priority="69" stopIfTrue="1" operator="equal">
      <formula>"Validado"</formula>
    </cfRule>
    <cfRule type="cellIs" dxfId="52" priority="70" stopIfTrue="1" operator="equal">
      <formula>"Não Validado"</formula>
    </cfRule>
  </conditionalFormatting>
  <conditionalFormatting sqref="M981:M990 K981:K990">
    <cfRule type="cellIs" dxfId="51" priority="63" stopIfTrue="1" operator="equal">
      <formula>"Ajustado e Validado"</formula>
    </cfRule>
    <cfRule type="cellIs" dxfId="50" priority="64" stopIfTrue="1" operator="equal">
      <formula>"Inserido e não validado"</formula>
    </cfRule>
    <cfRule type="cellIs" dxfId="49" priority="65" stopIfTrue="1" operator="equal">
      <formula>"Validado"</formula>
    </cfRule>
    <cfRule type="cellIs" dxfId="48" priority="66" stopIfTrue="1" operator="equal">
      <formula>"Não Validado"</formula>
    </cfRule>
  </conditionalFormatting>
  <conditionalFormatting sqref="K654 M654">
    <cfRule type="cellIs" dxfId="47" priority="51" stopIfTrue="1" operator="equal">
      <formula>"Ajustado e Validado"</formula>
    </cfRule>
    <cfRule type="cellIs" dxfId="46" priority="52" stopIfTrue="1" operator="equal">
      <formula>"Inserido e não validado"</formula>
    </cfRule>
    <cfRule type="cellIs" dxfId="45" priority="53" stopIfTrue="1" operator="equal">
      <formula>"Validado"</formula>
    </cfRule>
    <cfRule type="cellIs" dxfId="44" priority="54" stopIfTrue="1" operator="equal">
      <formula>"Não Validado"</formula>
    </cfRule>
  </conditionalFormatting>
  <conditionalFormatting sqref="K612 M612">
    <cfRule type="cellIs" dxfId="43" priority="47" stopIfTrue="1" operator="equal">
      <formula>"Ajustado e Validado"</formula>
    </cfRule>
    <cfRule type="cellIs" dxfId="42" priority="48" stopIfTrue="1" operator="equal">
      <formula>"Inserido e não validado"</formula>
    </cfRule>
    <cfRule type="cellIs" dxfId="41" priority="49" stopIfTrue="1" operator="equal">
      <formula>"Validado"</formula>
    </cfRule>
    <cfRule type="cellIs" dxfId="40" priority="50" stopIfTrue="1" operator="equal">
      <formula>"Não Validado"</formula>
    </cfRule>
  </conditionalFormatting>
  <conditionalFormatting sqref="M610:M611 K610:K611">
    <cfRule type="cellIs" dxfId="39" priority="43" stopIfTrue="1" operator="equal">
      <formula>"Ajustado e Validado"</formula>
    </cfRule>
    <cfRule type="cellIs" dxfId="38" priority="44" stopIfTrue="1" operator="equal">
      <formula>"Inserido e não validado"</formula>
    </cfRule>
    <cfRule type="cellIs" dxfId="37" priority="45" stopIfTrue="1" operator="equal">
      <formula>"Validado"</formula>
    </cfRule>
    <cfRule type="cellIs" dxfId="36" priority="46" stopIfTrue="1" operator="equal">
      <formula>"Não Validado"</formula>
    </cfRule>
  </conditionalFormatting>
  <conditionalFormatting sqref="K497 M497">
    <cfRule type="cellIs" dxfId="35" priority="39" stopIfTrue="1" operator="equal">
      <formula>"Ajustado e Validado"</formula>
    </cfRule>
    <cfRule type="cellIs" dxfId="34" priority="40" stopIfTrue="1" operator="equal">
      <formula>"Inserido e não validado"</formula>
    </cfRule>
    <cfRule type="cellIs" dxfId="33" priority="41" stopIfTrue="1" operator="equal">
      <formula>"Validado"</formula>
    </cfRule>
    <cfRule type="cellIs" dxfId="32" priority="42" stopIfTrue="1" operator="equal">
      <formula>"Não Validado"</formula>
    </cfRule>
  </conditionalFormatting>
  <conditionalFormatting sqref="M67 K67">
    <cfRule type="cellIs" dxfId="31" priority="31" stopIfTrue="1" operator="equal">
      <formula>"Ajustado e Validado"</formula>
    </cfRule>
    <cfRule type="cellIs" dxfId="30" priority="32" stopIfTrue="1" operator="equal">
      <formula>"Inserido e não validado"</formula>
    </cfRule>
    <cfRule type="cellIs" dxfId="29" priority="33" stopIfTrue="1" operator="equal">
      <formula>"Validado"</formula>
    </cfRule>
    <cfRule type="cellIs" dxfId="28" priority="34" stopIfTrue="1" operator="equal">
      <formula>"Não Validado"</formula>
    </cfRule>
  </conditionalFormatting>
  <conditionalFormatting sqref="K999 M999">
    <cfRule type="cellIs" dxfId="27" priority="27" stopIfTrue="1" operator="equal">
      <formula>"Ajustado e Validado"</formula>
    </cfRule>
    <cfRule type="cellIs" dxfId="26" priority="28" stopIfTrue="1" operator="equal">
      <formula>"Inserido e não validado"</formula>
    </cfRule>
    <cfRule type="cellIs" dxfId="25" priority="29" stopIfTrue="1" operator="equal">
      <formula>"Validado"</formula>
    </cfRule>
    <cfRule type="cellIs" dxfId="24" priority="30" stopIfTrue="1" operator="equal">
      <formula>"Não Validado"</formula>
    </cfRule>
  </conditionalFormatting>
  <conditionalFormatting sqref="M996:M998 K996:K998">
    <cfRule type="cellIs" dxfId="23" priority="23" stopIfTrue="1" operator="equal">
      <formula>"Ajustado e Validado"</formula>
    </cfRule>
    <cfRule type="cellIs" dxfId="22" priority="24" stopIfTrue="1" operator="equal">
      <formula>"Inserido e não validado"</formula>
    </cfRule>
    <cfRule type="cellIs" dxfId="21" priority="25" stopIfTrue="1" operator="equal">
      <formula>"Validado"</formula>
    </cfRule>
    <cfRule type="cellIs" dxfId="20" priority="26" stopIfTrue="1" operator="equal">
      <formula>"Não Validado"</formula>
    </cfRule>
  </conditionalFormatting>
  <conditionalFormatting sqref="K1030 M1030">
    <cfRule type="cellIs" dxfId="19" priority="19" stopIfTrue="1" operator="equal">
      <formula>"Ajustado e Validado"</formula>
    </cfRule>
    <cfRule type="cellIs" dxfId="18" priority="20" stopIfTrue="1" operator="equal">
      <formula>"Inserido e não validado"</formula>
    </cfRule>
    <cfRule type="cellIs" dxfId="17" priority="21" stopIfTrue="1" operator="equal">
      <formula>"Validado"</formula>
    </cfRule>
    <cfRule type="cellIs" dxfId="16" priority="22" stopIfTrue="1" operator="equal">
      <formula>"Não Validado"</formula>
    </cfRule>
  </conditionalFormatting>
  <conditionalFormatting sqref="M1028:M1029 K1028:K1029">
    <cfRule type="cellIs" dxfId="15" priority="15" stopIfTrue="1" operator="equal">
      <formula>"Ajustado e Validado"</formula>
    </cfRule>
    <cfRule type="cellIs" dxfId="14" priority="16" stopIfTrue="1" operator="equal">
      <formula>"Inserido e não validado"</formula>
    </cfRule>
    <cfRule type="cellIs" dxfId="13" priority="17" stopIfTrue="1" operator="equal">
      <formula>"Validado"</formula>
    </cfRule>
    <cfRule type="cellIs" dxfId="12" priority="18" stopIfTrue="1" operator="equal">
      <formula>"Não Validado"</formula>
    </cfRule>
  </conditionalFormatting>
  <conditionalFormatting sqref="K1037 M1037">
    <cfRule type="cellIs" dxfId="11" priority="11" stopIfTrue="1" operator="equal">
      <formula>"Ajustado e Validado"</formula>
    </cfRule>
    <cfRule type="cellIs" dxfId="10" priority="12" stopIfTrue="1" operator="equal">
      <formula>"Inserido e não validado"</formula>
    </cfRule>
    <cfRule type="cellIs" dxfId="9" priority="13" stopIfTrue="1" operator="equal">
      <formula>"Validado"</formula>
    </cfRule>
    <cfRule type="cellIs" dxfId="8" priority="14" stopIfTrue="1" operator="equal">
      <formula>"Não Validado"</formula>
    </cfRule>
  </conditionalFormatting>
  <conditionalFormatting sqref="M1035:M1036 K1035:K1036">
    <cfRule type="cellIs" dxfId="7" priority="7" stopIfTrue="1" operator="equal">
      <formula>"Ajustado e Validado"</formula>
    </cfRule>
    <cfRule type="cellIs" dxfId="6" priority="8" stopIfTrue="1" operator="equal">
      <formula>"Inserido e não validado"</formula>
    </cfRule>
    <cfRule type="cellIs" dxfId="5" priority="9" stopIfTrue="1" operator="equal">
      <formula>"Validado"</formula>
    </cfRule>
    <cfRule type="cellIs" dxfId="4" priority="10" stopIfTrue="1" operator="equal">
      <formula>"Não Validado"</formula>
    </cfRule>
  </conditionalFormatting>
  <conditionalFormatting sqref="G26:O26 O27">
    <cfRule type="cellIs" dxfId="3" priority="4" stopIfTrue="1" operator="lessThan">
      <formula>0</formula>
    </cfRule>
  </conditionalFormatting>
  <conditionalFormatting sqref="G27:N27">
    <cfRule type="cellIs" dxfId="2" priority="3" stopIfTrue="1" operator="lessThan">
      <formula>0</formula>
    </cfRule>
  </conditionalFormatting>
  <conditionalFormatting sqref="G24:O24 O25">
    <cfRule type="cellIs" dxfId="1" priority="2" stopIfTrue="1" operator="lessThan">
      <formula>0</formula>
    </cfRule>
  </conditionalFormatting>
  <conditionalFormatting sqref="G25:N25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8"/>
  <dimension ref="A1:S80"/>
  <sheetViews>
    <sheetView tabSelected="1" zoomScale="80" zoomScaleNormal="80" workbookViewId="0">
      <selection activeCell="C40" sqref="C40"/>
    </sheetView>
  </sheetViews>
  <sheetFormatPr defaultRowHeight="15" customHeight="1" x14ac:dyDescent="0.25"/>
  <cols>
    <col min="1" max="1" width="25.28515625" style="44" customWidth="1"/>
    <col min="2" max="2" width="23.140625" style="49" customWidth="1"/>
    <col min="3" max="3" width="16.7109375" style="44" customWidth="1"/>
    <col min="4" max="4" width="16.7109375" style="54" customWidth="1"/>
    <col min="5" max="5" width="16.7109375" style="60" customWidth="1"/>
    <col min="6" max="6" width="21.28515625" style="44" customWidth="1"/>
    <col min="7" max="7" width="14" style="44" customWidth="1"/>
    <col min="8" max="8" width="24.140625" style="44" customWidth="1"/>
    <col min="9" max="9" width="30.7109375" style="44" customWidth="1"/>
    <col min="10" max="11" width="15.7109375" style="44" customWidth="1"/>
    <col min="12" max="12" width="18.7109375" style="44" customWidth="1"/>
    <col min="13" max="13" width="30.7109375" style="44" customWidth="1"/>
    <col min="14" max="14" width="15.7109375" style="44" customWidth="1"/>
    <col min="15" max="15" width="15.7109375" style="50" customWidth="1"/>
    <col min="16" max="16" width="15.7109375" style="44" customWidth="1"/>
    <col min="17" max="17" width="10.7109375" style="44" customWidth="1"/>
    <col min="18" max="18" width="11.5703125" style="44" bestFit="1" customWidth="1"/>
    <col min="19" max="19" width="10.7109375" style="44" customWidth="1"/>
    <col min="20" max="16384" width="9.140625" style="44"/>
  </cols>
  <sheetData>
    <row r="1" spans="1:19" ht="15" customHeight="1" x14ac:dyDescent="0.25">
      <c r="A1" s="575" t="s">
        <v>204</v>
      </c>
      <c r="B1" s="576"/>
      <c r="C1" s="576"/>
      <c r="D1" s="576"/>
      <c r="E1" s="576"/>
      <c r="F1" s="576"/>
      <c r="G1" s="576"/>
      <c r="H1" s="64"/>
      <c r="I1" s="64"/>
      <c r="J1" s="64"/>
      <c r="K1" s="64"/>
      <c r="L1" s="64"/>
      <c r="M1" s="64"/>
      <c r="N1" s="64"/>
      <c r="O1" s="64"/>
      <c r="P1" s="64"/>
    </row>
    <row r="2" spans="1:19" ht="15" customHeight="1" x14ac:dyDescent="0.25">
      <c r="A2" s="276" t="s">
        <v>130</v>
      </c>
      <c r="B2" s="276" t="s">
        <v>181</v>
      </c>
      <c r="C2" s="260" t="s">
        <v>25</v>
      </c>
      <c r="D2" s="260" t="s">
        <v>95</v>
      </c>
      <c r="E2" s="260" t="s">
        <v>214</v>
      </c>
      <c r="F2" s="260" t="s">
        <v>139</v>
      </c>
      <c r="G2" s="260" t="s">
        <v>140</v>
      </c>
      <c r="H2" s="64"/>
      <c r="I2" s="572" t="s">
        <v>178</v>
      </c>
      <c r="J2" s="573"/>
      <c r="K2" s="574"/>
      <c r="L2" s="64"/>
      <c r="M2" s="569" t="s">
        <v>230</v>
      </c>
      <c r="N2" s="570"/>
      <c r="O2" s="570"/>
      <c r="P2" s="571"/>
      <c r="Q2" s="295" t="s">
        <v>356</v>
      </c>
      <c r="R2" s="296">
        <f>Balanço_MRE!F9</f>
        <v>-78</v>
      </c>
      <c r="S2" s="297" t="s">
        <v>25</v>
      </c>
    </row>
    <row r="3" spans="1:19" ht="15" customHeight="1" x14ac:dyDescent="0.25">
      <c r="A3" s="277" t="s">
        <v>348</v>
      </c>
      <c r="B3" s="277" t="s">
        <v>182</v>
      </c>
      <c r="C3" s="282">
        <f>Balanço_MRE!F276</f>
        <v>5072.2151177663209</v>
      </c>
      <c r="D3" s="282">
        <f>Balanço_MRE!G276</f>
        <v>1.655</v>
      </c>
      <c r="E3" s="282">
        <f t="shared" ref="E3:E37" si="0">ROUND((C3-D3),6)</f>
        <v>5070.5601180000003</v>
      </c>
      <c r="F3" s="280" t="s">
        <v>49</v>
      </c>
      <c r="G3" s="280" t="s">
        <v>128</v>
      </c>
      <c r="H3" s="3"/>
      <c r="I3" s="88" t="s">
        <v>138</v>
      </c>
      <c r="J3" s="288" t="s">
        <v>141</v>
      </c>
      <c r="K3" s="289" t="s">
        <v>25</v>
      </c>
      <c r="L3" s="64"/>
      <c r="M3" s="292" t="s">
        <v>203</v>
      </c>
      <c r="N3" s="293" t="s">
        <v>141</v>
      </c>
      <c r="O3" s="293" t="s">
        <v>25</v>
      </c>
      <c r="P3" s="294" t="s">
        <v>357</v>
      </c>
      <c r="Q3" s="297"/>
      <c r="R3" s="296">
        <f>R2/Balanço_MRE!$B$33</f>
        <v>-0.10483870967741936</v>
      </c>
      <c r="S3" s="297" t="s">
        <v>137</v>
      </c>
    </row>
    <row r="4" spans="1:19" ht="15" customHeight="1" x14ac:dyDescent="0.25">
      <c r="A4" s="278" t="s">
        <v>36</v>
      </c>
      <c r="B4" s="278" t="s">
        <v>215</v>
      </c>
      <c r="C4" s="283">
        <f>Balanço_MRE!F277</f>
        <v>2254.7359166666647</v>
      </c>
      <c r="D4" s="283">
        <f>Balanço_MRE!G277</f>
        <v>34.72</v>
      </c>
      <c r="E4" s="283">
        <f t="shared" si="0"/>
        <v>2220.0159170000002</v>
      </c>
      <c r="F4" s="281" t="s">
        <v>49</v>
      </c>
      <c r="G4" s="281" t="s">
        <v>128</v>
      </c>
      <c r="H4" s="3"/>
      <c r="I4" s="41" t="s">
        <v>177</v>
      </c>
      <c r="J4" s="34" t="s">
        <v>128</v>
      </c>
      <c r="K4" s="46">
        <f>Balanço_MRE!F101</f>
        <v>53378.468933975921</v>
      </c>
      <c r="L4" s="64"/>
      <c r="M4" s="278" t="s">
        <v>142</v>
      </c>
      <c r="N4" s="281"/>
      <c r="O4" s="52">
        <f>Balanço_MRE!F749+Balanço_MRE!F750+Balanço_MRE!F752+Balanço_MRE!F753+Balanço_MRE!F759+Balanço_MRE!F763</f>
        <v>79384.800000000003</v>
      </c>
      <c r="P4" s="281" t="s">
        <v>49</v>
      </c>
    </row>
    <row r="5" spans="1:19" ht="15" customHeight="1" x14ac:dyDescent="0.25">
      <c r="A5" s="277" t="s">
        <v>37</v>
      </c>
      <c r="B5" s="277" t="s">
        <v>183</v>
      </c>
      <c r="C5" s="282">
        <f>Balanço_MRE!F278</f>
        <v>46233.374725944981</v>
      </c>
      <c r="D5" s="282">
        <f>Balanço_MRE!G278</f>
        <v>39.67</v>
      </c>
      <c r="E5" s="282">
        <f t="shared" si="0"/>
        <v>46193.704726000004</v>
      </c>
      <c r="F5" s="280" t="s">
        <v>49</v>
      </c>
      <c r="G5" s="280" t="s">
        <v>128</v>
      </c>
      <c r="H5" s="3"/>
      <c r="I5" s="36" t="s">
        <v>176</v>
      </c>
      <c r="J5" s="33" t="s">
        <v>128</v>
      </c>
      <c r="K5" s="47">
        <f>Balanço_MRE!F102</f>
        <v>20020.612584418708</v>
      </c>
      <c r="L5" s="64"/>
      <c r="M5" s="277" t="s">
        <v>98</v>
      </c>
      <c r="N5" s="280"/>
      <c r="O5" s="51">
        <f>Balanço_MRE!F823+Balanço_MRE!F824+Balanço_MRE!F834+Balanço_MRE!F835+Balanço_MRE!F836+Balanço_MRE!F828+Balanço_MRE!F825+Balanço_MRE!F837+Balanço_MRE!F848</f>
        <v>669.98646859106555</v>
      </c>
      <c r="P5" s="280" t="s">
        <v>50</v>
      </c>
    </row>
    <row r="6" spans="1:19" ht="15" customHeight="1" x14ac:dyDescent="0.25">
      <c r="A6" s="278" t="s">
        <v>38</v>
      </c>
      <c r="B6" s="278" t="s">
        <v>185</v>
      </c>
      <c r="C6" s="283">
        <f>Balanço_MRE!F271</f>
        <v>39933.697600790336</v>
      </c>
      <c r="D6" s="283">
        <f>Balanço_MRE!G271</f>
        <v>794.83100000000002</v>
      </c>
      <c r="E6" s="283">
        <f t="shared" si="0"/>
        <v>39138.866601000002</v>
      </c>
      <c r="F6" s="281" t="s">
        <v>49</v>
      </c>
      <c r="G6" s="281" t="s">
        <v>134</v>
      </c>
      <c r="H6" s="3"/>
      <c r="I6" s="37" t="s">
        <v>179</v>
      </c>
      <c r="J6" s="32" t="s">
        <v>128</v>
      </c>
      <c r="K6" s="48">
        <f>Balanço_MRE!F103</f>
        <v>58194.111065014971</v>
      </c>
      <c r="L6" s="64"/>
      <c r="M6" s="278" t="s">
        <v>143</v>
      </c>
      <c r="N6" s="281"/>
      <c r="O6" s="52">
        <f>SUM(Balanço_MRE!$F$312:F317,Balanço_MRE!$F$405:F408,Balanço_MRE!$F$459:F462)</f>
        <v>0</v>
      </c>
      <c r="P6" s="281" t="s">
        <v>49</v>
      </c>
    </row>
    <row r="7" spans="1:19" ht="15" customHeight="1" x14ac:dyDescent="0.25">
      <c r="A7" s="277" t="s">
        <v>57</v>
      </c>
      <c r="B7" s="277" t="s">
        <v>202</v>
      </c>
      <c r="C7" s="282">
        <f>IF(VLOOKUP(73396,Balanço_MRE!$A$394:$H$408,6,FALSE)&gt;0,0,Balanço_MRE!F384)</f>
        <v>176.15496104279239</v>
      </c>
      <c r="D7" s="282">
        <f>IF(VLOOKUP(73396,Balanço_MRE!$A$394:$H$408,6,FALSE)&gt;0,0,Balanço_MRE!G384)</f>
        <v>2.4510000000000001</v>
      </c>
      <c r="E7" s="282">
        <f t="shared" si="0"/>
        <v>173.70396099999999</v>
      </c>
      <c r="F7" s="280" t="s">
        <v>49</v>
      </c>
      <c r="G7" s="280" t="s">
        <v>128</v>
      </c>
      <c r="H7" s="3"/>
      <c r="I7" s="36" t="s">
        <v>180</v>
      </c>
      <c r="J7" s="33" t="s">
        <v>128</v>
      </c>
      <c r="K7" s="47">
        <f>Balanço_MRE!F104</f>
        <v>50073.578326378461</v>
      </c>
      <c r="L7" s="64"/>
      <c r="M7" s="277" t="s">
        <v>143</v>
      </c>
      <c r="N7" s="280"/>
      <c r="O7" s="51">
        <f>SUM(Balanço_MRE!$F$357:F360)</f>
        <v>0</v>
      </c>
      <c r="P7" s="280" t="s">
        <v>50</v>
      </c>
    </row>
    <row r="8" spans="1:19" ht="15" customHeight="1" x14ac:dyDescent="0.25">
      <c r="A8" s="278" t="s">
        <v>58</v>
      </c>
      <c r="B8" s="278" t="s">
        <v>197</v>
      </c>
      <c r="C8" s="283">
        <f>IF(VLOOKUP(73396,Balanço_MRE!$A$394:$H$408,6,FALSE)&gt;0,0,Balanço_MRE!F385)</f>
        <v>1588.4779670103098</v>
      </c>
      <c r="D8" s="283">
        <f>IF(VLOOKUP(73396,Balanço_MRE!$A$394:$H$408,6,FALSE)&gt;0,0,Balanço_MRE!G385)</f>
        <v>21.87</v>
      </c>
      <c r="E8" s="283">
        <f t="shared" si="0"/>
        <v>1566.6079669999999</v>
      </c>
      <c r="F8" s="281" t="s">
        <v>49</v>
      </c>
      <c r="G8" s="281" t="s">
        <v>128</v>
      </c>
      <c r="H8" s="3"/>
      <c r="I8" s="37" t="s">
        <v>175</v>
      </c>
      <c r="J8" s="32" t="s">
        <v>128</v>
      </c>
      <c r="K8" s="48">
        <f>Balanço_MRE!F105</f>
        <v>28481.094446800613</v>
      </c>
      <c r="L8" s="64"/>
      <c r="M8" s="278"/>
      <c r="N8" s="281"/>
      <c r="O8" s="52"/>
      <c r="P8" s="281"/>
    </row>
    <row r="9" spans="1:19" ht="15" customHeight="1" x14ac:dyDescent="0.25">
      <c r="A9" s="277" t="s">
        <v>349</v>
      </c>
      <c r="B9" s="277" t="s">
        <v>184</v>
      </c>
      <c r="C9" s="282">
        <f>Balanço_MRE!F279</f>
        <v>6890.872674501682</v>
      </c>
      <c r="D9" s="282">
        <f>Balanço_MRE!G279</f>
        <v>117.5347262161534</v>
      </c>
      <c r="E9" s="282">
        <f t="shared" si="0"/>
        <v>6773.3379480000003</v>
      </c>
      <c r="F9" s="280" t="s">
        <v>49</v>
      </c>
      <c r="G9" s="280" t="s">
        <v>128</v>
      </c>
      <c r="H9" s="3"/>
      <c r="I9" s="36" t="s">
        <v>88</v>
      </c>
      <c r="J9" s="33" t="s">
        <v>128</v>
      </c>
      <c r="K9" s="47">
        <f>Balanço_MRE!F106</f>
        <v>32288.081783035468</v>
      </c>
      <c r="L9" s="64"/>
      <c r="M9" s="277"/>
      <c r="N9" s="280"/>
      <c r="O9" s="51"/>
      <c r="P9" s="280"/>
    </row>
    <row r="10" spans="1:19" ht="15" customHeight="1" x14ac:dyDescent="0.25">
      <c r="A10" s="278" t="s">
        <v>350</v>
      </c>
      <c r="B10" s="278" t="s">
        <v>184</v>
      </c>
      <c r="C10" s="283">
        <f>Balanço_MRE!F280</f>
        <v>17332.505154639173</v>
      </c>
      <c r="D10" s="283">
        <f>Balanço_MRE!G280</f>
        <v>295.63327378384662</v>
      </c>
      <c r="E10" s="283">
        <f t="shared" si="0"/>
        <v>17036.871880999999</v>
      </c>
      <c r="F10" s="281" t="s">
        <v>49</v>
      </c>
      <c r="G10" s="281" t="s">
        <v>128</v>
      </c>
      <c r="H10" s="3"/>
      <c r="I10" s="37" t="s">
        <v>174</v>
      </c>
      <c r="J10" s="32" t="s">
        <v>128</v>
      </c>
      <c r="K10" s="48">
        <f>Balanço_MRE!F107</f>
        <v>11386.188062715668</v>
      </c>
      <c r="L10" s="64"/>
      <c r="M10" s="290"/>
      <c r="N10" s="291"/>
      <c r="O10" s="59"/>
      <c r="P10" s="291"/>
    </row>
    <row r="11" spans="1:19" ht="15" customHeight="1" x14ac:dyDescent="0.25">
      <c r="A11" s="277" t="s">
        <v>60</v>
      </c>
      <c r="B11" s="277" t="s">
        <v>198</v>
      </c>
      <c r="C11" s="282">
        <f>Balanço_MRE!F281</f>
        <v>4848.46297687285</v>
      </c>
      <c r="D11" s="282">
        <f>Balanço_MRE!G281</f>
        <v>45.36</v>
      </c>
      <c r="E11" s="282">
        <f t="shared" si="0"/>
        <v>4803.1029769999996</v>
      </c>
      <c r="F11" s="280" t="s">
        <v>49</v>
      </c>
      <c r="G11" s="280" t="s">
        <v>128</v>
      </c>
      <c r="H11" s="3"/>
      <c r="I11" s="279" t="s">
        <v>129</v>
      </c>
      <c r="J11" s="286"/>
      <c r="K11" s="287">
        <f>SUM(K4:K10)</f>
        <v>253822.13520233982</v>
      </c>
      <c r="L11" s="63"/>
      <c r="M11" s="279" t="s">
        <v>129</v>
      </c>
      <c r="N11" s="286"/>
      <c r="O11" s="287">
        <f>SUM(O4:O10)</f>
        <v>80054.786468591075</v>
      </c>
      <c r="P11"/>
    </row>
    <row r="12" spans="1:19" ht="15" customHeight="1" x14ac:dyDescent="0.25">
      <c r="A12" s="278" t="s">
        <v>61</v>
      </c>
      <c r="B12" s="278" t="s">
        <v>199</v>
      </c>
      <c r="C12" s="283">
        <f>IF(VLOOKUP(73396,Balanço_MRE!$A$394:$H$408,6,FALSE)&gt;0,0,Balanço_MRE!F386)</f>
        <v>337.7225713402068</v>
      </c>
      <c r="D12" s="283">
        <f>IF(VLOOKUP(73396,Balanço_MRE!$A$394:$H$408,6,FALSE)&gt;0,0,Balanço_MRE!G386)</f>
        <v>4.0990000000000002</v>
      </c>
      <c r="E12" s="283">
        <f t="shared" si="0"/>
        <v>333.62357100000003</v>
      </c>
      <c r="F12" s="281" t="s">
        <v>49</v>
      </c>
      <c r="G12" s="281" t="s">
        <v>128</v>
      </c>
      <c r="H12" s="3"/>
      <c r="I12" s="64"/>
      <c r="J12" s="64"/>
      <c r="K12" s="1">
        <f>K11 - SUM(Balanço_MRE!F101:F107)</f>
        <v>0</v>
      </c>
      <c r="L12" s="63"/>
      <c r="M12"/>
      <c r="N12"/>
      <c r="O12"/>
      <c r="P12"/>
    </row>
    <row r="13" spans="1:19" ht="15" customHeight="1" x14ac:dyDescent="0.25">
      <c r="A13" s="277" t="s">
        <v>42</v>
      </c>
      <c r="B13" s="277" t="s">
        <v>187</v>
      </c>
      <c r="C13" s="282">
        <f>Balanço_MRE!F282</f>
        <v>66667.947817525768</v>
      </c>
      <c r="D13" s="282">
        <f>Balanço_MRE!G282</f>
        <v>25.646999999999998</v>
      </c>
      <c r="E13" s="282">
        <f t="shared" si="0"/>
        <v>66642.300818000003</v>
      </c>
      <c r="F13" s="280" t="s">
        <v>49</v>
      </c>
      <c r="G13" s="280" t="s">
        <v>128</v>
      </c>
      <c r="H13" s="3"/>
      <c r="I13" s="64"/>
      <c r="J13" s="64"/>
      <c r="K13" s="64"/>
      <c r="L13" s="63"/>
      <c r="M13" s="64"/>
      <c r="N13" s="64"/>
      <c r="O13" s="64"/>
      <c r="P13" s="64"/>
    </row>
    <row r="14" spans="1:19" ht="15" customHeight="1" x14ac:dyDescent="0.25">
      <c r="A14" s="278" t="s">
        <v>65</v>
      </c>
      <c r="B14" s="278" t="s">
        <v>187</v>
      </c>
      <c r="C14" s="283">
        <f>Balanço_MRE!F283</f>
        <v>67765.18814515468</v>
      </c>
      <c r="D14" s="283">
        <f>Balanço_MRE!G283</f>
        <v>30.512</v>
      </c>
      <c r="E14" s="283">
        <f t="shared" si="0"/>
        <v>67734.676145000005</v>
      </c>
      <c r="F14" s="281" t="s">
        <v>49</v>
      </c>
      <c r="G14" s="281" t="s">
        <v>128</v>
      </c>
      <c r="H14" s="3"/>
      <c r="I14" s="572" t="s">
        <v>84</v>
      </c>
      <c r="J14" s="573"/>
      <c r="K14" s="574"/>
      <c r="L14" s="64"/>
      <c r="M14" s="569" t="s">
        <v>207</v>
      </c>
      <c r="N14" s="570"/>
      <c r="O14" s="570"/>
      <c r="P14" s="571"/>
    </row>
    <row r="15" spans="1:19" ht="15" customHeight="1" x14ac:dyDescent="0.25">
      <c r="A15" s="277" t="s">
        <v>43</v>
      </c>
      <c r="B15" s="277" t="s">
        <v>188</v>
      </c>
      <c r="C15" s="282">
        <f>Balanço_MRE!F272</f>
        <v>78262.053178109927</v>
      </c>
      <c r="D15" s="282">
        <f>Balanço_MRE!G272</f>
        <v>1432.36</v>
      </c>
      <c r="E15" s="282">
        <f t="shared" si="0"/>
        <v>76829.693178000001</v>
      </c>
      <c r="F15" s="280" t="s">
        <v>49</v>
      </c>
      <c r="G15" s="280" t="s">
        <v>134</v>
      </c>
      <c r="H15" s="3"/>
      <c r="I15" s="88" t="s">
        <v>138</v>
      </c>
      <c r="J15" s="288" t="s">
        <v>141</v>
      </c>
      <c r="K15" s="289" t="s">
        <v>25</v>
      </c>
      <c r="L15" s="64"/>
      <c r="M15" s="292" t="s">
        <v>138</v>
      </c>
      <c r="N15" s="293" t="s">
        <v>140</v>
      </c>
      <c r="O15" s="293" t="s">
        <v>25</v>
      </c>
      <c r="P15" s="294" t="s">
        <v>357</v>
      </c>
    </row>
    <row r="16" spans="1:19" ht="15" customHeight="1" x14ac:dyDescent="0.25">
      <c r="A16" s="278" t="s">
        <v>44</v>
      </c>
      <c r="B16" s="278" t="s">
        <v>186</v>
      </c>
      <c r="C16" s="283">
        <f>Balanço_MRE!F431</f>
        <v>28311.249703916314</v>
      </c>
      <c r="D16" s="283">
        <f>Balanço_MRE!G431</f>
        <v>92.328075976894084</v>
      </c>
      <c r="E16" s="283">
        <f t="shared" si="0"/>
        <v>28218.921628</v>
      </c>
      <c r="F16" s="281" t="s">
        <v>49</v>
      </c>
      <c r="G16" s="281" t="s">
        <v>133</v>
      </c>
      <c r="H16" s="3"/>
      <c r="I16" s="41" t="s">
        <v>355</v>
      </c>
      <c r="J16" s="34" t="s">
        <v>128</v>
      </c>
      <c r="K16" s="46">
        <f>Balanço_MRE!F93/Balanço_MRE!G93</f>
        <v>0</v>
      </c>
      <c r="L16" s="3"/>
      <c r="M16" s="278" t="s">
        <v>142</v>
      </c>
      <c r="N16" s="281"/>
      <c r="O16" s="52">
        <f>SUM(Balanço_MRE!F150,Balanço_MRE!F159:F160)</f>
        <v>0</v>
      </c>
      <c r="P16" s="281" t="s">
        <v>49</v>
      </c>
      <c r="Q16" s="2"/>
    </row>
    <row r="17" spans="1:18" ht="15" customHeight="1" x14ac:dyDescent="0.25">
      <c r="A17" s="277" t="s">
        <v>45</v>
      </c>
      <c r="B17" s="277" t="s">
        <v>186</v>
      </c>
      <c r="C17" s="282">
        <f>Balanço_MRE!F432</f>
        <v>8923.2970783960081</v>
      </c>
      <c r="D17" s="282">
        <f>Balanço_MRE!G432</f>
        <v>29.100476285389018</v>
      </c>
      <c r="E17" s="282">
        <f t="shared" si="0"/>
        <v>8894.196602</v>
      </c>
      <c r="F17" s="280" t="s">
        <v>49</v>
      </c>
      <c r="G17" s="280" t="s">
        <v>133</v>
      </c>
      <c r="H17" s="3"/>
      <c r="I17" s="36" t="s">
        <v>93</v>
      </c>
      <c r="J17" s="33" t="s">
        <v>127</v>
      </c>
      <c r="K17" s="47">
        <f>Balanço_MRE!F92/Balanço_MRE!G92</f>
        <v>0</v>
      </c>
      <c r="L17" s="3"/>
      <c r="M17" s="277" t="s">
        <v>98</v>
      </c>
      <c r="N17" s="280"/>
      <c r="O17" s="51">
        <f>SUM(Balanço_MRE!F212)</f>
        <v>0</v>
      </c>
      <c r="P17" s="280" t="s">
        <v>50</v>
      </c>
      <c r="Q17" s="64"/>
      <c r="R17" s="64"/>
    </row>
    <row r="18" spans="1:18" ht="15" customHeight="1" x14ac:dyDescent="0.25">
      <c r="A18" s="278" t="s">
        <v>235</v>
      </c>
      <c r="B18" s="278" t="s">
        <v>186</v>
      </c>
      <c r="C18" s="283">
        <f>Balanço_MRE!F433</f>
        <v>17933.493259595933</v>
      </c>
      <c r="D18" s="283">
        <f>Balanço_MRE!G433</f>
        <v>58.484346170492358</v>
      </c>
      <c r="E18" s="283">
        <f t="shared" si="0"/>
        <v>17875.008913000001</v>
      </c>
      <c r="F18" s="281" t="s">
        <v>49</v>
      </c>
      <c r="G18" s="281" t="s">
        <v>133</v>
      </c>
      <c r="H18" s="3"/>
      <c r="I18" s="37" t="s">
        <v>144</v>
      </c>
      <c r="J18" s="32" t="s">
        <v>145</v>
      </c>
      <c r="K18" s="48">
        <f>Balanço_MRE!F309</f>
        <v>28482.614496000002</v>
      </c>
      <c r="L18" s="3"/>
      <c r="M18" s="278" t="s">
        <v>143</v>
      </c>
      <c r="N18" s="281"/>
      <c r="O18" s="52">
        <f>SUM(Balanço_MRE!F149,Balanço_MRE!F151,Balanço_MRE!F158,Balanço_MRE!F161:F169)</f>
        <v>78234.867332680369</v>
      </c>
      <c r="P18" s="281" t="s">
        <v>49</v>
      </c>
      <c r="Q18" s="64"/>
      <c r="R18" s="64"/>
    </row>
    <row r="19" spans="1:18" ht="15" customHeight="1" x14ac:dyDescent="0.25">
      <c r="A19" s="277" t="s">
        <v>395</v>
      </c>
      <c r="B19" s="277" t="s">
        <v>186</v>
      </c>
      <c r="C19" s="282">
        <f>Balanço_MRE!F434</f>
        <v>3049.0774121557156</v>
      </c>
      <c r="D19" s="282">
        <f>Balanço_MRE!G434</f>
        <v>9.9435897006694933</v>
      </c>
      <c r="E19" s="282">
        <f t="shared" ref="E19" si="1">ROUND((C19-D19),6)</f>
        <v>3039.1338219999998</v>
      </c>
      <c r="F19" s="280" t="s">
        <v>49</v>
      </c>
      <c r="G19" s="280" t="s">
        <v>133</v>
      </c>
      <c r="H19" s="3"/>
      <c r="I19" s="36" t="s">
        <v>66</v>
      </c>
      <c r="J19" s="33" t="s">
        <v>128</v>
      </c>
      <c r="K19" s="47">
        <f>Balanço_MRE!F41/Balanço_MRE!G41</f>
        <v>0</v>
      </c>
      <c r="L19" s="3"/>
      <c r="M19" s="277" t="s">
        <v>143</v>
      </c>
      <c r="N19" s="280"/>
      <c r="O19" s="51">
        <f>SUM(Balanço_MRE!F202:F203,Balanço_MRE!F209:F211,Balanço_MRE!F213:F215)</f>
        <v>0</v>
      </c>
      <c r="P19" s="280" t="s">
        <v>50</v>
      </c>
      <c r="Q19" s="64"/>
      <c r="R19" s="64"/>
    </row>
    <row r="20" spans="1:18" ht="15" customHeight="1" x14ac:dyDescent="0.25">
      <c r="A20" s="278" t="s">
        <v>46</v>
      </c>
      <c r="B20" s="278" t="s">
        <v>186</v>
      </c>
      <c r="C20" s="283">
        <f>Balanço_MRE!F435</f>
        <v>44518.145673019433</v>
      </c>
      <c r="D20" s="283">
        <f>Balanço_MRE!G435</f>
        <v>157.10725809202594</v>
      </c>
      <c r="E20" s="283">
        <f t="shared" si="0"/>
        <v>44361.038415000003</v>
      </c>
      <c r="F20" s="281" t="s">
        <v>49</v>
      </c>
      <c r="G20" s="281" t="s">
        <v>133</v>
      </c>
      <c r="H20" s="3"/>
      <c r="I20" s="37" t="s">
        <v>67</v>
      </c>
      <c r="J20" s="32" t="s">
        <v>128</v>
      </c>
      <c r="K20" s="48"/>
      <c r="L20" s="3"/>
      <c r="M20" s="278"/>
      <c r="N20" s="281"/>
      <c r="O20" s="52"/>
      <c r="P20" s="281"/>
      <c r="Q20" s="64"/>
      <c r="R20" s="64"/>
    </row>
    <row r="21" spans="1:18" ht="15" customHeight="1" x14ac:dyDescent="0.25">
      <c r="A21" s="277" t="s">
        <v>48</v>
      </c>
      <c r="B21" s="277" t="s">
        <v>186</v>
      </c>
      <c r="C21" s="282">
        <f>Balanço_MRE!F436</f>
        <v>21244.186535895598</v>
      </c>
      <c r="D21" s="282">
        <f>Balanço_MRE!G436</f>
        <v>74.972033237064508</v>
      </c>
      <c r="E21" s="282">
        <f t="shared" si="0"/>
        <v>21169.214502999999</v>
      </c>
      <c r="F21" s="280" t="s">
        <v>49</v>
      </c>
      <c r="G21" s="280" t="s">
        <v>133</v>
      </c>
      <c r="H21" s="3"/>
      <c r="I21" s="36" t="s">
        <v>251</v>
      </c>
      <c r="J21" s="33" t="s">
        <v>128</v>
      </c>
      <c r="K21" s="47">
        <f>Balanço_MRE!F42/Balanço_MRE!G42</f>
        <v>0</v>
      </c>
      <c r="L21" s="3"/>
      <c r="M21" s="277"/>
      <c r="N21" s="280"/>
      <c r="O21" s="51"/>
      <c r="P21" s="280"/>
      <c r="Q21" s="64"/>
      <c r="R21" s="64"/>
    </row>
    <row r="22" spans="1:18" ht="15" customHeight="1" x14ac:dyDescent="0.25">
      <c r="A22" s="278" t="s">
        <v>396</v>
      </c>
      <c r="B22" s="278" t="s">
        <v>186</v>
      </c>
      <c r="C22" s="283">
        <f>Balanço_MRE!F437</f>
        <v>4792.4102137653254</v>
      </c>
      <c r="D22" s="283">
        <f>Balanço_MRE!G437</f>
        <v>16.912708670909549</v>
      </c>
      <c r="E22" s="283">
        <f t="shared" ref="E22" si="2">ROUND((C22-D22),6)</f>
        <v>4775.4975050000003</v>
      </c>
      <c r="F22" s="281" t="s">
        <v>49</v>
      </c>
      <c r="G22" s="281" t="s">
        <v>133</v>
      </c>
      <c r="H22" s="3"/>
      <c r="I22" s="37" t="s">
        <v>68</v>
      </c>
      <c r="J22" s="32" t="s">
        <v>128</v>
      </c>
      <c r="K22" s="48">
        <f>Balanço_MRE!F43/Balanço_MRE!G43</f>
        <v>0</v>
      </c>
      <c r="L22" s="3"/>
      <c r="M22" s="290"/>
      <c r="N22" s="291"/>
      <c r="O22" s="59"/>
      <c r="P22" s="291"/>
      <c r="Q22" s="64"/>
      <c r="R22" s="64"/>
    </row>
    <row r="23" spans="1:18" ht="15" customHeight="1" x14ac:dyDescent="0.25">
      <c r="A23" s="277" t="s">
        <v>426</v>
      </c>
      <c r="B23" s="277" t="s">
        <v>189</v>
      </c>
      <c r="C23" s="282">
        <f>Balanço_MRE!F275</f>
        <v>16312.616642130582</v>
      </c>
      <c r="D23" s="282">
        <f>Balanço_MRE!G275</f>
        <v>0</v>
      </c>
      <c r="E23" s="282">
        <f t="shared" si="0"/>
        <v>16312.616642000001</v>
      </c>
      <c r="F23" s="280" t="s">
        <v>49</v>
      </c>
      <c r="G23" s="280" t="s">
        <v>127</v>
      </c>
      <c r="H23" s="3"/>
      <c r="I23" s="279" t="s">
        <v>129</v>
      </c>
      <c r="J23" s="286"/>
      <c r="K23" s="287">
        <f>SUM(K16:K22)</f>
        <v>28482.614496000002</v>
      </c>
      <c r="L23" s="3"/>
      <c r="M23" s="279" t="s">
        <v>129</v>
      </c>
      <c r="N23" s="286"/>
      <c r="O23" s="287">
        <f>SUM(O16:O22)</f>
        <v>78234.867332680369</v>
      </c>
      <c r="P23"/>
      <c r="Q23" s="64"/>
      <c r="R23" s="64"/>
    </row>
    <row r="24" spans="1:18" ht="15" customHeight="1" x14ac:dyDescent="0.25">
      <c r="A24" s="278" t="s">
        <v>51</v>
      </c>
      <c r="B24" s="278" t="s">
        <v>190</v>
      </c>
      <c r="C24" s="283">
        <f>Balanço_MRE!F284</f>
        <v>11005.95195404183</v>
      </c>
      <c r="D24" s="283">
        <f>Balanço_MRE!G284</f>
        <v>0</v>
      </c>
      <c r="E24" s="283">
        <f t="shared" si="0"/>
        <v>11005.951954</v>
      </c>
      <c r="F24" s="281" t="s">
        <v>49</v>
      </c>
      <c r="G24" s="281" t="s">
        <v>128</v>
      </c>
      <c r="H24" s="3"/>
      <c r="I24" s="64"/>
      <c r="J24" s="64"/>
      <c r="K24" s="1">
        <f>K23 - SUM(Balanço_Lastro!F45,Balanço_Lastro!F95,Balanço_Lastro!F309)</f>
        <v>0</v>
      </c>
      <c r="L24" s="64"/>
      <c r="M24"/>
      <c r="N24"/>
      <c r="O24"/>
      <c r="P24"/>
      <c r="Q24" s="64"/>
      <c r="R24" s="64"/>
    </row>
    <row r="25" spans="1:18" ht="15" customHeight="1" x14ac:dyDescent="0.25">
      <c r="A25" s="277" t="s">
        <v>52</v>
      </c>
      <c r="B25" s="277" t="s">
        <v>191</v>
      </c>
      <c r="C25" s="282">
        <f>Balanço_MRE!F273</f>
        <v>29171.398192336783</v>
      </c>
      <c r="D25" s="282">
        <f>Balanço_MRE!G273</f>
        <v>423.87299999999999</v>
      </c>
      <c r="E25" s="282">
        <f t="shared" si="0"/>
        <v>28747.525192000001</v>
      </c>
      <c r="F25" s="280" t="s">
        <v>49</v>
      </c>
      <c r="G25" s="280" t="s">
        <v>127</v>
      </c>
      <c r="H25" s="3"/>
      <c r="I25" s="64"/>
      <c r="J25" s="64"/>
      <c r="K25" s="64"/>
      <c r="L25" s="64"/>
      <c r="M25"/>
      <c r="N25"/>
      <c r="O25"/>
      <c r="P25"/>
      <c r="Q25" s="64"/>
      <c r="R25" s="64"/>
    </row>
    <row r="26" spans="1:18" ht="15" customHeight="1" x14ac:dyDescent="0.25">
      <c r="A26" s="278" t="s">
        <v>334</v>
      </c>
      <c r="B26" s="278" t="s">
        <v>201</v>
      </c>
      <c r="C26" s="283">
        <f>IF(VLOOKUP(73396,Balanço_MRE!$A$394:$H$408,6,FALSE)&gt;0,0,Balanço_MRE!F383)</f>
        <v>23846.257218247436</v>
      </c>
      <c r="D26" s="283">
        <f>Balanço_MRE!G383</f>
        <v>353.50099999999998</v>
      </c>
      <c r="E26" s="283">
        <f t="shared" si="0"/>
        <v>23492.756217999999</v>
      </c>
      <c r="F26" s="281" t="s">
        <v>49</v>
      </c>
      <c r="G26" s="281" t="s">
        <v>134</v>
      </c>
      <c r="H26" s="3"/>
      <c r="I26" s="572" t="s">
        <v>212</v>
      </c>
      <c r="J26" s="573"/>
      <c r="K26" s="574"/>
      <c r="L26"/>
      <c r="Q26" s="64"/>
      <c r="R26" s="64"/>
    </row>
    <row r="27" spans="1:18" ht="15" customHeight="1" x14ac:dyDescent="0.25">
      <c r="A27" s="277" t="s">
        <v>53</v>
      </c>
      <c r="B27" s="277" t="s">
        <v>192</v>
      </c>
      <c r="C27" s="282">
        <f>Balanço_MRE!F274</f>
        <v>35372.926533883205</v>
      </c>
      <c r="D27" s="282">
        <f>Balanço_MRE!G274</f>
        <v>681.64</v>
      </c>
      <c r="E27" s="282">
        <f t="shared" si="0"/>
        <v>34691.286533999999</v>
      </c>
      <c r="F27" s="280" t="s">
        <v>49</v>
      </c>
      <c r="G27" s="280" t="s">
        <v>134</v>
      </c>
      <c r="H27" s="3"/>
      <c r="I27" s="88" t="s">
        <v>138</v>
      </c>
      <c r="J27" s="288" t="s">
        <v>141</v>
      </c>
      <c r="K27" s="289" t="s">
        <v>25</v>
      </c>
      <c r="L27"/>
      <c r="Q27" s="64"/>
      <c r="R27" s="64"/>
    </row>
    <row r="28" spans="1:18" ht="15" customHeight="1" x14ac:dyDescent="0.25">
      <c r="A28" s="278" t="s">
        <v>54</v>
      </c>
      <c r="B28" s="278" t="s">
        <v>193</v>
      </c>
      <c r="C28" s="283">
        <f>Balanço_MRE!F285</f>
        <v>9734.8036478350568</v>
      </c>
      <c r="D28" s="283">
        <f>Balanço_MRE!G285</f>
        <v>155.11699999999999</v>
      </c>
      <c r="E28" s="283">
        <f t="shared" si="0"/>
        <v>9579.6866480000008</v>
      </c>
      <c r="F28" s="281" t="s">
        <v>49</v>
      </c>
      <c r="G28" s="281" t="s">
        <v>128</v>
      </c>
      <c r="H28" s="3"/>
      <c r="I28" s="41" t="s">
        <v>213</v>
      </c>
      <c r="J28" s="34" t="s">
        <v>134</v>
      </c>
      <c r="K28" s="46">
        <f>Balanço_MRE!F99</f>
        <v>260163.03599999996</v>
      </c>
      <c r="L28"/>
      <c r="Q28" s="64"/>
      <c r="R28" s="64"/>
    </row>
    <row r="29" spans="1:18" ht="15" customHeight="1" x14ac:dyDescent="0.25">
      <c r="A29" s="277" t="s">
        <v>354</v>
      </c>
      <c r="B29" s="277" t="s">
        <v>200</v>
      </c>
      <c r="C29" s="282">
        <f>Balanço_MRE!F438</f>
        <v>4405.1060721649501</v>
      </c>
      <c r="D29" s="282">
        <f>Balanço_MRE!G438</f>
        <v>0</v>
      </c>
      <c r="E29" s="282">
        <f t="shared" si="0"/>
        <v>4405.1060719999996</v>
      </c>
      <c r="F29" s="280" t="s">
        <v>49</v>
      </c>
      <c r="G29" s="280" t="s">
        <v>133</v>
      </c>
      <c r="H29" s="3"/>
      <c r="I29" s="36"/>
      <c r="J29" s="33"/>
      <c r="K29" s="47"/>
      <c r="L29"/>
      <c r="Q29" s="64"/>
      <c r="R29" s="64"/>
    </row>
    <row r="30" spans="1:18" ht="15" customHeight="1" x14ac:dyDescent="0.25">
      <c r="A30" s="278" t="s">
        <v>62</v>
      </c>
      <c r="B30" s="278" t="s">
        <v>200</v>
      </c>
      <c r="C30" s="283">
        <f>Balanço_MRE!F439</f>
        <v>10455.646762886599</v>
      </c>
      <c r="D30" s="283">
        <f>Balanço_MRE!G439</f>
        <v>55.343000000000004</v>
      </c>
      <c r="E30" s="283">
        <f t="shared" si="0"/>
        <v>10400.303763</v>
      </c>
      <c r="F30" s="281" t="s">
        <v>49</v>
      </c>
      <c r="G30" s="281" t="s">
        <v>133</v>
      </c>
      <c r="H30" s="305"/>
      <c r="I30" s="37"/>
      <c r="J30" s="32"/>
      <c r="K30" s="48"/>
      <c r="L30"/>
      <c r="Q30" s="64"/>
      <c r="R30" s="64"/>
    </row>
    <row r="31" spans="1:18" ht="15" customHeight="1" x14ac:dyDescent="0.25">
      <c r="A31" s="277" t="s">
        <v>255</v>
      </c>
      <c r="B31" s="277" t="s">
        <v>194</v>
      </c>
      <c r="C31" s="282">
        <f>Balanço_MRE!F484</f>
        <v>3784.7808200901709</v>
      </c>
      <c r="D31" s="413">
        <f>Balanço_MRE!G484</f>
        <v>17.754000000000001</v>
      </c>
      <c r="E31" s="282">
        <f t="shared" si="0"/>
        <v>3767.02682</v>
      </c>
      <c r="F31" s="280" t="s">
        <v>49</v>
      </c>
      <c r="G31" s="280" t="s">
        <v>126</v>
      </c>
      <c r="H31" s="64"/>
      <c r="I31" s="36"/>
      <c r="J31" s="33"/>
      <c r="K31" s="47"/>
      <c r="L31"/>
      <c r="Q31" s="64"/>
      <c r="R31" s="64"/>
    </row>
    <row r="32" spans="1:18" ht="15" customHeight="1" x14ac:dyDescent="0.25">
      <c r="A32" s="278" t="s">
        <v>55</v>
      </c>
      <c r="B32" s="278" t="s">
        <v>195</v>
      </c>
      <c r="C32" s="283">
        <f>IF(VLOOKUP(73396,Balanço_MRE!$A$394:$H$408,6,FALSE)&gt;0,0,Balanço_MRE!F387)</f>
        <v>11007.495268831624</v>
      </c>
      <c r="D32" s="283">
        <f>Balanço_MRE!G387</f>
        <v>127.366</v>
      </c>
      <c r="E32" s="283">
        <f t="shared" si="0"/>
        <v>10880.129268999999</v>
      </c>
      <c r="F32" s="281" t="s">
        <v>49</v>
      </c>
      <c r="G32" s="281" t="s">
        <v>128</v>
      </c>
      <c r="H32" s="64"/>
      <c r="I32" s="37"/>
      <c r="J32" s="32"/>
      <c r="K32" s="48"/>
      <c r="L32"/>
      <c r="Q32" s="64"/>
      <c r="R32" s="64"/>
    </row>
    <row r="33" spans="1:18" ht="15" customHeight="1" x14ac:dyDescent="0.25">
      <c r="A33" s="277" t="s">
        <v>59</v>
      </c>
      <c r="B33" s="277" t="s">
        <v>196</v>
      </c>
      <c r="C33" s="282">
        <f>Balanço_MRE!F286</f>
        <v>31327.498061855651</v>
      </c>
      <c r="D33" s="282">
        <f>Balanço_MRE!G286</f>
        <v>116.32899999999999</v>
      </c>
      <c r="E33" s="282">
        <f t="shared" si="0"/>
        <v>31211.169062000001</v>
      </c>
      <c r="F33" s="280" t="s">
        <v>49</v>
      </c>
      <c r="G33" s="280" t="s">
        <v>133</v>
      </c>
      <c r="H33" s="64"/>
      <c r="I33" s="36"/>
      <c r="J33" s="33"/>
      <c r="K33" s="47"/>
      <c r="L33"/>
      <c r="M33" s="64"/>
      <c r="N33"/>
      <c r="O33"/>
      <c r="P33"/>
      <c r="Q33" s="64"/>
      <c r="R33" s="64"/>
    </row>
    <row r="34" spans="1:18" ht="15" customHeight="1" x14ac:dyDescent="0.25">
      <c r="A34" s="278" t="s">
        <v>56</v>
      </c>
      <c r="B34" s="278" t="s">
        <v>196</v>
      </c>
      <c r="C34" s="283">
        <f>Balanço_MRE!F440</f>
        <v>3054.5730201628498</v>
      </c>
      <c r="D34" s="283">
        <f>Balanço_MRE!G440</f>
        <v>9.9615118665550817</v>
      </c>
      <c r="E34" s="283">
        <f t="shared" si="0"/>
        <v>3044.611508</v>
      </c>
      <c r="F34" s="281" t="s">
        <v>49</v>
      </c>
      <c r="G34" s="281" t="s">
        <v>133</v>
      </c>
      <c r="H34" s="64"/>
      <c r="I34" s="37"/>
      <c r="J34" s="32"/>
      <c r="K34" s="48"/>
      <c r="L34"/>
      <c r="M34" s="64"/>
      <c r="N34"/>
      <c r="O34"/>
      <c r="P34"/>
      <c r="Q34" s="64"/>
      <c r="R34" s="64"/>
    </row>
    <row r="35" spans="1:18" ht="15" customHeight="1" x14ac:dyDescent="0.25">
      <c r="A35" s="277" t="s">
        <v>352</v>
      </c>
      <c r="B35" s="277" t="s">
        <v>193</v>
      </c>
      <c r="C35" s="282">
        <f>Balanço_MRE!F287</f>
        <v>7428.6074481987253</v>
      </c>
      <c r="D35" s="282">
        <f>Balanço_MRE!G287</f>
        <v>0</v>
      </c>
      <c r="E35" s="282">
        <f t="shared" si="0"/>
        <v>7428.6074479999997</v>
      </c>
      <c r="F35" s="280" t="s">
        <v>49</v>
      </c>
      <c r="G35" s="280" t="s">
        <v>128</v>
      </c>
      <c r="H35" s="64"/>
      <c r="I35" s="279" t="s">
        <v>129</v>
      </c>
      <c r="J35" s="286"/>
      <c r="K35" s="287">
        <f>SUM(K28:K34)</f>
        <v>260163.03599999996</v>
      </c>
      <c r="L35"/>
      <c r="M35" s="64"/>
      <c r="N35"/>
      <c r="O35"/>
      <c r="P35"/>
      <c r="Q35" s="64"/>
      <c r="R35" s="64"/>
    </row>
    <row r="36" spans="1:18" ht="15" customHeight="1" x14ac:dyDescent="0.25">
      <c r="A36" s="278" t="s">
        <v>351</v>
      </c>
      <c r="B36" s="278" t="s">
        <v>193</v>
      </c>
      <c r="C36" s="283">
        <f>Balanço_MRE!F288</f>
        <v>20278.612628521179</v>
      </c>
      <c r="D36" s="283">
        <f>Balanço_MRE!G288</f>
        <v>0</v>
      </c>
      <c r="E36" s="283">
        <f t="shared" si="0"/>
        <v>20278.612628999999</v>
      </c>
      <c r="F36" s="281" t="s">
        <v>49</v>
      </c>
      <c r="G36" s="281" t="s">
        <v>128</v>
      </c>
      <c r="H36" s="64"/>
      <c r="I36"/>
      <c r="J36"/>
      <c r="K36"/>
      <c r="L36"/>
      <c r="M36" s="64"/>
      <c r="N36"/>
      <c r="O36"/>
      <c r="P36"/>
      <c r="Q36" s="64"/>
      <c r="R36" s="64"/>
    </row>
    <row r="37" spans="1:18" ht="15" customHeight="1" x14ac:dyDescent="0.25">
      <c r="A37" s="277" t="s">
        <v>353</v>
      </c>
      <c r="B37" s="277" t="s">
        <v>193</v>
      </c>
      <c r="C37" s="282">
        <f>Balanço_MRE!F289</f>
        <v>33368.541398482281</v>
      </c>
      <c r="D37" s="282">
        <f>Balanço_MRE!G289</f>
        <v>0</v>
      </c>
      <c r="E37" s="282">
        <f t="shared" si="0"/>
        <v>33368.541398000001</v>
      </c>
      <c r="F37" s="280" t="s">
        <v>49</v>
      </c>
      <c r="G37" s="280" t="s">
        <v>128</v>
      </c>
      <c r="H37" s="64"/>
      <c r="I37"/>
      <c r="J37"/>
      <c r="K37"/>
      <c r="L37"/>
      <c r="M37" s="64"/>
      <c r="N37"/>
      <c r="O37"/>
      <c r="P37"/>
      <c r="Q37" s="3"/>
      <c r="R37" s="64"/>
    </row>
    <row r="38" spans="1:18" ht="15" customHeight="1" x14ac:dyDescent="0.25">
      <c r="A38" s="278"/>
      <c r="B38" s="278"/>
      <c r="C38" s="283"/>
      <c r="D38" s="283"/>
      <c r="E38" s="283"/>
      <c r="F38" s="281"/>
      <c r="G38" s="281"/>
      <c r="H38" s="64"/>
      <c r="I38"/>
      <c r="J38"/>
      <c r="K38"/>
      <c r="L38"/>
      <c r="M38" s="64"/>
      <c r="N38"/>
      <c r="O38"/>
      <c r="P38"/>
      <c r="Q38" s="64"/>
      <c r="R38" s="64"/>
    </row>
    <row r="39" spans="1:18" s="54" customFormat="1" ht="15" customHeight="1" x14ac:dyDescent="0.25">
      <c r="A39" s="279" t="s">
        <v>129</v>
      </c>
      <c r="B39" s="279"/>
      <c r="C39" s="284">
        <f>SUM(C3:C38)</f>
        <v>716690.08435377898</v>
      </c>
      <c r="D39" s="284">
        <f>SUM(D3:D38)</f>
        <v>5226.076</v>
      </c>
      <c r="E39" s="284">
        <f>SUM(E3:E38)</f>
        <v>711464.00835299981</v>
      </c>
      <c r="F39" s="285"/>
      <c r="G39" s="285"/>
      <c r="H39" s="64"/>
      <c r="I39"/>
      <c r="J39"/>
      <c r="K39"/>
      <c r="L39"/>
      <c r="M39" s="64"/>
      <c r="N39"/>
      <c r="O39"/>
      <c r="P39"/>
      <c r="Q39" s="64"/>
      <c r="R39" s="64"/>
    </row>
    <row r="40" spans="1:18" s="54" customFormat="1" ht="15" customHeight="1" x14ac:dyDescent="0.25">
      <c r="A40" s="64"/>
      <c r="B40" s="64"/>
      <c r="C40" s="64"/>
      <c r="D40" s="22"/>
      <c r="E40" s="64"/>
      <c r="F40" s="64"/>
      <c r="G40" s="64"/>
      <c r="H40" s="64"/>
      <c r="I40"/>
      <c r="J40"/>
      <c r="K40"/>
      <c r="L40"/>
      <c r="M40" s="66" t="e">
        <f>SUM(K36:K41)-Balanço_MRE!S717-Balanço_MRE!#REF!</f>
        <v>#REF!</v>
      </c>
      <c r="N40"/>
      <c r="O40"/>
      <c r="P40"/>
      <c r="Q40" s="64"/>
      <c r="R40" s="64"/>
    </row>
    <row r="41" spans="1:18" s="54" customFormat="1" ht="15" customHeight="1" x14ac:dyDescent="0.25">
      <c r="A41" s="575" t="s">
        <v>205</v>
      </c>
      <c r="B41" s="576"/>
      <c r="C41" s="576"/>
      <c r="D41" s="576"/>
      <c r="E41" s="576"/>
      <c r="F41" s="576"/>
      <c r="G41" s="576"/>
      <c r="H41" s="64"/>
      <c r="I41"/>
      <c r="J41"/>
      <c r="K41"/>
      <c r="L41"/>
      <c r="M41"/>
      <c r="N41"/>
      <c r="O41"/>
      <c r="P41"/>
      <c r="Q41"/>
      <c r="R41"/>
    </row>
    <row r="42" spans="1:18" s="54" customFormat="1" ht="15" customHeight="1" x14ac:dyDescent="0.25">
      <c r="A42" s="276" t="s">
        <v>130</v>
      </c>
      <c r="B42" s="276" t="s">
        <v>181</v>
      </c>
      <c r="C42" s="260" t="s">
        <v>25</v>
      </c>
      <c r="D42" s="260" t="s">
        <v>95</v>
      </c>
      <c r="E42" s="260" t="s">
        <v>214</v>
      </c>
      <c r="F42" s="260" t="s">
        <v>139</v>
      </c>
      <c r="G42" s="260" t="s">
        <v>140</v>
      </c>
      <c r="H42" s="64"/>
      <c r="I42" s="247"/>
      <c r="J42"/>
      <c r="K42"/>
      <c r="L42"/>
      <c r="M42"/>
      <c r="N42"/>
      <c r="O42"/>
      <c r="P42"/>
      <c r="Q42"/>
      <c r="R42"/>
    </row>
    <row r="43" spans="1:18" s="54" customFormat="1" ht="15" customHeight="1" x14ac:dyDescent="0.25">
      <c r="A43" s="310" t="s">
        <v>367</v>
      </c>
      <c r="B43" s="310"/>
      <c r="C43" s="307">
        <f>Balanço_MRE!F347</f>
        <v>283.62727518900368</v>
      </c>
      <c r="D43" s="307">
        <f>Balanço_MRE!G347</f>
        <v>7.5940000000000003</v>
      </c>
      <c r="E43" s="307">
        <f t="shared" ref="E43:E50" si="3">ROUND((C43-D43),6)</f>
        <v>276.033275</v>
      </c>
      <c r="F43" s="311" t="s">
        <v>50</v>
      </c>
      <c r="G43" s="311" t="s">
        <v>128</v>
      </c>
      <c r="H43" s="64"/>
      <c r="I43" s="247"/>
      <c r="J43"/>
      <c r="K43"/>
      <c r="L43"/>
      <c r="M43"/>
      <c r="N43"/>
      <c r="O43"/>
      <c r="P43"/>
      <c r="Q43"/>
      <c r="R43"/>
    </row>
    <row r="44" spans="1:18" s="54" customFormat="1" ht="15" customHeight="1" x14ac:dyDescent="0.25">
      <c r="A44" s="312" t="s">
        <v>368</v>
      </c>
      <c r="B44" s="312"/>
      <c r="C44" s="313">
        <f>Balanço_MRE!F348</f>
        <v>396.20619340206184</v>
      </c>
      <c r="D44" s="313">
        <f>Balanço_MRE!G348</f>
        <v>2.2530000000000001</v>
      </c>
      <c r="E44" s="313">
        <f t="shared" si="3"/>
        <v>393.953193</v>
      </c>
      <c r="F44" s="314" t="s">
        <v>50</v>
      </c>
      <c r="G44" s="314" t="s">
        <v>128</v>
      </c>
      <c r="H44" s="247"/>
      <c r="I44" s="247"/>
      <c r="J44" s="69"/>
      <c r="K44" s="69"/>
      <c r="L44" s="69"/>
      <c r="M44"/>
      <c r="N44"/>
      <c r="O44"/>
      <c r="P44"/>
      <c r="Q44"/>
      <c r="R44"/>
    </row>
    <row r="45" spans="1:18" s="54" customFormat="1" ht="15" customHeight="1" x14ac:dyDescent="0.25">
      <c r="A45" s="277" t="s">
        <v>57</v>
      </c>
      <c r="B45" s="277" t="str">
        <f>VLOOKUP(A45,$A$2:$B$39,2,FALSE)</f>
        <v>33.592.510/0217-47</v>
      </c>
      <c r="C45" s="308">
        <f>IF(VLOOKUP(73396,Balanço_MRE!$A$394:$H$408,6,FALSE)=0,0,Balanço_MRE!F384)</f>
        <v>0</v>
      </c>
      <c r="D45" s="308">
        <f>IF(VLOOKUP(73396,Balanço_MRE!$A$394:$H$408,6,FALSE)=0,0,Balanço_MRE!G384)</f>
        <v>0</v>
      </c>
      <c r="E45" s="308">
        <f t="shared" si="3"/>
        <v>0</v>
      </c>
      <c r="F45" s="280" t="s">
        <v>50</v>
      </c>
      <c r="G45" s="280" t="s">
        <v>128</v>
      </c>
      <c r="H45" s="247"/>
      <c r="M45"/>
      <c r="N45"/>
      <c r="O45"/>
      <c r="P45"/>
      <c r="Q45"/>
      <c r="R45"/>
    </row>
    <row r="46" spans="1:18" s="54" customFormat="1" ht="15" customHeight="1" x14ac:dyDescent="0.25">
      <c r="A46" s="278" t="s">
        <v>58</v>
      </c>
      <c r="B46" s="278" t="str">
        <f>VLOOKUP(A46,$A$2:$B$39,2,FALSE)</f>
        <v>33.592.510.0008-20</v>
      </c>
      <c r="C46" s="309">
        <f>IF(VLOOKUP(73396,Balanço_MRE!$A$394:$H$408,6,FALSE)=0,0,Balanço_MRE!F385)</f>
        <v>0</v>
      </c>
      <c r="D46" s="309">
        <f>IF(VLOOKUP(73396,Balanço_MRE!$A$394:$H$408,6,FALSE)=0,0,Balanço_MRE!G385)</f>
        <v>0</v>
      </c>
      <c r="E46" s="309">
        <f t="shared" si="3"/>
        <v>0</v>
      </c>
      <c r="F46" s="281" t="s">
        <v>50</v>
      </c>
      <c r="G46" s="281" t="s">
        <v>128</v>
      </c>
      <c r="H46" s="247"/>
      <c r="M46"/>
      <c r="N46"/>
      <c r="O46"/>
      <c r="P46"/>
      <c r="Q46"/>
      <c r="R46"/>
    </row>
    <row r="47" spans="1:18" s="54" customFormat="1" ht="15" customHeight="1" x14ac:dyDescent="0.25">
      <c r="A47" s="277" t="s">
        <v>61</v>
      </c>
      <c r="B47" s="277" t="str">
        <f>VLOOKUP(A47,$A$2:$B$39,2,FALSE)</f>
        <v>33.592.510.0433-92</v>
      </c>
      <c r="C47" s="308">
        <f>IF(VLOOKUP(73396,Balanço_MRE!$A$394:$H$408,6,FALSE)=0,0,Balanço_MRE!F386)</f>
        <v>0</v>
      </c>
      <c r="D47" s="308">
        <f>IF(VLOOKUP(73396,Balanço_MRE!$A$394:$H$408,6,FALSE)=0,0,Balanço_MRE!G386)</f>
        <v>0</v>
      </c>
      <c r="E47" s="308">
        <f t="shared" si="3"/>
        <v>0</v>
      </c>
      <c r="F47" s="280" t="s">
        <v>50</v>
      </c>
      <c r="G47" s="280" t="s">
        <v>128</v>
      </c>
      <c r="H47" s="64"/>
      <c r="M47"/>
      <c r="N47"/>
      <c r="O47"/>
      <c r="P47"/>
      <c r="Q47"/>
      <c r="R47"/>
    </row>
    <row r="48" spans="1:18" s="54" customFormat="1" ht="15" customHeight="1" x14ac:dyDescent="0.25">
      <c r="A48" s="278" t="s">
        <v>334</v>
      </c>
      <c r="B48" s="278" t="str">
        <f>VLOOKUP(A48,$A$2:$B$39,2,FALSE)</f>
        <v>33.592.510/0089-96</v>
      </c>
      <c r="C48" s="309">
        <f>IF(VLOOKUP(73396,Balanço_MRE!$A$394:$H$408,6,FALSE)=0,0,Balanço_MRE!F383)</f>
        <v>0</v>
      </c>
      <c r="D48" s="309">
        <f>IF(VLOOKUP(73396,Balanço_MRE!$A$394:$H$408,6,FALSE)=0,0,Balanço_MRE!G383)</f>
        <v>0</v>
      </c>
      <c r="E48" s="309">
        <f t="shared" si="3"/>
        <v>0</v>
      </c>
      <c r="F48" s="281" t="s">
        <v>50</v>
      </c>
      <c r="G48" s="281" t="s">
        <v>134</v>
      </c>
      <c r="H48" s="64"/>
      <c r="M48"/>
      <c r="N48"/>
      <c r="O48"/>
      <c r="P48"/>
      <c r="Q48"/>
      <c r="R48"/>
    </row>
    <row r="49" spans="1:18" s="54" customFormat="1" ht="15" customHeight="1" x14ac:dyDescent="0.25">
      <c r="A49" s="277" t="s">
        <v>255</v>
      </c>
      <c r="B49" s="277" t="s">
        <v>194</v>
      </c>
      <c r="C49" s="414">
        <f>IF(VLOOKUP(73396,Balanço_MRE!$A$394:$H$408,6,FALSE)=0,0,Balanço_MRE!#REF!)</f>
        <v>0</v>
      </c>
      <c r="D49" s="414">
        <f>IF(VLOOKUP(73396,Balanço_MRE!$A$394:$H$408,6,FALSE)=0,0,Balanço_MRE!#REF!)</f>
        <v>0</v>
      </c>
      <c r="E49" s="308">
        <f t="shared" si="3"/>
        <v>0</v>
      </c>
      <c r="F49" s="280" t="s">
        <v>50</v>
      </c>
      <c r="G49" s="280" t="s">
        <v>126</v>
      </c>
      <c r="H49" s="64"/>
      <c r="M49"/>
      <c r="N49"/>
      <c r="O49"/>
      <c r="P49"/>
      <c r="Q49"/>
      <c r="R49"/>
    </row>
    <row r="50" spans="1:18" s="54" customFormat="1" ht="15" customHeight="1" x14ac:dyDescent="0.25">
      <c r="A50" s="278" t="s">
        <v>55</v>
      </c>
      <c r="B50" s="278" t="s">
        <v>195</v>
      </c>
      <c r="C50" s="309">
        <f>IF(VLOOKUP(73396,Balanço_MRE!$A$394:$H$408,6,FALSE)=0,0,Balanço_MRE!F387)</f>
        <v>0</v>
      </c>
      <c r="D50" s="309">
        <f>IF(VLOOKUP(73396,Balanço_MRE!$A$394:$H$408,6,FALSE)=0,0,Balanço_MRE!G387)</f>
        <v>0</v>
      </c>
      <c r="E50" s="309">
        <f t="shared" si="3"/>
        <v>0</v>
      </c>
      <c r="F50" s="281" t="s">
        <v>50</v>
      </c>
      <c r="G50" s="281" t="s">
        <v>128</v>
      </c>
      <c r="H50" s="64"/>
      <c r="M50"/>
      <c r="N50"/>
      <c r="O50"/>
      <c r="P50"/>
      <c r="Q50"/>
      <c r="R50"/>
    </row>
    <row r="51" spans="1:18" s="54" customFormat="1" ht="15" customHeight="1" x14ac:dyDescent="0.25">
      <c r="A51" s="277"/>
      <c r="B51" s="277"/>
      <c r="C51" s="308"/>
      <c r="D51" s="308"/>
      <c r="E51" s="308"/>
      <c r="F51" s="280"/>
      <c r="G51" s="280"/>
      <c r="H51" s="45"/>
      <c r="M51"/>
      <c r="N51"/>
      <c r="O51"/>
      <c r="P51"/>
      <c r="Q51"/>
      <c r="R51"/>
    </row>
    <row r="52" spans="1:18" s="69" customFormat="1" ht="15" customHeight="1" x14ac:dyDescent="0.25">
      <c r="A52" s="278"/>
      <c r="B52" s="278"/>
      <c r="C52" s="309"/>
      <c r="D52" s="309"/>
      <c r="E52" s="309"/>
      <c r="F52" s="281"/>
      <c r="G52" s="281"/>
      <c r="H52" s="64"/>
      <c r="M52"/>
      <c r="N52"/>
      <c r="O52"/>
      <c r="P52"/>
      <c r="Q52"/>
      <c r="R52"/>
    </row>
    <row r="53" spans="1:18" s="54" customFormat="1" ht="15" customHeight="1" x14ac:dyDescent="0.25">
      <c r="A53" s="277"/>
      <c r="B53" s="277"/>
      <c r="C53" s="308"/>
      <c r="D53" s="308"/>
      <c r="E53" s="308"/>
      <c r="F53" s="280"/>
      <c r="G53" s="280"/>
      <c r="H53" s="64"/>
      <c r="I53" s="69"/>
      <c r="J53" s="69"/>
      <c r="K53" s="69"/>
      <c r="L53" s="69"/>
      <c r="M53"/>
      <c r="N53"/>
      <c r="O53"/>
      <c r="P53"/>
      <c r="Q53"/>
      <c r="R53"/>
    </row>
    <row r="54" spans="1:18" s="54" customFormat="1" ht="15" customHeight="1" x14ac:dyDescent="0.25">
      <c r="A54" s="278"/>
      <c r="B54" s="278"/>
      <c r="C54" s="309"/>
      <c r="D54" s="309"/>
      <c r="E54" s="309"/>
      <c r="F54" s="281"/>
      <c r="G54" s="281"/>
      <c r="H54" s="69"/>
      <c r="I54" s="69"/>
      <c r="J54" s="69"/>
      <c r="K54" s="69"/>
      <c r="L54" s="69"/>
      <c r="M54"/>
      <c r="N54"/>
      <c r="O54"/>
      <c r="P54"/>
      <c r="Q54"/>
      <c r="R54"/>
    </row>
    <row r="55" spans="1:18" s="54" customFormat="1" ht="15" customHeight="1" x14ac:dyDescent="0.25">
      <c r="A55" s="277"/>
      <c r="B55" s="277"/>
      <c r="C55" s="308"/>
      <c r="D55" s="308"/>
      <c r="E55" s="308"/>
      <c r="F55" s="280"/>
      <c r="G55" s="280"/>
      <c r="H55" s="64"/>
      <c r="I55" s="69"/>
      <c r="J55" s="69"/>
      <c r="K55" s="69"/>
      <c r="L55" s="69"/>
      <c r="M55"/>
      <c r="N55"/>
      <c r="O55"/>
      <c r="P55"/>
      <c r="Q55"/>
      <c r="R55"/>
    </row>
    <row r="56" spans="1:18" s="54" customFormat="1" ht="15" customHeight="1" x14ac:dyDescent="0.25">
      <c r="A56" s="279" t="s">
        <v>129</v>
      </c>
      <c r="B56" s="279"/>
      <c r="C56" s="284">
        <f>SUM(C43:C55)</f>
        <v>679.83346859106553</v>
      </c>
      <c r="D56" s="284">
        <f>SUM(D43:D55)</f>
        <v>9.8470000000000013</v>
      </c>
      <c r="E56" s="284">
        <f>SUM(E43:E55)</f>
        <v>669.98646800000006</v>
      </c>
      <c r="F56" s="285"/>
      <c r="G56" s="285"/>
      <c r="H56" s="64"/>
      <c r="I56" s="69"/>
      <c r="J56" s="69"/>
      <c r="K56" s="69"/>
      <c r="L56" s="69"/>
      <c r="M56"/>
      <c r="N56"/>
      <c r="O56"/>
      <c r="P56"/>
      <c r="Q56"/>
      <c r="R56"/>
    </row>
    <row r="57" spans="1:18" s="54" customFormat="1" ht="15" customHeight="1" x14ac:dyDescent="0.25">
      <c r="A57" s="64"/>
      <c r="B57" s="64"/>
      <c r="C57" s="247"/>
      <c r="D57" s="64"/>
      <c r="E57" s="64"/>
      <c r="F57" s="64"/>
      <c r="G57" s="64"/>
      <c r="H57" s="64"/>
      <c r="I57"/>
      <c r="J57"/>
      <c r="K57"/>
      <c r="L57"/>
      <c r="M57"/>
      <c r="N57"/>
      <c r="O57"/>
      <c r="P57"/>
      <c r="Q57"/>
      <c r="R57"/>
    </row>
    <row r="58" spans="1:18" s="54" customFormat="1" ht="15" customHeight="1" x14ac:dyDescent="0.25">
      <c r="A58" s="38" t="s">
        <v>206</v>
      </c>
      <c r="B58" s="53"/>
      <c r="C58" s="284">
        <f>C39+C56</f>
        <v>717369.91782237007</v>
      </c>
      <c r="D58" s="284">
        <f>D39+D56</f>
        <v>5235.9229999999998</v>
      </c>
      <c r="E58" s="284">
        <f>E39+E56</f>
        <v>712133.9948209998</v>
      </c>
      <c r="F58" s="64"/>
      <c r="G58" s="64"/>
      <c r="H58" s="64"/>
      <c r="I58"/>
      <c r="J58"/>
      <c r="K58"/>
      <c r="L58"/>
      <c r="M58"/>
      <c r="N58"/>
      <c r="O58"/>
      <c r="P58"/>
      <c r="Q58"/>
      <c r="R58"/>
    </row>
    <row r="59" spans="1:18" s="54" customFormat="1" ht="15" customHeight="1" x14ac:dyDescent="0.25">
      <c r="A59" s="64"/>
      <c r="B59" s="64"/>
      <c r="C59" s="67">
        <f>C58 - Balanço_MRE!F291 - Balanço_MRE!F350 - Balanço_MRE!F389 - Balanço_MRE!F442</f>
        <v>3784.7808200902946</v>
      </c>
      <c r="D59" s="67">
        <f>D58 - Balanço_MRE!G291 - Balanço_MRE!G350 - Balanço_MRE!G389-Balanço_MRE!G442</f>
        <v>17.753999999999166</v>
      </c>
      <c r="E59" s="64"/>
      <c r="F59" s="64"/>
      <c r="G59" s="64"/>
      <c r="H59" s="64"/>
      <c r="I59"/>
      <c r="J59"/>
      <c r="K59"/>
      <c r="L59"/>
      <c r="M59"/>
      <c r="N59"/>
      <c r="O59"/>
      <c r="P59"/>
      <c r="Q59"/>
      <c r="R59"/>
    </row>
    <row r="60" spans="1:18" s="54" customFormat="1" ht="15" customHeight="1" x14ac:dyDescent="0.25">
      <c r="A60" s="62" t="s">
        <v>208</v>
      </c>
      <c r="B60" s="64"/>
      <c r="C60" s="22"/>
      <c r="D60" s="22"/>
      <c r="E60" s="64"/>
      <c r="F60" s="64"/>
      <c r="G60" s="64"/>
      <c r="H60" s="64"/>
      <c r="I60"/>
      <c r="J60"/>
      <c r="K60"/>
      <c r="L60"/>
      <c r="M60"/>
      <c r="N60"/>
      <c r="O60"/>
      <c r="P60"/>
      <c r="Q60"/>
      <c r="R60"/>
    </row>
    <row r="61" spans="1:18" s="54" customFormat="1" ht="15" customHeight="1" x14ac:dyDescent="0.25">
      <c r="A61" s="64"/>
      <c r="B61" s="64"/>
      <c r="C61" s="22"/>
      <c r="D61" s="64"/>
      <c r="E61" s="64"/>
      <c r="F61" s="64"/>
      <c r="G61" s="64"/>
      <c r="H61" s="64"/>
      <c r="I61"/>
      <c r="J61"/>
      <c r="K61"/>
      <c r="L61"/>
      <c r="M61"/>
      <c r="N61"/>
      <c r="O61"/>
      <c r="P61"/>
      <c r="Q61"/>
      <c r="R61"/>
    </row>
    <row r="62" spans="1:18" ht="15" customHeight="1" x14ac:dyDescent="0.25">
      <c r="A62" s="64"/>
      <c r="B62" s="64"/>
      <c r="C62" s="64"/>
      <c r="D62" s="69"/>
      <c r="E62" s="64"/>
      <c r="F62" s="64"/>
      <c r="G62" s="64"/>
      <c r="H62" s="64"/>
      <c r="I62"/>
      <c r="J62"/>
      <c r="K62"/>
      <c r="L62"/>
      <c r="M62" s="64"/>
      <c r="N62"/>
      <c r="O62"/>
      <c r="P62"/>
    </row>
    <row r="63" spans="1:18" ht="15" customHeight="1" x14ac:dyDescent="0.25">
      <c r="A63" s="577" t="s">
        <v>146</v>
      </c>
      <c r="B63" s="578"/>
      <c r="C63" s="64"/>
      <c r="D63" s="69"/>
      <c r="E63" s="64"/>
      <c r="F63" s="64"/>
      <c r="G63" s="64"/>
      <c r="H63" s="64"/>
      <c r="I63"/>
      <c r="J63"/>
      <c r="K63"/>
      <c r="L63"/>
      <c r="M63" s="64"/>
      <c r="N63"/>
      <c r="O63"/>
      <c r="P63"/>
    </row>
    <row r="64" spans="1:18" ht="15" customHeight="1" x14ac:dyDescent="0.25">
      <c r="A64" s="35" t="s">
        <v>147</v>
      </c>
      <c r="B64" s="65" t="s">
        <v>25</v>
      </c>
      <c r="C64" s="64"/>
      <c r="D64" s="69"/>
      <c r="E64" s="64"/>
      <c r="F64" s="64"/>
      <c r="G64" s="64"/>
      <c r="H64" s="64"/>
      <c r="I64"/>
      <c r="J64"/>
      <c r="K64"/>
      <c r="L64"/>
      <c r="M64"/>
      <c r="N64"/>
      <c r="O64"/>
      <c r="P64"/>
      <c r="Q64"/>
      <c r="R64"/>
    </row>
    <row r="65" spans="1:18" ht="15" customHeight="1" x14ac:dyDescent="0.25">
      <c r="A65" s="39" t="s">
        <v>50</v>
      </c>
      <c r="B65" s="299">
        <f>SUM(K19:K22,O5,O7)
-SUM(E56,O17,O19)</f>
        <v>5.9106548633280909E-7</v>
      </c>
      <c r="C65" s="63"/>
      <c r="D65" s="64"/>
      <c r="E65" s="64"/>
      <c r="F65" s="2"/>
      <c r="G65" s="64"/>
      <c r="H65" s="64"/>
      <c r="I65"/>
      <c r="J65"/>
      <c r="K65"/>
      <c r="L65"/>
      <c r="M65"/>
      <c r="N65"/>
      <c r="O65"/>
      <c r="P65"/>
      <c r="Q65"/>
      <c r="R65"/>
    </row>
    <row r="66" spans="1:18" s="57" customFormat="1" ht="15" customHeight="1" x14ac:dyDescent="0.25">
      <c r="A66" s="40" t="s">
        <v>49</v>
      </c>
      <c r="B66" s="300">
        <f>SUM(K11,K16:K18,K28,O4,O6,)
-SUM(E39,O16,O18)</f>
        <v>-167846.28998734034</v>
      </c>
      <c r="C66" s="63"/>
      <c r="D66" s="64"/>
      <c r="E66" s="64"/>
      <c r="F66" s="2"/>
      <c r="G66" s="64"/>
      <c r="H66" s="64"/>
      <c r="I66"/>
      <c r="J66"/>
      <c r="K66"/>
      <c r="L66"/>
      <c r="M66"/>
      <c r="N66"/>
      <c r="O66"/>
      <c r="P66"/>
      <c r="Q66"/>
      <c r="R66"/>
    </row>
    <row r="67" spans="1:18" s="247" customFormat="1" ht="15" customHeight="1" x14ac:dyDescent="0.25">
      <c r="A67" s="55" t="s">
        <v>211</v>
      </c>
      <c r="B67" s="56">
        <f>SUM(B65:B66)</f>
        <v>-167846.28998674927</v>
      </c>
      <c r="C67" s="22"/>
      <c r="D67" s="2"/>
      <c r="E67" s="2"/>
      <c r="F67" s="64"/>
      <c r="G67" s="64"/>
      <c r="H67" s="64"/>
    </row>
    <row r="68" spans="1:18" s="57" customFormat="1" ht="15" customHeight="1" x14ac:dyDescent="0.25">
      <c r="A68" s="58"/>
      <c r="B68" s="68">
        <f>Balanço_MRE!F9-Balanço_FAT!B67+Balanço_MRE!E9</f>
        <v>167173.19999862972</v>
      </c>
      <c r="C68" s="69"/>
      <c r="D68" s="2"/>
      <c r="E68" s="2"/>
      <c r="F68" s="22"/>
      <c r="G68" s="64"/>
      <c r="H68" s="64"/>
      <c r="I68"/>
      <c r="J68"/>
      <c r="K68"/>
      <c r="L68"/>
      <c r="M68"/>
      <c r="N68"/>
      <c r="O68"/>
      <c r="P68"/>
      <c r="Q68"/>
      <c r="R68"/>
    </row>
    <row r="69" spans="1:18" s="57" customFormat="1" ht="15" customHeight="1" x14ac:dyDescent="0.25">
      <c r="A69" s="58"/>
      <c r="B69" s="68"/>
      <c r="C69" s="247"/>
      <c r="D69" s="2"/>
      <c r="E69" s="2"/>
      <c r="F69" s="22"/>
      <c r="G69" s="247"/>
      <c r="H69" s="247"/>
      <c r="I69"/>
      <c r="J69"/>
      <c r="K69"/>
      <c r="L69"/>
      <c r="M69"/>
      <c r="N69"/>
      <c r="O69"/>
      <c r="P69"/>
      <c r="Q69"/>
      <c r="R69"/>
    </row>
    <row r="70" spans="1:18" ht="15" customHeight="1" x14ac:dyDescent="0.25">
      <c r="A70" s="58"/>
      <c r="B70" s="58"/>
      <c r="C70" s="64"/>
      <c r="D70" s="64"/>
      <c r="E70" s="64"/>
      <c r="F70" s="64"/>
      <c r="G70" s="64"/>
      <c r="H70" s="64"/>
      <c r="I70"/>
      <c r="J70"/>
      <c r="K70"/>
      <c r="L70"/>
      <c r="M70"/>
      <c r="N70"/>
      <c r="O70"/>
      <c r="P70"/>
      <c r="Q70"/>
      <c r="R70"/>
    </row>
    <row r="71" spans="1:18" ht="15" customHeight="1" x14ac:dyDescent="0.25">
      <c r="A71" s="58"/>
      <c r="B71" s="529"/>
      <c r="C71" s="64"/>
      <c r="D71" s="64"/>
      <c r="E71" s="64"/>
      <c r="F71" s="64"/>
      <c r="G71" s="64"/>
      <c r="H71" s="64"/>
      <c r="I71"/>
      <c r="J71"/>
      <c r="K71"/>
      <c r="L71"/>
      <c r="M71"/>
      <c r="N71"/>
      <c r="O71"/>
      <c r="P71"/>
      <c r="Q71"/>
      <c r="R71"/>
    </row>
    <row r="72" spans="1:18" ht="15" customHeight="1" x14ac:dyDescent="0.25">
      <c r="A72" s="42" t="s">
        <v>140</v>
      </c>
      <c r="B72" s="42" t="s">
        <v>85</v>
      </c>
      <c r="C72" s="42" t="s">
        <v>95</v>
      </c>
      <c r="D72" s="87" t="s">
        <v>359</v>
      </c>
      <c r="E72" s="88" t="s">
        <v>209</v>
      </c>
      <c r="F72" s="3"/>
      <c r="G72" s="64"/>
      <c r="H72" s="64"/>
      <c r="I72"/>
      <c r="J72"/>
      <c r="K72"/>
      <c r="L72"/>
      <c r="M72"/>
      <c r="N72"/>
      <c r="O72"/>
      <c r="P72"/>
      <c r="Q72"/>
      <c r="R72"/>
    </row>
    <row r="73" spans="1:18" ht="15" customHeight="1" x14ac:dyDescent="0.25">
      <c r="A73" s="89" t="s">
        <v>133</v>
      </c>
      <c r="B73" s="535">
        <f>SUMIF($G$3:$G$38,A73,$C$3:$C$38)+SUMIF($G$43:$G$55,A73,$C$43:$C$55)</f>
        <v>178014.68379381436</v>
      </c>
      <c r="C73" s="90">
        <f>SUMIF($G$3:$G$38,A73,$D$3:$D$38)+SUMIF($G$43:$G$55,A73,$D$43:$D$55)</f>
        <v>620.48199999999997</v>
      </c>
      <c r="D73" s="90">
        <f>SUMIFS($E$43:$E$55,$G$43:$G$55,A73)</f>
        <v>0</v>
      </c>
      <c r="E73" s="91">
        <f t="shared" ref="E73:E78" si="4">B73-C73-D73</f>
        <v>177394.20179381437</v>
      </c>
      <c r="F73" s="64"/>
      <c r="G73" s="64"/>
      <c r="H73" s="64"/>
      <c r="I73"/>
      <c r="J73"/>
      <c r="K73"/>
      <c r="L73"/>
      <c r="M73"/>
      <c r="N73"/>
      <c r="O73"/>
      <c r="P73"/>
      <c r="Q73"/>
      <c r="R73"/>
    </row>
    <row r="74" spans="1:18" ht="15" customHeight="1" x14ac:dyDescent="0.25">
      <c r="A74" s="89" t="s">
        <v>126</v>
      </c>
      <c r="B74" s="535">
        <f>SUMIF($G$3:$G$38,A74,$C$3:$C$38)+SUMIF($G$43:$G$55,A74,$C$43:$C$55)</f>
        <v>3784.7808200901709</v>
      </c>
      <c r="C74" s="90">
        <f>SUMIF($G$3:$G$38,A74,$D$3:$D$38)+SUMIF($G$43:$G$55,A74,$D$43:$D$55)</f>
        <v>17.754000000000001</v>
      </c>
      <c r="D74" s="90">
        <f>SUMIFS($E$43:$E$55,$G$43:$G$55,A74)</f>
        <v>0</v>
      </c>
      <c r="E74" s="91">
        <f t="shared" si="4"/>
        <v>3767.026820090171</v>
      </c>
      <c r="F74" s="64"/>
      <c r="G74" s="64"/>
      <c r="H74" s="64"/>
      <c r="I74"/>
      <c r="J74"/>
      <c r="K74"/>
      <c r="L74"/>
      <c r="M74"/>
      <c r="N74"/>
      <c r="O74"/>
      <c r="P74"/>
      <c r="Q74"/>
      <c r="R74"/>
    </row>
    <row r="75" spans="1:18" ht="15" customHeight="1" x14ac:dyDescent="0.25">
      <c r="A75" s="89" t="s">
        <v>134</v>
      </c>
      <c r="B75" s="90">
        <f>SUMIF($G$3:$G$38,A75,$C$3:$C$38)+SUMIF($G$43:$G$55,A75,$C$43:$C$55)</f>
        <v>177414.93453103089</v>
      </c>
      <c r="C75" s="90">
        <f>SUMIF($G$3:$G$38,A75,$D$3:$D$38)+SUMIF($G$43:$G$55,A75,$D$43:$D$55)</f>
        <v>3262.3319999999999</v>
      </c>
      <c r="D75" s="90">
        <f>SUMIFS($E$43:$E$55,$G$43:$G$55,A75)</f>
        <v>0</v>
      </c>
      <c r="E75" s="91">
        <f t="shared" si="4"/>
        <v>174152.60253103089</v>
      </c>
      <c r="F75" s="64"/>
      <c r="G75" s="64"/>
      <c r="H75" s="64"/>
      <c r="I75"/>
      <c r="J75"/>
      <c r="K75"/>
      <c r="L75"/>
      <c r="M75"/>
      <c r="N75"/>
      <c r="O75"/>
      <c r="P75"/>
      <c r="Q75"/>
      <c r="R75"/>
    </row>
    <row r="76" spans="1:18" s="57" customFormat="1" ht="15" customHeight="1" x14ac:dyDescent="0.25">
      <c r="A76" s="89" t="s">
        <v>127</v>
      </c>
      <c r="B76" s="90">
        <f>SUMIF($G$3:$G$38,A76,$C$3:$C$38)+SUMIF($G$43:$G$55,A76,$C$43:$C$55)</f>
        <v>45484.014834467365</v>
      </c>
      <c r="C76" s="90">
        <f>SUMIF($G$3:$G$38,A76,$D$3:$D$38)+SUMIF($G$43:$G$55,A76,$D$43:$D$55)</f>
        <v>423.87299999999999</v>
      </c>
      <c r="D76" s="90">
        <f>SUMIFS($E$43:$E$55,$G$43:$G$55,A76)</f>
        <v>0</v>
      </c>
      <c r="E76" s="91">
        <f t="shared" si="4"/>
        <v>45060.141834467366</v>
      </c>
      <c r="F76" s="64"/>
      <c r="G76" s="64"/>
      <c r="H76" s="64"/>
      <c r="I76"/>
      <c r="J76"/>
      <c r="K76"/>
      <c r="L76"/>
      <c r="M76"/>
      <c r="N76"/>
      <c r="O76"/>
      <c r="P76"/>
      <c r="Q76"/>
      <c r="R76"/>
    </row>
    <row r="77" spans="1:18" ht="15" customHeight="1" x14ac:dyDescent="0.25">
      <c r="A77" s="89" t="s">
        <v>128</v>
      </c>
      <c r="B77" s="535">
        <f>SUMIF($G$3:$G$38,A77,$C$3:$C$38)+SUMIF($G$43:$G$55,A77,$C$43:$C$55)</f>
        <v>312671.50384296715</v>
      </c>
      <c r="C77" s="90">
        <f>SUMIF($G$3:$G$38,A77,$D$3:$D$38)+SUMIF($G$43:$G$55,A77,$D$43:$D$55)</f>
        <v>911.48199999999997</v>
      </c>
      <c r="D77" s="90">
        <f>SUMIFS($E$43:$E$55,$G$43:$G$55,A77)</f>
        <v>669.98646800000006</v>
      </c>
      <c r="E77" s="91">
        <f t="shared" si="4"/>
        <v>311090.03537496715</v>
      </c>
      <c r="F77" s="1"/>
      <c r="G77" s="64"/>
      <c r="H77" s="64"/>
      <c r="I77"/>
      <c r="J77"/>
      <c r="K77"/>
      <c r="L77"/>
      <c r="M77"/>
      <c r="N77"/>
      <c r="O77"/>
      <c r="P77"/>
      <c r="Q77"/>
      <c r="R77"/>
    </row>
    <row r="78" spans="1:18" ht="15" customHeight="1" x14ac:dyDescent="0.25">
      <c r="A78" s="89" t="s">
        <v>210</v>
      </c>
      <c r="B78" s="90">
        <f>O23</f>
        <v>78234.867332680369</v>
      </c>
      <c r="C78" s="298"/>
      <c r="D78" s="298"/>
      <c r="E78" s="91">
        <f t="shared" si="4"/>
        <v>78234.867332680369</v>
      </c>
      <c r="F78" s="1"/>
      <c r="G78" s="64"/>
      <c r="H78" s="64"/>
      <c r="I78"/>
      <c r="J78"/>
      <c r="K78"/>
      <c r="L78"/>
      <c r="M78"/>
      <c r="N78"/>
      <c r="O78"/>
      <c r="P78"/>
      <c r="Q78"/>
      <c r="R78"/>
    </row>
    <row r="79" spans="1:18" ht="15" customHeight="1" x14ac:dyDescent="0.25">
      <c r="A79" s="92" t="s">
        <v>129</v>
      </c>
      <c r="B79" s="93">
        <f>SUM(B73:B78)</f>
        <v>795604.78515505034</v>
      </c>
      <c r="C79" s="93">
        <f>SUM(C73:C78)</f>
        <v>5235.9229999999998</v>
      </c>
      <c r="D79" s="94">
        <f>SUM(D73:D78)</f>
        <v>669.98646800000006</v>
      </c>
      <c r="E79" s="94">
        <f>SUM(E73:E78)</f>
        <v>789698.8756870504</v>
      </c>
      <c r="F79" s="1"/>
      <c r="G79" s="64"/>
      <c r="H79" s="64"/>
    </row>
    <row r="80" spans="1:18" ht="15" customHeight="1" x14ac:dyDescent="0.25">
      <c r="A80" s="61" t="s">
        <v>360</v>
      </c>
      <c r="B80" s="64"/>
      <c r="C80" s="64"/>
      <c r="D80" s="64"/>
      <c r="E80" s="64"/>
      <c r="F80" s="1"/>
      <c r="G80" s="64"/>
      <c r="H80" s="64"/>
    </row>
  </sheetData>
  <autoFilter ref="A2:G37" xr:uid="{00000000-0009-0000-0000-000003000000}"/>
  <sortState ref="I16:K22">
    <sortCondition ref="I16:I22"/>
  </sortState>
  <mergeCells count="8">
    <mergeCell ref="A63:B63"/>
    <mergeCell ref="A41:G41"/>
    <mergeCell ref="I26:K26"/>
    <mergeCell ref="M14:P14"/>
    <mergeCell ref="M2:P2"/>
    <mergeCell ref="I14:K14"/>
    <mergeCell ref="A1:G1"/>
    <mergeCell ref="I2:K2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M40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I14"/>
  <sheetViews>
    <sheetView workbookViewId="0">
      <selection activeCell="I6" sqref="I6:I12"/>
    </sheetView>
  </sheetViews>
  <sheetFormatPr defaultRowHeight="15" x14ac:dyDescent="0.25"/>
  <cols>
    <col min="3" max="3" width="27.42578125" customWidth="1"/>
    <col min="4" max="4" width="13.42578125" style="508" customWidth="1"/>
    <col min="5" max="7" width="14.140625" style="508" customWidth="1"/>
    <col min="8" max="8" width="17.42578125" customWidth="1"/>
  </cols>
  <sheetData>
    <row r="5" spans="3:9" x14ac:dyDescent="0.25">
      <c r="C5" s="509"/>
      <c r="D5" s="510"/>
      <c r="E5" s="580" t="s">
        <v>25</v>
      </c>
      <c r="F5" s="580"/>
      <c r="G5" s="580"/>
      <c r="H5" s="509"/>
    </row>
    <row r="6" spans="3:9" x14ac:dyDescent="0.25">
      <c r="C6" s="509"/>
      <c r="D6" s="511" t="s">
        <v>3</v>
      </c>
      <c r="E6" s="511" t="s">
        <v>132</v>
      </c>
      <c r="F6" s="511" t="s">
        <v>1</v>
      </c>
      <c r="G6" s="511" t="s">
        <v>95</v>
      </c>
      <c r="H6" s="511" t="s">
        <v>428</v>
      </c>
      <c r="I6" s="508"/>
    </row>
    <row r="7" spans="3:9" x14ac:dyDescent="0.25">
      <c r="C7" s="509" t="str">
        <f>Balanço_MRE!A967</f>
        <v>Potássio</v>
      </c>
      <c r="D7" s="510" t="s">
        <v>427</v>
      </c>
      <c r="E7" s="512">
        <f>Balanço_MRE!F967</f>
        <v>13386.07237131176</v>
      </c>
      <c r="F7" s="512">
        <f>Balanço_MRE!T743</f>
        <v>13392</v>
      </c>
      <c r="G7" s="510">
        <f>Balanço_MRE!G967</f>
        <v>277.52199999999999</v>
      </c>
      <c r="H7" s="513">
        <f>F7+G7-E7</f>
        <v>283.44962868824041</v>
      </c>
    </row>
    <row r="8" spans="3:9" x14ac:dyDescent="0.25">
      <c r="C8" s="509" t="str">
        <f>Balanço_MRE!A968</f>
        <v>Fertilizantes - Araxá (CMA)</v>
      </c>
      <c r="D8" s="579" t="s">
        <v>89</v>
      </c>
      <c r="E8" s="512">
        <f>Balanço_MRE!F968</f>
        <v>9707.5443718805491</v>
      </c>
      <c r="F8" s="512">
        <f>Balanço_MRE!T744</f>
        <v>9395.4803718805488</v>
      </c>
      <c r="G8" s="510">
        <f>Balanço_MRE!G968</f>
        <v>312.06400000000002</v>
      </c>
      <c r="H8" s="513">
        <f t="shared" ref="H8:H13" si="0">F8+G8-E8</f>
        <v>0</v>
      </c>
      <c r="I8" s="534"/>
    </row>
    <row r="9" spans="3:9" x14ac:dyDescent="0.25">
      <c r="C9" s="509" t="str">
        <f>Balanço_MRE!A969</f>
        <v>Fertilizantes - Cajati (CAJ)</v>
      </c>
      <c r="D9" s="579"/>
      <c r="E9" s="512">
        <f>Balanço_MRE!F969</f>
        <v>8503.2766822253816</v>
      </c>
      <c r="F9" s="512">
        <f>Balanço_MRE!F988</f>
        <v>0</v>
      </c>
      <c r="G9" s="510">
        <f>Balanço_MRE!G969</f>
        <v>195.23599999999999</v>
      </c>
      <c r="H9" s="513">
        <f t="shared" si="0"/>
        <v>-8308.0406822253808</v>
      </c>
    </row>
    <row r="10" spans="3:9" x14ac:dyDescent="0.25">
      <c r="C10" s="509" t="str">
        <f>Balanço_MRE!A970</f>
        <v>Fertilizantes - Catalão (CMC)</v>
      </c>
      <c r="D10" s="579"/>
      <c r="E10" s="512">
        <f>Balanço_MRE!F970</f>
        <v>10535.3160928546</v>
      </c>
      <c r="F10" s="512">
        <f>Balanço_MRE!T746</f>
        <v>10263.389092854601</v>
      </c>
      <c r="G10" s="510">
        <f>Balanço_MRE!G970</f>
        <v>271.92700000000002</v>
      </c>
      <c r="H10" s="513">
        <f t="shared" si="0"/>
        <v>0</v>
      </c>
    </row>
    <row r="11" spans="3:9" x14ac:dyDescent="0.25">
      <c r="C11" s="509" t="str">
        <f>Balanço_MRE!A971</f>
        <v>Fertilizantes - Tapira (CMT)</v>
      </c>
      <c r="D11" s="579"/>
      <c r="E11" s="512">
        <f>Balanço_MRE!F971</f>
        <v>24622.094162815512</v>
      </c>
      <c r="F11" s="512">
        <f>Balanço_MRE!T747</f>
        <v>24025.196162815508</v>
      </c>
      <c r="G11" s="510">
        <f>Balanço_MRE!G971</f>
        <v>596.89800000000002</v>
      </c>
      <c r="H11" s="513">
        <f t="shared" si="0"/>
        <v>0</v>
      </c>
    </row>
    <row r="12" spans="3:9" x14ac:dyDescent="0.25">
      <c r="C12" s="509" t="str">
        <f>Balanço_MRE!A972</f>
        <v>Fertilizantes - Uberaba (CIU)</v>
      </c>
      <c r="D12" s="579"/>
      <c r="E12" s="512">
        <f>Balanço_MRE!F972</f>
        <v>14832.905567010313</v>
      </c>
      <c r="F12" s="512">
        <f>Balanço_MRE!T748</f>
        <v>14434.493567010313</v>
      </c>
      <c r="G12" s="510">
        <f>Balanço_MRE!G972</f>
        <v>398.41199999999998</v>
      </c>
      <c r="H12" s="513">
        <f t="shared" si="0"/>
        <v>0</v>
      </c>
    </row>
    <row r="13" spans="3:9" s="247" customFormat="1" x14ac:dyDescent="0.25">
      <c r="C13" s="509" t="str">
        <f>Balanço_MRE!A1021</f>
        <v>Bombeamento de Uberaba</v>
      </c>
      <c r="D13" s="528" t="s">
        <v>89</v>
      </c>
      <c r="E13" s="512">
        <f>Balanço_MRE!F1021</f>
        <v>59.141372413793093</v>
      </c>
      <c r="F13" s="512"/>
      <c r="G13" s="528"/>
      <c r="H13" s="513">
        <f t="shared" si="0"/>
        <v>-59.141372413793093</v>
      </c>
    </row>
    <row r="14" spans="3:9" x14ac:dyDescent="0.25">
      <c r="C14" s="247"/>
    </row>
  </sheetData>
  <mergeCells count="2">
    <mergeCell ref="D8:D12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Lista</vt:lpstr>
      <vt:lpstr>Balanço_MRE</vt:lpstr>
      <vt:lpstr>Balanço_Lastro</vt:lpstr>
      <vt:lpstr>Balanço_FAT</vt:lpstr>
      <vt:lpstr>Fertilizantes</vt:lpstr>
      <vt:lpstr>Balanço_MRE!Area_de_impressao</vt:lpstr>
    </vt:vector>
  </TitlesOfParts>
  <Company>Companhia Vale do Rio Doce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Balanço CP - Vale</dc:title>
  <dc:creator>01492865</dc:creator>
  <cp:keywords>RB</cp:keywords>
  <cp:lastModifiedBy>Tatiane Pinho Teixeira</cp:lastModifiedBy>
  <cp:lastPrinted>2018-11-07T09:32:44Z</cp:lastPrinted>
  <dcterms:created xsi:type="dcterms:W3CDTF">2014-08-28T12:12:14Z</dcterms:created>
  <dcterms:modified xsi:type="dcterms:W3CDTF">2019-01-31T19:19:18Z</dcterms:modified>
</cp:coreProperties>
</file>