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vynguyenngoclan/Desktop/CFA/Financial Modeling/"/>
    </mc:Choice>
  </mc:AlternateContent>
  <xr:revisionPtr revIDLastSave="0" documentId="13_ncr:1_{A60158A3-3825-8C41-9980-9F12821386FA}" xr6:coauthVersionLast="47" xr6:coauthVersionMax="47" xr10:uidLastSave="{00000000-0000-0000-0000-000000000000}"/>
  <bookViews>
    <workbookView xWindow="0" yWindow="0" windowWidth="28800" windowHeight="18000" tabRatio="845" activeTab="6" xr2:uid="{00000000-000D-0000-FFFF-FFFF00000000}"/>
  </bookViews>
  <sheets>
    <sheet name="Cover" sheetId="25" r:id="rId1"/>
    <sheet name="Summary" sheetId="21" r:id="rId2"/>
    <sheet name="Assumptions" sheetId="2" r:id="rId3"/>
    <sheet name="Scenarios" sheetId="7" r:id="rId4"/>
    <sheet name="Model" sheetId="6" r:id="rId5"/>
    <sheet name="Cost Backing" sheetId="23" r:id="rId6"/>
    <sheet name="Tax Calcs" sheetId="24" r:id="rId7"/>
  </sheets>
  <definedNames>
    <definedName name="_xlnm.Print_Area" localSheetId="2">Assumptions!$B$1:$O$42,Assumptions!$B$44:$O$75</definedName>
    <definedName name="_xlnm.Print_Area" localSheetId="0">Cover!$A$1:$K$27</definedName>
    <definedName name="_xlnm.Print_Area" localSheetId="4">Model!$B$1:$O$29,Model!$B$31:$O$70,Model!$B$72:$O$113,Model!$B$115:$O$147,Model!$B$149:$O$191,Model!$B$193:$O$220,Model!$B$222:$O$244,Model!$B$246:$O$278,Model!$B$280:$O$325,Model!$B$327:$O$350</definedName>
    <definedName name="_xlnm.Print_Area" localSheetId="3">Scenarios!$B$1:$K$36</definedName>
    <definedName name="_xlnm.Print_Area" localSheetId="1">Summary!$B$1:$Q$66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3" i="21" l="1"/>
  <c r="Y23" i="21"/>
  <c r="Y22" i="21"/>
  <c r="Z22" i="21"/>
  <c r="X22" i="21"/>
  <c r="J112" i="6"/>
  <c r="I112" i="6"/>
  <c r="I111" i="6"/>
  <c r="J111" i="6"/>
  <c r="H111" i="6"/>
  <c r="L139" i="6"/>
  <c r="N139" i="6"/>
  <c r="O139" i="6"/>
  <c r="K139" i="6"/>
  <c r="M138" i="6"/>
  <c r="O138" i="6"/>
  <c r="J349" i="6"/>
  <c r="K346" i="6" s="1"/>
  <c r="K340" i="6"/>
  <c r="L337" i="6"/>
  <c r="M337" i="6"/>
  <c r="M303" i="6" s="1"/>
  <c r="N337" i="6"/>
  <c r="O337" i="6"/>
  <c r="O303" i="6" s="1"/>
  <c r="K337" i="6"/>
  <c r="K303" i="6" s="1"/>
  <c r="J338" i="6"/>
  <c r="K336" i="6" s="1"/>
  <c r="K338" i="6" s="1"/>
  <c r="K311" i="6"/>
  <c r="K312" i="6" s="1"/>
  <c r="K307" i="6"/>
  <c r="J309" i="6"/>
  <c r="L303" i="6"/>
  <c r="N303" i="6"/>
  <c r="M302" i="6"/>
  <c r="N302" i="6"/>
  <c r="O302" i="6"/>
  <c r="K320" i="6"/>
  <c r="L320" i="6" s="1"/>
  <c r="L317" i="6"/>
  <c r="L302" i="6" s="1"/>
  <c r="M317" i="6"/>
  <c r="N317" i="6"/>
  <c r="N138" i="6" s="1"/>
  <c r="O317" i="6"/>
  <c r="K317" i="6"/>
  <c r="K302" i="6" s="1"/>
  <c r="K316" i="6"/>
  <c r="K318" i="6" s="1"/>
  <c r="J318" i="6"/>
  <c r="L295" i="6"/>
  <c r="M295" i="6" s="1"/>
  <c r="N295" i="6" s="1"/>
  <c r="O295" i="6" s="1"/>
  <c r="K295" i="6"/>
  <c r="J293" i="6"/>
  <c r="K291" i="6" s="1"/>
  <c r="K296" i="6" s="1"/>
  <c r="O266" i="6"/>
  <c r="N266" i="6"/>
  <c r="M266" i="6"/>
  <c r="L266" i="6"/>
  <c r="K266" i="6"/>
  <c r="O265" i="6"/>
  <c r="N265" i="6"/>
  <c r="M265" i="6"/>
  <c r="L265" i="6"/>
  <c r="K265" i="6"/>
  <c r="O264" i="6"/>
  <c r="N264" i="6"/>
  <c r="M264" i="6"/>
  <c r="L264" i="6"/>
  <c r="K264" i="6"/>
  <c r="O263" i="6"/>
  <c r="N263" i="6"/>
  <c r="M263" i="6"/>
  <c r="L263" i="6"/>
  <c r="K263" i="6"/>
  <c r="O262" i="6"/>
  <c r="N262" i="6"/>
  <c r="M262" i="6"/>
  <c r="L262" i="6"/>
  <c r="K262" i="6"/>
  <c r="O261" i="6"/>
  <c r="N261" i="6"/>
  <c r="M261" i="6"/>
  <c r="L261" i="6"/>
  <c r="K261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I275" i="6" s="1"/>
  <c r="J258" i="6"/>
  <c r="I258" i="6"/>
  <c r="O92" i="6"/>
  <c r="N92" i="6"/>
  <c r="M92" i="6"/>
  <c r="L92" i="6"/>
  <c r="K92" i="6"/>
  <c r="O233" i="6"/>
  <c r="N233" i="6"/>
  <c r="M233" i="6"/>
  <c r="L233" i="6"/>
  <c r="K233" i="6"/>
  <c r="E228" i="6"/>
  <c r="L166" i="6"/>
  <c r="M166" i="6" s="1"/>
  <c r="N166" i="6" s="1"/>
  <c r="O166" i="6" s="1"/>
  <c r="K166" i="6"/>
  <c r="O206" i="6"/>
  <c r="N206" i="6"/>
  <c r="J219" i="6"/>
  <c r="K205" i="6" s="1"/>
  <c r="O132" i="6"/>
  <c r="N132" i="6"/>
  <c r="M132" i="6"/>
  <c r="L132" i="6"/>
  <c r="K132" i="6"/>
  <c r="O131" i="6"/>
  <c r="N131" i="6"/>
  <c r="N133" i="6" s="1"/>
  <c r="N301" i="6" s="1"/>
  <c r="M131" i="6"/>
  <c r="M206" i="6" s="1"/>
  <c r="L131" i="6"/>
  <c r="L206" i="6" s="1"/>
  <c r="K131" i="6"/>
  <c r="K206" i="6" s="1"/>
  <c r="F203" i="6"/>
  <c r="F202" i="6"/>
  <c r="K208" i="6" s="1"/>
  <c r="F201" i="6"/>
  <c r="K89" i="6"/>
  <c r="K66" i="6"/>
  <c r="K65" i="6"/>
  <c r="K64" i="6"/>
  <c r="K45" i="6"/>
  <c r="K44" i="6"/>
  <c r="K46" i="6" s="1"/>
  <c r="K17" i="6"/>
  <c r="M320" i="6" l="1"/>
  <c r="L316" i="6"/>
  <c r="L318" i="6" s="1"/>
  <c r="K179" i="6"/>
  <c r="J277" i="6"/>
  <c r="L336" i="6"/>
  <c r="L338" i="6" s="1"/>
  <c r="K184" i="6"/>
  <c r="J275" i="6"/>
  <c r="L138" i="6"/>
  <c r="L311" i="6"/>
  <c r="M311" i="6" s="1"/>
  <c r="N311" i="6" s="1"/>
  <c r="O311" i="6" s="1"/>
  <c r="O133" i="6"/>
  <c r="O301" i="6" s="1"/>
  <c r="K321" i="6"/>
  <c r="K324" i="6" s="1"/>
  <c r="K98" i="6" s="1"/>
  <c r="K138" i="6"/>
  <c r="M139" i="6"/>
  <c r="M133" i="6"/>
  <c r="M301" i="6" s="1"/>
  <c r="K133" i="6"/>
  <c r="K301" i="6" s="1"/>
  <c r="L133" i="6"/>
  <c r="L301" i="6" s="1"/>
  <c r="K67" i="6"/>
  <c r="O1" i="6"/>
  <c r="O222" i="6" s="1"/>
  <c r="K27" i="7"/>
  <c r="J27" i="7"/>
  <c r="I27" i="7"/>
  <c r="H27" i="7"/>
  <c r="G27" i="7"/>
  <c r="K26" i="7"/>
  <c r="J26" i="7"/>
  <c r="I26" i="7"/>
  <c r="H26" i="7"/>
  <c r="G26" i="7"/>
  <c r="K30" i="7"/>
  <c r="O19" i="6" s="1"/>
  <c r="J30" i="7"/>
  <c r="N19" i="6" s="1"/>
  <c r="I30" i="7"/>
  <c r="M19" i="6" s="1"/>
  <c r="H30" i="7"/>
  <c r="L19" i="6" s="1"/>
  <c r="G30" i="7"/>
  <c r="K19" i="6" s="1"/>
  <c r="K23" i="7"/>
  <c r="O10" i="6" s="1"/>
  <c r="J23" i="7"/>
  <c r="N10" i="6" s="1"/>
  <c r="I23" i="7"/>
  <c r="M10" i="6" s="1"/>
  <c r="H23" i="7"/>
  <c r="L10" i="6" s="1"/>
  <c r="G23" i="7"/>
  <c r="K10" i="6" s="1"/>
  <c r="K12" i="7"/>
  <c r="O11" i="6" s="1"/>
  <c r="J12" i="7"/>
  <c r="N11" i="6" s="1"/>
  <c r="I12" i="7"/>
  <c r="M11" i="6" s="1"/>
  <c r="H12" i="7"/>
  <c r="L11" i="6" s="1"/>
  <c r="G12" i="7"/>
  <c r="K11" i="6" s="1"/>
  <c r="K12" i="6" s="1"/>
  <c r="C26" i="7"/>
  <c r="C27" i="7"/>
  <c r="B1" i="21"/>
  <c r="B1" i="2"/>
  <c r="E21" i="24"/>
  <c r="E18" i="24"/>
  <c r="E17" i="24"/>
  <c r="E13" i="24"/>
  <c r="E10" i="24"/>
  <c r="E9" i="24"/>
  <c r="E11" i="24"/>
  <c r="G5" i="24"/>
  <c r="G4" i="24"/>
  <c r="M316" i="6" l="1"/>
  <c r="M318" i="6" s="1"/>
  <c r="L179" i="6"/>
  <c r="M336" i="6"/>
  <c r="M338" i="6" s="1"/>
  <c r="L184" i="6"/>
  <c r="L321" i="6"/>
  <c r="N320" i="6"/>
  <c r="M321" i="6"/>
  <c r="L12" i="6"/>
  <c r="M12" i="6" s="1"/>
  <c r="N12" i="6" s="1"/>
  <c r="K13" i="6"/>
  <c r="L13" i="6" l="1"/>
  <c r="M13" i="6"/>
  <c r="N336" i="6"/>
  <c r="N338" i="6" s="1"/>
  <c r="M184" i="6"/>
  <c r="O320" i="6"/>
  <c r="N316" i="6"/>
  <c r="N318" i="6" s="1"/>
  <c r="M179" i="6"/>
  <c r="O12" i="6"/>
  <c r="O13" i="6" s="1"/>
  <c r="N13" i="6"/>
  <c r="N321" i="6" l="1"/>
  <c r="O316" i="6"/>
  <c r="O318" i="6" s="1"/>
  <c r="O179" i="6" s="1"/>
  <c r="N179" i="6"/>
  <c r="O321" i="6"/>
  <c r="O336" i="6"/>
  <c r="O338" i="6" s="1"/>
  <c r="O184" i="6" s="1"/>
  <c r="N184" i="6"/>
  <c r="E48" i="23" l="1"/>
  <c r="E47" i="23" s="1"/>
  <c r="E50" i="23"/>
  <c r="E51" i="23"/>
  <c r="E45" i="23"/>
  <c r="E44" i="23"/>
  <c r="D50" i="23"/>
  <c r="D47" i="23"/>
  <c r="D45" i="23"/>
  <c r="D26" i="23"/>
  <c r="D29" i="23" s="1"/>
  <c r="D20" i="23"/>
  <c r="D16" i="23" s="1"/>
  <c r="E16" i="23" s="1"/>
  <c r="D7" i="23"/>
  <c r="E7" i="23" s="1"/>
  <c r="D14" i="23"/>
  <c r="D21" i="23" s="1"/>
  <c r="D22" i="23" s="1"/>
  <c r="J27" i="6"/>
  <c r="J26" i="6"/>
  <c r="J20" i="6" s="1"/>
  <c r="K20" i="6" s="1"/>
  <c r="K39" i="6" s="1"/>
  <c r="A27" i="7"/>
  <c r="A26" i="7"/>
  <c r="B44" i="2"/>
  <c r="J167" i="6"/>
  <c r="I167" i="6"/>
  <c r="H167" i="6"/>
  <c r="I186" i="6"/>
  <c r="H186" i="6"/>
  <c r="I180" i="6"/>
  <c r="I182" i="6" s="1"/>
  <c r="H180" i="6"/>
  <c r="I176" i="6"/>
  <c r="H176" i="6"/>
  <c r="I163" i="6"/>
  <c r="H163" i="6"/>
  <c r="J141" i="6"/>
  <c r="I141" i="6"/>
  <c r="H141" i="6"/>
  <c r="J86" i="6"/>
  <c r="I86" i="6"/>
  <c r="H86" i="6"/>
  <c r="X12" i="21" s="1"/>
  <c r="L340" i="6"/>
  <c r="M340" i="6" s="1"/>
  <c r="N340" i="6" s="1"/>
  <c r="O340" i="6" s="1"/>
  <c r="D239" i="6"/>
  <c r="L208" i="6"/>
  <c r="M208" i="6" s="1"/>
  <c r="J186" i="6"/>
  <c r="J180" i="6"/>
  <c r="J176" i="6"/>
  <c r="J163" i="6"/>
  <c r="J133" i="6"/>
  <c r="I133" i="6"/>
  <c r="H133" i="6"/>
  <c r="J103" i="6"/>
  <c r="I103" i="6"/>
  <c r="H103" i="6"/>
  <c r="D66" i="6"/>
  <c r="D50" i="6"/>
  <c r="D65" i="6" s="1"/>
  <c r="D49" i="6"/>
  <c r="D64" i="6"/>
  <c r="D45" i="6"/>
  <c r="D60" i="6" s="1"/>
  <c r="D44" i="6"/>
  <c r="D59" i="6" s="1"/>
  <c r="L17" i="6"/>
  <c r="M17" i="6" s="1"/>
  <c r="N17" i="6" s="1"/>
  <c r="O17" i="6" s="1"/>
  <c r="J13" i="6"/>
  <c r="J9" i="2"/>
  <c r="J48" i="2"/>
  <c r="K48" i="2" s="1"/>
  <c r="L48" i="2" s="1"/>
  <c r="M48" i="2" s="1"/>
  <c r="N48" i="2" s="1"/>
  <c r="B1" i="7"/>
  <c r="B2" i="6" s="1"/>
  <c r="M40" i="6"/>
  <c r="M81" i="6" s="1"/>
  <c r="G6" i="7"/>
  <c r="K7" i="6" s="1"/>
  <c r="N40" i="6"/>
  <c r="N81" i="6" s="1"/>
  <c r="O40" i="6"/>
  <c r="O81" i="6" s="1"/>
  <c r="J8" i="2"/>
  <c r="C14" i="7"/>
  <c r="E26" i="2"/>
  <c r="C15" i="7"/>
  <c r="C16" i="7"/>
  <c r="H90" i="6"/>
  <c r="I90" i="6"/>
  <c r="I127" i="6"/>
  <c r="H127" i="6"/>
  <c r="J90" i="6"/>
  <c r="J127" i="6"/>
  <c r="T5" i="21"/>
  <c r="C25" i="7"/>
  <c r="C32" i="7"/>
  <c r="C34" i="7"/>
  <c r="C33" i="7"/>
  <c r="D236" i="6"/>
  <c r="L40" i="6"/>
  <c r="L81" i="6" s="1"/>
  <c r="L89" i="6" s="1"/>
  <c r="O327" i="6"/>
  <c r="O31" i="6"/>
  <c r="O280" i="6"/>
  <c r="O246" i="6"/>
  <c r="O149" i="6"/>
  <c r="O115" i="6"/>
  <c r="O72" i="6"/>
  <c r="O193" i="6"/>
  <c r="I257" i="6" l="1"/>
  <c r="Y12" i="21"/>
  <c r="Y13" i="21" s="1"/>
  <c r="Z12" i="21"/>
  <c r="Z13" i="21" s="1"/>
  <c r="J257" i="6"/>
  <c r="J39" i="6"/>
  <c r="J169" i="6"/>
  <c r="H169" i="6"/>
  <c r="J28" i="6"/>
  <c r="J80" i="6"/>
  <c r="J144" i="6"/>
  <c r="I93" i="6"/>
  <c r="M89" i="6"/>
  <c r="N89" i="6" s="1"/>
  <c r="O89" i="6" s="1"/>
  <c r="J182" i="6"/>
  <c r="J188" i="6" s="1"/>
  <c r="J190" i="6" s="1"/>
  <c r="H182" i="6"/>
  <c r="H188" i="6" s="1"/>
  <c r="H190" i="6" s="1"/>
  <c r="N208" i="6"/>
  <c r="J93" i="6"/>
  <c r="I188" i="6"/>
  <c r="H144" i="6"/>
  <c r="H146" i="6" s="1"/>
  <c r="I145" i="6" s="1"/>
  <c r="I169" i="6"/>
  <c r="H93" i="6"/>
  <c r="I144" i="6"/>
  <c r="K22" i="6"/>
  <c r="L20" i="6"/>
  <c r="K27" i="6"/>
  <c r="K85" i="6" s="1"/>
  <c r="K26" i="6"/>
  <c r="K51" i="6"/>
  <c r="K80" i="6"/>
  <c r="K49" i="6"/>
  <c r="K50" i="6"/>
  <c r="K59" i="6"/>
  <c r="K60" i="6"/>
  <c r="L64" i="6"/>
  <c r="L66" i="6"/>
  <c r="L65" i="6"/>
  <c r="L44" i="6"/>
  <c r="L45" i="6"/>
  <c r="K37" i="6"/>
  <c r="AA7" i="21"/>
  <c r="K7" i="21" s="1"/>
  <c r="K28" i="21" s="1"/>
  <c r="K49" i="21" s="1"/>
  <c r="J7" i="6"/>
  <c r="K78" i="6"/>
  <c r="K228" i="6"/>
  <c r="K199" i="6"/>
  <c r="D211" i="6" s="1"/>
  <c r="K121" i="6"/>
  <c r="K333" i="6"/>
  <c r="K286" i="6"/>
  <c r="K155" i="6"/>
  <c r="K252" i="6"/>
  <c r="H6" i="7"/>
  <c r="B281" i="6"/>
  <c r="B73" i="6"/>
  <c r="B247" i="6"/>
  <c r="B116" i="6"/>
  <c r="B32" i="6"/>
  <c r="B223" i="6"/>
  <c r="B194" i="6"/>
  <c r="B150" i="6"/>
  <c r="B328" i="6"/>
  <c r="E21" i="23"/>
  <c r="E17" i="23" s="1"/>
  <c r="E18" i="23" s="1"/>
  <c r="E9" i="23"/>
  <c r="E8" i="23"/>
  <c r="E20" i="23"/>
  <c r="E22" i="23" s="1"/>
  <c r="E25" i="23" s="1"/>
  <c r="D17" i="23"/>
  <c r="D18" i="23"/>
  <c r="H109" i="6" l="1"/>
  <c r="X17" i="21" s="1"/>
  <c r="X16" i="21"/>
  <c r="I96" i="6"/>
  <c r="I110" i="6" s="1"/>
  <c r="Y16" i="21"/>
  <c r="Y18" i="21" s="1"/>
  <c r="J109" i="6"/>
  <c r="Z17" i="21" s="1"/>
  <c r="Z16" i="21"/>
  <c r="I109" i="6"/>
  <c r="Y17" i="21" s="1"/>
  <c r="D212" i="6"/>
  <c r="E211" i="6"/>
  <c r="K211" i="6" s="1"/>
  <c r="K217" i="6" s="1"/>
  <c r="H96" i="6"/>
  <c r="H99" i="6" s="1"/>
  <c r="H105" i="6" s="1"/>
  <c r="X21" i="21" s="1"/>
  <c r="O208" i="6"/>
  <c r="I146" i="6"/>
  <c r="J145" i="6" s="1"/>
  <c r="J146" i="6" s="1"/>
  <c r="K145" i="6" s="1"/>
  <c r="J96" i="6"/>
  <c r="I190" i="6"/>
  <c r="M20" i="6"/>
  <c r="L27" i="6"/>
  <c r="L85" i="6" s="1"/>
  <c r="L22" i="6"/>
  <c r="L26" i="6"/>
  <c r="L39" i="6"/>
  <c r="L80" i="6" s="1"/>
  <c r="M45" i="6"/>
  <c r="M65" i="6"/>
  <c r="K61" i="6"/>
  <c r="K69" i="6" s="1"/>
  <c r="K88" i="6" s="1"/>
  <c r="J110" i="6"/>
  <c r="J99" i="6"/>
  <c r="J105" i="6" s="1"/>
  <c r="M66" i="6"/>
  <c r="K28" i="6"/>
  <c r="K84" i="6"/>
  <c r="K86" i="6" s="1"/>
  <c r="AA12" i="21" s="1"/>
  <c r="AA13" i="21" s="1"/>
  <c r="K52" i="6"/>
  <c r="K54" i="6" s="1"/>
  <c r="M44" i="6"/>
  <c r="L46" i="6"/>
  <c r="L67" i="6"/>
  <c r="M64" i="6"/>
  <c r="J155" i="6"/>
  <c r="J199" i="6"/>
  <c r="J286" i="6"/>
  <c r="J333" i="6"/>
  <c r="I7" i="6"/>
  <c r="J37" i="6"/>
  <c r="Z7" i="21"/>
  <c r="J7" i="21" s="1"/>
  <c r="J28" i="21" s="1"/>
  <c r="J49" i="21" s="1"/>
  <c r="J78" i="6"/>
  <c r="J252" i="6"/>
  <c r="J121" i="6"/>
  <c r="I6" i="7"/>
  <c r="L7" i="6"/>
  <c r="E26" i="23"/>
  <c r="E29" i="23" s="1"/>
  <c r="Z18" i="21" l="1"/>
  <c r="Z21" i="21"/>
  <c r="I99" i="6"/>
  <c r="I105" i="6" s="1"/>
  <c r="Y21" i="21" s="1"/>
  <c r="J254" i="6"/>
  <c r="K254" i="6"/>
  <c r="K90" i="6"/>
  <c r="K93" i="6" s="1"/>
  <c r="K258" i="6"/>
  <c r="K257" i="6"/>
  <c r="K95" i="6"/>
  <c r="K219" i="6"/>
  <c r="L51" i="6"/>
  <c r="L49" i="6"/>
  <c r="H110" i="6"/>
  <c r="D213" i="6"/>
  <c r="L60" i="6"/>
  <c r="N66" i="6"/>
  <c r="N44" i="6"/>
  <c r="M46" i="6"/>
  <c r="N65" i="6"/>
  <c r="L59" i="6"/>
  <c r="N45" i="6"/>
  <c r="L28" i="6"/>
  <c r="L84" i="6"/>
  <c r="L86" i="6" s="1"/>
  <c r="AB12" i="21" s="1"/>
  <c r="AB13" i="21" s="1"/>
  <c r="N64" i="6"/>
  <c r="M67" i="6"/>
  <c r="L50" i="6"/>
  <c r="N20" i="6"/>
  <c r="M22" i="6"/>
  <c r="M27" i="6"/>
  <c r="M85" i="6" s="1"/>
  <c r="M26" i="6"/>
  <c r="M39" i="6"/>
  <c r="M80" i="6" s="1"/>
  <c r="M7" i="6"/>
  <c r="J6" i="7"/>
  <c r="I37" i="6"/>
  <c r="Y7" i="21"/>
  <c r="I7" i="21" s="1"/>
  <c r="I28" i="21" s="1"/>
  <c r="I49" i="21" s="1"/>
  <c r="I199" i="6"/>
  <c r="I78" i="6"/>
  <c r="I252" i="6"/>
  <c r="I155" i="6"/>
  <c r="I121" i="6"/>
  <c r="H7" i="6"/>
  <c r="L228" i="6"/>
  <c r="L37" i="6"/>
  <c r="AB7" i="21"/>
  <c r="L7" i="21" s="1"/>
  <c r="L28" i="21" s="1"/>
  <c r="L49" i="21" s="1"/>
  <c r="L78" i="6"/>
  <c r="L155" i="6"/>
  <c r="L252" i="6"/>
  <c r="L254" i="6" s="1"/>
  <c r="L286" i="6"/>
  <c r="L333" i="6"/>
  <c r="L199" i="6"/>
  <c r="L211" i="6" s="1"/>
  <c r="L121" i="6"/>
  <c r="E212" i="6" s="1"/>
  <c r="K109" i="6" l="1"/>
  <c r="AA17" i="21" s="1"/>
  <c r="AA16" i="21"/>
  <c r="AA18" i="21" s="1"/>
  <c r="J264" i="6"/>
  <c r="J263" i="6"/>
  <c r="J266" i="6"/>
  <c r="J262" i="6"/>
  <c r="J265" i="6"/>
  <c r="J261" i="6"/>
  <c r="K269" i="6"/>
  <c r="K159" i="6" s="1"/>
  <c r="L52" i="6"/>
  <c r="L54" i="6" s="1"/>
  <c r="L257" i="6"/>
  <c r="L269" i="6" s="1"/>
  <c r="L159" i="6" s="1"/>
  <c r="K271" i="6"/>
  <c r="K274" i="6"/>
  <c r="K175" i="6" s="1"/>
  <c r="K273" i="6"/>
  <c r="K174" i="6" s="1"/>
  <c r="K272" i="6"/>
  <c r="K162" i="6" s="1"/>
  <c r="K270" i="6"/>
  <c r="K160" i="6" s="1"/>
  <c r="K165" i="6"/>
  <c r="K167" i="6" s="1"/>
  <c r="L205" i="6"/>
  <c r="K124" i="6"/>
  <c r="K96" i="6"/>
  <c r="L61" i="6"/>
  <c r="L69" i="6" s="1"/>
  <c r="L88" i="6" s="1"/>
  <c r="L212" i="6"/>
  <c r="L217" i="6" s="1"/>
  <c r="L95" i="6" s="1"/>
  <c r="D214" i="6"/>
  <c r="O65" i="6"/>
  <c r="O64" i="6"/>
  <c r="N67" i="6"/>
  <c r="M84" i="6"/>
  <c r="M86" i="6" s="1"/>
  <c r="AC12" i="21" s="1"/>
  <c r="AC13" i="21" s="1"/>
  <c r="M28" i="6"/>
  <c r="O20" i="6"/>
  <c r="N22" i="6"/>
  <c r="N27" i="6"/>
  <c r="N85" i="6" s="1"/>
  <c r="N26" i="6"/>
  <c r="N39" i="6"/>
  <c r="N80" i="6" s="1"/>
  <c r="M59" i="6"/>
  <c r="O44" i="6"/>
  <c r="N46" i="6"/>
  <c r="M60" i="6"/>
  <c r="O45" i="6"/>
  <c r="M51" i="6"/>
  <c r="O66" i="6"/>
  <c r="N51" i="6"/>
  <c r="M49" i="6"/>
  <c r="M50" i="6"/>
  <c r="H37" i="6"/>
  <c r="H155" i="6"/>
  <c r="X7" i="21"/>
  <c r="H7" i="21" s="1"/>
  <c r="H28" i="21" s="1"/>
  <c r="H49" i="21" s="1"/>
  <c r="H78" i="6"/>
  <c r="H252" i="6"/>
  <c r="I254" i="6" s="1"/>
  <c r="H121" i="6"/>
  <c r="H199" i="6"/>
  <c r="K6" i="7"/>
  <c r="N7" i="6"/>
  <c r="M252" i="6"/>
  <c r="M254" i="6" s="1"/>
  <c r="M121" i="6"/>
  <c r="E213" i="6" s="1"/>
  <c r="M333" i="6"/>
  <c r="M155" i="6"/>
  <c r="M228" i="6"/>
  <c r="M199" i="6"/>
  <c r="M286" i="6"/>
  <c r="AC7" i="21"/>
  <c r="M7" i="21" s="1"/>
  <c r="M28" i="21" s="1"/>
  <c r="M49" i="21" s="1"/>
  <c r="M78" i="6"/>
  <c r="M37" i="6"/>
  <c r="I263" i="6" l="1"/>
  <c r="I262" i="6"/>
  <c r="I265" i="6"/>
  <c r="I266" i="6"/>
  <c r="I264" i="6"/>
  <c r="I261" i="6"/>
  <c r="L90" i="6"/>
  <c r="L93" i="6" s="1"/>
  <c r="L96" i="6" s="1"/>
  <c r="L258" i="6"/>
  <c r="M257" i="6"/>
  <c r="M269" i="6" s="1"/>
  <c r="M159" i="6" s="1"/>
  <c r="K275" i="6"/>
  <c r="K161" i="6"/>
  <c r="K99" i="6"/>
  <c r="K231" i="6" s="1"/>
  <c r="K110" i="6"/>
  <c r="L124" i="6"/>
  <c r="L219" i="6"/>
  <c r="M213" i="6"/>
  <c r="M212" i="6"/>
  <c r="M211" i="6"/>
  <c r="N49" i="6"/>
  <c r="D215" i="6"/>
  <c r="M61" i="6"/>
  <c r="M69" i="6" s="1"/>
  <c r="M88" i="6" s="1"/>
  <c r="M52" i="6"/>
  <c r="M54" i="6" s="1"/>
  <c r="O27" i="6"/>
  <c r="O85" i="6" s="1"/>
  <c r="O22" i="6"/>
  <c r="O26" i="6"/>
  <c r="O39" i="6"/>
  <c r="O80" i="6" s="1"/>
  <c r="O59" i="6"/>
  <c r="O46" i="6"/>
  <c r="N50" i="6"/>
  <c r="N60" i="6"/>
  <c r="N84" i="6"/>
  <c r="N86" i="6" s="1"/>
  <c r="AD12" i="21" s="1"/>
  <c r="AD13" i="21" s="1"/>
  <c r="N28" i="6"/>
  <c r="O67" i="6"/>
  <c r="N59" i="6"/>
  <c r="O7" i="6"/>
  <c r="E17" i="2"/>
  <c r="N252" i="6"/>
  <c r="N254" i="6" s="1"/>
  <c r="N155" i="6"/>
  <c r="N78" i="6"/>
  <c r="N37" i="6"/>
  <c r="AD7" i="21"/>
  <c r="N7" i="21" s="1"/>
  <c r="N28" i="21" s="1"/>
  <c r="N49" i="21" s="1"/>
  <c r="N333" i="6"/>
  <c r="N286" i="6"/>
  <c r="N199" i="6"/>
  <c r="N121" i="6"/>
  <c r="E214" i="6" s="1"/>
  <c r="N228" i="6"/>
  <c r="O49" i="6" l="1"/>
  <c r="L109" i="6"/>
  <c r="AB17" i="21" s="1"/>
  <c r="AB16" i="21"/>
  <c r="AB18" i="21" s="1"/>
  <c r="N52" i="6"/>
  <c r="N54" i="6" s="1"/>
  <c r="O51" i="6"/>
  <c r="M90" i="6"/>
  <c r="M93" i="6" s="1"/>
  <c r="M258" i="6"/>
  <c r="L274" i="6"/>
  <c r="L175" i="6" s="1"/>
  <c r="L270" i="6"/>
  <c r="L273" i="6"/>
  <c r="L174" i="6" s="1"/>
  <c r="L271" i="6"/>
  <c r="L161" i="6" s="1"/>
  <c r="L272" i="6"/>
  <c r="L162" i="6" s="1"/>
  <c r="N257" i="6"/>
  <c r="N269" i="6" s="1"/>
  <c r="N159" i="6" s="1"/>
  <c r="K277" i="6"/>
  <c r="K126" i="6" s="1"/>
  <c r="L110" i="6"/>
  <c r="M217" i="6"/>
  <c r="M95" i="6" s="1"/>
  <c r="M124" i="6" s="1"/>
  <c r="K236" i="6"/>
  <c r="K234" i="6"/>
  <c r="K239" i="6" s="1"/>
  <c r="M205" i="6"/>
  <c r="L165" i="6"/>
  <c r="L167" i="6" s="1"/>
  <c r="N214" i="6"/>
  <c r="N213" i="6"/>
  <c r="N211" i="6"/>
  <c r="E215" i="6"/>
  <c r="N212" i="6"/>
  <c r="O60" i="6"/>
  <c r="O61" i="6" s="1"/>
  <c r="O69" i="6" s="1"/>
  <c r="O88" i="6" s="1"/>
  <c r="O84" i="6"/>
  <c r="O86" i="6" s="1"/>
  <c r="AE12" i="21" s="1"/>
  <c r="AE13" i="21" s="1"/>
  <c r="O28" i="6"/>
  <c r="O50" i="6"/>
  <c r="N61" i="6"/>
  <c r="N69" i="6" s="1"/>
  <c r="N88" i="6" s="1"/>
  <c r="O199" i="6"/>
  <c r="O228" i="6"/>
  <c r="O78" i="6"/>
  <c r="O333" i="6"/>
  <c r="O286" i="6"/>
  <c r="O155" i="6"/>
  <c r="O37" i="6"/>
  <c r="O121" i="6"/>
  <c r="AE7" i="21"/>
  <c r="O7" i="21" s="1"/>
  <c r="O28" i="21" s="1"/>
  <c r="O49" i="21" s="1"/>
  <c r="O252" i="6"/>
  <c r="O254" i="6" s="1"/>
  <c r="O52" i="6" l="1"/>
  <c r="O54" i="6" s="1"/>
  <c r="M109" i="6"/>
  <c r="AC17" i="21" s="1"/>
  <c r="AC16" i="21"/>
  <c r="AC18" i="21" s="1"/>
  <c r="M219" i="6"/>
  <c r="N205" i="6" s="1"/>
  <c r="O257" i="6"/>
  <c r="O269" i="6" s="1"/>
  <c r="O159" i="6" s="1"/>
  <c r="N90" i="6"/>
  <c r="N93" i="6" s="1"/>
  <c r="N258" i="6"/>
  <c r="M274" i="6"/>
  <c r="M175" i="6" s="1"/>
  <c r="M270" i="6"/>
  <c r="M271" i="6"/>
  <c r="M161" i="6" s="1"/>
  <c r="M272" i="6"/>
  <c r="M162" i="6" s="1"/>
  <c r="M273" i="6"/>
  <c r="M174" i="6" s="1"/>
  <c r="O90" i="6"/>
  <c r="O93" i="6" s="1"/>
  <c r="O258" i="6"/>
  <c r="L275" i="6"/>
  <c r="L160" i="6"/>
  <c r="M96" i="6"/>
  <c r="K101" i="6"/>
  <c r="K240" i="6"/>
  <c r="K102" i="6" s="1"/>
  <c r="K125" i="6" s="1"/>
  <c r="K178" i="6" s="1"/>
  <c r="N217" i="6"/>
  <c r="N95" i="6" s="1"/>
  <c r="O213" i="6"/>
  <c r="O215" i="6"/>
  <c r="O212" i="6"/>
  <c r="O211" i="6"/>
  <c r="O214" i="6"/>
  <c r="O109" i="6" l="1"/>
  <c r="AE17" i="21" s="1"/>
  <c r="AE16" i="21"/>
  <c r="N109" i="6"/>
  <c r="AD17" i="21" s="1"/>
  <c r="AD16" i="21"/>
  <c r="AD18" i="21" s="1"/>
  <c r="M165" i="6"/>
  <c r="M167" i="6" s="1"/>
  <c r="M275" i="6"/>
  <c r="M277" i="6" s="1"/>
  <c r="M126" i="6" s="1"/>
  <c r="M160" i="6"/>
  <c r="L277" i="6"/>
  <c r="L126" i="6" s="1"/>
  <c r="N273" i="6"/>
  <c r="N174" i="6" s="1"/>
  <c r="N272" i="6"/>
  <c r="N162" i="6" s="1"/>
  <c r="N270" i="6"/>
  <c r="N271" i="6"/>
  <c r="N161" i="6" s="1"/>
  <c r="N274" i="6"/>
  <c r="N175" i="6" s="1"/>
  <c r="K180" i="6"/>
  <c r="O272" i="6"/>
  <c r="O162" i="6" s="1"/>
  <c r="O270" i="6"/>
  <c r="O160" i="6" s="1"/>
  <c r="O271" i="6"/>
  <c r="O161" i="6" s="1"/>
  <c r="O273" i="6"/>
  <c r="O274" i="6"/>
  <c r="O175" i="6" s="1"/>
  <c r="M110" i="6"/>
  <c r="K103" i="6"/>
  <c r="K105" i="6" s="1"/>
  <c r="K241" i="6"/>
  <c r="N124" i="6"/>
  <c r="N96" i="6"/>
  <c r="N219" i="6"/>
  <c r="O217" i="6"/>
  <c r="O95" i="6" s="1"/>
  <c r="AE18" i="21" l="1"/>
  <c r="K111" i="6"/>
  <c r="AA22" i="21" s="1"/>
  <c r="K341" i="6"/>
  <c r="K342" i="6" s="1"/>
  <c r="K348" i="6" s="1"/>
  <c r="AA21" i="21"/>
  <c r="AA23" i="21" s="1"/>
  <c r="O275" i="6"/>
  <c r="O174" i="6"/>
  <c r="N275" i="6"/>
  <c r="O277" i="6" s="1"/>
  <c r="O126" i="6" s="1"/>
  <c r="N160" i="6"/>
  <c r="N110" i="6"/>
  <c r="K123" i="6"/>
  <c r="K127" i="6" s="1"/>
  <c r="K300" i="6" s="1"/>
  <c r="O124" i="6"/>
  <c r="O96" i="6"/>
  <c r="O205" i="6"/>
  <c r="O219" i="6" s="1"/>
  <c r="O165" i="6" s="1"/>
  <c r="O167" i="6" s="1"/>
  <c r="N165" i="6"/>
  <c r="N167" i="6" s="1"/>
  <c r="K347" i="6" l="1"/>
  <c r="N277" i="6"/>
  <c r="N126" i="6" s="1"/>
  <c r="K349" i="6"/>
  <c r="K304" i="6"/>
  <c r="K140" i="6"/>
  <c r="K305" i="6"/>
  <c r="K308" i="6" s="1"/>
  <c r="O110" i="6"/>
  <c r="L346" i="6" l="1"/>
  <c r="K185" i="6"/>
  <c r="K186" i="6" s="1"/>
  <c r="K112" i="6" s="1"/>
  <c r="K309" i="6"/>
  <c r="K137" i="6"/>
  <c r="K141" i="6" s="1"/>
  <c r="K144" i="6" s="1"/>
  <c r="K292" i="6" l="1"/>
  <c r="K293" i="6" s="1"/>
  <c r="L291" i="6" s="1"/>
  <c r="L296" i="6" s="1"/>
  <c r="K146" i="6"/>
  <c r="L307" i="6"/>
  <c r="L312" i="6" s="1"/>
  <c r="K173" i="6"/>
  <c r="K176" i="6" s="1"/>
  <c r="K182" i="6" s="1"/>
  <c r="K188" i="6" s="1"/>
  <c r="L324" i="6" l="1"/>
  <c r="L98" i="6" s="1"/>
  <c r="L99" i="6" s="1"/>
  <c r="L231" i="6" s="1"/>
  <c r="L234" i="6" s="1"/>
  <c r="L239" i="6" s="1"/>
  <c r="L145" i="6"/>
  <c r="K158" i="6"/>
  <c r="K163" i="6" s="1"/>
  <c r="K169" i="6" s="1"/>
  <c r="K190" i="6" s="1"/>
  <c r="L236" i="6" l="1"/>
  <c r="L240" i="6" s="1"/>
  <c r="L102" i="6" s="1"/>
  <c r="L125" i="6" s="1"/>
  <c r="L178" i="6" s="1"/>
  <c r="L101" i="6"/>
  <c r="L180" i="6" l="1"/>
  <c r="L103" i="6"/>
  <c r="L105" i="6" s="1"/>
  <c r="L241" i="6"/>
  <c r="AB21" i="21" l="1"/>
  <c r="AB23" i="21" s="1"/>
  <c r="L111" i="6"/>
  <c r="AB22" i="21" s="1"/>
  <c r="L341" i="6"/>
  <c r="L123" i="6"/>
  <c r="L127" i="6" s="1"/>
  <c r="L300" i="6" s="1"/>
  <c r="L342" i="6" l="1"/>
  <c r="L348" i="6" s="1"/>
  <c r="L347" i="6"/>
  <c r="L349" i="6" l="1"/>
  <c r="L304" i="6"/>
  <c r="L140" i="6"/>
  <c r="L305" i="6"/>
  <c r="L308" i="6" s="1"/>
  <c r="M346" i="6" l="1"/>
  <c r="L185" i="6"/>
  <c r="L186" i="6" s="1"/>
  <c r="L112" i="6" s="1"/>
  <c r="L309" i="6"/>
  <c r="L137" i="6"/>
  <c r="L141" i="6" s="1"/>
  <c r="L144" i="6" s="1"/>
  <c r="L292" i="6" l="1"/>
  <c r="L293" i="6" s="1"/>
  <c r="M291" i="6" s="1"/>
  <c r="L146" i="6"/>
  <c r="M307" i="6"/>
  <c r="M312" i="6" s="1"/>
  <c r="L173" i="6"/>
  <c r="L176" i="6" s="1"/>
  <c r="L182" i="6" s="1"/>
  <c r="L188" i="6" s="1"/>
  <c r="M296" i="6"/>
  <c r="M324" i="6" s="1"/>
  <c r="M98" i="6" s="1"/>
  <c r="M99" i="6" s="1"/>
  <c r="M231" i="6" s="1"/>
  <c r="M145" i="6" l="1"/>
  <c r="L158" i="6"/>
  <c r="L163" i="6" s="1"/>
  <c r="L169" i="6" s="1"/>
  <c r="L190" i="6" s="1"/>
  <c r="M236" i="6"/>
  <c r="M234" i="6"/>
  <c r="M239" i="6" s="1"/>
  <c r="M101" i="6" l="1"/>
  <c r="M240" i="6"/>
  <c r="M102" i="6" s="1"/>
  <c r="M125" i="6" s="1"/>
  <c r="M178" i="6" s="1"/>
  <c r="M180" i="6" l="1"/>
  <c r="M241" i="6"/>
  <c r="M103" i="6"/>
  <c r="M105" i="6" s="1"/>
  <c r="AC21" i="21" l="1"/>
  <c r="AC23" i="21" s="1"/>
  <c r="M111" i="6"/>
  <c r="AC22" i="21" s="1"/>
  <c r="M341" i="6"/>
  <c r="M123" i="6"/>
  <c r="M127" i="6" s="1"/>
  <c r="M300" i="6" s="1"/>
  <c r="M342" i="6" l="1"/>
  <c r="M348" i="6" s="1"/>
  <c r="M347" i="6"/>
  <c r="M349" i="6" s="1"/>
  <c r="M304" i="6" l="1"/>
  <c r="M140" i="6"/>
  <c r="M305" i="6"/>
  <c r="M308" i="6" s="1"/>
  <c r="N346" i="6" l="1"/>
  <c r="M185" i="6"/>
  <c r="M186" i="6" s="1"/>
  <c r="M112" i="6" s="1"/>
  <c r="M309" i="6"/>
  <c r="M137" i="6"/>
  <c r="M141" i="6" s="1"/>
  <c r="M144" i="6" s="1"/>
  <c r="M292" i="6" l="1"/>
  <c r="M293" i="6" s="1"/>
  <c r="N291" i="6" s="1"/>
  <c r="M146" i="6"/>
  <c r="N307" i="6"/>
  <c r="N312" i="6" s="1"/>
  <c r="M173" i="6"/>
  <c r="M176" i="6" s="1"/>
  <c r="M182" i="6" s="1"/>
  <c r="M188" i="6" s="1"/>
  <c r="N296" i="6"/>
  <c r="N324" i="6" s="1"/>
  <c r="N98" i="6" s="1"/>
  <c r="N99" i="6" s="1"/>
  <c r="N231" i="6" s="1"/>
  <c r="N145" i="6" l="1"/>
  <c r="M158" i="6"/>
  <c r="M163" i="6" s="1"/>
  <c r="M169" i="6" s="1"/>
  <c r="M190" i="6" s="1"/>
  <c r="N234" i="6"/>
  <c r="N239" i="6" s="1"/>
  <c r="N236" i="6"/>
  <c r="N240" i="6" l="1"/>
  <c r="N102" i="6" s="1"/>
  <c r="N125" i="6" s="1"/>
  <c r="N178" i="6" s="1"/>
  <c r="N180" i="6"/>
  <c r="N241" i="6"/>
  <c r="N101" i="6"/>
  <c r="N103" i="6" s="1"/>
  <c r="N105" i="6" s="1"/>
  <c r="AD21" i="21" l="1"/>
  <c r="AD23" i="21" s="1"/>
  <c r="N111" i="6"/>
  <c r="AD22" i="21" s="1"/>
  <c r="N341" i="6"/>
  <c r="N123" i="6"/>
  <c r="N127" i="6" s="1"/>
  <c r="N300" i="6" s="1"/>
  <c r="N342" i="6" l="1"/>
  <c r="N348" i="6" s="1"/>
  <c r="N347" i="6"/>
  <c r="N349" i="6" l="1"/>
  <c r="N304" i="6"/>
  <c r="N140" i="6"/>
  <c r="N305" i="6"/>
  <c r="N308" i="6" s="1"/>
  <c r="O346" i="6" l="1"/>
  <c r="N185" i="6"/>
  <c r="N186" i="6" s="1"/>
  <c r="N112" i="6" s="1"/>
  <c r="N309" i="6"/>
  <c r="N137" i="6"/>
  <c r="N141" i="6" s="1"/>
  <c r="N144" i="6" s="1"/>
  <c r="N292" i="6" l="1"/>
  <c r="N293" i="6" s="1"/>
  <c r="O291" i="6" s="1"/>
  <c r="N146" i="6"/>
  <c r="O307" i="6"/>
  <c r="O312" i="6" s="1"/>
  <c r="N173" i="6"/>
  <c r="N176" i="6" s="1"/>
  <c r="N182" i="6" s="1"/>
  <c r="N188" i="6" s="1"/>
  <c r="O296" i="6"/>
  <c r="O324" i="6" l="1"/>
  <c r="O98" i="6" s="1"/>
  <c r="O99" i="6" s="1"/>
  <c r="O231" i="6" s="1"/>
  <c r="O145" i="6"/>
  <c r="N158" i="6"/>
  <c r="N163" i="6" s="1"/>
  <c r="N169" i="6" s="1"/>
  <c r="N190" i="6" s="1"/>
  <c r="O236" i="6"/>
  <c r="O234" i="6"/>
  <c r="O239" i="6" s="1"/>
  <c r="O101" i="6" l="1"/>
  <c r="O240" i="6"/>
  <c r="O102" i="6" s="1"/>
  <c r="O125" i="6" s="1"/>
  <c r="O178" i="6" s="1"/>
  <c r="O180" i="6" l="1"/>
  <c r="O241" i="6"/>
  <c r="O103" i="6"/>
  <c r="O105" i="6" s="1"/>
  <c r="AE21" i="21" l="1"/>
  <c r="AE23" i="21" s="1"/>
  <c r="O111" i="6"/>
  <c r="AE22" i="21" s="1"/>
  <c r="O341" i="6"/>
  <c r="O123" i="6"/>
  <c r="O127" i="6" s="1"/>
  <c r="O300" i="6" s="1"/>
  <c r="O342" i="6" l="1"/>
  <c r="O348" i="6" s="1"/>
  <c r="O347" i="6"/>
  <c r="O349" i="6" s="1"/>
  <c r="O304" i="6" l="1"/>
  <c r="O140" i="6"/>
  <c r="O305" i="6"/>
  <c r="O308" i="6" s="1"/>
  <c r="O185" i="6"/>
  <c r="O186" i="6" s="1"/>
  <c r="O112" i="6" s="1"/>
  <c r="O309" i="6" l="1"/>
  <c r="O173" i="6" s="1"/>
  <c r="O176" i="6" s="1"/>
  <c r="O182" i="6" s="1"/>
  <c r="O188" i="6" s="1"/>
  <c r="O137" i="6"/>
  <c r="O141" i="6" s="1"/>
  <c r="O144" i="6" s="1"/>
  <c r="O292" i="6" l="1"/>
  <c r="O293" i="6" s="1"/>
  <c r="O146" i="6"/>
  <c r="O158" i="6" s="1"/>
  <c r="O163" i="6" s="1"/>
  <c r="O169" i="6" s="1"/>
  <c r="O190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296" authorId="0" shapeId="0" xr:uid="{9348DE71-38AA-42E6-8F50-93D8511549CA}">
      <text>
        <r>
          <rPr>
            <b/>
            <sz val="9"/>
            <color rgb="FF000000"/>
            <rFont val="Arial"/>
            <family val="2"/>
          </rPr>
          <t xml:space="preserve">Note on Interest Expense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In the video tutorial series, we indicated that you can calculate Interest Expense and Interest Income in one of two ways: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1) =Rate x Avg(Beg Bal, End Bal);  or 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2) = Rate x Beg Bal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We chose to use Rate x Beg Bal in this sample model to avoid having a circular reference in the file.  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Both approaches are used by organizations all over the world so check with your team to see if there is a preference.</t>
        </r>
      </text>
    </comment>
    <comment ref="K312" authorId="0" shapeId="0" xr:uid="{AC8474A6-D4A4-4FEA-8C4F-EE553D3A978B}">
      <text>
        <r>
          <rPr>
            <b/>
            <sz val="9"/>
            <color rgb="FF000000"/>
            <rFont val="Arial"/>
            <family val="2"/>
          </rPr>
          <t xml:space="preserve">Note on Interest Expense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In the video tutorial series, we indicated that you can calculate Interest Expense and Interest Income in one of two ways: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1) =Rate x Avg(Beg Bal, End Bal);  or 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2) = Rate x Beg Bal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We chose to use Rate x Beg Bal in this sample model to avoid having a circular reference in the file.  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Both approaches are used by organizations all over the world so check with your team to see if there is a preference.</t>
        </r>
      </text>
    </comment>
    <comment ref="K321" authorId="0" shapeId="0" xr:uid="{190634BD-9407-42EF-BA36-6EA5AB3FFB02}">
      <text>
        <r>
          <rPr>
            <b/>
            <sz val="9"/>
            <color rgb="FF000000"/>
            <rFont val="Arial"/>
            <family val="2"/>
          </rPr>
          <t xml:space="preserve">Note on Interest Expense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In the video tutorial series, we indicated that you can calculate Interest Expense and Interest Income in one of two ways: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1) =Rate x Avg(Beg Bal, End Bal);  or 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2) = Rate x Beg Bal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We chose to use Rate x Beg Bal in this sample model to avoid having a circular reference in the file.  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Both approaches are used by organizations all over the world so check with your team to see if there is a preference.</t>
        </r>
      </text>
    </comment>
  </commentList>
</comments>
</file>

<file path=xl/sharedStrings.xml><?xml version="1.0" encoding="utf-8"?>
<sst xmlns="http://schemas.openxmlformats.org/spreadsheetml/2006/main" count="465" uniqueCount="245">
  <si>
    <t>Pricing Case</t>
  </si>
  <si>
    <t>Pricing</t>
  </si>
  <si>
    <t>Projected</t>
  </si>
  <si>
    <t>Net Revenue</t>
  </si>
  <si>
    <t>Cost of Sales</t>
  </si>
  <si>
    <t>EBITDA</t>
  </si>
  <si>
    <t>Depreciation &amp; Amortization</t>
  </si>
  <si>
    <t>EBIT</t>
  </si>
  <si>
    <t>Net Income</t>
  </si>
  <si>
    <t>Operating Activities</t>
  </si>
  <si>
    <t>Other</t>
  </si>
  <si>
    <t>Operating Cash Flow</t>
  </si>
  <si>
    <t>ASSETS</t>
  </si>
  <si>
    <t>Cash</t>
  </si>
  <si>
    <t>Accounts Receivable</t>
  </si>
  <si>
    <t>Inventory</t>
  </si>
  <si>
    <t>Total Current Assets</t>
  </si>
  <si>
    <t>Net PP&amp;E</t>
  </si>
  <si>
    <t>Total Assets</t>
  </si>
  <si>
    <t>LIABILITIES AND EQUITY</t>
  </si>
  <si>
    <t>Accounts Payable</t>
  </si>
  <si>
    <t>Total Current Liabilities</t>
  </si>
  <si>
    <t>Total Long Term Liabilities</t>
  </si>
  <si>
    <t>Total Liabilities</t>
  </si>
  <si>
    <t>Shareholder's Equity</t>
  </si>
  <si>
    <t>Total Liabilities and Equity</t>
  </si>
  <si>
    <t>Check</t>
  </si>
  <si>
    <t>Days In</t>
  </si>
  <si>
    <t>Inventories</t>
  </si>
  <si>
    <t>Account Balances</t>
  </si>
  <si>
    <t>Net Working Capital</t>
  </si>
  <si>
    <t>A</t>
  </si>
  <si>
    <t>B</t>
  </si>
  <si>
    <t>Variable Costs</t>
  </si>
  <si>
    <t>Total Variable Costs</t>
  </si>
  <si>
    <t>Fixed Costs</t>
  </si>
  <si>
    <t>S,G &amp; A</t>
  </si>
  <si>
    <t>Income Statement</t>
  </si>
  <si>
    <t>Margins</t>
  </si>
  <si>
    <t>EBITDA Margin</t>
  </si>
  <si>
    <t>EBIT Margin</t>
  </si>
  <si>
    <t>Depreciation to Existing Assets</t>
  </si>
  <si>
    <t>Total Depreciation</t>
  </si>
  <si>
    <t>Revenue</t>
  </si>
  <si>
    <t>Gross Revenue</t>
  </si>
  <si>
    <t>Total Costs</t>
  </si>
  <si>
    <t>Depreciation</t>
  </si>
  <si>
    <t>Cash Flow Statement</t>
  </si>
  <si>
    <t>Income Tax Schedule</t>
  </si>
  <si>
    <t>Working Capital Schedule</t>
  </si>
  <si>
    <t>Total Fixed Costs</t>
  </si>
  <si>
    <t>Freight &amp; Warehousing</t>
  </si>
  <si>
    <t>Implied Operating Rate</t>
  </si>
  <si>
    <t>Operating Labour</t>
  </si>
  <si>
    <t>CAPEX</t>
  </si>
  <si>
    <t>Change in the Cash Position</t>
  </si>
  <si>
    <t>Beginning Cash</t>
  </si>
  <si>
    <t>Ending Cash</t>
  </si>
  <si>
    <t>Base Case</t>
  </si>
  <si>
    <t>Best Case</t>
  </si>
  <si>
    <t>Worst Case</t>
  </si>
  <si>
    <t>(days)</t>
  </si>
  <si>
    <t xml:space="preserve">Gross Sales Price </t>
  </si>
  <si>
    <t>Debt and Interest Schedule</t>
  </si>
  <si>
    <t>Net Sales Price</t>
  </si>
  <si>
    <t>Amount Outstanding - Beginning</t>
  </si>
  <si>
    <t>Additions / (Repayments)</t>
  </si>
  <si>
    <t>Amount Outstanding - Ending</t>
  </si>
  <si>
    <t>Interest Rate</t>
  </si>
  <si>
    <t>Annual Interest Expense</t>
  </si>
  <si>
    <t>Annual Interest Income</t>
  </si>
  <si>
    <t>Change in Cash</t>
  </si>
  <si>
    <t>Financing Activities</t>
  </si>
  <si>
    <t>Interest Expense</t>
  </si>
  <si>
    <t>Net Interest Expense</t>
  </si>
  <si>
    <t>EBT</t>
  </si>
  <si>
    <t>(000's units)</t>
  </si>
  <si>
    <t>COSTS PER UNIT</t>
  </si>
  <si>
    <t>The product pricing cases used in the model are as follows:</t>
  </si>
  <si>
    <t>-</t>
  </si>
  <si>
    <t>GENERAL</t>
  </si>
  <si>
    <t>PRODUCT PRICING</t>
  </si>
  <si>
    <t>OPERATIONS</t>
  </si>
  <si>
    <t>TAXES</t>
  </si>
  <si>
    <t>COSTS</t>
  </si>
  <si>
    <t>Cost Item</t>
  </si>
  <si>
    <t>Raw Materials</t>
  </si>
  <si>
    <t>Increases</t>
  </si>
  <si>
    <t>Inflation on a unit basis</t>
  </si>
  <si>
    <t>SG&amp;A</t>
  </si>
  <si>
    <t>DEPRECIATION</t>
  </si>
  <si>
    <t>Straight Line</t>
  </si>
  <si>
    <t>ECONOMIC SCENARIOS</t>
  </si>
  <si>
    <t>Current Income Taxes</t>
  </si>
  <si>
    <t>Total Income Taxes</t>
  </si>
  <si>
    <t>Tax Rate</t>
  </si>
  <si>
    <t>Taxes as Appearing on Income Statement</t>
  </si>
  <si>
    <t>Total Income Taxes (Same as Accounting Taxes Above)</t>
  </si>
  <si>
    <t>Cost Inflation</t>
  </si>
  <si>
    <t>SCENARIO SWITCH:</t>
  </si>
  <si>
    <t>Revenue Schedule</t>
  </si>
  <si>
    <t>Capital Expenditures</t>
  </si>
  <si>
    <t>Investing Activities</t>
  </si>
  <si>
    <t>Investing Cash Flow</t>
  </si>
  <si>
    <t>Financing Cash Flow</t>
  </si>
  <si>
    <t>Balance Sheet</t>
  </si>
  <si>
    <t>Days per Year</t>
  </si>
  <si>
    <t>SALES SCENARIOS</t>
  </si>
  <si>
    <t>Sales Volume Growth</t>
  </si>
  <si>
    <t>(%)</t>
  </si>
  <si>
    <t>Sales Volume</t>
  </si>
  <si>
    <t>Annual Sales Volume</t>
  </si>
  <si>
    <t>Change in Working Capital</t>
  </si>
  <si>
    <t>Shareholders' Equity Schedule</t>
  </si>
  <si>
    <t>Common Shares</t>
  </si>
  <si>
    <t>Dividend Payout Rate</t>
  </si>
  <si>
    <t>Common Dividend</t>
  </si>
  <si>
    <t>Retained Earnings</t>
  </si>
  <si>
    <t>EQUITY</t>
  </si>
  <si>
    <t>Common Dividend Payout Rate</t>
  </si>
  <si>
    <t>Common Stock Issuance / (Buy-back)</t>
  </si>
  <si>
    <t>Common Shares Issuance/ (Buy-Back)</t>
  </si>
  <si>
    <t>Common Dividends</t>
  </si>
  <si>
    <t>New Issuance / (Buy-Back)</t>
  </si>
  <si>
    <t>Return on Equity</t>
  </si>
  <si>
    <t>Changes in working capital</t>
  </si>
  <si>
    <t>Dividends</t>
  </si>
  <si>
    <t>FINANCING COMPONENT</t>
  </si>
  <si>
    <t>and sales volume growth</t>
  </si>
  <si>
    <t>Revolver</t>
  </si>
  <si>
    <t>Senior Secured Term Debt</t>
  </si>
  <si>
    <t>Revolver Issuance / (Repayment)</t>
  </si>
  <si>
    <t>Term Debt Issuance / (Repayment)</t>
  </si>
  <si>
    <t>Bank Debt - Revolver</t>
  </si>
  <si>
    <t>FCF After Mandatory Debt Repayment and Dividend</t>
  </si>
  <si>
    <t>Mandatory Debt Repayments</t>
  </si>
  <si>
    <t>Revolver Outstanding - Beginning</t>
  </si>
  <si>
    <t>Revolver Outstanding - Ending</t>
  </si>
  <si>
    <t>Research Forecast</t>
  </si>
  <si>
    <t xml:space="preserve"> </t>
  </si>
  <si>
    <t>Depreciation Years on New Assets:</t>
  </si>
  <si>
    <t>Income Statement Items</t>
  </si>
  <si>
    <t>First year of forecast in financial model:</t>
  </si>
  <si>
    <t>per Unit</t>
  </si>
  <si>
    <t>MM</t>
  </si>
  <si>
    <t>Deferred Income Taxes</t>
  </si>
  <si>
    <t>Increase (Decrease) in Deferred Income Taxes</t>
  </si>
  <si>
    <t>SUMMARY VALUES - BASE CASE</t>
  </si>
  <si>
    <t xml:space="preserve">   Growth</t>
  </si>
  <si>
    <t xml:space="preserve">   Margin</t>
  </si>
  <si>
    <t>SUMMARY VALUES - WORST CASE</t>
  </si>
  <si>
    <t>Utilities</t>
  </si>
  <si>
    <t>Rent</t>
  </si>
  <si>
    <t>Depreciation Methodology Used:</t>
  </si>
  <si>
    <t>Years remaining for depreciation of existing assets:</t>
  </si>
  <si>
    <t>Years used for depreciation of new assets:</t>
  </si>
  <si>
    <t>OTHER ASSUMPTIONS</t>
  </si>
  <si>
    <t>Working Capital Days</t>
  </si>
  <si>
    <t>days</t>
  </si>
  <si>
    <t>Change in Debt &amp; Equity</t>
  </si>
  <si>
    <t>Annual Factory Capacity</t>
  </si>
  <si>
    <t>Cost Adjustments - Gain/(Loss)</t>
  </si>
  <si>
    <t>Investing Activities - Other</t>
  </si>
  <si>
    <t>Prepaid Expenses</t>
  </si>
  <si>
    <t>Other Assets</t>
  </si>
  <si>
    <t>Other Liabilities</t>
  </si>
  <si>
    <t>Three scenarios have been used for Inflation, Product Pricing</t>
  </si>
  <si>
    <t>(MM)</t>
  </si>
  <si>
    <t>Sales Price - $/Unit</t>
  </si>
  <si>
    <t>($/unit)</t>
  </si>
  <si>
    <t>($ MM)</t>
  </si>
  <si>
    <t>($ Millions)</t>
  </si>
  <si>
    <t>Income Tax</t>
  </si>
  <si>
    <t xml:space="preserve">Accounting EBT (as is on I/S)   </t>
  </si>
  <si>
    <t>Government EBT</t>
  </si>
  <si>
    <t>(1) Assumes aggregate reduction in government pre-tax earnings due to timing differences between accounting and government rules.</t>
  </si>
  <si>
    <t>Reduction in EBT for timing differences</t>
  </si>
  <si>
    <t>Total Long Term Assets</t>
  </si>
  <si>
    <t>Summary Outputs</t>
  </si>
  <si>
    <t>SUMMARY VALUES - BEST CASE</t>
  </si>
  <si>
    <t>Costs of Production Schedule</t>
  </si>
  <si>
    <t>COSTS IN MILLIONS</t>
  </si>
  <si>
    <t>INTEREST RATES</t>
  </si>
  <si>
    <r>
      <t xml:space="preserve">Less: Reduction in EBT for timing differences </t>
    </r>
    <r>
      <rPr>
        <vertAlign val="superscript"/>
        <sz val="10"/>
        <rFont val="Arial"/>
        <family val="2"/>
      </rPr>
      <t>(1)</t>
    </r>
  </si>
  <si>
    <t>Senior Term Debt Issuance / (Repayment)</t>
  </si>
  <si>
    <t>Annual Factory Capacity (000's units):</t>
  </si>
  <si>
    <t>Tax rate assumed in the model:</t>
  </si>
  <si>
    <t>Additional tax assumptions in "Other Assumptions" box</t>
  </si>
  <si>
    <t>Interest rate on Bank Revolver:</t>
  </si>
  <si>
    <t>Interest rate on Senior Secured Term Debt:</t>
  </si>
  <si>
    <t>Inflation on a total basis</t>
  </si>
  <si>
    <t>Interest earned on Cash balances:</t>
  </si>
  <si>
    <t>Economic and Sales Scenarios</t>
  </si>
  <si>
    <t>Trend</t>
  </si>
  <si>
    <t>Years Remaining Existing Assets:</t>
  </si>
  <si>
    <t>Backing into costs</t>
  </si>
  <si>
    <t>Price - $/unit</t>
  </si>
  <si>
    <t>Unit Growth</t>
  </si>
  <si>
    <t>Units (000s)</t>
  </si>
  <si>
    <t>Revenue - $MM</t>
  </si>
  <si>
    <t>Revenue Growth</t>
  </si>
  <si>
    <t>2022A</t>
  </si>
  <si>
    <t>Inflation</t>
  </si>
  <si>
    <t>Variable Costs %</t>
  </si>
  <si>
    <t>Fixed Costs %</t>
  </si>
  <si>
    <t>Variable Costs - $/unit</t>
  </si>
  <si>
    <t>Fixed Costs - $/unit</t>
  </si>
  <si>
    <t>Total Costs - $/unit</t>
  </si>
  <si>
    <t>Variable Costs - $MM</t>
  </si>
  <si>
    <t>Fixed Costs - $MM</t>
  </si>
  <si>
    <t>Total Costs - $MM</t>
  </si>
  <si>
    <t>Operating Costs - $MM</t>
  </si>
  <si>
    <t>Gross Profit</t>
  </si>
  <si>
    <t>Profit Increases</t>
  </si>
  <si>
    <t>Profit Margin</t>
  </si>
  <si>
    <t>:Operating Leverage</t>
  </si>
  <si>
    <t>Semi-variable Costs</t>
  </si>
  <si>
    <t>2023F</t>
  </si>
  <si>
    <t>Max for SV (000s)</t>
  </si>
  <si>
    <t>SV (Labour) - $/unit</t>
  </si>
  <si>
    <t>SV (Labour) - $MM</t>
  </si>
  <si>
    <t>Units</t>
  </si>
  <si>
    <t>Costs</t>
  </si>
  <si>
    <t>Rate</t>
  </si>
  <si>
    <t>Tax</t>
  </si>
  <si>
    <t>EBT (Accounting)</t>
  </si>
  <si>
    <t>Taxable Income (Gov)</t>
  </si>
  <si>
    <t>Current Tax</t>
  </si>
  <si>
    <t>Deferred Tax</t>
  </si>
  <si>
    <t>Total Tax</t>
  </si>
  <si>
    <t>Deferred Tax Liability</t>
  </si>
  <si>
    <t>:noncash expense</t>
  </si>
  <si>
    <t>:cumulative -&gt; BB + incurred DTL</t>
  </si>
  <si>
    <t>Vertical Orientation</t>
  </si>
  <si>
    <t>Blu Containers Company</t>
  </si>
  <si>
    <t>Prepared by Ivy Nguyen</t>
  </si>
  <si>
    <t>Financial Model Solution</t>
  </si>
  <si>
    <t>Inputs and Assumptions #1</t>
  </si>
  <si>
    <t>Inputs and Assumptions #2</t>
  </si>
  <si>
    <t>Methodology used:</t>
  </si>
  <si>
    <t>Fixed Assets (PP&amp;E) and Depreciation Schedule</t>
  </si>
  <si>
    <t>Plus: CAPEX</t>
  </si>
  <si>
    <t>Fixed Assets (Net PP&amp;E) - Beginning</t>
  </si>
  <si>
    <t>Fixed Assets (Net PP&amp;E) - Ending</t>
  </si>
  <si>
    <t xml:space="preserve">    Powered by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</si>
</sst>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#,##0.0_);\(#,##0.0\)"/>
    <numFmt numFmtId="168" formatCode="&quot;$&quot;#,##0.0_);\(&quot;$&quot;#,##0.0\)"/>
    <numFmt numFmtId="169" formatCode="#,##0.000_);\(#,##0.000\)"/>
    <numFmt numFmtId="170" formatCode="0.0_);\(0.0\)"/>
    <numFmt numFmtId="171" formatCode="0.00_);\(0.00\)"/>
    <numFmt numFmtId="172" formatCode="0.000_);\(0.000\)"/>
    <numFmt numFmtId="173" formatCode="0\A"/>
    <numFmt numFmtId="174" formatCode="&quot;- EBITDA margin of &quot;0.0%"/>
    <numFmt numFmtId="175" formatCode="&quot;- Opening UCC pool of &quot;&quot;$&quot;#,###.0&quot; million as of January 1, 1999&quot;"/>
    <numFmt numFmtId="176" formatCode="0%;\(0%\)"/>
    <numFmt numFmtId="177" formatCode="0.00\ "/>
    <numFmt numFmtId="178" formatCode="_-* #,##0_-;\-* #,##0_-;_-* &quot;-&quot;??_-;_-@_-"/>
    <numFmt numFmtId="179" formatCode="0_);\(0\)"/>
    <numFmt numFmtId="180" formatCode="0.0%\ ;\(0.0%\)"/>
    <numFmt numFmtId="181" formatCode="\+0%;\(0%\)"/>
    <numFmt numFmtId="182" formatCode="&quot;$&quot;#,##0.0"/>
    <numFmt numFmtId="183" formatCode="0\ &quot;years&quot;"/>
    <numFmt numFmtId="184" formatCode="0.0\ \x"/>
    <numFmt numFmtId="185" formatCode="#,##0.0000_);\(#,##0.0000\)"/>
    <numFmt numFmtId="186" formatCode="&quot;$&quot;#,##0.000_);\(&quot;$&quot;#,##0.000\)"/>
    <numFmt numFmtId="187" formatCode="0\F"/>
    <numFmt numFmtId="188" formatCode="&quot;$&quot;#,##0.0000_);\(&quot;$&quot;#,##0.0000\)"/>
    <numFmt numFmtId="189" formatCode="&quot;$&quot;#,##0.000000_);\(&quot;$&quot;#,##0.000000\)"/>
    <numFmt numFmtId="190" formatCode="0.0%;\(0.0%\)"/>
    <numFmt numFmtId="191" formatCode="[&gt;-0.000001]\ 0.0_);\ \(0.0\)_)"/>
    <numFmt numFmtId="192" formatCode="_(&quot;$&quot;* #,##0.0_);_(&quot;$&quot;* \(#,##0.0\);_(&quot;$&quot;* &quot;-&quot;??_);_(@_)"/>
    <numFmt numFmtId="193" formatCode="&quot;$&quot;0"/>
    <numFmt numFmtId="194" formatCode="&quot;$&quot;0.0"/>
    <numFmt numFmtId="195" formatCode="&quot;$&quot;#,##0.0_);[Red]\(&quot;$&quot;#,##0.0\)"/>
    <numFmt numFmtId="196" formatCode="[$-409]mmmm\ d\,\ yyyy;@"/>
  </numFmts>
  <fonts count="83">
    <font>
      <sz val="10"/>
      <name val="Arial"/>
      <family val="2"/>
    </font>
    <font>
      <sz val="10"/>
      <name val="Book Antiqua"/>
      <family val="1"/>
    </font>
    <font>
      <sz val="10"/>
      <name val="Aldine401 BT"/>
    </font>
    <font>
      <sz val="10"/>
      <name val="Arial"/>
      <family val="2"/>
    </font>
    <font>
      <sz val="11"/>
      <color indexed="12"/>
      <name val="Book Antiqua"/>
      <family val="1"/>
    </font>
    <font>
      <sz val="8"/>
      <name val="Arial"/>
      <family val="2"/>
    </font>
    <font>
      <sz val="10"/>
      <name val="Times New Roman"/>
      <family val="1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8"/>
      <name val="Arial"/>
      <family val="2"/>
    </font>
    <font>
      <b/>
      <sz val="18"/>
      <color indexed="12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i/>
      <sz val="14"/>
      <color indexed="10"/>
      <name val="Arial"/>
      <family val="2"/>
    </font>
    <font>
      <b/>
      <i/>
      <sz val="9"/>
      <color indexed="10"/>
      <name val="Arial"/>
      <family val="2"/>
    </font>
    <font>
      <b/>
      <i/>
      <sz val="10"/>
      <name val="Arial"/>
      <family val="2"/>
    </font>
    <font>
      <sz val="10"/>
      <color indexed="9"/>
      <name val="Arial"/>
      <family val="2"/>
    </font>
    <font>
      <sz val="10"/>
      <color rgb="FF0000FF"/>
      <name val="Arial"/>
      <family val="2"/>
    </font>
    <font>
      <sz val="10"/>
      <color indexed="61"/>
      <name val="Arial"/>
      <family val="2"/>
    </font>
    <font>
      <i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rgb="FF0000FF"/>
      <name val="Arial"/>
      <family val="2"/>
    </font>
    <font>
      <b/>
      <sz val="9"/>
      <name val="Arial"/>
      <family val="2"/>
    </font>
    <font>
      <vertAlign val="superscript"/>
      <sz val="7"/>
      <name val="Arial"/>
      <family val="2"/>
    </font>
    <font>
      <b/>
      <sz val="10"/>
      <color indexed="10"/>
      <name val="Arial"/>
      <family val="2"/>
    </font>
    <font>
      <u/>
      <sz val="10"/>
      <color rgb="FF0000FF"/>
      <name val="Arial"/>
      <family val="2"/>
    </font>
    <font>
      <sz val="8"/>
      <color indexed="12"/>
      <name val="Arial"/>
      <family val="2"/>
    </font>
    <font>
      <b/>
      <sz val="16"/>
      <color indexed="8"/>
      <name val="Arial"/>
      <family val="2"/>
    </font>
    <font>
      <b/>
      <sz val="9"/>
      <color indexed="12"/>
      <name val="Arial"/>
      <family val="2"/>
    </font>
    <font>
      <b/>
      <sz val="20"/>
      <name val="Arial"/>
      <family val="2"/>
    </font>
    <font>
      <b/>
      <u/>
      <sz val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color indexed="8"/>
      <name val="Arial"/>
      <family val="2"/>
    </font>
    <font>
      <vertAlign val="superscript"/>
      <sz val="10"/>
      <name val="Arial"/>
      <family val="2"/>
    </font>
    <font>
      <i/>
      <sz val="9"/>
      <name val="Arial"/>
      <family val="2"/>
    </font>
    <font>
      <sz val="10"/>
      <color rgb="FF009B73"/>
      <name val="Arial"/>
      <family val="2"/>
    </font>
    <font>
      <i/>
      <sz val="10"/>
      <color rgb="FF009B73"/>
      <name val="Arial"/>
      <family val="2"/>
    </font>
    <font>
      <b/>
      <sz val="10"/>
      <color rgb="FF009B73"/>
      <name val="Arial"/>
      <family val="2"/>
    </font>
    <font>
      <sz val="9"/>
      <color rgb="FF009B73"/>
      <name val="Arial"/>
      <family val="2"/>
    </font>
    <font>
      <b/>
      <sz val="20"/>
      <color indexed="12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b/>
      <i/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4586BB"/>
      <name val="Arial"/>
      <family val="2"/>
    </font>
    <font>
      <b/>
      <sz val="8"/>
      <color rgb="FF008ED6"/>
      <name val="Arial"/>
      <family val="2"/>
    </font>
    <font>
      <sz val="10"/>
      <color rgb="FF002F6C"/>
      <name val="Arial"/>
      <family val="2"/>
    </font>
    <font>
      <i/>
      <sz val="9"/>
      <color rgb="FF002F6C"/>
      <name val="Arial"/>
      <family val="2"/>
    </font>
    <font>
      <sz val="9"/>
      <color rgb="FF002F6C"/>
      <name val="Arial"/>
      <family val="2"/>
    </font>
    <font>
      <sz val="10"/>
      <color rgb="FF0432FF"/>
      <name val="Arial"/>
      <family val="2"/>
    </font>
    <font>
      <b/>
      <sz val="10"/>
      <color rgb="FF0432FF"/>
      <name val="Arial"/>
      <family val="2"/>
    </font>
    <font>
      <b/>
      <sz val="18"/>
      <color theme="1" tint="0.34998626667073579"/>
      <name val="Arial"/>
      <family val="2"/>
    </font>
    <font>
      <sz val="14"/>
      <color theme="1" tint="0.249977111117893"/>
      <name val="Arial"/>
      <family val="2"/>
    </font>
    <font>
      <b/>
      <sz val="28"/>
      <color theme="4" tint="-0.249977111117893"/>
      <name val="Arial"/>
      <family val="2"/>
    </font>
    <font>
      <b/>
      <sz val="18"/>
      <color theme="4" tint="-0.499984740745262"/>
      <name val="Arial"/>
      <family val="2"/>
    </font>
    <font>
      <b/>
      <sz val="14"/>
      <color theme="4" tint="-0.499984740745262"/>
      <name val="Arial"/>
      <family val="2"/>
    </font>
    <font>
      <sz val="16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color theme="4" tint="-0.499984740745262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9966"/>
        <bgColor indexed="64"/>
      </patternFill>
    </fill>
    <fill>
      <patternFill patternType="solid">
        <fgColor rgb="FF5B77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4586BB"/>
      </left>
      <right/>
      <top style="thin">
        <color rgb="FF4586BB"/>
      </top>
      <bottom/>
      <diagonal/>
    </border>
    <border>
      <left/>
      <right/>
      <top style="thin">
        <color rgb="FF4586BB"/>
      </top>
      <bottom/>
      <diagonal/>
    </border>
    <border>
      <left/>
      <right style="thin">
        <color rgb="FF4586BB"/>
      </right>
      <top style="thin">
        <color rgb="FF4586BB"/>
      </top>
      <bottom/>
      <diagonal/>
    </border>
    <border>
      <left style="thin">
        <color rgb="FF4586BB"/>
      </left>
      <right/>
      <top/>
      <bottom/>
      <diagonal/>
    </border>
    <border>
      <left/>
      <right style="thin">
        <color rgb="FF4586BB"/>
      </right>
      <top/>
      <bottom/>
      <diagonal/>
    </border>
    <border>
      <left style="thin">
        <color rgb="FF4586BB"/>
      </left>
      <right/>
      <top/>
      <bottom style="thin">
        <color rgb="FF4586BB"/>
      </bottom>
      <diagonal/>
    </border>
    <border>
      <left/>
      <right/>
      <top/>
      <bottom style="thin">
        <color rgb="FF4586BB"/>
      </bottom>
      <diagonal/>
    </border>
    <border>
      <left/>
      <right style="thin">
        <color rgb="FF4586BB"/>
      </right>
      <top/>
      <bottom style="thin">
        <color rgb="FF4586BB"/>
      </bottom>
      <diagonal/>
    </border>
    <border>
      <left style="thin">
        <color rgb="FF002F6C"/>
      </left>
      <right/>
      <top style="thin">
        <color rgb="FF002F6C"/>
      </top>
      <bottom/>
      <diagonal/>
    </border>
    <border>
      <left/>
      <right/>
      <top style="thin">
        <color rgb="FF002F6C"/>
      </top>
      <bottom/>
      <diagonal/>
    </border>
    <border>
      <left/>
      <right/>
      <top style="thin">
        <color rgb="FF002F6C"/>
      </top>
      <bottom style="thin">
        <color theme="0"/>
      </bottom>
      <diagonal/>
    </border>
    <border>
      <left/>
      <right style="thin">
        <color rgb="FF002F6C"/>
      </right>
      <top style="thin">
        <color rgb="FF002F6C"/>
      </top>
      <bottom/>
      <diagonal/>
    </border>
    <border>
      <left style="thin">
        <color rgb="FF002F6C"/>
      </left>
      <right/>
      <top/>
      <bottom/>
      <diagonal/>
    </border>
    <border>
      <left/>
      <right style="thin">
        <color rgb="FF002F6C"/>
      </right>
      <top/>
      <bottom/>
      <diagonal/>
    </border>
    <border>
      <left style="thin">
        <color rgb="FF002F6C"/>
      </left>
      <right/>
      <top/>
      <bottom style="thin">
        <color rgb="FF002F6C"/>
      </bottom>
      <diagonal/>
    </border>
    <border>
      <left/>
      <right/>
      <top/>
      <bottom style="thin">
        <color rgb="FF002F6C"/>
      </bottom>
      <diagonal/>
    </border>
    <border>
      <left/>
      <right style="thin">
        <color rgb="FF002F6C"/>
      </right>
      <top/>
      <bottom style="thin">
        <color rgb="FF002F6C"/>
      </bottom>
      <diagonal/>
    </border>
    <border>
      <left style="thin">
        <color rgb="FF002F6C"/>
      </left>
      <right/>
      <top/>
      <bottom style="thin">
        <color rgb="FF4586BB"/>
      </bottom>
      <diagonal/>
    </border>
    <border>
      <left/>
      <right style="thin">
        <color rgb="FF002F6C"/>
      </right>
      <top/>
      <bottom style="thin">
        <color rgb="FF4586BB"/>
      </bottom>
      <diagonal/>
    </border>
    <border>
      <left/>
      <right/>
      <top/>
      <bottom style="dotted">
        <color rgb="FF009966"/>
      </bottom>
      <diagonal/>
    </border>
    <border>
      <left/>
      <right/>
      <top style="thin">
        <color rgb="FF5B77CC"/>
      </top>
      <bottom/>
      <diagonal/>
    </border>
    <border>
      <left/>
      <right style="thin">
        <color rgb="FF4586BB"/>
      </right>
      <top style="thin">
        <color rgb="FF5B77CC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1" fillId="0" borderId="0" applyNumberFormat="0" applyFont="0" applyFill="0" applyBorder="0" applyProtection="0">
      <alignment horizontal="centerContinuous"/>
    </xf>
    <xf numFmtId="0" fontId="1" fillId="0" borderId="1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43" fontId="2" fillId="0" borderId="0" applyFont="0" applyFill="0" applyBorder="0" applyAlignment="0" applyProtection="0"/>
    <xf numFmtId="8" fontId="4" fillId="0" borderId="2">
      <protection locked="0"/>
    </xf>
    <xf numFmtId="0" fontId="1" fillId="0" borderId="3" applyNumberFormat="0" applyFont="0" applyFill="0" applyAlignment="0" applyProtection="0"/>
    <xf numFmtId="0" fontId="3" fillId="0" borderId="0"/>
    <xf numFmtId="0" fontId="6" fillId="0" borderId="0"/>
    <xf numFmtId="0" fontId="5" fillId="0" borderId="0" applyNumberFormat="0" applyFill="0" applyBorder="0" applyAlignment="0" applyProtection="0"/>
    <xf numFmtId="178" fontId="2" fillId="0" borderId="0" applyNumberFormat="0" applyFill="0" applyBorder="0" applyAlignment="0" applyProtection="0"/>
    <xf numFmtId="0" fontId="1" fillId="0" borderId="4" applyNumberFormat="0" applyFont="0" applyFill="0" applyAlignment="0" applyProtection="0"/>
    <xf numFmtId="0" fontId="7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63">
    <xf numFmtId="0" fontId="0" fillId="0" borderId="0" xfId="0"/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1" fillId="0" borderId="0" xfId="0" applyFont="1" applyAlignment="1">
      <alignment horizontal="centerContinuous"/>
    </xf>
    <xf numFmtId="14" fontId="0" fillId="0" borderId="0" xfId="0" applyNumberFormat="1" applyAlignment="1">
      <alignment horizontal="left"/>
    </xf>
    <xf numFmtId="37" fontId="13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quotePrefix="1" applyAlignment="1">
      <alignment horizontal="left"/>
    </xf>
    <xf numFmtId="0" fontId="0" fillId="0" borderId="1" xfId="0" applyBorder="1"/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centerContinuous" vertical="center"/>
    </xf>
    <xf numFmtId="0" fontId="15" fillId="0" borderId="0" xfId="0" applyFont="1" applyAlignment="1">
      <alignment horizontal="centerContinuous" vertical="center"/>
    </xf>
    <xf numFmtId="0" fontId="16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Continuous"/>
    </xf>
    <xf numFmtId="0" fontId="14" fillId="0" borderId="0" xfId="0" applyFont="1"/>
    <xf numFmtId="0" fontId="13" fillId="0" borderId="0" xfId="0" applyFont="1"/>
    <xf numFmtId="175" fontId="0" fillId="0" borderId="0" xfId="0" quotePrefix="1" applyNumberFormat="1" applyAlignment="1">
      <alignment horizontal="left"/>
    </xf>
    <xf numFmtId="174" fontId="0" fillId="0" borderId="1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183" fontId="13" fillId="0" borderId="0" xfId="0" applyNumberFormat="1" applyFont="1" applyAlignment="1">
      <alignment horizontal="right"/>
    </xf>
    <xf numFmtId="0" fontId="0" fillId="0" borderId="0" xfId="0" quotePrefix="1"/>
    <xf numFmtId="0" fontId="17" fillId="0" borderId="0" xfId="0" applyFont="1"/>
    <xf numFmtId="168" fontId="13" fillId="0" borderId="0" xfId="0" applyNumberFormat="1" applyFont="1"/>
    <xf numFmtId="174" fontId="0" fillId="0" borderId="0" xfId="0" applyNumberFormat="1" applyAlignment="1">
      <alignment horizontal="left"/>
    </xf>
    <xf numFmtId="0" fontId="18" fillId="0" borderId="0" xfId="8" applyFont="1"/>
    <xf numFmtId="0" fontId="19" fillId="0" borderId="0" xfId="8" applyFont="1" applyAlignment="1">
      <alignment horizontal="centerContinuous"/>
    </xf>
    <xf numFmtId="0" fontId="3" fillId="0" borderId="0" xfId="8" applyFont="1"/>
    <xf numFmtId="0" fontId="20" fillId="0" borderId="0" xfId="8" applyFont="1" applyAlignment="1">
      <alignment horizontal="centerContinuous"/>
    </xf>
    <xf numFmtId="0" fontId="21" fillId="0" borderId="0" xfId="8" quotePrefix="1" applyFont="1" applyAlignment="1">
      <alignment horizontal="left"/>
    </xf>
    <xf numFmtId="0" fontId="21" fillId="0" borderId="0" xfId="8" quotePrefix="1" applyFont="1" applyAlignment="1">
      <alignment horizontal="center"/>
    </xf>
    <xf numFmtId="0" fontId="3" fillId="0" borderId="7" xfId="8" applyFont="1" applyBorder="1"/>
    <xf numFmtId="0" fontId="3" fillId="0" borderId="8" xfId="8" applyFont="1" applyBorder="1"/>
    <xf numFmtId="0" fontId="3" fillId="0" borderId="8" xfId="8" applyFont="1" applyBorder="1" applyAlignment="1">
      <alignment horizontal="center"/>
    </xf>
    <xf numFmtId="0" fontId="3" fillId="0" borderId="9" xfId="8" applyFont="1" applyBorder="1" applyAlignment="1">
      <alignment horizontal="center"/>
    </xf>
    <xf numFmtId="0" fontId="12" fillId="0" borderId="1" xfId="8" applyFont="1" applyBorder="1" applyAlignment="1">
      <alignment horizontal="centerContinuous"/>
    </xf>
    <xf numFmtId="0" fontId="12" fillId="0" borderId="0" xfId="8" applyFont="1"/>
    <xf numFmtId="0" fontId="22" fillId="0" borderId="6" xfId="8" applyFont="1" applyBorder="1" applyAlignment="1">
      <alignment horizontal="center" vertical="center"/>
    </xf>
    <xf numFmtId="0" fontId="14" fillId="0" borderId="0" xfId="8" quotePrefix="1" applyFont="1" applyAlignment="1">
      <alignment horizontal="right"/>
    </xf>
    <xf numFmtId="0" fontId="12" fillId="0" borderId="10" xfId="8" applyFont="1" applyBorder="1"/>
    <xf numFmtId="0" fontId="12" fillId="0" borderId="1" xfId="8" applyFont="1" applyBorder="1"/>
    <xf numFmtId="0" fontId="12" fillId="0" borderId="1" xfId="8" applyFont="1" applyBorder="1" applyAlignment="1">
      <alignment horizontal="center"/>
    </xf>
    <xf numFmtId="0" fontId="12" fillId="0" borderId="11" xfId="8" applyFont="1" applyBorder="1" applyAlignment="1">
      <alignment horizontal="center"/>
    </xf>
    <xf numFmtId="0" fontId="14" fillId="0" borderId="0" xfId="8" applyFont="1" applyAlignment="1">
      <alignment horizontal="right"/>
    </xf>
    <xf numFmtId="0" fontId="12" fillId="0" borderId="0" xfId="8" applyFont="1" applyAlignment="1">
      <alignment horizontal="center"/>
    </xf>
    <xf numFmtId="0" fontId="23" fillId="0" borderId="0" xfId="8" quotePrefix="1" applyFont="1" applyAlignment="1">
      <alignment horizontal="left"/>
    </xf>
    <xf numFmtId="0" fontId="24" fillId="0" borderId="0" xfId="8" applyFont="1" applyAlignment="1">
      <alignment horizontal="left"/>
    </xf>
    <xf numFmtId="0" fontId="3" fillId="0" borderId="0" xfId="8" applyFont="1" applyAlignment="1">
      <alignment horizontal="center"/>
    </xf>
    <xf numFmtId="0" fontId="12" fillId="0" borderId="0" xfId="8" applyFont="1" applyAlignment="1">
      <alignment horizontal="left" vertical="center"/>
    </xf>
    <xf numFmtId="0" fontId="22" fillId="0" borderId="0" xfId="8" applyFont="1" applyAlignment="1">
      <alignment horizontal="center"/>
    </xf>
    <xf numFmtId="0" fontId="12" fillId="0" borderId="0" xfId="8" quotePrefix="1" applyFont="1" applyAlignment="1">
      <alignment horizontal="left"/>
    </xf>
    <xf numFmtId="166" fontId="13" fillId="0" borderId="0" xfId="0" applyNumberFormat="1" applyFont="1"/>
    <xf numFmtId="166" fontId="3" fillId="0" borderId="0" xfId="0" applyNumberFormat="1" applyFont="1"/>
    <xf numFmtId="0" fontId="3" fillId="0" borderId="0" xfId="8" applyFont="1" applyAlignment="1">
      <alignment horizontal="left"/>
    </xf>
    <xf numFmtId="0" fontId="26" fillId="0" borderId="0" xfId="8" applyFont="1" applyAlignment="1">
      <alignment horizontal="center"/>
    </xf>
    <xf numFmtId="171" fontId="25" fillId="0" borderId="0" xfId="4" applyNumberFormat="1" applyFont="1" applyBorder="1" applyAlignment="1" applyProtection="1">
      <alignment horizontal="right"/>
    </xf>
    <xf numFmtId="171" fontId="27" fillId="0" borderId="0" xfId="4" applyNumberFormat="1" applyFont="1" applyBorder="1" applyAlignment="1" applyProtection="1">
      <alignment horizontal="right"/>
    </xf>
    <xf numFmtId="0" fontId="3" fillId="0" borderId="22" xfId="8" applyFont="1" applyBorder="1"/>
    <xf numFmtId="0" fontId="3" fillId="0" borderId="22" xfId="8" applyFont="1" applyBorder="1" applyAlignment="1">
      <alignment horizontal="center"/>
    </xf>
    <xf numFmtId="0" fontId="3" fillId="0" borderId="0" xfId="8" applyFont="1" applyAlignment="1">
      <alignment vertical="center"/>
    </xf>
    <xf numFmtId="0" fontId="22" fillId="0" borderId="0" xfId="8" applyFont="1" applyAlignment="1">
      <alignment horizontal="center" vertical="center"/>
    </xf>
    <xf numFmtId="0" fontId="12" fillId="0" borderId="0" xfId="8" applyFont="1" applyAlignment="1">
      <alignment horizontal="left"/>
    </xf>
    <xf numFmtId="179" fontId="28" fillId="0" borderId="0" xfId="0" applyNumberFormat="1" applyFont="1"/>
    <xf numFmtId="177" fontId="3" fillId="0" borderId="0" xfId="8" applyNumberFormat="1" applyFont="1"/>
    <xf numFmtId="37" fontId="3" fillId="0" borderId="0" xfId="8" applyNumberFormat="1" applyFont="1"/>
    <xf numFmtId="0" fontId="3" fillId="0" borderId="0" xfId="8" quotePrefix="1" applyFont="1" applyAlignment="1">
      <alignment horizontal="left"/>
    </xf>
    <xf numFmtId="37" fontId="25" fillId="0" borderId="0" xfId="0" applyNumberFormat="1" applyFont="1"/>
    <xf numFmtId="37" fontId="26" fillId="0" borderId="0" xfId="0" applyNumberFormat="1" applyFont="1"/>
    <xf numFmtId="0" fontId="3" fillId="0" borderId="1" xfId="8" applyFont="1" applyBorder="1"/>
    <xf numFmtId="0" fontId="3" fillId="0" borderId="1" xfId="8" applyFont="1" applyBorder="1" applyAlignment="1">
      <alignment horizontal="center"/>
    </xf>
    <xf numFmtId="0" fontId="13" fillId="0" borderId="0" xfId="8" applyFont="1"/>
    <xf numFmtId="164" fontId="34" fillId="0" borderId="0" xfId="4" applyNumberFormat="1" applyFont="1" applyFill="1" applyBorder="1" applyProtection="1"/>
    <xf numFmtId="164" fontId="34" fillId="0" borderId="0" xfId="4" applyNumberFormat="1" applyFont="1" applyFill="1" applyProtection="1"/>
    <xf numFmtId="164" fontId="13" fillId="0" borderId="0" xfId="4" applyNumberFormat="1" applyFont="1" applyFill="1" applyBorder="1" applyProtection="1"/>
    <xf numFmtId="164" fontId="13" fillId="0" borderId="1" xfId="4" applyNumberFormat="1" applyFont="1" applyFill="1" applyBorder="1" applyProtection="1"/>
    <xf numFmtId="164" fontId="12" fillId="0" borderId="0" xfId="4" applyNumberFormat="1" applyFont="1" applyFill="1" applyBorder="1" applyProtection="1"/>
    <xf numFmtId="164" fontId="12" fillId="0" borderId="0" xfId="4" applyNumberFormat="1" applyFont="1" applyFill="1" applyProtection="1"/>
    <xf numFmtId="165" fontId="37" fillId="0" borderId="22" xfId="4" applyNumberFormat="1" applyFont="1" applyFill="1" applyBorder="1" applyProtection="1"/>
    <xf numFmtId="165" fontId="12" fillId="0" borderId="22" xfId="4" applyNumberFormat="1" applyFont="1" applyFill="1" applyBorder="1" applyProtection="1"/>
    <xf numFmtId="165" fontId="37" fillId="0" borderId="0" xfId="4" applyNumberFormat="1" applyFont="1" applyFill="1" applyProtection="1"/>
    <xf numFmtId="165" fontId="12" fillId="0" borderId="0" xfId="4" applyNumberFormat="1" applyFont="1" applyFill="1" applyProtection="1"/>
    <xf numFmtId="164" fontId="0" fillId="0" borderId="0" xfId="4" applyNumberFormat="1" applyFont="1" applyFill="1" applyProtection="1"/>
    <xf numFmtId="0" fontId="12" fillId="0" borderId="0" xfId="0" applyFont="1"/>
    <xf numFmtId="164" fontId="38" fillId="0" borderId="0" xfId="4" applyNumberFormat="1" applyFont="1" applyFill="1" applyBorder="1" applyProtection="1"/>
    <xf numFmtId="170" fontId="0" fillId="0" borderId="0" xfId="4" applyNumberFormat="1" applyFont="1" applyFill="1" applyBorder="1" applyProtection="1"/>
    <xf numFmtId="170" fontId="0" fillId="0" borderId="0" xfId="4" applyNumberFormat="1" applyFont="1" applyFill="1" applyProtection="1"/>
    <xf numFmtId="168" fontId="12" fillId="0" borderId="0" xfId="4" applyNumberFormat="1" applyFont="1" applyFill="1" applyBorder="1" applyProtection="1"/>
    <xf numFmtId="168" fontId="12" fillId="0" borderId="8" xfId="4" applyNumberFormat="1" applyFont="1" applyFill="1" applyBorder="1" applyProtection="1"/>
    <xf numFmtId="167" fontId="13" fillId="0" borderId="0" xfId="4" applyNumberFormat="1" applyFont="1" applyFill="1" applyBorder="1" applyAlignment="1" applyProtection="1">
      <alignment horizontal="right"/>
      <protection locked="0"/>
    </xf>
    <xf numFmtId="167" fontId="13" fillId="0" borderId="1" xfId="4" applyNumberFormat="1" applyFont="1" applyFill="1" applyBorder="1" applyAlignment="1" applyProtection="1">
      <alignment horizontal="right"/>
    </xf>
    <xf numFmtId="167" fontId="12" fillId="0" borderId="0" xfId="4" applyNumberFormat="1" applyFont="1" applyFill="1" applyBorder="1" applyProtection="1"/>
    <xf numFmtId="167" fontId="13" fillId="0" borderId="1" xfId="4" applyNumberFormat="1" applyFont="1" applyFill="1" applyBorder="1" applyProtection="1">
      <protection locked="0"/>
    </xf>
    <xf numFmtId="167" fontId="13" fillId="0" borderId="1" xfId="4" applyNumberFormat="1" applyFont="1" applyFill="1" applyBorder="1" applyProtection="1"/>
    <xf numFmtId="190" fontId="21" fillId="0" borderId="0" xfId="0" applyNumberFormat="1" applyFont="1"/>
    <xf numFmtId="167" fontId="34" fillId="0" borderId="0" xfId="4" applyNumberFormat="1" applyFont="1" applyFill="1" applyProtection="1">
      <protection locked="0"/>
    </xf>
    <xf numFmtId="37" fontId="0" fillId="0" borderId="0" xfId="4" applyNumberFormat="1" applyFont="1" applyFill="1" applyProtection="1"/>
    <xf numFmtId="167" fontId="0" fillId="0" borderId="0" xfId="4" applyNumberFormat="1" applyFont="1" applyFill="1" applyProtection="1"/>
    <xf numFmtId="167" fontId="34" fillId="0" borderId="1" xfId="4" applyNumberFormat="1" applyFont="1" applyFill="1" applyBorder="1" applyAlignment="1" applyProtection="1">
      <alignment horizontal="right"/>
      <protection locked="0"/>
    </xf>
    <xf numFmtId="167" fontId="13" fillId="0" borderId="1" xfId="4" applyNumberFormat="1" applyFont="1" applyFill="1" applyBorder="1" applyAlignment="1" applyProtection="1">
      <alignment horizontal="right"/>
      <protection locked="0"/>
    </xf>
    <xf numFmtId="165" fontId="0" fillId="0" borderId="0" xfId="4" applyNumberFormat="1" applyFont="1" applyFill="1" applyBorder="1" applyProtection="1"/>
    <xf numFmtId="37" fontId="13" fillId="0" borderId="0" xfId="4" applyNumberFormat="1" applyFont="1" applyFill="1" applyProtection="1"/>
    <xf numFmtId="167" fontId="13" fillId="0" borderId="0" xfId="4" applyNumberFormat="1" applyFont="1" applyFill="1" applyProtection="1">
      <protection locked="0"/>
    </xf>
    <xf numFmtId="37" fontId="13" fillId="0" borderId="0" xfId="4" applyNumberFormat="1" applyFont="1" applyFill="1" applyBorder="1" applyProtection="1"/>
    <xf numFmtId="167" fontId="0" fillId="0" borderId="0" xfId="4" applyNumberFormat="1" applyFont="1" applyFill="1" applyProtection="1">
      <protection locked="0"/>
    </xf>
    <xf numFmtId="167" fontId="34" fillId="0" borderId="0" xfId="4" applyNumberFormat="1" applyFont="1" applyFill="1" applyBorder="1" applyProtection="1">
      <protection locked="0"/>
    </xf>
    <xf numFmtId="167" fontId="13" fillId="0" borderId="0" xfId="4" applyNumberFormat="1" applyFont="1" applyFill="1" applyBorder="1" applyProtection="1">
      <protection locked="0"/>
    </xf>
    <xf numFmtId="37" fontId="0" fillId="0" borderId="0" xfId="4" applyNumberFormat="1" applyFont="1" applyFill="1" applyBorder="1" applyProtection="1"/>
    <xf numFmtId="0" fontId="12" fillId="0" borderId="13" xfId="0" applyFont="1" applyBorder="1"/>
    <xf numFmtId="0" fontId="0" fillId="0" borderId="14" xfId="0" applyBorder="1"/>
    <xf numFmtId="4" fontId="0" fillId="0" borderId="0" xfId="4" applyNumberFormat="1" applyFont="1" applyFill="1" applyBorder="1" applyProtection="1"/>
    <xf numFmtId="4" fontId="0" fillId="0" borderId="0" xfId="4" applyNumberFormat="1" applyFont="1" applyFill="1" applyBorder="1" applyAlignment="1" applyProtection="1">
      <alignment horizontal="left"/>
    </xf>
    <xf numFmtId="43" fontId="48" fillId="0" borderId="0" xfId="4" applyFont="1" applyFill="1" applyProtection="1"/>
    <xf numFmtId="179" fontId="13" fillId="0" borderId="0" xfId="4" applyNumberFormat="1" applyFont="1" applyFill="1" applyProtection="1"/>
    <xf numFmtId="4" fontId="12" fillId="0" borderId="0" xfId="4" applyNumberFormat="1" applyFont="1" applyFill="1" applyBorder="1" applyProtection="1"/>
    <xf numFmtId="0" fontId="59" fillId="0" borderId="0" xfId="7" applyFont="1" applyAlignment="1">
      <alignment horizontal="centerContinuous"/>
    </xf>
    <xf numFmtId="0" fontId="46" fillId="0" borderId="0" xfId="7" applyFont="1" applyAlignment="1">
      <alignment horizontal="centerContinuous"/>
    </xf>
    <xf numFmtId="0" fontId="3" fillId="0" borderId="0" xfId="7"/>
    <xf numFmtId="0" fontId="20" fillId="0" borderId="0" xfId="7" applyFont="1" applyAlignment="1">
      <alignment horizontal="centerContinuous"/>
    </xf>
    <xf numFmtId="0" fontId="60" fillId="0" borderId="0" xfId="7" applyFont="1" applyAlignment="1">
      <alignment horizontal="centerContinuous"/>
    </xf>
    <xf numFmtId="0" fontId="12" fillId="0" borderId="0" xfId="7" applyFont="1" applyAlignment="1">
      <alignment horizontal="centerContinuous"/>
    </xf>
    <xf numFmtId="0" fontId="61" fillId="0" borderId="0" xfId="7" applyFont="1" applyAlignment="1">
      <alignment horizontal="centerContinuous"/>
    </xf>
    <xf numFmtId="0" fontId="3" fillId="0" borderId="5" xfId="7" applyBorder="1"/>
    <xf numFmtId="0" fontId="3" fillId="0" borderId="1" xfId="7" applyBorder="1"/>
    <xf numFmtId="0" fontId="3" fillId="0" borderId="6" xfId="7" applyBorder="1"/>
    <xf numFmtId="173" fontId="14" fillId="0" borderId="0" xfId="0" applyNumberFormat="1" applyFont="1"/>
    <xf numFmtId="187" fontId="14" fillId="0" borderId="0" xfId="0" quotePrefix="1" applyNumberFormat="1" applyFont="1" applyAlignment="1">
      <alignment horizontal="right"/>
    </xf>
    <xf numFmtId="0" fontId="12" fillId="0" borderId="0" xfId="7" applyFont="1"/>
    <xf numFmtId="0" fontId="5" fillId="0" borderId="0" xfId="7" applyFont="1"/>
    <xf numFmtId="5" fontId="3" fillId="0" borderId="0" xfId="4" applyNumberFormat="1" applyFont="1" applyBorder="1"/>
    <xf numFmtId="0" fontId="54" fillId="0" borderId="0" xfId="7" applyFont="1"/>
    <xf numFmtId="0" fontId="26" fillId="0" borderId="0" xfId="7" applyFont="1"/>
    <xf numFmtId="0" fontId="3" fillId="0" borderId="10" xfId="7" applyBorder="1"/>
    <xf numFmtId="0" fontId="3" fillId="0" borderId="11" xfId="7" applyBorder="1"/>
    <xf numFmtId="0" fontId="21" fillId="0" borderId="0" xfId="7" applyFont="1"/>
    <xf numFmtId="0" fontId="3" fillId="0" borderId="0" xfId="7" applyAlignment="1">
      <alignment horizontal="right"/>
    </xf>
    <xf numFmtId="0" fontId="3" fillId="0" borderId="0" xfId="7" applyAlignment="1">
      <alignment vertical="center"/>
    </xf>
    <xf numFmtId="0" fontId="3" fillId="0" borderId="7" xfId="7" applyBorder="1" applyAlignment="1">
      <alignment vertical="center"/>
    </xf>
    <xf numFmtId="0" fontId="3" fillId="0" borderId="8" xfId="7" applyBorder="1" applyAlignment="1">
      <alignment vertical="center"/>
    </xf>
    <xf numFmtId="0" fontId="32" fillId="0" borderId="14" xfId="7" applyFont="1" applyBorder="1" applyAlignment="1">
      <alignment horizontal="centerContinuous" vertical="center"/>
    </xf>
    <xf numFmtId="0" fontId="21" fillId="0" borderId="14" xfId="7" applyFont="1" applyBorder="1" applyAlignment="1">
      <alignment horizontal="centerContinuous" vertical="center"/>
    </xf>
    <xf numFmtId="0" fontId="3" fillId="0" borderId="9" xfId="7" applyBorder="1" applyAlignment="1">
      <alignment vertical="center"/>
    </xf>
    <xf numFmtId="0" fontId="3" fillId="0" borderId="5" xfId="7" applyBorder="1" applyAlignment="1">
      <alignment vertical="center"/>
    </xf>
    <xf numFmtId="0" fontId="3" fillId="0" borderId="1" xfId="7" applyBorder="1" applyAlignment="1">
      <alignment vertical="center"/>
    </xf>
    <xf numFmtId="173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3" fillId="0" borderId="6" xfId="7" applyBorder="1" applyAlignment="1">
      <alignment vertical="center"/>
    </xf>
    <xf numFmtId="39" fontId="13" fillId="0" borderId="0" xfId="0" applyNumberFormat="1" applyFont="1" applyAlignment="1">
      <alignment horizontal="right"/>
    </xf>
    <xf numFmtId="0" fontId="0" fillId="0" borderId="33" xfId="0" applyBorder="1" applyAlignment="1">
      <alignment horizontal="center" vertical="center"/>
    </xf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left"/>
    </xf>
    <xf numFmtId="0" fontId="0" fillId="0" borderId="36" xfId="0" applyBorder="1"/>
    <xf numFmtId="0" fontId="0" fillId="0" borderId="37" xfId="0" applyBorder="1"/>
    <xf numFmtId="0" fontId="0" fillId="0" borderId="33" xfId="0" applyBorder="1"/>
    <xf numFmtId="0" fontId="0" fillId="0" borderId="35" xfId="0" applyBorder="1"/>
    <xf numFmtId="37" fontId="13" fillId="0" borderId="36" xfId="0" applyNumberFormat="1" applyFont="1" applyBorder="1" applyAlignment="1">
      <alignment horizontal="right"/>
    </xf>
    <xf numFmtId="0" fontId="0" fillId="0" borderId="33" xfId="0" quotePrefix="1" applyBorder="1" applyAlignment="1">
      <alignment horizontal="left"/>
    </xf>
    <xf numFmtId="0" fontId="14" fillId="0" borderId="33" xfId="0" applyFont="1" applyBorder="1" applyAlignment="1">
      <alignment vertical="center"/>
    </xf>
    <xf numFmtId="0" fontId="15" fillId="0" borderId="34" xfId="0" applyFont="1" applyBorder="1" applyAlignment="1">
      <alignment horizontal="centerContinuous" vertical="center"/>
    </xf>
    <xf numFmtId="0" fontId="13" fillId="0" borderId="33" xfId="0" applyFont="1" applyBorder="1"/>
    <xf numFmtId="0" fontId="0" fillId="0" borderId="34" xfId="0" applyBorder="1" applyAlignment="1">
      <alignment horizontal="centerContinuous"/>
    </xf>
    <xf numFmtId="0" fontId="13" fillId="0" borderId="35" xfId="0" applyFont="1" applyBorder="1" applyAlignment="1">
      <alignment horizontal="left"/>
    </xf>
    <xf numFmtId="0" fontId="0" fillId="0" borderId="36" xfId="0" applyBorder="1" applyAlignment="1">
      <alignment horizontal="centerContinuous"/>
    </xf>
    <xf numFmtId="0" fontId="0" fillId="0" borderId="37" xfId="0" applyBorder="1" applyAlignment="1">
      <alignment horizontal="centerContinuous"/>
    </xf>
    <xf numFmtId="0" fontId="0" fillId="0" borderId="33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14" fillId="0" borderId="33" xfId="0" applyFont="1" applyBorder="1"/>
    <xf numFmtId="0" fontId="0" fillId="0" borderId="33" xfId="0" applyBorder="1" applyAlignment="1">
      <alignment horizontal="left"/>
    </xf>
    <xf numFmtId="175" fontId="0" fillId="0" borderId="33" xfId="0" applyNumberFormat="1" applyBorder="1" applyAlignment="1">
      <alignment horizontal="left"/>
    </xf>
    <xf numFmtId="0" fontId="0" fillId="0" borderId="35" xfId="0" quotePrefix="1" applyBorder="1" applyAlignment="1">
      <alignment horizontal="left"/>
    </xf>
    <xf numFmtId="168" fontId="13" fillId="0" borderId="37" xfId="0" applyNumberFormat="1" applyFont="1" applyBorder="1" applyAlignment="1">
      <alignment horizontal="right"/>
    </xf>
    <xf numFmtId="0" fontId="13" fillId="0" borderId="34" xfId="0" applyFont="1" applyBorder="1" applyAlignment="1">
      <alignment horizontal="right"/>
    </xf>
    <xf numFmtId="175" fontId="0" fillId="0" borderId="36" xfId="0" quotePrefix="1" applyNumberFormat="1" applyBorder="1" applyAlignment="1">
      <alignment horizontal="left"/>
    </xf>
    <xf numFmtId="0" fontId="17" fillId="0" borderId="0" xfId="0" applyFont="1" applyAlignment="1">
      <alignment vertical="center"/>
    </xf>
    <xf numFmtId="0" fontId="12" fillId="0" borderId="33" xfId="0" applyFont="1" applyBorder="1"/>
    <xf numFmtId="168" fontId="13" fillId="0" borderId="34" xfId="0" applyNumberFormat="1" applyFont="1" applyBorder="1"/>
    <xf numFmtId="0" fontId="12" fillId="0" borderId="33" xfId="0" applyFont="1" applyBorder="1" applyAlignment="1">
      <alignment horizontal="left" vertical="center"/>
    </xf>
    <xf numFmtId="170" fontId="13" fillId="0" borderId="36" xfId="0" applyNumberFormat="1" applyFont="1" applyBorder="1"/>
    <xf numFmtId="170" fontId="13" fillId="0" borderId="37" xfId="0" applyNumberFormat="1" applyFont="1" applyBorder="1"/>
    <xf numFmtId="0" fontId="12" fillId="0" borderId="0" xfId="0" applyFont="1" applyAlignment="1">
      <alignment horizontal="right"/>
    </xf>
    <xf numFmtId="0" fontId="66" fillId="0" borderId="0" xfId="7" applyFont="1"/>
    <xf numFmtId="0" fontId="3" fillId="0" borderId="12" xfId="7" applyBorder="1"/>
    <xf numFmtId="0" fontId="29" fillId="0" borderId="0" xfId="7" applyFont="1"/>
    <xf numFmtId="0" fontId="3" fillId="0" borderId="12" xfId="8" applyFont="1" applyBorder="1"/>
    <xf numFmtId="0" fontId="3" fillId="0" borderId="12" xfId="8" applyFont="1" applyBorder="1" applyAlignment="1">
      <alignment horizontal="center"/>
    </xf>
    <xf numFmtId="0" fontId="11" fillId="0" borderId="12" xfId="0" applyFont="1" applyBorder="1"/>
    <xf numFmtId="0" fontId="0" fillId="0" borderId="12" xfId="0" applyBorder="1"/>
    <xf numFmtId="0" fontId="3" fillId="2" borderId="0" xfId="7" applyFill="1"/>
    <xf numFmtId="173" fontId="14" fillId="2" borderId="0" xfId="0" applyNumberFormat="1" applyFont="1" applyFill="1"/>
    <xf numFmtId="187" fontId="14" fillId="2" borderId="0" xfId="0" quotePrefix="1" applyNumberFormat="1" applyFont="1" applyFill="1" applyAlignment="1">
      <alignment horizontal="right"/>
    </xf>
    <xf numFmtId="0" fontId="14" fillId="2" borderId="0" xfId="0" applyFont="1" applyFill="1"/>
    <xf numFmtId="0" fontId="12" fillId="2" borderId="33" xfId="0" applyFont="1" applyFill="1" applyBorder="1" applyAlignment="1">
      <alignment vertical="center"/>
    </xf>
    <xf numFmtId="0" fontId="0" fillId="2" borderId="0" xfId="0" applyFill="1"/>
    <xf numFmtId="0" fontId="0" fillId="2" borderId="34" xfId="0" applyFill="1" applyBorder="1"/>
    <xf numFmtId="0" fontId="3" fillId="3" borderId="0" xfId="7" applyFill="1"/>
    <xf numFmtId="173" fontId="14" fillId="3" borderId="0" xfId="0" applyNumberFormat="1" applyFont="1" applyFill="1"/>
    <xf numFmtId="187" fontId="14" fillId="3" borderId="0" xfId="0" quotePrefix="1" applyNumberFormat="1" applyFont="1" applyFill="1" applyAlignment="1">
      <alignment horizontal="right"/>
    </xf>
    <xf numFmtId="0" fontId="14" fillId="3" borderId="0" xfId="0" applyFont="1" applyFill="1"/>
    <xf numFmtId="0" fontId="12" fillId="3" borderId="33" xfId="0" applyFont="1" applyFill="1" applyBorder="1" applyAlignment="1">
      <alignment vertical="center"/>
    </xf>
    <xf numFmtId="0" fontId="0" fillId="3" borderId="0" xfId="0" applyFill="1"/>
    <xf numFmtId="0" fontId="0" fillId="3" borderId="34" xfId="0" applyFill="1" applyBorder="1"/>
    <xf numFmtId="0" fontId="67" fillId="0" borderId="0" xfId="7" applyFont="1"/>
    <xf numFmtId="0" fontId="3" fillId="2" borderId="42" xfId="7" applyFill="1" applyBorder="1"/>
    <xf numFmtId="0" fontId="14" fillId="2" borderId="43" xfId="0" applyFont="1" applyFill="1" applyBorder="1"/>
    <xf numFmtId="0" fontId="3" fillId="3" borderId="42" xfId="7" applyFill="1" applyBorder="1"/>
    <xf numFmtId="0" fontId="14" fillId="3" borderId="43" xfId="0" applyFont="1" applyFill="1" applyBorder="1"/>
    <xf numFmtId="0" fontId="3" fillId="0" borderId="42" xfId="7" applyBorder="1"/>
    <xf numFmtId="0" fontId="3" fillId="0" borderId="43" xfId="7" applyBorder="1"/>
    <xf numFmtId="5" fontId="3" fillId="0" borderId="43" xfId="4" applyNumberFormat="1" applyFont="1" applyBorder="1"/>
    <xf numFmtId="190" fontId="21" fillId="0" borderId="43" xfId="0" applyNumberFormat="1" applyFont="1" applyBorder="1"/>
    <xf numFmtId="0" fontId="3" fillId="0" borderId="44" xfId="7" applyBorder="1"/>
    <xf numFmtId="0" fontId="3" fillId="0" borderId="45" xfId="7" applyBorder="1"/>
    <xf numFmtId="0" fontId="3" fillId="0" borderId="45" xfId="7" applyBorder="1" applyAlignment="1">
      <alignment horizontal="left"/>
    </xf>
    <xf numFmtId="0" fontId="3" fillId="0" borderId="46" xfId="7" applyBorder="1"/>
    <xf numFmtId="192" fontId="0" fillId="0" borderId="0" xfId="13" applyNumberFormat="1" applyFont="1"/>
    <xf numFmtId="0" fontId="12" fillId="0" borderId="1" xfId="0" applyFont="1" applyBorder="1" applyAlignment="1">
      <alignment horizontal="center" vertical="center"/>
    </xf>
    <xf numFmtId="166" fontId="0" fillId="0" borderId="0" xfId="14" applyNumberFormat="1" applyFont="1"/>
    <xf numFmtId="0" fontId="1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66" fontId="71" fillId="0" borderId="0" xfId="14" applyNumberFormat="1" applyFont="1"/>
    <xf numFmtId="0" fontId="0" fillId="4" borderId="0" xfId="0" applyFill="1" applyAlignment="1">
      <alignment horizontal="center" vertical="center"/>
    </xf>
    <xf numFmtId="9" fontId="0" fillId="0" borderId="0" xfId="14" applyFont="1" applyBorder="1"/>
    <xf numFmtId="1" fontId="0" fillId="0" borderId="1" xfId="0" applyNumberFormat="1" applyBorder="1"/>
    <xf numFmtId="0" fontId="16" fillId="0" borderId="0" xfId="0" applyFont="1" applyAlignment="1">
      <alignment horizontal="centerContinuous" vertical="center"/>
    </xf>
    <xf numFmtId="166" fontId="12" fillId="0" borderId="14" xfId="14" applyNumberFormat="1" applyFont="1" applyBorder="1"/>
    <xf numFmtId="166" fontId="12" fillId="0" borderId="15" xfId="14" applyNumberFormat="1" applyFont="1" applyBorder="1"/>
    <xf numFmtId="193" fontId="0" fillId="0" borderId="0" xfId="13" applyNumberFormat="1" applyFont="1"/>
    <xf numFmtId="193" fontId="0" fillId="0" borderId="1" xfId="13" applyNumberFormat="1" applyFont="1" applyBorder="1"/>
    <xf numFmtId="193" fontId="12" fillId="0" borderId="0" xfId="13" applyNumberFormat="1" applyFont="1"/>
    <xf numFmtId="193" fontId="0" fillId="0" borderId="0" xfId="0" applyNumberFormat="1"/>
    <xf numFmtId="193" fontId="0" fillId="0" borderId="1" xfId="0" applyNumberFormat="1" applyBorder="1"/>
    <xf numFmtId="193" fontId="71" fillId="0" borderId="1" xfId="13" applyNumberFormat="1" applyFont="1" applyBorder="1"/>
    <xf numFmtId="193" fontId="71" fillId="0" borderId="0" xfId="13" applyNumberFormat="1" applyFont="1"/>
    <xf numFmtId="0" fontId="71" fillId="0" borderId="0" xfId="0" applyFont="1"/>
    <xf numFmtId="193" fontId="71" fillId="0" borderId="0" xfId="0" applyNumberFormat="1" applyFont="1"/>
    <xf numFmtId="166" fontId="71" fillId="0" borderId="0" xfId="0" applyNumberFormat="1" applyFont="1"/>
    <xf numFmtId="194" fontId="0" fillId="0" borderId="0" xfId="0" applyNumberFormat="1"/>
    <xf numFmtId="0" fontId="71" fillId="0" borderId="7" xfId="0" applyFont="1" applyBorder="1" applyAlignment="1">
      <alignment horizontal="right" vertical="center"/>
    </xf>
    <xf numFmtId="193" fontId="71" fillId="0" borderId="9" xfId="0" applyNumberFormat="1" applyFont="1" applyBorder="1" applyAlignment="1">
      <alignment horizontal="right" vertical="center"/>
    </xf>
    <xf numFmtId="0" fontId="71" fillId="0" borderId="5" xfId="0" applyFont="1" applyBorder="1" applyAlignment="1">
      <alignment horizontal="right" vertical="center"/>
    </xf>
    <xf numFmtId="193" fontId="71" fillId="0" borderId="6" xfId="0" applyNumberFormat="1" applyFont="1" applyBorder="1" applyAlignment="1">
      <alignment horizontal="right" vertical="center"/>
    </xf>
    <xf numFmtId="0" fontId="71" fillId="0" borderId="10" xfId="0" applyFont="1" applyBorder="1" applyAlignment="1">
      <alignment horizontal="right" vertical="center"/>
    </xf>
    <xf numFmtId="193" fontId="71" fillId="0" borderId="11" xfId="0" applyNumberFormat="1" applyFont="1" applyBorder="1" applyAlignment="1">
      <alignment horizontal="right" vertical="center"/>
    </xf>
    <xf numFmtId="0" fontId="12" fillId="0" borderId="1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166" fontId="71" fillId="0" borderId="1" xfId="14" applyNumberFormat="1" applyFont="1" applyBorder="1"/>
    <xf numFmtId="1" fontId="0" fillId="0" borderId="0" xfId="0" applyNumberFormat="1"/>
    <xf numFmtId="166" fontId="71" fillId="0" borderId="0" xfId="14" applyNumberFormat="1" applyFont="1" applyBorder="1"/>
    <xf numFmtId="9" fontId="71" fillId="0" borderId="0" xfId="14" applyFont="1"/>
    <xf numFmtId="6" fontId="71" fillId="0" borderId="0" xfId="0" applyNumberFormat="1" applyFont="1"/>
    <xf numFmtId="9" fontId="71" fillId="0" borderId="0" xfId="0" applyNumberFormat="1" applyFont="1"/>
    <xf numFmtId="195" fontId="0" fillId="0" borderId="0" xfId="0" applyNumberFormat="1"/>
    <xf numFmtId="182" fontId="0" fillId="0" borderId="0" xfId="0" applyNumberFormat="1"/>
    <xf numFmtId="182" fontId="0" fillId="0" borderId="1" xfId="0" applyNumberFormat="1" applyBorder="1"/>
    <xf numFmtId="182" fontId="12" fillId="0" borderId="0" xfId="0" applyNumberFormat="1" applyFont="1"/>
    <xf numFmtId="195" fontId="71" fillId="0" borderId="0" xfId="0" applyNumberFormat="1" applyFont="1"/>
    <xf numFmtId="0" fontId="72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0" fillId="4" borderId="0" xfId="0" applyFill="1"/>
    <xf numFmtId="0" fontId="16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196" fontId="8" fillId="0" borderId="0" xfId="0" applyNumberFormat="1" applyFont="1" applyAlignment="1">
      <alignment wrapText="1"/>
    </xf>
    <xf numFmtId="0" fontId="3" fillId="5" borderId="38" xfId="7" applyFill="1" applyBorder="1" applyAlignment="1">
      <alignment vertical="center"/>
    </xf>
    <xf numFmtId="0" fontId="3" fillId="5" borderId="39" xfId="7" applyFill="1" applyBorder="1" applyAlignment="1">
      <alignment vertical="center"/>
    </xf>
    <xf numFmtId="0" fontId="62" fillId="5" borderId="39" xfId="7" applyFont="1" applyFill="1" applyBorder="1" applyAlignment="1">
      <alignment vertical="center"/>
    </xf>
    <xf numFmtId="0" fontId="63" fillId="5" borderId="40" xfId="7" applyFont="1" applyFill="1" applyBorder="1" applyAlignment="1">
      <alignment horizontal="centerContinuous" vertical="center"/>
    </xf>
    <xf numFmtId="0" fontId="64" fillId="5" borderId="40" xfId="7" applyFont="1" applyFill="1" applyBorder="1" applyAlignment="1">
      <alignment horizontal="centerContinuous" vertical="center"/>
    </xf>
    <xf numFmtId="0" fontId="62" fillId="5" borderId="41" xfId="7" applyFont="1" applyFill="1" applyBorder="1" applyAlignment="1">
      <alignment vertical="center"/>
    </xf>
    <xf numFmtId="0" fontId="3" fillId="5" borderId="42" xfId="7" applyFill="1" applyBorder="1" applyAlignment="1">
      <alignment vertical="center"/>
    </xf>
    <xf numFmtId="0" fontId="65" fillId="5" borderId="0" xfId="7" applyFont="1" applyFill="1" applyAlignment="1">
      <alignment vertical="center"/>
    </xf>
    <xf numFmtId="0" fontId="3" fillId="5" borderId="0" xfId="7" applyFill="1" applyAlignment="1">
      <alignment vertical="center"/>
    </xf>
    <xf numFmtId="173" fontId="65" fillId="5" borderId="0" xfId="0" applyNumberFormat="1" applyFont="1" applyFill="1" applyAlignment="1">
      <alignment vertical="center"/>
    </xf>
    <xf numFmtId="0" fontId="65" fillId="5" borderId="0" xfId="0" applyFont="1" applyFill="1" applyAlignment="1">
      <alignment vertical="center"/>
    </xf>
    <xf numFmtId="0" fontId="62" fillId="5" borderId="43" xfId="7" applyFont="1" applyFill="1" applyBorder="1" applyAlignment="1">
      <alignment vertical="center"/>
    </xf>
    <xf numFmtId="0" fontId="3" fillId="5" borderId="41" xfId="7" applyFill="1" applyBorder="1" applyAlignment="1">
      <alignment vertical="center"/>
    </xf>
    <xf numFmtId="0" fontId="3" fillId="5" borderId="43" xfId="7" applyFill="1" applyBorder="1" applyAlignment="1">
      <alignment vertical="center"/>
    </xf>
    <xf numFmtId="0" fontId="3" fillId="5" borderId="47" xfId="7" applyFill="1" applyBorder="1" applyAlignment="1">
      <alignment vertical="center"/>
    </xf>
    <xf numFmtId="0" fontId="3" fillId="5" borderId="36" xfId="7" applyFill="1" applyBorder="1" applyAlignment="1">
      <alignment vertical="center"/>
    </xf>
    <xf numFmtId="173" fontId="65" fillId="5" borderId="36" xfId="0" applyNumberFormat="1" applyFont="1" applyFill="1" applyBorder="1" applyAlignment="1">
      <alignment vertical="center"/>
    </xf>
    <xf numFmtId="0" fontId="65" fillId="5" borderId="36" xfId="0" applyFont="1" applyFill="1" applyBorder="1" applyAlignment="1">
      <alignment vertical="center"/>
    </xf>
    <xf numFmtId="0" fontId="3" fillId="5" borderId="48" xfId="7" applyFill="1" applyBorder="1" applyAlignment="1">
      <alignment vertical="center"/>
    </xf>
    <xf numFmtId="0" fontId="76" fillId="0" borderId="0" xfId="7" applyFont="1" applyAlignment="1">
      <alignment horizontal="centerContinuous"/>
    </xf>
    <xf numFmtId="0" fontId="77" fillId="0" borderId="0" xfId="7" applyFont="1" applyAlignment="1">
      <alignment horizontal="centerContinuous"/>
    </xf>
    <xf numFmtId="0" fontId="76" fillId="0" borderId="0" xfId="0" applyFont="1" applyAlignment="1">
      <alignment horizontal="centerContinuous"/>
    </xf>
    <xf numFmtId="0" fontId="77" fillId="0" borderId="0" xfId="0" applyFont="1" applyAlignment="1">
      <alignment horizontal="centerContinuous"/>
    </xf>
    <xf numFmtId="0" fontId="10" fillId="0" borderId="0" xfId="0" applyFont="1" applyAlignment="1">
      <alignment horizontal="centerContinuous" vertical="center"/>
    </xf>
    <xf numFmtId="0" fontId="77" fillId="0" borderId="0" xfId="0" applyFont="1" applyAlignment="1">
      <alignment horizontal="centerContinuous" vertical="center"/>
    </xf>
    <xf numFmtId="0" fontId="11" fillId="0" borderId="0" xfId="0" applyFont="1" applyAlignment="1">
      <alignment horizontal="centerContinuous" vertical="center"/>
    </xf>
    <xf numFmtId="0" fontId="78" fillId="0" borderId="0" xfId="8" applyFont="1"/>
    <xf numFmtId="0" fontId="79" fillId="0" borderId="0" xfId="8" applyFont="1"/>
    <xf numFmtId="0" fontId="77" fillId="0" borderId="0" xfId="8" applyFont="1" applyAlignment="1">
      <alignment horizontal="centerContinuous"/>
    </xf>
    <xf numFmtId="0" fontId="65" fillId="5" borderId="30" xfId="0" applyFont="1" applyFill="1" applyBorder="1" applyAlignment="1">
      <alignment vertical="center"/>
    </xf>
    <xf numFmtId="0" fontId="0" fillId="5" borderId="31" xfId="0" applyFill="1" applyBorder="1"/>
    <xf numFmtId="0" fontId="0" fillId="5" borderId="32" xfId="0" applyFill="1" applyBorder="1"/>
    <xf numFmtId="0" fontId="0" fillId="5" borderId="31" xfId="0" applyFill="1" applyBorder="1" applyAlignment="1">
      <alignment vertical="center"/>
    </xf>
    <xf numFmtId="0" fontId="0" fillId="5" borderId="32" xfId="0" applyFill="1" applyBorder="1" applyAlignment="1">
      <alignment vertical="center"/>
    </xf>
    <xf numFmtId="0" fontId="65" fillId="5" borderId="31" xfId="0" applyFont="1" applyFill="1" applyBorder="1" applyAlignment="1">
      <alignment vertical="center"/>
    </xf>
    <xf numFmtId="0" fontId="65" fillId="5" borderId="32" xfId="0" applyFont="1" applyFill="1" applyBorder="1" applyAlignment="1">
      <alignment vertical="center"/>
    </xf>
    <xf numFmtId="0" fontId="76" fillId="0" borderId="0" xfId="0" applyFont="1" applyAlignment="1">
      <alignment horizontal="centerContinuous" vertical="center"/>
    </xf>
    <xf numFmtId="0" fontId="13" fillId="0" borderId="50" xfId="0" applyFont="1" applyBorder="1" applyAlignment="1">
      <alignment horizontal="left"/>
    </xf>
    <xf numFmtId="7" fontId="13" fillId="0" borderId="51" xfId="0" applyNumberFormat="1" applyFont="1" applyBorder="1" applyAlignment="1">
      <alignment horizontal="right"/>
    </xf>
    <xf numFmtId="39" fontId="13" fillId="0" borderId="34" xfId="0" applyNumberFormat="1" applyFont="1" applyBorder="1" applyAlignment="1">
      <alignment horizontal="right"/>
    </xf>
    <xf numFmtId="166" fontId="13" fillId="0" borderId="37" xfId="0" quotePrefix="1" applyNumberFormat="1" applyFont="1" applyBorder="1" applyAlignment="1">
      <alignment horizontal="right"/>
    </xf>
    <xf numFmtId="37" fontId="13" fillId="0" borderId="34" xfId="0" applyNumberFormat="1" applyFont="1" applyBorder="1" applyAlignment="1">
      <alignment horizontal="right"/>
    </xf>
    <xf numFmtId="181" fontId="13" fillId="0" borderId="0" xfId="0" quotePrefix="1" applyNumberFormat="1" applyFont="1" applyAlignment="1">
      <alignment horizontal="centerContinuous"/>
    </xf>
    <xf numFmtId="181" fontId="13" fillId="0" borderId="36" xfId="0" quotePrefix="1" applyNumberFormat="1" applyFont="1" applyBorder="1" applyAlignment="1">
      <alignment horizontal="centerContinuous"/>
    </xf>
    <xf numFmtId="166" fontId="13" fillId="0" borderId="34" xfId="0" applyNumberFormat="1" applyFont="1" applyBorder="1" applyAlignment="1">
      <alignment horizontal="right"/>
    </xf>
    <xf numFmtId="182" fontId="13" fillId="0" borderId="0" xfId="0" applyNumberFormat="1" applyFont="1"/>
    <xf numFmtId="182" fontId="13" fillId="0" borderId="36" xfId="0" applyNumberFormat="1" applyFont="1" applyBorder="1"/>
    <xf numFmtId="166" fontId="13" fillId="0" borderId="34" xfId="0" quotePrefix="1" applyNumberFormat="1" applyFont="1" applyBorder="1" applyAlignment="1">
      <alignment horizontal="right"/>
    </xf>
    <xf numFmtId="3" fontId="13" fillId="0" borderId="34" xfId="0" applyNumberFormat="1" applyFont="1" applyBorder="1" applyAlignment="1">
      <alignment horizontal="right"/>
    </xf>
    <xf numFmtId="3" fontId="13" fillId="0" borderId="37" xfId="0" applyNumberFormat="1" applyFont="1" applyBorder="1" applyAlignment="1">
      <alignment horizontal="right"/>
    </xf>
    <xf numFmtId="170" fontId="13" fillId="0" borderId="0" xfId="0" applyNumberFormat="1" applyFont="1" applyProtection="1">
      <protection locked="0"/>
    </xf>
    <xf numFmtId="170" fontId="13" fillId="0" borderId="34" xfId="0" applyNumberFormat="1" applyFont="1" applyBorder="1" applyProtection="1">
      <protection locked="0"/>
    </xf>
    <xf numFmtId="166" fontId="25" fillId="0" borderId="16" xfId="0" applyNumberFormat="1" applyFont="1" applyBorder="1"/>
    <xf numFmtId="166" fontId="25" fillId="0" borderId="17" xfId="0" applyNumberFormat="1" applyFont="1" applyBorder="1"/>
    <xf numFmtId="166" fontId="25" fillId="0" borderId="18" xfId="0" applyNumberFormat="1" applyFont="1" applyBorder="1"/>
    <xf numFmtId="166" fontId="25" fillId="0" borderId="19" xfId="0" applyNumberFormat="1" applyFont="1" applyBorder="1"/>
    <xf numFmtId="166" fontId="25" fillId="0" borderId="0" xfId="0" applyNumberFormat="1" applyFont="1"/>
    <xf numFmtId="166" fontId="25" fillId="0" borderId="20" xfId="0" applyNumberFormat="1" applyFont="1" applyBorder="1"/>
    <xf numFmtId="166" fontId="25" fillId="0" borderId="21" xfId="0" applyNumberFormat="1" applyFont="1" applyBorder="1"/>
    <xf numFmtId="166" fontId="25" fillId="0" borderId="22" xfId="0" applyNumberFormat="1" applyFont="1" applyBorder="1"/>
    <xf numFmtId="166" fontId="25" fillId="0" borderId="23" xfId="0" applyNumberFormat="1" applyFont="1" applyBorder="1"/>
    <xf numFmtId="170" fontId="25" fillId="0" borderId="16" xfId="4" applyNumberFormat="1" applyFont="1" applyFill="1" applyBorder="1" applyProtection="1"/>
    <xf numFmtId="170" fontId="25" fillId="0" borderId="17" xfId="4" applyNumberFormat="1" applyFont="1" applyFill="1" applyBorder="1" applyProtection="1"/>
    <xf numFmtId="170" fontId="25" fillId="0" borderId="18" xfId="0" applyNumberFormat="1" applyFont="1" applyBorder="1"/>
    <xf numFmtId="0" fontId="76" fillId="0" borderId="0" xfId="8" applyFont="1" applyAlignment="1">
      <alignment horizontal="centerContinuous"/>
    </xf>
    <xf numFmtId="0" fontId="12" fillId="0" borderId="0" xfId="8" quotePrefix="1" applyFont="1" applyAlignment="1">
      <alignment horizontal="right"/>
    </xf>
    <xf numFmtId="170" fontId="26" fillId="0" borderId="19" xfId="4" applyNumberFormat="1" applyFont="1" applyFill="1" applyBorder="1" applyProtection="1"/>
    <xf numFmtId="170" fontId="26" fillId="0" borderId="0" xfId="4" applyNumberFormat="1" applyFont="1" applyFill="1" applyBorder="1" applyProtection="1"/>
    <xf numFmtId="170" fontId="26" fillId="0" borderId="20" xfId="4" applyNumberFormat="1" applyFont="1" applyFill="1" applyBorder="1" applyProtection="1"/>
    <xf numFmtId="170" fontId="26" fillId="0" borderId="21" xfId="4" applyNumberFormat="1" applyFont="1" applyFill="1" applyBorder="1" applyProtection="1"/>
    <xf numFmtId="170" fontId="26" fillId="0" borderId="22" xfId="4" applyNumberFormat="1" applyFont="1" applyFill="1" applyBorder="1" applyProtection="1"/>
    <xf numFmtId="170" fontId="26" fillId="0" borderId="23" xfId="4" applyNumberFormat="1" applyFont="1" applyFill="1" applyBorder="1" applyProtection="1"/>
    <xf numFmtId="176" fontId="58" fillId="0" borderId="0" xfId="8" applyNumberFormat="1" applyFont="1"/>
    <xf numFmtId="0" fontId="80" fillId="0" borderId="5" xfId="8" applyFont="1" applyBorder="1" applyAlignment="1">
      <alignment vertical="center"/>
    </xf>
    <xf numFmtId="0" fontId="80" fillId="0" borderId="0" xfId="7" quotePrefix="1" applyFont="1" applyAlignment="1">
      <alignment horizontal="right" vertical="center"/>
    </xf>
    <xf numFmtId="168" fontId="12" fillId="0" borderId="0" xfId="0" applyNumberFormat="1" applyFont="1" applyAlignment="1">
      <alignment vertical="center"/>
    </xf>
    <xf numFmtId="0" fontId="3" fillId="5" borderId="12" xfId="7" applyFill="1" applyBorder="1" applyAlignment="1">
      <alignment vertical="center"/>
    </xf>
    <xf numFmtId="0" fontId="0" fillId="0" borderId="52" xfId="0" applyBorder="1"/>
    <xf numFmtId="0" fontId="0" fillId="0" borderId="20" xfId="0" applyBorder="1"/>
    <xf numFmtId="0" fontId="0" fillId="0" borderId="53" xfId="0" applyBorder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Continuous"/>
    </xf>
    <xf numFmtId="0" fontId="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30" fillId="0" borderId="0" xfId="0" applyFont="1" applyAlignment="1">
      <alignment horizontal="centerContinuous"/>
    </xf>
    <xf numFmtId="0" fontId="31" fillId="0" borderId="0" xfId="0" applyFont="1" applyAlignment="1">
      <alignment horizontal="centerContinuous"/>
    </xf>
    <xf numFmtId="0" fontId="20" fillId="0" borderId="12" xfId="0" applyFont="1" applyBorder="1" applyAlignment="1">
      <alignment horizontal="centerContinuous"/>
    </xf>
    <xf numFmtId="0" fontId="30" fillId="0" borderId="12" xfId="0" applyFont="1" applyBorder="1" applyAlignment="1">
      <alignment horizontal="centerContinuous"/>
    </xf>
    <xf numFmtId="0" fontId="31" fillId="0" borderId="12" xfId="0" applyFont="1" applyBorder="1" applyAlignment="1">
      <alignment horizontal="centerContinuous"/>
    </xf>
    <xf numFmtId="0" fontId="20" fillId="0" borderId="0" xfId="0" applyFont="1" applyAlignment="1">
      <alignment horizontal="centerContinuous"/>
    </xf>
    <xf numFmtId="0" fontId="26" fillId="0" borderId="0" xfId="0" applyFont="1"/>
    <xf numFmtId="0" fontId="12" fillId="0" borderId="0" xfId="0" applyFont="1" applyAlignment="1">
      <alignment horizontal="centerContinuous"/>
    </xf>
    <xf numFmtId="0" fontId="32" fillId="0" borderId="1" xfId="0" applyFont="1" applyBorder="1" applyAlignment="1">
      <alignment horizontal="centerContinuous"/>
    </xf>
    <xf numFmtId="173" fontId="12" fillId="0" borderId="0" xfId="0" quotePrefix="1" applyNumberFormat="1" applyFont="1" applyAlignment="1">
      <alignment horizontal="right"/>
    </xf>
    <xf numFmtId="0" fontId="33" fillId="0" borderId="0" xfId="0" applyFont="1"/>
    <xf numFmtId="0" fontId="12" fillId="0" borderId="0" xfId="0" quotePrefix="1" applyFont="1" applyAlignment="1">
      <alignment horizontal="left"/>
    </xf>
    <xf numFmtId="0" fontId="5" fillId="0" borderId="0" xfId="0" applyFont="1"/>
    <xf numFmtId="166" fontId="0" fillId="0" borderId="0" xfId="0" applyNumberFormat="1"/>
    <xf numFmtId="0" fontId="26" fillId="0" borderId="0" xfId="0" quotePrefix="1" applyFont="1" applyAlignment="1">
      <alignment horizontal="left"/>
    </xf>
    <xf numFmtId="164" fontId="55" fillId="0" borderId="0" xfId="4" applyNumberFormat="1" applyFont="1" applyFill="1" applyProtection="1"/>
    <xf numFmtId="166" fontId="36" fillId="0" borderId="0" xfId="0" applyNumberFormat="1" applyFont="1"/>
    <xf numFmtId="166" fontId="21" fillId="0" borderId="0" xfId="0" applyNumberFormat="1" applyFont="1"/>
    <xf numFmtId="166" fontId="56" fillId="0" borderId="0" xfId="0" applyNumberFormat="1" applyFont="1"/>
    <xf numFmtId="164" fontId="0" fillId="0" borderId="1" xfId="4" applyNumberFormat="1" applyFont="1" applyFill="1" applyBorder="1" applyProtection="1"/>
    <xf numFmtId="0" fontId="12" fillId="0" borderId="0" xfId="0" applyFont="1" applyAlignment="1">
      <alignment horizontal="left"/>
    </xf>
    <xf numFmtId="0" fontId="39" fillId="0" borderId="0" xfId="0" quotePrefix="1" applyFont="1" applyAlignment="1">
      <alignment horizontal="left"/>
    </xf>
    <xf numFmtId="0" fontId="0" fillId="0" borderId="22" xfId="0" applyBorder="1"/>
    <xf numFmtId="0" fontId="12" fillId="0" borderId="22" xfId="0" quotePrefix="1" applyFont="1" applyBorder="1" applyAlignment="1">
      <alignment horizontal="left"/>
    </xf>
    <xf numFmtId="0" fontId="39" fillId="0" borderId="22" xfId="0" quotePrefix="1" applyFont="1" applyBorder="1" applyAlignment="1">
      <alignment horizontal="left"/>
    </xf>
    <xf numFmtId="166" fontId="21" fillId="0" borderId="1" xfId="0" applyNumberFormat="1" applyFont="1" applyBorder="1"/>
    <xf numFmtId="166" fontId="56" fillId="0" borderId="1" xfId="0" applyNumberFormat="1" applyFont="1" applyBorder="1"/>
    <xf numFmtId="0" fontId="39" fillId="0" borderId="0" xfId="0" applyFont="1"/>
    <xf numFmtId="180" fontId="0" fillId="0" borderId="0" xfId="0" applyNumberFormat="1"/>
    <xf numFmtId="0" fontId="26" fillId="0" borderId="22" xfId="0" applyFont="1" applyBorder="1"/>
    <xf numFmtId="0" fontId="13" fillId="0" borderId="0" xfId="0" applyFont="1" applyAlignment="1">
      <alignment horizontal="center"/>
    </xf>
    <xf numFmtId="0" fontId="26" fillId="0" borderId="1" xfId="0" applyFont="1" applyBorder="1"/>
    <xf numFmtId="0" fontId="9" fillId="0" borderId="0" xfId="0" applyFont="1" applyAlignment="1">
      <alignment horizontal="centerContinuous"/>
    </xf>
    <xf numFmtId="0" fontId="12" fillId="0" borderId="0" xfId="0" quotePrefix="1" applyFont="1" applyAlignment="1">
      <alignment horizontal="right"/>
    </xf>
    <xf numFmtId="0" fontId="0" fillId="0" borderId="16" xfId="0" applyBorder="1"/>
    <xf numFmtId="0" fontId="0" fillId="0" borderId="17" xfId="0" applyBorder="1"/>
    <xf numFmtId="0" fontId="26" fillId="0" borderId="17" xfId="0" applyFont="1" applyBorder="1"/>
    <xf numFmtId="0" fontId="14" fillId="0" borderId="17" xfId="0" applyFont="1" applyBorder="1"/>
    <xf numFmtId="167" fontId="0" fillId="0" borderId="17" xfId="0" applyNumberFormat="1" applyBorder="1"/>
    <xf numFmtId="167" fontId="0" fillId="0" borderId="18" xfId="0" applyNumberFormat="1" applyBorder="1"/>
    <xf numFmtId="0" fontId="0" fillId="0" borderId="21" xfId="0" applyBorder="1"/>
    <xf numFmtId="0" fontId="14" fillId="0" borderId="22" xfId="0" applyFont="1" applyBorder="1"/>
    <xf numFmtId="166" fontId="0" fillId="0" borderId="22" xfId="0" applyNumberFormat="1" applyBorder="1" applyAlignment="1">
      <alignment horizontal="right"/>
    </xf>
    <xf numFmtId="180" fontId="0" fillId="0" borderId="22" xfId="0" applyNumberFormat="1" applyBorder="1" applyAlignment="1">
      <alignment horizontal="right"/>
    </xf>
    <xf numFmtId="180" fontId="0" fillId="0" borderId="23" xfId="0" applyNumberFormat="1" applyBorder="1" applyAlignment="1">
      <alignment horizontal="right"/>
    </xf>
    <xf numFmtId="0" fontId="32" fillId="0" borderId="0" xfId="0" applyFont="1"/>
    <xf numFmtId="0" fontId="32" fillId="0" borderId="0" xfId="0" applyFont="1" applyAlignment="1">
      <alignment horizontal="left"/>
    </xf>
    <xf numFmtId="167" fontId="13" fillId="0" borderId="0" xfId="4" applyNumberFormat="1" applyFont="1" applyFill="1" applyBorder="1" applyProtection="1"/>
    <xf numFmtId="167" fontId="55" fillId="0" borderId="0" xfId="4" applyNumberFormat="1" applyFont="1" applyFill="1" applyBorder="1" applyProtection="1"/>
    <xf numFmtId="167" fontId="0" fillId="0" borderId="0" xfId="4" applyNumberFormat="1" applyFont="1" applyFill="1" applyBorder="1" applyProtection="1"/>
    <xf numFmtId="167" fontId="0" fillId="0" borderId="1" xfId="4" applyNumberFormat="1" applyFont="1" applyFill="1" applyBorder="1" applyProtection="1"/>
    <xf numFmtId="39" fontId="13" fillId="0" borderId="0" xfId="4" applyNumberFormat="1" applyFont="1" applyFill="1" applyBorder="1" applyProtection="1"/>
    <xf numFmtId="39" fontId="0" fillId="0" borderId="0" xfId="4" applyNumberFormat="1" applyFont="1" applyFill="1" applyBorder="1" applyProtection="1"/>
    <xf numFmtId="37" fontId="0" fillId="0" borderId="0" xfId="0" applyNumberFormat="1"/>
    <xf numFmtId="37" fontId="12" fillId="0" borderId="0" xfId="4" applyNumberFormat="1" applyFont="1" applyFill="1" applyBorder="1" applyProtection="1"/>
    <xf numFmtId="168" fontId="12" fillId="0" borderId="26" xfId="4" applyNumberFormat="1" applyFont="1" applyFill="1" applyBorder="1" applyProtection="1"/>
    <xf numFmtId="0" fontId="12" fillId="0" borderId="22" xfId="0" applyFont="1" applyBorder="1"/>
    <xf numFmtId="0" fontId="39" fillId="0" borderId="22" xfId="0" applyFont="1" applyBorder="1"/>
    <xf numFmtId="37" fontId="12" fillId="0" borderId="22" xfId="4" applyNumberFormat="1" applyFont="1" applyFill="1" applyBorder="1" applyProtection="1"/>
    <xf numFmtId="167" fontId="55" fillId="0" borderId="1" xfId="4" applyNumberFormat="1" applyFont="1" applyFill="1" applyBorder="1" applyProtection="1"/>
    <xf numFmtId="0" fontId="12" fillId="0" borderId="1" xfId="0" quotePrefix="1" applyFont="1" applyBorder="1" applyAlignment="1">
      <alignment horizontal="left"/>
    </xf>
    <xf numFmtId="0" fontId="12" fillId="0" borderId="1" xfId="0" applyFont="1" applyBorder="1"/>
    <xf numFmtId="0" fontId="39" fillId="0" borderId="1" xfId="0" applyFont="1" applyBorder="1"/>
    <xf numFmtId="37" fontId="12" fillId="0" borderId="1" xfId="4" applyNumberFormat="1" applyFont="1" applyFill="1" applyBorder="1" applyProtection="1"/>
    <xf numFmtId="0" fontId="21" fillId="0" borderId="0" xfId="0" quotePrefix="1" applyFont="1"/>
    <xf numFmtId="5" fontId="13" fillId="0" borderId="0" xfId="0" applyNumberFormat="1" applyFont="1"/>
    <xf numFmtId="167" fontId="0" fillId="0" borderId="0" xfId="4" applyNumberFormat="1" applyFont="1" applyFill="1" applyBorder="1" applyAlignment="1" applyProtection="1">
      <alignment horizontal="right"/>
    </xf>
    <xf numFmtId="167" fontId="0" fillId="0" borderId="1" xfId="4" applyNumberFormat="1" applyFont="1" applyFill="1" applyBorder="1" applyAlignment="1" applyProtection="1">
      <alignment horizontal="right"/>
    </xf>
    <xf numFmtId="0" fontId="29" fillId="0" borderId="0" xfId="0" applyFont="1"/>
    <xf numFmtId="167" fontId="12" fillId="0" borderId="0" xfId="4" applyNumberFormat="1" applyFont="1" applyFill="1" applyBorder="1" applyAlignment="1" applyProtection="1">
      <alignment horizontal="right"/>
    </xf>
    <xf numFmtId="37" fontId="14" fillId="0" borderId="0" xfId="0" applyNumberFormat="1" applyFont="1"/>
    <xf numFmtId="37" fontId="13" fillId="0" borderId="0" xfId="0" applyNumberFormat="1" applyFont="1"/>
    <xf numFmtId="167" fontId="55" fillId="0" borderId="1" xfId="4" applyNumberFormat="1" applyFont="1" applyFill="1" applyBorder="1" applyAlignment="1" applyProtection="1">
      <alignment horizontal="right"/>
    </xf>
    <xf numFmtId="37" fontId="12" fillId="0" borderId="0" xfId="4" applyNumberFormat="1" applyFont="1" applyFill="1" applyBorder="1" applyAlignment="1" applyProtection="1">
      <alignment horizontal="right"/>
    </xf>
    <xf numFmtId="184" fontId="0" fillId="0" borderId="0" xfId="4" applyNumberFormat="1" applyFont="1" applyFill="1" applyBorder="1" applyProtection="1"/>
    <xf numFmtId="39" fontId="12" fillId="0" borderId="0" xfId="4" applyNumberFormat="1" applyFont="1" applyFill="1" applyBorder="1" applyProtection="1"/>
    <xf numFmtId="167" fontId="0" fillId="0" borderId="0" xfId="0" applyNumberFormat="1"/>
    <xf numFmtId="6" fontId="12" fillId="0" borderId="0" xfId="0" quotePrefix="1" applyNumberFormat="1" applyFont="1" applyAlignment="1">
      <alignment horizontal="left"/>
    </xf>
    <xf numFmtId="168" fontId="12" fillId="0" borderId="26" xfId="0" applyNumberFormat="1" applyFont="1" applyBorder="1"/>
    <xf numFmtId="6" fontId="12" fillId="0" borderId="0" xfId="0" applyNumberFormat="1" applyFont="1" applyAlignment="1">
      <alignment horizontal="left"/>
    </xf>
    <xf numFmtId="168" fontId="12" fillId="0" borderId="0" xfId="0" applyNumberFormat="1" applyFont="1"/>
    <xf numFmtId="43" fontId="0" fillId="0" borderId="0" xfId="4" applyFont="1" applyFill="1" applyBorder="1" applyProtection="1"/>
    <xf numFmtId="0" fontId="12" fillId="0" borderId="7" xfId="0" applyFont="1" applyBorder="1"/>
    <xf numFmtId="0" fontId="0" fillId="0" borderId="8" xfId="0" applyBorder="1"/>
    <xf numFmtId="0" fontId="26" fillId="0" borderId="8" xfId="0" applyFont="1" applyBorder="1"/>
    <xf numFmtId="165" fontId="0" fillId="0" borderId="8" xfId="4" applyNumberFormat="1" applyFont="1" applyFill="1" applyBorder="1" applyProtection="1"/>
    <xf numFmtId="165" fontId="0" fillId="0" borderId="9" xfId="4" applyNumberFormat="1" applyFont="1" applyFill="1" applyBorder="1" applyProtection="1"/>
    <xf numFmtId="0" fontId="0" fillId="0" borderId="5" xfId="0" applyBorder="1"/>
    <xf numFmtId="9" fontId="12" fillId="0" borderId="0" xfId="0" applyNumberFormat="1" applyFont="1"/>
    <xf numFmtId="0" fontId="26" fillId="0" borderId="0" xfId="0" quotePrefix="1" applyFont="1"/>
    <xf numFmtId="0" fontId="0" fillId="0" borderId="10" xfId="0" applyBorder="1"/>
    <xf numFmtId="0" fontId="26" fillId="0" borderId="1" xfId="0" quotePrefix="1" applyFont="1" applyBorder="1"/>
    <xf numFmtId="176" fontId="21" fillId="0" borderId="1" xfId="0" applyNumberFormat="1" applyFont="1" applyBorder="1"/>
    <xf numFmtId="0" fontId="40" fillId="0" borderId="8" xfId="0" quotePrefix="1" applyFont="1" applyBorder="1"/>
    <xf numFmtId="43" fontId="21" fillId="0" borderId="0" xfId="4" applyFont="1" applyFill="1" applyBorder="1" applyProtection="1"/>
    <xf numFmtId="0" fontId="21" fillId="0" borderId="0" xfId="0" quotePrefix="1" applyFont="1" applyAlignment="1">
      <alignment horizontal="left"/>
    </xf>
    <xf numFmtId="0" fontId="0" fillId="0" borderId="0" xfId="0" applyAlignment="1">
      <alignment horizontal="right"/>
    </xf>
    <xf numFmtId="173" fontId="14" fillId="0" borderId="0" xfId="0" applyNumberFormat="1" applyFont="1" applyAlignment="1">
      <alignment horizontal="right"/>
    </xf>
    <xf numFmtId="167" fontId="12" fillId="0" borderId="0" xfId="4" applyNumberFormat="1" applyFont="1" applyFill="1" applyProtection="1"/>
    <xf numFmtId="165" fontId="0" fillId="0" borderId="0" xfId="4" applyNumberFormat="1" applyFont="1" applyFill="1" applyProtection="1"/>
    <xf numFmtId="167" fontId="12" fillId="0" borderId="8" xfId="4" applyNumberFormat="1" applyFont="1" applyFill="1" applyBorder="1" applyProtection="1"/>
    <xf numFmtId="5" fontId="12" fillId="0" borderId="0" xfId="4" applyNumberFormat="1" applyFont="1" applyFill="1" applyProtection="1"/>
    <xf numFmtId="186" fontId="12" fillId="0" borderId="0" xfId="4" applyNumberFormat="1" applyFont="1" applyFill="1" applyProtection="1"/>
    <xf numFmtId="5" fontId="41" fillId="0" borderId="0" xfId="4" applyNumberFormat="1" applyFont="1" applyFill="1" applyProtection="1"/>
    <xf numFmtId="37" fontId="12" fillId="0" borderId="0" xfId="4" applyNumberFormat="1" applyFont="1" applyFill="1" applyProtection="1"/>
    <xf numFmtId="169" fontId="12" fillId="0" borderId="0" xfId="4" applyNumberFormat="1" applyFont="1" applyFill="1" applyProtection="1"/>
    <xf numFmtId="0" fontId="0" fillId="0" borderId="7" xfId="0" applyBorder="1"/>
    <xf numFmtId="0" fontId="12" fillId="0" borderId="8" xfId="0" quotePrefix="1" applyFont="1" applyBorder="1" applyAlignment="1">
      <alignment horizontal="left"/>
    </xf>
    <xf numFmtId="37" fontId="12" fillId="0" borderId="8" xfId="4" applyNumberFormat="1" applyFont="1" applyFill="1" applyBorder="1" applyProtection="1"/>
    <xf numFmtId="167" fontId="0" fillId="0" borderId="8" xfId="4" applyNumberFormat="1" applyFont="1" applyFill="1" applyBorder="1" applyProtection="1"/>
    <xf numFmtId="167" fontId="42" fillId="0" borderId="0" xfId="4" applyNumberFormat="1" applyFont="1" applyFill="1" applyBorder="1" applyProtection="1"/>
    <xf numFmtId="167" fontId="15" fillId="0" borderId="0" xfId="4" applyNumberFormat="1" applyFont="1" applyFill="1" applyBorder="1" applyProtection="1"/>
    <xf numFmtId="0" fontId="0" fillId="0" borderId="10" xfId="0" applyBorder="1" applyAlignment="1">
      <alignment horizontal="left"/>
    </xf>
    <xf numFmtId="191" fontId="0" fillId="0" borderId="1" xfId="4" applyNumberFormat="1" applyFont="1" applyFill="1" applyBorder="1" applyProtection="1"/>
    <xf numFmtId="0" fontId="32" fillId="0" borderId="0" xfId="0" applyFont="1" applyAlignment="1">
      <alignment horizontal="centerContinuous"/>
    </xf>
    <xf numFmtId="0" fontId="21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191" fontId="0" fillId="0" borderId="0" xfId="4" applyNumberFormat="1" applyFont="1" applyFill="1" applyBorder="1" applyProtection="1"/>
    <xf numFmtId="169" fontId="0" fillId="0" borderId="0" xfId="4" applyNumberFormat="1" applyFont="1" applyFill="1" applyProtection="1"/>
    <xf numFmtId="169" fontId="43" fillId="0" borderId="0" xfId="4" applyNumberFormat="1" applyFont="1" applyFill="1" applyBorder="1" applyProtection="1"/>
    <xf numFmtId="164" fontId="0" fillId="0" borderId="0" xfId="4" applyNumberFormat="1" applyFont="1" applyFill="1" applyBorder="1" applyProtection="1"/>
    <xf numFmtId="0" fontId="21" fillId="0" borderId="0" xfId="0" applyFont="1"/>
    <xf numFmtId="172" fontId="21" fillId="0" borderId="0" xfId="4" applyNumberFormat="1" applyFont="1" applyFill="1" applyBorder="1" applyProtection="1"/>
    <xf numFmtId="172" fontId="21" fillId="0" borderId="0" xfId="4" applyNumberFormat="1" applyFont="1" applyFill="1" applyProtection="1"/>
    <xf numFmtId="0" fontId="21" fillId="0" borderId="1" xfId="0" quotePrefix="1" applyFont="1" applyBorder="1" applyAlignment="1">
      <alignment horizontal="left"/>
    </xf>
    <xf numFmtId="172" fontId="0" fillId="0" borderId="1" xfId="0" applyNumberFormat="1" applyBorder="1"/>
    <xf numFmtId="0" fontId="44" fillId="0" borderId="0" xfId="0" applyFont="1" applyAlignment="1">
      <alignment horizontal="centerContinuous"/>
    </xf>
    <xf numFmtId="0" fontId="45" fillId="0" borderId="0" xfId="0" applyFont="1" applyAlignment="1">
      <alignment horizontal="centerContinuous"/>
    </xf>
    <xf numFmtId="0" fontId="46" fillId="0" borderId="0" xfId="0" applyFont="1" applyAlignment="1">
      <alignment horizontal="centerContinuous"/>
    </xf>
    <xf numFmtId="0" fontId="39" fillId="0" borderId="0" xfId="0" applyFont="1" applyAlignment="1">
      <alignment horizontal="centerContinuous"/>
    </xf>
    <xf numFmtId="0" fontId="12" fillId="0" borderId="1" xfId="0" applyFont="1" applyBorder="1" applyAlignment="1">
      <alignment horizontal="centerContinuous"/>
    </xf>
    <xf numFmtId="0" fontId="47" fillId="0" borderId="0" xfId="0" applyFont="1" applyAlignment="1">
      <alignment horizontal="right"/>
    </xf>
    <xf numFmtId="0" fontId="14" fillId="0" borderId="0" xfId="0" quotePrefix="1" applyFont="1" applyAlignment="1">
      <alignment horizontal="right"/>
    </xf>
    <xf numFmtId="0" fontId="12" fillId="0" borderId="8" xfId="0" quotePrefix="1" applyFont="1" applyBorder="1" applyAlignment="1">
      <alignment horizontal="right"/>
    </xf>
    <xf numFmtId="0" fontId="48" fillId="0" borderId="0" xfId="0" applyFont="1"/>
    <xf numFmtId="0" fontId="48" fillId="0" borderId="7" xfId="0" applyFont="1" applyBorder="1" applyAlignment="1">
      <alignment horizontal="left" vertical="center"/>
    </xf>
    <xf numFmtId="179" fontId="55" fillId="0" borderId="9" xfId="0" applyNumberFormat="1" applyFont="1" applyBorder="1" applyAlignment="1">
      <alignment vertical="center"/>
    </xf>
    <xf numFmtId="185" fontId="49" fillId="0" borderId="0" xfId="0" applyNumberFormat="1" applyFont="1"/>
    <xf numFmtId="37" fontId="48" fillId="0" borderId="0" xfId="0" applyNumberFormat="1" applyFont="1"/>
    <xf numFmtId="0" fontId="50" fillId="0" borderId="0" xfId="0" applyFont="1"/>
    <xf numFmtId="0" fontId="48" fillId="0" borderId="5" xfId="0" applyFont="1" applyBorder="1" applyAlignment="1">
      <alignment horizontal="left" vertical="center"/>
    </xf>
    <xf numFmtId="179" fontId="55" fillId="0" borderId="6" xfId="0" applyNumberFormat="1" applyFont="1" applyBorder="1" applyAlignment="1">
      <alignment vertical="center"/>
    </xf>
    <xf numFmtId="0" fontId="48" fillId="0" borderId="10" xfId="0" applyFont="1" applyBorder="1" applyAlignment="1">
      <alignment horizontal="left" vertical="center"/>
    </xf>
    <xf numFmtId="0" fontId="48" fillId="0" borderId="1" xfId="0" quotePrefix="1" applyFont="1" applyBorder="1" applyAlignment="1">
      <alignment horizontal="left" vertical="center"/>
    </xf>
    <xf numFmtId="0" fontId="48" fillId="0" borderId="1" xfId="0" applyFont="1" applyBorder="1" applyAlignment="1">
      <alignment vertical="center"/>
    </xf>
    <xf numFmtId="179" fontId="55" fillId="0" borderId="11" xfId="0" applyNumberFormat="1" applyFont="1" applyBorder="1" applyAlignment="1">
      <alignment vertical="center"/>
    </xf>
    <xf numFmtId="189" fontId="0" fillId="0" borderId="0" xfId="0" applyNumberFormat="1"/>
    <xf numFmtId="168" fontId="0" fillId="0" borderId="0" xfId="0" applyNumberFormat="1"/>
    <xf numFmtId="0" fontId="51" fillId="0" borderId="0" xfId="0" applyFont="1" applyAlignment="1">
      <alignment horizontal="right"/>
    </xf>
    <xf numFmtId="179" fontId="0" fillId="0" borderId="0" xfId="0" applyNumberFormat="1"/>
    <xf numFmtId="168" fontId="0" fillId="0" borderId="27" xfId="0" applyNumberFormat="1" applyBorder="1"/>
    <xf numFmtId="168" fontId="0" fillId="0" borderId="5" xfId="0" applyNumberFormat="1" applyBorder="1"/>
    <xf numFmtId="167" fontId="48" fillId="0" borderId="0" xfId="0" applyNumberFormat="1" applyFont="1"/>
    <xf numFmtId="168" fontId="0" fillId="0" borderId="28" xfId="0" applyNumberFormat="1" applyBorder="1"/>
    <xf numFmtId="168" fontId="0" fillId="0" borderId="29" xfId="0" applyNumberFormat="1" applyBorder="1"/>
    <xf numFmtId="0" fontId="28" fillId="0" borderId="0" xfId="0" applyFont="1" applyAlignment="1">
      <alignment vertical="center"/>
    </xf>
    <xf numFmtId="168" fontId="12" fillId="0" borderId="26" xfId="0" applyNumberFormat="1" applyFont="1" applyBorder="1" applyAlignment="1">
      <alignment vertical="center"/>
    </xf>
    <xf numFmtId="37" fontId="0" fillId="0" borderId="1" xfId="4" applyNumberFormat="1" applyFont="1" applyFill="1" applyBorder="1" applyProtection="1"/>
    <xf numFmtId="0" fontId="51" fillId="0" borderId="0" xfId="0" applyFont="1"/>
    <xf numFmtId="166" fontId="57" fillId="0" borderId="15" xfId="0" applyNumberFormat="1" applyFont="1" applyBorder="1"/>
    <xf numFmtId="166" fontId="57" fillId="0" borderId="0" xfId="0" applyNumberFormat="1" applyFont="1"/>
    <xf numFmtId="37" fontId="52" fillId="0" borderId="0" xfId="0" applyNumberFormat="1" applyFont="1"/>
    <xf numFmtId="168" fontId="28" fillId="0" borderId="0" xfId="0" applyNumberFormat="1" applyFont="1"/>
    <xf numFmtId="170" fontId="55" fillId="0" borderId="1" xfId="4" applyNumberFormat="1" applyFont="1" applyFill="1" applyBorder="1" applyProtection="1"/>
    <xf numFmtId="37" fontId="28" fillId="0" borderId="0" xfId="0" applyNumberFormat="1" applyFont="1"/>
    <xf numFmtId="166" fontId="35" fillId="0" borderId="0" xfId="0" applyNumberFormat="1" applyFont="1"/>
    <xf numFmtId="37" fontId="25" fillId="0" borderId="8" xfId="0" applyNumberFormat="1" applyFont="1" applyBorder="1"/>
    <xf numFmtId="37" fontId="13" fillId="0" borderId="8" xfId="0" applyNumberFormat="1" applyFont="1" applyBorder="1"/>
    <xf numFmtId="37" fontId="13" fillId="0" borderId="9" xfId="0" applyNumberFormat="1" applyFont="1" applyBorder="1"/>
    <xf numFmtId="0" fontId="0" fillId="0" borderId="5" xfId="0" applyBorder="1" applyAlignment="1">
      <alignment horizontal="left"/>
    </xf>
    <xf numFmtId="37" fontId="22" fillId="0" borderId="0" xfId="0" applyNumberFormat="1" applyFont="1"/>
    <xf numFmtId="167" fontId="48" fillId="0" borderId="1" xfId="0" applyNumberFormat="1" applyFont="1" applyBorder="1"/>
    <xf numFmtId="0" fontId="12" fillId="0" borderId="10" xfId="0" applyFont="1" applyBorder="1"/>
    <xf numFmtId="37" fontId="45" fillId="0" borderId="1" xfId="0" applyNumberFormat="1" applyFont="1" applyBorder="1"/>
    <xf numFmtId="37" fontId="22" fillId="0" borderId="1" xfId="0" applyNumberFormat="1" applyFont="1" applyBorder="1"/>
    <xf numFmtId="37" fontId="28" fillId="0" borderId="1" xfId="0" applyNumberFormat="1" applyFont="1" applyBorder="1"/>
    <xf numFmtId="167" fontId="28" fillId="0" borderId="1" xfId="0" applyNumberFormat="1" applyFont="1" applyBorder="1"/>
    <xf numFmtId="0" fontId="54" fillId="0" borderId="0" xfId="0" applyFont="1"/>
    <xf numFmtId="37" fontId="25" fillId="0" borderId="1" xfId="0" applyNumberFormat="1" applyFont="1" applyBorder="1"/>
    <xf numFmtId="37" fontId="13" fillId="0" borderId="1" xfId="0" applyNumberFormat="1" applyFont="1" applyBorder="1"/>
    <xf numFmtId="0" fontId="0" fillId="0" borderId="24" xfId="0" applyBorder="1"/>
    <xf numFmtId="0" fontId="0" fillId="0" borderId="25" xfId="0" applyBorder="1"/>
    <xf numFmtId="0" fontId="5" fillId="0" borderId="25" xfId="0" applyFont="1" applyBorder="1"/>
    <xf numFmtId="179" fontId="0" fillId="0" borderId="25" xfId="0" applyNumberFormat="1" applyBorder="1"/>
    <xf numFmtId="4" fontId="12" fillId="0" borderId="0" xfId="0" applyNumberFormat="1" applyFont="1"/>
    <xf numFmtId="4" fontId="0" fillId="0" borderId="0" xfId="0" applyNumberFormat="1"/>
    <xf numFmtId="170" fontId="55" fillId="0" borderId="0" xfId="4" applyNumberFormat="1" applyFont="1" applyFill="1" applyProtection="1"/>
    <xf numFmtId="170" fontId="0" fillId="0" borderId="1" xfId="4" applyNumberFormat="1" applyFont="1" applyFill="1" applyBorder="1" applyProtection="1"/>
    <xf numFmtId="170" fontId="12" fillId="0" borderId="0" xfId="0" applyNumberFormat="1" applyFont="1"/>
    <xf numFmtId="173" fontId="14" fillId="0" borderId="0" xfId="0" quotePrefix="1" applyNumberFormat="1" applyFont="1" applyAlignment="1">
      <alignment horizontal="right"/>
    </xf>
    <xf numFmtId="188" fontId="0" fillId="0" borderId="0" xfId="0" applyNumberFormat="1"/>
    <xf numFmtId="167" fontId="0" fillId="0" borderId="1" xfId="0" applyNumberFormat="1" applyBorder="1"/>
    <xf numFmtId="5" fontId="0" fillId="0" borderId="0" xfId="0" applyNumberFormat="1"/>
    <xf numFmtId="180" fontId="55" fillId="0" borderId="1" xfId="0" applyNumberFormat="1" applyFont="1" applyBorder="1"/>
    <xf numFmtId="180" fontId="0" fillId="0" borderId="1" xfId="0" applyNumberFormat="1" applyBorder="1"/>
    <xf numFmtId="168" fontId="12" fillId="0" borderId="14" xfId="0" applyNumberFormat="1" applyFont="1" applyBorder="1"/>
    <xf numFmtId="5" fontId="12" fillId="0" borderId="0" xfId="0" applyNumberFormat="1" applyFont="1"/>
    <xf numFmtId="180" fontId="55" fillId="0" borderId="0" xfId="0" applyNumberFormat="1" applyFont="1"/>
    <xf numFmtId="167" fontId="55" fillId="0" borderId="1" xfId="0" applyNumberFormat="1" applyFont="1" applyBorder="1"/>
    <xf numFmtId="5" fontId="3" fillId="0" borderId="0" xfId="4" applyNumberFormat="1" applyFont="1" applyFill="1" applyBorder="1"/>
    <xf numFmtId="190" fontId="54" fillId="0" borderId="0" xfId="0" applyNumberFormat="1" applyFont="1"/>
    <xf numFmtId="5" fontId="68" fillId="0" borderId="0" xfId="4" applyNumberFormat="1" applyFont="1" applyFill="1" applyBorder="1"/>
    <xf numFmtId="0" fontId="68" fillId="0" borderId="0" xfId="7" applyFont="1"/>
    <xf numFmtId="190" fontId="69" fillId="0" borderId="0" xfId="0" applyNumberFormat="1" applyFont="1"/>
    <xf numFmtId="0" fontId="68" fillId="0" borderId="49" xfId="7" applyFont="1" applyBorder="1"/>
    <xf numFmtId="0" fontId="70" fillId="0" borderId="0" xfId="7" applyFont="1"/>
    <xf numFmtId="0" fontId="0" fillId="4" borderId="0" xfId="0" applyFill="1" applyAlignment="1">
      <alignment horizontal="center" vertical="center"/>
    </xf>
    <xf numFmtId="166" fontId="65" fillId="5" borderId="13" xfId="0" applyNumberFormat="1" applyFont="1" applyFill="1" applyBorder="1" applyAlignment="1">
      <alignment vertical="center"/>
    </xf>
    <xf numFmtId="166" fontId="65" fillId="5" borderId="14" xfId="0" applyNumberFormat="1" applyFont="1" applyFill="1" applyBorder="1" applyAlignment="1">
      <alignment vertical="center"/>
    </xf>
    <xf numFmtId="166" fontId="65" fillId="5" borderId="15" xfId="0" applyNumberFormat="1" applyFont="1" applyFill="1" applyBorder="1" applyAlignment="1">
      <alignment vertical="center"/>
    </xf>
    <xf numFmtId="170" fontId="65" fillId="5" borderId="13" xfId="0" applyNumberFormat="1" applyFont="1" applyFill="1" applyBorder="1" applyAlignment="1">
      <alignment vertical="center"/>
    </xf>
    <xf numFmtId="170" fontId="65" fillId="5" borderId="14" xfId="0" applyNumberFormat="1" applyFont="1" applyFill="1" applyBorder="1" applyAlignment="1">
      <alignment vertical="center"/>
    </xf>
    <xf numFmtId="170" fontId="65" fillId="5" borderId="15" xfId="0" applyNumberFormat="1" applyFont="1" applyFill="1" applyBorder="1" applyAlignment="1">
      <alignment vertical="center"/>
    </xf>
  </cellXfs>
  <cellStyles count="15">
    <cellStyle name="Across" xfId="1" xr:uid="{00000000-0005-0000-0000-000000000000}"/>
    <cellStyle name="Bottom" xfId="2" xr:uid="{00000000-0005-0000-0000-000001000000}"/>
    <cellStyle name="Center" xfId="3" xr:uid="{00000000-0005-0000-0000-000002000000}"/>
    <cellStyle name="Comma" xfId="4" builtinId="3"/>
    <cellStyle name="Currency" xfId="13" builtinId="4"/>
    <cellStyle name="Currency [2]" xfId="5" xr:uid="{00000000-0005-0000-0000-000004000000}"/>
    <cellStyle name="Double" xfId="6" xr:uid="{00000000-0005-0000-0000-000005000000}"/>
    <cellStyle name="Normal" xfId="0" builtinId="0"/>
    <cellStyle name="Normal 2" xfId="12" xr:uid="{00000000-0005-0000-0000-000007000000}"/>
    <cellStyle name="Normal_DrydenNewDCF3" xfId="7" xr:uid="{00000000-0005-0000-0000-000008000000}"/>
    <cellStyle name="Normal_TrainingDCF1" xfId="8" xr:uid="{00000000-0005-0000-0000-00000A000000}"/>
    <cellStyle name="Numbers" xfId="9" xr:uid="{00000000-0005-0000-0000-00000B000000}"/>
    <cellStyle name="Numbers - Bold - Italic" xfId="10" xr:uid="{00000000-0005-0000-0000-00000C000000}"/>
    <cellStyle name="Outline" xfId="11" xr:uid="{00000000-0005-0000-0000-00000D000000}"/>
    <cellStyle name="Percent" xfId="14" builtinId="5"/>
  </cellStyles>
  <dxfs count="2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9" defaultPivotStyle="PivotStyleLight16"/>
  <colors>
    <mruColors>
      <color rgb="FF6B72A9"/>
      <color rgb="FF5B77CC"/>
      <color rgb="FF002F6C"/>
      <color rgb="FF0432FF"/>
      <color rgb="FFFFFF99"/>
      <color rgb="FF009966"/>
      <color rgb="FF008ED6"/>
      <color rgb="FF6B729F"/>
      <color rgb="FF4586BB"/>
      <color rgb="FF827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Drop" dropStyle="combo" dx="15" fmlaLink="$D$6" fmlaRange="$C$14:$C$16" noThreeD="1" sel="3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433916</xdr:colOff>
      <xdr:row>22</xdr:row>
      <xdr:rowOff>147587</xdr:rowOff>
    </xdr:from>
    <xdr:to>
      <xdr:col>10</xdr:col>
      <xdr:colOff>476249</xdr:colOff>
      <xdr:row>25</xdr:row>
      <xdr:rowOff>162373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B53B8718-D6E8-1CE8-EDD6-95F1FB410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86083" y="4412670"/>
          <a:ext cx="867833" cy="554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1168400</xdr:colOff>
          <xdr:row>4</xdr:row>
          <xdr:rowOff>12700</xdr:rowOff>
        </xdr:from>
        <xdr:to>
          <xdr:col>5</xdr:col>
          <xdr:colOff>63500</xdr:colOff>
          <xdr:row>7</xdr:row>
          <xdr:rowOff>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3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36EB-BD04-2B46-B5A8-184164B9F498}">
  <dimension ref="A1:K27"/>
  <sheetViews>
    <sheetView showGridLines="0" zoomScale="120" zoomScaleNormal="120" workbookViewId="0">
      <selection activeCell="J146" sqref="J146"/>
    </sheetView>
  </sheetViews>
  <sheetFormatPr baseColWidth="10" defaultRowHeight="13"/>
  <cols>
    <col min="1" max="1" width="3.6640625" customWidth="1"/>
    <col min="2" max="2" width="4.1640625" customWidth="1"/>
    <col min="3" max="3" width="17" customWidth="1"/>
  </cols>
  <sheetData>
    <row r="1" spans="1:11" ht="14" thickBot="1">
      <c r="A1" s="188"/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>
      <c r="A2" s="274"/>
      <c r="K2" s="343"/>
    </row>
    <row r="3" spans="1:11">
      <c r="A3" s="274"/>
      <c r="K3" s="344"/>
    </row>
    <row r="4" spans="1:11" ht="23">
      <c r="A4" s="274"/>
      <c r="C4" s="262" t="s">
        <v>236</v>
      </c>
      <c r="K4" s="344"/>
    </row>
    <row r="5" spans="1:11" ht="18">
      <c r="A5" s="274"/>
      <c r="C5" s="263" t="s">
        <v>233</v>
      </c>
      <c r="K5" s="344"/>
    </row>
    <row r="6" spans="1:11">
      <c r="A6" s="274"/>
      <c r="K6" s="344"/>
    </row>
    <row r="7" spans="1:11">
      <c r="A7" s="274"/>
      <c r="K7" s="344"/>
    </row>
    <row r="8" spans="1:11">
      <c r="A8" s="274"/>
      <c r="H8" s="137"/>
      <c r="K8" s="344"/>
    </row>
    <row r="9" spans="1:11">
      <c r="A9" s="274"/>
      <c r="K9" s="344"/>
    </row>
    <row r="10" spans="1:11">
      <c r="A10" s="274"/>
      <c r="K10" s="344"/>
    </row>
    <row r="11" spans="1:11">
      <c r="A11" s="274"/>
      <c r="K11" s="344"/>
    </row>
    <row r="12" spans="1:11">
      <c r="A12" s="274"/>
      <c r="K12" s="344"/>
    </row>
    <row r="13" spans="1:11" ht="35">
      <c r="A13" s="274"/>
      <c r="C13" s="264" t="s">
        <v>234</v>
      </c>
      <c r="K13" s="344"/>
    </row>
    <row r="14" spans="1:11" ht="18">
      <c r="A14" s="274"/>
      <c r="C14" s="265">
        <v>45465</v>
      </c>
      <c r="K14" s="344"/>
    </row>
    <row r="15" spans="1:11">
      <c r="A15" s="274"/>
      <c r="K15" s="344"/>
    </row>
    <row r="16" spans="1:11">
      <c r="A16" s="274"/>
      <c r="K16" s="344"/>
    </row>
    <row r="17" spans="1:11">
      <c r="A17" s="274"/>
      <c r="K17" s="344"/>
    </row>
    <row r="18" spans="1:11">
      <c r="A18" s="274"/>
      <c r="K18" s="344"/>
    </row>
    <row r="19" spans="1:11">
      <c r="A19" s="274"/>
      <c r="K19" s="344"/>
    </row>
    <row r="20" spans="1:11">
      <c r="A20" s="274"/>
      <c r="K20" s="344"/>
    </row>
    <row r="21" spans="1:11">
      <c r="A21" s="274"/>
      <c r="K21" s="344"/>
    </row>
    <row r="22" spans="1:11">
      <c r="A22" s="274"/>
      <c r="K22" s="344"/>
    </row>
    <row r="23" spans="1:11">
      <c r="A23" s="274"/>
      <c r="K23" s="344"/>
    </row>
    <row r="24" spans="1:11" ht="16">
      <c r="A24" s="274"/>
      <c r="C24" s="261" t="s">
        <v>235</v>
      </c>
      <c r="I24" s="261" t="s">
        <v>244</v>
      </c>
      <c r="K24" s="344"/>
    </row>
    <row r="25" spans="1:11">
      <c r="A25" s="274"/>
      <c r="K25" s="344"/>
    </row>
    <row r="26" spans="1:11">
      <c r="A26" s="274"/>
      <c r="K26" s="344"/>
    </row>
    <row r="27" spans="1:11" ht="14" thickBot="1">
      <c r="A27" s="342"/>
      <c r="B27" s="188"/>
      <c r="C27" s="188"/>
      <c r="D27" s="188"/>
      <c r="E27" s="188"/>
      <c r="F27" s="188"/>
      <c r="G27" s="188"/>
      <c r="H27" s="188"/>
      <c r="I27" s="188"/>
      <c r="J27" s="188"/>
      <c r="K27" s="345"/>
    </row>
  </sheetData>
  <printOptions horizontalCentered="1" verticalCentered="1"/>
  <pageMargins left="0.25" right="0.25" top="0.35" bottom="0.5" header="0.25" footer="0.25"/>
  <pageSetup orientation="landscape" horizontalDpi="0" verticalDpi="0"/>
  <headerFooter>
    <oddFooter>&amp;L&amp;K000000&amp;F&amp;A&amp;C&amp;K000000Page &amp;P of &amp;N&amp;R&amp;K000000&amp;D &amp;T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AF66"/>
  <sheetViews>
    <sheetView showGridLines="0" topLeftCell="B4" zoomScale="130" zoomScaleNormal="130" workbookViewId="0">
      <selection activeCell="I54" sqref="I54"/>
    </sheetView>
  </sheetViews>
  <sheetFormatPr baseColWidth="10" defaultColWidth="10.6640625" defaultRowHeight="13"/>
  <cols>
    <col min="1" max="1" width="2.5" style="118" customWidth="1"/>
    <col min="2" max="2" width="4.6640625" style="118" customWidth="1"/>
    <col min="3" max="4" width="1.6640625" style="118" customWidth="1"/>
    <col min="5" max="5" width="20.6640625" style="118" customWidth="1"/>
    <col min="6" max="6" width="9.33203125" style="118" customWidth="1"/>
    <col min="7" max="7" width="1.83203125" style="118" customWidth="1"/>
    <col min="8" max="15" width="9.33203125" style="118" customWidth="1"/>
    <col min="16" max="16" width="1.6640625" style="118" customWidth="1"/>
    <col min="17" max="17" width="4.6640625" style="118" customWidth="1"/>
    <col min="18" max="19" width="2.6640625" style="118" customWidth="1"/>
    <col min="20" max="21" width="1.6640625" style="118" customWidth="1"/>
    <col min="22" max="22" width="20.6640625" style="118" customWidth="1"/>
    <col min="23" max="31" width="9.33203125" style="118" customWidth="1"/>
    <col min="32" max="32" width="1.6640625" style="118" customWidth="1"/>
    <col min="33" max="16384" width="10.6640625" style="118"/>
  </cols>
  <sheetData>
    <row r="1" spans="2:32" ht="22.75" customHeight="1">
      <c r="B1" s="285" t="str">
        <f>Cover!C13</f>
        <v>Blu Containers Company</v>
      </c>
      <c r="C1" s="116"/>
      <c r="D1" s="116"/>
      <c r="E1" s="116"/>
      <c r="F1" s="116"/>
      <c r="G1" s="116"/>
      <c r="H1" s="117"/>
      <c r="I1" s="117"/>
      <c r="J1" s="117"/>
      <c r="K1" s="117"/>
      <c r="L1" s="117"/>
      <c r="M1" s="117"/>
      <c r="N1" s="117"/>
      <c r="O1" s="117"/>
      <c r="P1" s="117"/>
      <c r="Q1" s="117"/>
      <c r="T1" s="116"/>
      <c r="U1" s="116"/>
      <c r="V1" s="116"/>
      <c r="W1" s="116"/>
      <c r="X1" s="117"/>
      <c r="Y1" s="117"/>
      <c r="Z1" s="117"/>
      <c r="AA1" s="117"/>
      <c r="AB1" s="117"/>
      <c r="AC1" s="117"/>
      <c r="AD1" s="117"/>
      <c r="AE1" s="117"/>
    </row>
    <row r="2" spans="2:32" ht="18">
      <c r="B2" s="286" t="s">
        <v>178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</row>
    <row r="3" spans="2:32" ht="3" customHeight="1" thickBot="1"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</row>
    <row r="4" spans="2:32" ht="10" customHeight="1"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</row>
    <row r="5" spans="2:32" ht="15" customHeight="1">
      <c r="C5" s="121" t="s">
        <v>147</v>
      </c>
      <c r="D5" s="122"/>
      <c r="E5" s="122"/>
      <c r="F5" s="122"/>
      <c r="G5" s="122"/>
      <c r="H5" s="120"/>
      <c r="I5" s="120"/>
      <c r="J5" s="120"/>
      <c r="K5" s="120"/>
      <c r="L5" s="120"/>
      <c r="M5" s="120"/>
      <c r="N5" s="120"/>
      <c r="O5" s="120"/>
      <c r="P5" s="120"/>
      <c r="T5" s="121" t="str">
        <f>"SUMMMARY VALUES - "&amp;UPPER(CHOOSE(Scenarios!$D$6,Scenarios!C14,Scenarios!C15,Scenarios!C16))</f>
        <v>SUMMMARY VALUES - WORST CASE</v>
      </c>
      <c r="U5" s="122"/>
      <c r="V5" s="122"/>
      <c r="W5" s="122"/>
      <c r="X5" s="120"/>
      <c r="Y5" s="120"/>
      <c r="Z5" s="120"/>
      <c r="AA5" s="120"/>
      <c r="AB5" s="120"/>
      <c r="AC5" s="120"/>
      <c r="AD5" s="120"/>
      <c r="AE5" s="120"/>
    </row>
    <row r="6" spans="2:32" s="137" customFormat="1" ht="15" customHeight="1">
      <c r="C6" s="266"/>
      <c r="D6" s="267"/>
      <c r="E6" s="267"/>
      <c r="F6" s="267"/>
      <c r="G6" s="267"/>
      <c r="H6" s="268"/>
      <c r="I6" s="268"/>
      <c r="J6" s="268"/>
      <c r="K6" s="269" t="s">
        <v>2</v>
      </c>
      <c r="L6" s="270"/>
      <c r="M6" s="270"/>
      <c r="N6" s="270"/>
      <c r="O6" s="270"/>
      <c r="P6" s="271"/>
      <c r="T6" s="138"/>
      <c r="U6" s="139"/>
      <c r="V6" s="139"/>
      <c r="W6" s="139"/>
      <c r="X6" s="139"/>
      <c r="Y6" s="139"/>
      <c r="Z6" s="139"/>
      <c r="AA6" s="140" t="s">
        <v>2</v>
      </c>
      <c r="AB6" s="141"/>
      <c r="AC6" s="141"/>
      <c r="AD6" s="141"/>
      <c r="AE6" s="141"/>
      <c r="AF6" s="142"/>
    </row>
    <row r="7" spans="2:32" s="137" customFormat="1" ht="15" customHeight="1">
      <c r="C7" s="272"/>
      <c r="D7" s="273" t="s">
        <v>171</v>
      </c>
      <c r="E7" s="274"/>
      <c r="F7" s="273" t="s">
        <v>193</v>
      </c>
      <c r="G7" s="274"/>
      <c r="H7" s="275">
        <f>X7</f>
        <v>2020</v>
      </c>
      <c r="I7" s="275">
        <f t="shared" ref="I7:O7" si="0">Y7</f>
        <v>2021</v>
      </c>
      <c r="J7" s="275">
        <f t="shared" si="0"/>
        <v>2022</v>
      </c>
      <c r="K7" s="276">
        <f t="shared" si="0"/>
        <v>2023</v>
      </c>
      <c r="L7" s="276">
        <f t="shared" si="0"/>
        <v>2024</v>
      </c>
      <c r="M7" s="276">
        <f t="shared" si="0"/>
        <v>2025</v>
      </c>
      <c r="N7" s="276">
        <f t="shared" si="0"/>
        <v>2026</v>
      </c>
      <c r="O7" s="276">
        <f t="shared" si="0"/>
        <v>2027</v>
      </c>
      <c r="P7" s="277"/>
      <c r="T7" s="143"/>
      <c r="U7" s="144"/>
      <c r="V7" s="144"/>
      <c r="W7" s="144"/>
      <c r="X7" s="145">
        <f>Model!H7</f>
        <v>2020</v>
      </c>
      <c r="Y7" s="145">
        <f>Model!I7</f>
        <v>2021</v>
      </c>
      <c r="Z7" s="145">
        <f>Model!J7</f>
        <v>2022</v>
      </c>
      <c r="AA7" s="146">
        <f>Model!K7</f>
        <v>2023</v>
      </c>
      <c r="AB7" s="146">
        <f>Model!L7</f>
        <v>2024</v>
      </c>
      <c r="AC7" s="146">
        <f>Model!M7</f>
        <v>2025</v>
      </c>
      <c r="AD7" s="146">
        <f>Model!N7</f>
        <v>2026</v>
      </c>
      <c r="AE7" s="146">
        <f>Model!O7</f>
        <v>2027</v>
      </c>
      <c r="AF7" s="147"/>
    </row>
    <row r="8" spans="2:32" ht="3" customHeight="1">
      <c r="C8" s="204"/>
      <c r="D8" s="189"/>
      <c r="E8" s="189"/>
      <c r="F8" s="189"/>
      <c r="G8" s="189"/>
      <c r="H8" s="190"/>
      <c r="I8" s="190"/>
      <c r="J8" s="191"/>
      <c r="K8" s="192"/>
      <c r="L8" s="192"/>
      <c r="M8" s="192"/>
      <c r="N8" s="192"/>
      <c r="O8" s="192"/>
      <c r="P8" s="205"/>
      <c r="T8" s="123"/>
      <c r="X8" s="126"/>
      <c r="Y8" s="126"/>
      <c r="Z8" s="127"/>
      <c r="AA8" s="17"/>
      <c r="AB8" s="17"/>
      <c r="AC8" s="17"/>
      <c r="AD8" s="17"/>
      <c r="AE8" s="17"/>
      <c r="AF8" s="125"/>
    </row>
    <row r="9" spans="2:32" ht="3" customHeight="1">
      <c r="C9" s="206"/>
      <c r="D9" s="196"/>
      <c r="E9" s="196"/>
      <c r="F9" s="196"/>
      <c r="G9" s="196"/>
      <c r="H9" s="197"/>
      <c r="I9" s="197"/>
      <c r="J9" s="198"/>
      <c r="K9" s="199"/>
      <c r="L9" s="199"/>
      <c r="M9" s="199"/>
      <c r="N9" s="199"/>
      <c r="O9" s="199"/>
      <c r="P9" s="207"/>
      <c r="T9" s="123"/>
      <c r="X9" s="126"/>
      <c r="Y9" s="126"/>
      <c r="Z9" s="127"/>
      <c r="AA9" s="17"/>
      <c r="AB9" s="17"/>
      <c r="AC9" s="17"/>
      <c r="AD9" s="17"/>
      <c r="AE9" s="17"/>
      <c r="AF9" s="125"/>
    </row>
    <row r="10" spans="2:32" ht="13" customHeight="1">
      <c r="C10" s="208"/>
      <c r="D10" s="128" t="s">
        <v>141</v>
      </c>
      <c r="P10" s="209"/>
      <c r="T10" s="123"/>
      <c r="U10" s="128" t="s">
        <v>141</v>
      </c>
      <c r="AF10" s="125"/>
    </row>
    <row r="11" spans="2:32" ht="3" customHeight="1">
      <c r="C11" s="208"/>
      <c r="D11" s="128"/>
      <c r="P11" s="209"/>
      <c r="T11" s="123"/>
      <c r="U11" s="128"/>
      <c r="AF11" s="125"/>
    </row>
    <row r="12" spans="2:32">
      <c r="C12" s="208"/>
      <c r="E12" s="118" t="s">
        <v>3</v>
      </c>
      <c r="F12" s="203"/>
      <c r="H12" s="551">
        <v>213.49999999999997</v>
      </c>
      <c r="I12" s="551">
        <v>236.60000000000002</v>
      </c>
      <c r="J12" s="551">
        <v>204.79999999999998</v>
      </c>
      <c r="K12" s="551">
        <v>252.46209677419353</v>
      </c>
      <c r="L12" s="551">
        <v>233.58111483870971</v>
      </c>
      <c r="M12" s="551">
        <v>281.23110855638714</v>
      </c>
      <c r="N12" s="551">
        <v>281.22955436627001</v>
      </c>
      <c r="O12" s="551">
        <v>268.17287049000004</v>
      </c>
      <c r="P12" s="209"/>
      <c r="T12" s="123"/>
      <c r="V12" s="118" t="s">
        <v>3</v>
      </c>
      <c r="W12" s="129" t="s">
        <v>167</v>
      </c>
      <c r="X12" s="549">
        <f>Model!H86</f>
        <v>213.49999999999997</v>
      </c>
      <c r="Y12" s="549">
        <f>Model!I86</f>
        <v>236.60000000000002</v>
      </c>
      <c r="Z12" s="549">
        <f>Model!J86</f>
        <v>204.79999999999998</v>
      </c>
      <c r="AA12" s="549">
        <f>Model!K86</f>
        <v>238.41460829493093</v>
      </c>
      <c r="AB12" s="549">
        <f>Model!L86</f>
        <v>220.17078571428573</v>
      </c>
      <c r="AC12" s="549">
        <f>Model!M86</f>
        <v>262.60854165748856</v>
      </c>
      <c r="AD12" s="549">
        <f>Model!N86</f>
        <v>259.93619218654328</v>
      </c>
      <c r="AE12" s="549">
        <f>Model!O86</f>
        <v>244.66998081661546</v>
      </c>
      <c r="AF12" s="125"/>
    </row>
    <row r="13" spans="2:32">
      <c r="C13" s="208"/>
      <c r="E13" s="131" t="s">
        <v>148</v>
      </c>
      <c r="F13" s="132"/>
      <c r="G13" s="131"/>
      <c r="H13" s="552"/>
      <c r="I13" s="553">
        <v>0.10819672131147562</v>
      </c>
      <c r="J13" s="553">
        <v>-0.13440405748098072</v>
      </c>
      <c r="K13" s="553">
        <v>0.23272508190524199</v>
      </c>
      <c r="L13" s="553">
        <v>-7.4787392550143106E-2</v>
      </c>
      <c r="M13" s="553">
        <v>0.203997629476939</v>
      </c>
      <c r="N13" s="553">
        <v>-5.5263805099903252E-6</v>
      </c>
      <c r="O13" s="553">
        <v>-4.6427139941576323E-2</v>
      </c>
      <c r="P13" s="209"/>
      <c r="T13" s="123"/>
      <c r="V13" s="131" t="s">
        <v>148</v>
      </c>
      <c r="W13" s="132" t="s">
        <v>109</v>
      </c>
      <c r="Y13" s="550">
        <f>Y12/X12-1</f>
        <v>0.10819672131147562</v>
      </c>
      <c r="Z13" s="550">
        <f t="shared" ref="Z13:AE13" si="1">Z12/Y12-1</f>
        <v>-0.13440405748098072</v>
      </c>
      <c r="AA13" s="550">
        <f t="shared" si="1"/>
        <v>0.16413382956509248</v>
      </c>
      <c r="AB13" s="550">
        <f t="shared" si="1"/>
        <v>-7.6521412471825867E-2</v>
      </c>
      <c r="AC13" s="550">
        <f t="shared" si="1"/>
        <v>0.19274925965097855</v>
      </c>
      <c r="AD13" s="550">
        <f t="shared" si="1"/>
        <v>-1.0176171171274118E-2</v>
      </c>
      <c r="AE13" s="550">
        <f t="shared" si="1"/>
        <v>-5.8730610929977778E-2</v>
      </c>
      <c r="AF13" s="125"/>
    </row>
    <row r="14" spans="2:32" ht="3" customHeight="1">
      <c r="C14" s="208"/>
      <c r="E14" s="182"/>
      <c r="F14" s="182"/>
      <c r="G14" s="182"/>
      <c r="H14" s="554"/>
      <c r="I14" s="554"/>
      <c r="J14" s="554"/>
      <c r="K14" s="554"/>
      <c r="L14" s="554"/>
      <c r="M14" s="554"/>
      <c r="N14" s="554"/>
      <c r="O14" s="554"/>
      <c r="P14" s="209"/>
      <c r="T14" s="123"/>
      <c r="AF14" s="125"/>
    </row>
    <row r="15" spans="2:32" ht="3" customHeight="1">
      <c r="C15" s="208"/>
      <c r="H15" s="552"/>
      <c r="I15" s="552"/>
      <c r="J15" s="552"/>
      <c r="K15" s="552"/>
      <c r="L15" s="552"/>
      <c r="M15" s="552"/>
      <c r="N15" s="552"/>
      <c r="O15" s="552"/>
      <c r="P15" s="209"/>
      <c r="T15" s="123"/>
      <c r="AF15" s="125"/>
    </row>
    <row r="16" spans="2:32">
      <c r="C16" s="208"/>
      <c r="E16" s="118" t="s">
        <v>5</v>
      </c>
      <c r="F16" s="203"/>
      <c r="H16" s="551">
        <v>50.19999999999996</v>
      </c>
      <c r="I16" s="551">
        <v>68.400000000000034</v>
      </c>
      <c r="J16" s="551">
        <v>33.099999999999966</v>
      </c>
      <c r="K16" s="551">
        <v>73.875241935483842</v>
      </c>
      <c r="L16" s="551">
        <v>47.11049922580645</v>
      </c>
      <c r="M16" s="551">
        <v>86.456885914219384</v>
      </c>
      <c r="N16" s="551">
        <v>76.709884589719195</v>
      </c>
      <c r="O16" s="551">
        <v>54.342095904000075</v>
      </c>
      <c r="P16" s="210"/>
      <c r="T16" s="123"/>
      <c r="V16" s="118" t="s">
        <v>5</v>
      </c>
      <c r="W16" s="129" t="s">
        <v>167</v>
      </c>
      <c r="X16" s="549">
        <f>Model!H93</f>
        <v>50.19999999999996</v>
      </c>
      <c r="Y16" s="549">
        <f>Model!I93</f>
        <v>68.400000000000034</v>
      </c>
      <c r="Z16" s="549">
        <f>Model!J93</f>
        <v>33.099999999999966</v>
      </c>
      <c r="AA16" s="549">
        <f>Model!K93</f>
        <v>60.834294930875643</v>
      </c>
      <c r="AB16" s="549">
        <f>Model!L93</f>
        <v>33.859071668202773</v>
      </c>
      <c r="AC16" s="549">
        <f>Model!M93</f>
        <v>68.207666428336495</v>
      </c>
      <c r="AD16" s="549">
        <f>Model!N93</f>
        <v>57.052627960241011</v>
      </c>
      <c r="AE16" s="549">
        <f>Model!O93</f>
        <v>34.164573612547684</v>
      </c>
      <c r="AF16" s="125"/>
    </row>
    <row r="17" spans="3:32">
      <c r="C17" s="208"/>
      <c r="E17" s="131" t="s">
        <v>149</v>
      </c>
      <c r="F17" s="132"/>
      <c r="G17" s="131"/>
      <c r="H17" s="553">
        <v>0.23512880562060876</v>
      </c>
      <c r="I17" s="553">
        <v>0.28909551986475074</v>
      </c>
      <c r="J17" s="553">
        <v>0.16162109374999983</v>
      </c>
      <c r="K17" s="553">
        <v>0.29261914116778937</v>
      </c>
      <c r="L17" s="553">
        <v>0.20168796290888824</v>
      </c>
      <c r="M17" s="553">
        <v>0.30742291049528286</v>
      </c>
      <c r="N17" s="553">
        <v>0.27276608520956924</v>
      </c>
      <c r="O17" s="553">
        <v>0.20263830492885912</v>
      </c>
      <c r="P17" s="211"/>
      <c r="T17" s="123"/>
      <c r="V17" s="131" t="s">
        <v>149</v>
      </c>
      <c r="W17" s="132" t="s">
        <v>109</v>
      </c>
      <c r="X17" s="550">
        <f>Model!H109</f>
        <v>0.23512880562060876</v>
      </c>
      <c r="Y17" s="550">
        <f>Model!I109</f>
        <v>0.28909551986475074</v>
      </c>
      <c r="Z17" s="550">
        <f>Model!J109</f>
        <v>0.16162109374999983</v>
      </c>
      <c r="AA17" s="550">
        <f>Model!K109</f>
        <v>0.25516177622648251</v>
      </c>
      <c r="AB17" s="550">
        <f>Model!L109</f>
        <v>0.15378548774468873</v>
      </c>
      <c r="AC17" s="550">
        <f>Model!M109</f>
        <v>0.25973133241529306</v>
      </c>
      <c r="AD17" s="550">
        <f>Model!N109</f>
        <v>0.21948704980373482</v>
      </c>
      <c r="AE17" s="550">
        <f>Model!O109</f>
        <v>0.13963533040922843</v>
      </c>
      <c r="AF17" s="125"/>
    </row>
    <row r="18" spans="3:32">
      <c r="C18" s="208"/>
      <c r="E18" s="131" t="s">
        <v>148</v>
      </c>
      <c r="F18" s="132"/>
      <c r="G18" s="131"/>
      <c r="H18" s="555"/>
      <c r="I18" s="553">
        <v>0.36254980079681443</v>
      </c>
      <c r="J18" s="553">
        <v>-0.51608187134502992</v>
      </c>
      <c r="K18" s="553">
        <v>1.2318804210115988</v>
      </c>
      <c r="L18" s="553">
        <v>-0.36229651515796557</v>
      </c>
      <c r="M18" s="553">
        <v>0.83519358391471998</v>
      </c>
      <c r="N18" s="553">
        <v>-0.11273828823965448</v>
      </c>
      <c r="O18" s="553">
        <v>-0.29158939301437681</v>
      </c>
      <c r="P18" s="211"/>
      <c r="T18" s="123"/>
      <c r="V18" s="131" t="s">
        <v>148</v>
      </c>
      <c r="W18" s="132" t="s">
        <v>109</v>
      </c>
      <c r="X18" s="132"/>
      <c r="Y18" s="550">
        <f>Y16/X16-1</f>
        <v>0.36254980079681443</v>
      </c>
      <c r="Z18" s="550">
        <f t="shared" ref="Z18:AE18" si="2">Z16/Y16-1</f>
        <v>-0.51608187134502992</v>
      </c>
      <c r="AA18" s="550">
        <f t="shared" si="2"/>
        <v>0.83789410667298214</v>
      </c>
      <c r="AB18" s="550">
        <f t="shared" si="2"/>
        <v>-0.44342131840804733</v>
      </c>
      <c r="AC18" s="550">
        <f t="shared" si="2"/>
        <v>1.0144576643071601</v>
      </c>
      <c r="AD18" s="550">
        <f t="shared" si="2"/>
        <v>-0.16354522962335483</v>
      </c>
      <c r="AE18" s="550">
        <f t="shared" si="2"/>
        <v>-0.40117440976853191</v>
      </c>
      <c r="AF18" s="125"/>
    </row>
    <row r="19" spans="3:32" ht="3" customHeight="1">
      <c r="C19" s="208"/>
      <c r="E19" s="182"/>
      <c r="F19" s="182"/>
      <c r="G19" s="182"/>
      <c r="H19" s="554"/>
      <c r="I19" s="554"/>
      <c r="J19" s="554"/>
      <c r="K19" s="554"/>
      <c r="L19" s="554"/>
      <c r="M19" s="554"/>
      <c r="N19" s="554"/>
      <c r="O19" s="554"/>
      <c r="P19" s="209"/>
      <c r="T19" s="123"/>
      <c r="AF19" s="125"/>
    </row>
    <row r="20" spans="3:32" ht="3" customHeight="1">
      <c r="C20" s="208"/>
      <c r="H20" s="552"/>
      <c r="I20" s="552"/>
      <c r="J20" s="552"/>
      <c r="K20" s="552"/>
      <c r="L20" s="552"/>
      <c r="M20" s="552"/>
      <c r="N20" s="552"/>
      <c r="O20" s="552"/>
      <c r="P20" s="209"/>
      <c r="T20" s="123"/>
      <c r="AF20" s="125"/>
    </row>
    <row r="21" spans="3:32">
      <c r="C21" s="208"/>
      <c r="E21" s="118" t="s">
        <v>8</v>
      </c>
      <c r="F21" s="203"/>
      <c r="H21" s="551">
        <v>14.099999999999962</v>
      </c>
      <c r="I21" s="551">
        <v>23.700000000000035</v>
      </c>
      <c r="J21" s="551">
        <v>2.1999999999999651</v>
      </c>
      <c r="K21" s="551">
        <v>29.707323924731163</v>
      </c>
      <c r="L21" s="551">
        <v>12.883848316158492</v>
      </c>
      <c r="M21" s="551">
        <v>38.802422097145843</v>
      </c>
      <c r="N21" s="551">
        <v>33.318943781644421</v>
      </c>
      <c r="O21" s="551">
        <v>19.4273807642682</v>
      </c>
      <c r="P21" s="210"/>
      <c r="T21" s="123"/>
      <c r="V21" s="118" t="s">
        <v>8</v>
      </c>
      <c r="W21" s="129" t="s">
        <v>167</v>
      </c>
      <c r="X21" s="549">
        <f>Model!H105</f>
        <v>14.099999999999962</v>
      </c>
      <c r="Y21" s="549">
        <f>Model!I105</f>
        <v>23.700000000000035</v>
      </c>
      <c r="Z21" s="549">
        <f>Model!J105</f>
        <v>2.1999999999999651</v>
      </c>
      <c r="AA21" s="549">
        <f>Model!K105</f>
        <v>21.230708371735837</v>
      </c>
      <c r="AB21" s="549">
        <f>Model!L105</f>
        <v>4.0836963536990583</v>
      </c>
      <c r="AC21" s="549">
        <f>Model!M105</f>
        <v>26.465181422846875</v>
      </c>
      <c r="AD21" s="549">
        <f>Model!N105</f>
        <v>19.699260828035641</v>
      </c>
      <c r="AE21" s="549">
        <f>Model!O105</f>
        <v>5.1079044100805815</v>
      </c>
      <c r="AF21" s="125"/>
    </row>
    <row r="22" spans="3:32">
      <c r="C22" s="208"/>
      <c r="E22" s="131" t="s">
        <v>149</v>
      </c>
      <c r="F22" s="184"/>
      <c r="G22" s="131"/>
      <c r="H22" s="553">
        <v>6.604215456674456E-2</v>
      </c>
      <c r="I22" s="553">
        <v>0.10016906170752338</v>
      </c>
      <c r="J22" s="553">
        <v>1.074218749999983E-2</v>
      </c>
      <c r="K22" s="553">
        <v>0.11767043173733088</v>
      </c>
      <c r="L22" s="553">
        <v>5.5157919445049865E-2</v>
      </c>
      <c r="M22" s="553">
        <v>0.13797343507382973</v>
      </c>
      <c r="N22" s="553">
        <v>0.11847596834808559</v>
      </c>
      <c r="O22" s="553">
        <v>7.244349784066853E-2</v>
      </c>
      <c r="P22" s="210"/>
      <c r="T22" s="123"/>
      <c r="V22" s="131" t="s">
        <v>149</v>
      </c>
      <c r="W22" s="132" t="s">
        <v>109</v>
      </c>
      <c r="X22" s="550">
        <f>Model!H111</f>
        <v>6.604215456674456E-2</v>
      </c>
      <c r="Y22" s="550">
        <f>Model!I111</f>
        <v>0.10016906170752338</v>
      </c>
      <c r="Z22" s="550">
        <f>Model!J111</f>
        <v>1.074218749999983E-2</v>
      </c>
      <c r="AA22" s="550">
        <f>Model!K111</f>
        <v>8.904952814582727E-2</v>
      </c>
      <c r="AB22" s="550">
        <f>Model!L111</f>
        <v>1.8547857475507426E-2</v>
      </c>
      <c r="AC22" s="550">
        <f>Model!M111</f>
        <v>0.10077806782600589</v>
      </c>
      <c r="AD22" s="550">
        <f>Model!N111</f>
        <v>7.5784986547384914E-2</v>
      </c>
      <c r="AE22" s="550">
        <f>Model!O111</f>
        <v>2.0876710714703685E-2</v>
      </c>
      <c r="AF22" s="125"/>
    </row>
    <row r="23" spans="3:32">
      <c r="C23" s="208"/>
      <c r="E23" s="131" t="s">
        <v>148</v>
      </c>
      <c r="F23" s="184"/>
      <c r="G23" s="131"/>
      <c r="H23" s="555"/>
      <c r="I23" s="553">
        <v>0.68085106382979421</v>
      </c>
      <c r="J23" s="553">
        <v>-0.9071729957805923</v>
      </c>
      <c r="K23" s="553">
        <v>12.503329056696197</v>
      </c>
      <c r="L23" s="553">
        <v>-0.56630734061398347</v>
      </c>
      <c r="M23" s="553">
        <v>2.0117105654279666</v>
      </c>
      <c r="N23" s="553">
        <v>-0.14131793891043631</v>
      </c>
      <c r="O23" s="553">
        <v>-0.41692687224464642</v>
      </c>
      <c r="P23" s="210"/>
      <c r="T23" s="123"/>
      <c r="V23" s="131" t="s">
        <v>148</v>
      </c>
      <c r="W23" s="132" t="s">
        <v>109</v>
      </c>
      <c r="X23" s="132"/>
      <c r="Y23" s="550">
        <f>Y21/X21-1</f>
        <v>0.68085106382979421</v>
      </c>
      <c r="Z23" s="550">
        <f t="shared" ref="Z23:AE23" si="3">Z21/Y21-1</f>
        <v>-0.9071729957805923</v>
      </c>
      <c r="AA23" s="550">
        <f t="shared" si="3"/>
        <v>8.6503219871528056</v>
      </c>
      <c r="AB23" s="550">
        <f t="shared" si="3"/>
        <v>-0.80765143196372902</v>
      </c>
      <c r="AC23" s="550">
        <f t="shared" si="3"/>
        <v>5.4806927671971533</v>
      </c>
      <c r="AD23" s="550">
        <f t="shared" si="3"/>
        <v>-0.25565366383509269</v>
      </c>
      <c r="AE23" s="550">
        <f t="shared" si="3"/>
        <v>-0.74070578309156132</v>
      </c>
      <c r="AF23" s="125"/>
    </row>
    <row r="24" spans="3:32" ht="4" customHeight="1">
      <c r="C24" s="212"/>
      <c r="D24" s="213"/>
      <c r="E24" s="214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5"/>
      <c r="T24" s="133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34"/>
    </row>
    <row r="25" spans="3:32" ht="10" customHeight="1"/>
    <row r="26" spans="3:32" ht="15" customHeight="1">
      <c r="C26" s="121" t="s">
        <v>179</v>
      </c>
      <c r="D26" s="122"/>
      <c r="E26" s="122"/>
      <c r="F26" s="122"/>
      <c r="G26" s="122"/>
      <c r="H26" s="120"/>
      <c r="I26" s="120"/>
      <c r="J26" s="120"/>
      <c r="K26" s="120"/>
      <c r="L26" s="120"/>
      <c r="M26" s="120"/>
      <c r="N26" s="120"/>
      <c r="O26" s="120"/>
      <c r="P26" s="120"/>
    </row>
    <row r="27" spans="3:32" s="137" customFormat="1" ht="15" customHeight="1">
      <c r="C27" s="266"/>
      <c r="D27" s="267"/>
      <c r="E27" s="267"/>
      <c r="F27" s="267"/>
      <c r="G27" s="267"/>
      <c r="H27" s="268"/>
      <c r="I27" s="268"/>
      <c r="J27" s="268"/>
      <c r="K27" s="269" t="s">
        <v>2</v>
      </c>
      <c r="L27" s="270"/>
      <c r="M27" s="270"/>
      <c r="N27" s="270"/>
      <c r="O27" s="270"/>
      <c r="P27" s="278"/>
    </row>
    <row r="28" spans="3:32" s="137" customFormat="1" ht="15" customHeight="1">
      <c r="C28" s="272"/>
      <c r="D28" s="273" t="s">
        <v>171</v>
      </c>
      <c r="E28" s="274"/>
      <c r="F28" s="273" t="s">
        <v>193</v>
      </c>
      <c r="G28" s="274"/>
      <c r="H28" s="275">
        <f t="shared" ref="H28:O28" si="4">H7</f>
        <v>2020</v>
      </c>
      <c r="I28" s="275">
        <f t="shared" si="4"/>
        <v>2021</v>
      </c>
      <c r="J28" s="275">
        <f t="shared" si="4"/>
        <v>2022</v>
      </c>
      <c r="K28" s="276">
        <f t="shared" si="4"/>
        <v>2023</v>
      </c>
      <c r="L28" s="276">
        <f t="shared" si="4"/>
        <v>2024</v>
      </c>
      <c r="M28" s="276">
        <f t="shared" si="4"/>
        <v>2025</v>
      </c>
      <c r="N28" s="276">
        <f t="shared" si="4"/>
        <v>2026</v>
      </c>
      <c r="O28" s="276">
        <f t="shared" si="4"/>
        <v>2027</v>
      </c>
      <c r="P28" s="279"/>
    </row>
    <row r="29" spans="3:32" ht="3" customHeight="1">
      <c r="C29" s="204"/>
      <c r="D29" s="189"/>
      <c r="E29" s="189"/>
      <c r="F29" s="189"/>
      <c r="G29" s="189"/>
      <c r="H29" s="190"/>
      <c r="I29" s="190"/>
      <c r="J29" s="191"/>
      <c r="K29" s="192"/>
      <c r="L29" s="192"/>
      <c r="M29" s="192"/>
      <c r="N29" s="192"/>
      <c r="O29" s="192"/>
      <c r="P29" s="205"/>
    </row>
    <row r="30" spans="3:32" ht="3" customHeight="1">
      <c r="C30" s="206"/>
      <c r="D30" s="196"/>
      <c r="E30" s="196"/>
      <c r="F30" s="196"/>
      <c r="G30" s="196"/>
      <c r="H30" s="197"/>
      <c r="I30" s="197"/>
      <c r="J30" s="198"/>
      <c r="K30" s="199"/>
      <c r="L30" s="199"/>
      <c r="M30" s="199"/>
      <c r="N30" s="199"/>
      <c r="O30" s="199"/>
      <c r="P30" s="207"/>
    </row>
    <row r="31" spans="3:32" ht="13" customHeight="1">
      <c r="C31" s="208"/>
      <c r="D31" s="128" t="s">
        <v>141</v>
      </c>
      <c r="P31" s="209"/>
    </row>
    <row r="32" spans="3:32" ht="3" customHeight="1">
      <c r="C32" s="208"/>
      <c r="D32" s="128"/>
      <c r="P32" s="209"/>
    </row>
    <row r="33" spans="3:31">
      <c r="C33" s="208"/>
      <c r="E33" s="118" t="s">
        <v>3</v>
      </c>
      <c r="F33" s="203"/>
      <c r="H33" s="551">
        <v>213.49999999999997</v>
      </c>
      <c r="I33" s="551">
        <v>236.60000000000002</v>
      </c>
      <c r="J33" s="551">
        <v>204.79999999999998</v>
      </c>
      <c r="K33" s="551">
        <v>264.10862903225802</v>
      </c>
      <c r="L33" s="551">
        <v>244.64311560000002</v>
      </c>
      <c r="M33" s="551">
        <v>297.21531508419486</v>
      </c>
      <c r="N33" s="551">
        <v>300.41838123259203</v>
      </c>
      <c r="O33" s="551">
        <v>281.50084467066245</v>
      </c>
      <c r="P33" s="209"/>
      <c r="W33" s="129"/>
      <c r="X33" s="130"/>
      <c r="Y33" s="130"/>
      <c r="Z33" s="130"/>
      <c r="AA33" s="130"/>
      <c r="AB33" s="130"/>
      <c r="AC33" s="130"/>
      <c r="AD33" s="130"/>
      <c r="AE33" s="130"/>
    </row>
    <row r="34" spans="3:31">
      <c r="C34" s="208"/>
      <c r="E34" s="131" t="s">
        <v>148</v>
      </c>
      <c r="F34" s="132"/>
      <c r="G34" s="131"/>
      <c r="H34" s="552"/>
      <c r="I34" s="553">
        <v>0.10819672131147562</v>
      </c>
      <c r="J34" s="553">
        <v>-0.13440405748098072</v>
      </c>
      <c r="K34" s="553">
        <v>0.28959291519657238</v>
      </c>
      <c r="L34" s="553">
        <v>-7.3702678718159165E-2</v>
      </c>
      <c r="M34" s="553">
        <v>0.2148934350973204</v>
      </c>
      <c r="N34" s="553">
        <v>1.077692159803334E-2</v>
      </c>
      <c r="O34" s="553">
        <v>-6.2970636098605093E-2</v>
      </c>
      <c r="P34" s="209"/>
      <c r="V34" s="135"/>
      <c r="W34" s="129"/>
      <c r="Y34" s="95"/>
      <c r="Z34" s="95"/>
      <c r="AA34" s="95"/>
      <c r="AB34" s="95"/>
      <c r="AC34" s="95"/>
      <c r="AD34" s="95"/>
      <c r="AE34" s="95"/>
    </row>
    <row r="35" spans="3:31" ht="3" customHeight="1">
      <c r="C35" s="208"/>
      <c r="H35" s="554"/>
      <c r="I35" s="554"/>
      <c r="J35" s="554"/>
      <c r="K35" s="554"/>
      <c r="L35" s="554"/>
      <c r="M35" s="554"/>
      <c r="N35" s="554"/>
      <c r="O35" s="554"/>
      <c r="P35" s="209"/>
    </row>
    <row r="36" spans="3:31" ht="3" customHeight="1">
      <c r="C36" s="208"/>
      <c r="H36" s="552"/>
      <c r="I36" s="552"/>
      <c r="J36" s="552"/>
      <c r="K36" s="552"/>
      <c r="L36" s="552"/>
      <c r="M36" s="552"/>
      <c r="N36" s="552"/>
      <c r="O36" s="552"/>
      <c r="P36" s="209"/>
    </row>
    <row r="37" spans="3:31">
      <c r="C37" s="208"/>
      <c r="E37" s="118" t="s">
        <v>5</v>
      </c>
      <c r="F37" s="203"/>
      <c r="H37" s="551">
        <v>50.19999999999996</v>
      </c>
      <c r="I37" s="551">
        <v>68.400000000000034</v>
      </c>
      <c r="J37" s="551">
        <v>33.099999999999966</v>
      </c>
      <c r="K37" s="551">
        <v>85.521774193548339</v>
      </c>
      <c r="L37" s="551">
        <v>58.538128645161294</v>
      </c>
      <c r="M37" s="551">
        <v>102.06509550816776</v>
      </c>
      <c r="N37" s="551">
        <v>95.265445066266977</v>
      </c>
      <c r="O37" s="551">
        <v>70.58071270915201</v>
      </c>
      <c r="P37" s="210"/>
      <c r="W37" s="129"/>
      <c r="X37" s="130"/>
      <c r="Y37" s="130"/>
      <c r="Z37" s="130"/>
      <c r="AA37" s="130"/>
      <c r="AB37" s="130"/>
      <c r="AC37" s="130"/>
      <c r="AD37" s="130"/>
      <c r="AE37" s="130"/>
    </row>
    <row r="38" spans="3:31">
      <c r="C38" s="208"/>
      <c r="E38" s="131" t="s">
        <v>149</v>
      </c>
      <c r="F38" s="132"/>
      <c r="G38" s="131"/>
      <c r="H38" s="553">
        <v>0.23512880562060876</v>
      </c>
      <c r="I38" s="553">
        <v>0.28909551986475074</v>
      </c>
      <c r="J38" s="553">
        <v>0.16162109374999983</v>
      </c>
      <c r="K38" s="553">
        <v>0.3238128739182648</v>
      </c>
      <c r="L38" s="553">
        <v>0.23927968911609662</v>
      </c>
      <c r="M38" s="553">
        <v>0.34340456338615949</v>
      </c>
      <c r="N38" s="553">
        <v>0.3171092417028567</v>
      </c>
      <c r="O38" s="553">
        <v>0.25073002104745662</v>
      </c>
      <c r="P38" s="211"/>
      <c r="V38" s="135"/>
      <c r="W38" s="129"/>
      <c r="X38" s="95"/>
      <c r="Y38" s="95"/>
      <c r="Z38" s="95"/>
      <c r="AA38" s="95"/>
      <c r="AB38" s="95"/>
      <c r="AC38" s="95"/>
      <c r="AD38" s="95"/>
      <c r="AE38" s="95"/>
    </row>
    <row r="39" spans="3:31">
      <c r="C39" s="208"/>
      <c r="E39" s="131" t="s">
        <v>148</v>
      </c>
      <c r="F39" s="132"/>
      <c r="G39" s="131"/>
      <c r="H39" s="555"/>
      <c r="I39" s="553">
        <v>0.36254980079681443</v>
      </c>
      <c r="J39" s="553">
        <v>-0.51608187134502992</v>
      </c>
      <c r="K39" s="553">
        <v>1.5837394016177773</v>
      </c>
      <c r="L39" s="553">
        <v>-0.31551784095731095</v>
      </c>
      <c r="M39" s="553">
        <v>0.7435660802697075</v>
      </c>
      <c r="N39" s="553">
        <v>-6.6620722863641846E-2</v>
      </c>
      <c r="O39" s="553">
        <v>-0.25911527878701646</v>
      </c>
      <c r="P39" s="211"/>
      <c r="V39" s="135"/>
      <c r="W39" s="129"/>
      <c r="Y39" s="95"/>
      <c r="Z39" s="95"/>
      <c r="AA39" s="95"/>
      <c r="AB39" s="95"/>
      <c r="AC39" s="95"/>
      <c r="AD39" s="95"/>
      <c r="AE39" s="95"/>
    </row>
    <row r="40" spans="3:31" ht="3" customHeight="1">
      <c r="C40" s="208"/>
      <c r="H40" s="554"/>
      <c r="I40" s="554"/>
      <c r="J40" s="554"/>
      <c r="K40" s="554"/>
      <c r="L40" s="554"/>
      <c r="M40" s="554"/>
      <c r="N40" s="554"/>
      <c r="O40" s="554"/>
      <c r="P40" s="209"/>
    </row>
    <row r="41" spans="3:31" ht="3" customHeight="1">
      <c r="C41" s="208"/>
      <c r="H41" s="552"/>
      <c r="I41" s="552"/>
      <c r="J41" s="552"/>
      <c r="K41" s="552"/>
      <c r="L41" s="552"/>
      <c r="M41" s="552"/>
      <c r="N41" s="552"/>
      <c r="O41" s="552"/>
      <c r="P41" s="209"/>
    </row>
    <row r="42" spans="3:31">
      <c r="C42" s="208"/>
      <c r="E42" s="118" t="s">
        <v>8</v>
      </c>
      <c r="F42" s="203"/>
      <c r="H42" s="551">
        <v>14.099999999999962</v>
      </c>
      <c r="I42" s="551">
        <v>23.700000000000035</v>
      </c>
      <c r="J42" s="551">
        <v>2.1999999999999651</v>
      </c>
      <c r="K42" s="551">
        <v>37.277569892473089</v>
      </c>
      <c r="L42" s="551">
        <v>20.376169698549127</v>
      </c>
      <c r="M42" s="551">
        <v>49.26935887429299</v>
      </c>
      <c r="N42" s="551">
        <v>45.541012521575766</v>
      </c>
      <c r="O42" s="551">
        <v>30.164608235606018</v>
      </c>
      <c r="P42" s="210"/>
      <c r="W42" s="129"/>
      <c r="X42" s="136"/>
      <c r="Y42" s="136"/>
      <c r="Z42" s="136"/>
      <c r="AA42" s="130"/>
      <c r="AB42" s="130"/>
      <c r="AC42" s="130"/>
      <c r="AD42" s="130"/>
      <c r="AE42" s="130"/>
    </row>
    <row r="43" spans="3:31">
      <c r="C43" s="208"/>
      <c r="E43" s="131" t="s">
        <v>149</v>
      </c>
      <c r="F43" s="132"/>
      <c r="G43" s="131"/>
      <c r="H43" s="553">
        <v>6.604215456674456E-2</v>
      </c>
      <c r="I43" s="553">
        <v>0.10016906170752338</v>
      </c>
      <c r="J43" s="553">
        <v>1.074218749999983E-2</v>
      </c>
      <c r="K43" s="553">
        <v>0.14114483888339763</v>
      </c>
      <c r="L43" s="553">
        <v>8.3289364789912473E-2</v>
      </c>
      <c r="M43" s="553">
        <v>0.16576991956264439</v>
      </c>
      <c r="N43" s="553">
        <v>0.15159196429567565</v>
      </c>
      <c r="O43" s="553">
        <v>0.1071563684680827</v>
      </c>
      <c r="P43" s="210"/>
      <c r="W43" s="129"/>
      <c r="X43" s="136"/>
      <c r="Y43" s="136"/>
      <c r="Z43" s="136"/>
      <c r="AA43" s="130"/>
      <c r="AB43" s="130"/>
      <c r="AC43" s="130"/>
      <c r="AD43" s="130"/>
      <c r="AE43" s="130"/>
    </row>
    <row r="44" spans="3:31">
      <c r="C44" s="208"/>
      <c r="E44" s="131" t="s">
        <v>148</v>
      </c>
      <c r="F44" s="132"/>
      <c r="G44" s="131"/>
      <c r="H44" s="555"/>
      <c r="I44" s="553">
        <v>0.68085106382979421</v>
      </c>
      <c r="J44" s="553">
        <v>-0.9071729957805923</v>
      </c>
      <c r="K44" s="553">
        <v>15.944349951124401</v>
      </c>
      <c r="L44" s="553">
        <v>-0.45339329367970982</v>
      </c>
      <c r="M44" s="553">
        <v>1.4179892297324743</v>
      </c>
      <c r="N44" s="553">
        <v>-7.5672719067236383E-2</v>
      </c>
      <c r="O44" s="553">
        <v>-0.33763861263921036</v>
      </c>
      <c r="P44" s="210"/>
      <c r="W44" s="129"/>
      <c r="X44" s="136"/>
      <c r="Y44" s="136"/>
      <c r="Z44" s="136"/>
      <c r="AA44" s="130"/>
      <c r="AB44" s="130"/>
      <c r="AC44" s="130"/>
      <c r="AD44" s="130"/>
      <c r="AE44" s="130"/>
    </row>
    <row r="45" spans="3:31" ht="4" customHeight="1">
      <c r="C45" s="212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213"/>
      <c r="O45" s="213"/>
      <c r="P45" s="215"/>
    </row>
    <row r="46" spans="3:31" ht="10" customHeight="1"/>
    <row r="47" spans="3:31" ht="15" customHeight="1">
      <c r="C47" s="121" t="s">
        <v>150</v>
      </c>
      <c r="D47" s="122"/>
      <c r="E47" s="122"/>
      <c r="F47" s="122"/>
      <c r="G47" s="122"/>
      <c r="H47" s="120"/>
      <c r="I47" s="120"/>
      <c r="J47" s="120"/>
      <c r="K47" s="120"/>
      <c r="L47" s="120"/>
      <c r="M47" s="120"/>
      <c r="N47" s="120"/>
      <c r="O47" s="120"/>
      <c r="P47" s="120"/>
    </row>
    <row r="48" spans="3:31" s="137" customFormat="1" ht="15" customHeight="1">
      <c r="C48" s="266"/>
      <c r="D48" s="267"/>
      <c r="E48" s="267"/>
      <c r="F48" s="267"/>
      <c r="G48" s="267"/>
      <c r="H48" s="268"/>
      <c r="I48" s="268"/>
      <c r="J48" s="268"/>
      <c r="K48" s="269" t="s">
        <v>2</v>
      </c>
      <c r="L48" s="270"/>
      <c r="M48" s="270"/>
      <c r="N48" s="270"/>
      <c r="O48" s="270"/>
      <c r="P48" s="278"/>
    </row>
    <row r="49" spans="3:31" s="137" customFormat="1" ht="15" customHeight="1">
      <c r="C49" s="280"/>
      <c r="D49" s="273" t="s">
        <v>171</v>
      </c>
      <c r="E49" s="281"/>
      <c r="F49" s="273" t="s">
        <v>193</v>
      </c>
      <c r="G49" s="281"/>
      <c r="H49" s="282">
        <f>H28</f>
        <v>2020</v>
      </c>
      <c r="I49" s="282">
        <f t="shared" ref="I49:O49" si="5">I28</f>
        <v>2021</v>
      </c>
      <c r="J49" s="282">
        <f t="shared" si="5"/>
        <v>2022</v>
      </c>
      <c r="K49" s="283">
        <f t="shared" si="5"/>
        <v>2023</v>
      </c>
      <c r="L49" s="283">
        <f t="shared" si="5"/>
        <v>2024</v>
      </c>
      <c r="M49" s="283">
        <f t="shared" si="5"/>
        <v>2025</v>
      </c>
      <c r="N49" s="283">
        <f t="shared" si="5"/>
        <v>2026</v>
      </c>
      <c r="O49" s="283">
        <f t="shared" si="5"/>
        <v>2027</v>
      </c>
      <c r="P49" s="284"/>
    </row>
    <row r="50" spans="3:31" ht="3" customHeight="1">
      <c r="C50" s="204"/>
      <c r="D50" s="189"/>
      <c r="E50" s="189"/>
      <c r="F50" s="189"/>
      <c r="G50" s="189"/>
      <c r="H50" s="190"/>
      <c r="I50" s="190"/>
      <c r="J50" s="191"/>
      <c r="K50" s="192"/>
      <c r="L50" s="192"/>
      <c r="M50" s="192"/>
      <c r="N50" s="192"/>
      <c r="O50" s="192"/>
      <c r="P50" s="205"/>
      <c r="X50" s="137"/>
      <c r="Y50" s="137"/>
      <c r="Z50" s="137"/>
      <c r="AA50" s="137"/>
      <c r="AB50" s="137"/>
      <c r="AC50" s="137"/>
      <c r="AD50" s="137"/>
      <c r="AE50" s="137"/>
    </row>
    <row r="51" spans="3:31" ht="3" customHeight="1">
      <c r="C51" s="206"/>
      <c r="D51" s="196"/>
      <c r="E51" s="196"/>
      <c r="F51" s="196"/>
      <c r="G51" s="196"/>
      <c r="H51" s="197"/>
      <c r="I51" s="197"/>
      <c r="J51" s="198"/>
      <c r="K51" s="199"/>
      <c r="L51" s="199"/>
      <c r="M51" s="199"/>
      <c r="N51" s="199"/>
      <c r="O51" s="199"/>
      <c r="P51" s="207"/>
      <c r="X51" s="137"/>
      <c r="Y51" s="137"/>
      <c r="Z51" s="137"/>
      <c r="AA51" s="137"/>
      <c r="AB51" s="137"/>
      <c r="AC51" s="137"/>
      <c r="AD51" s="137"/>
      <c r="AE51" s="137"/>
    </row>
    <row r="52" spans="3:31" ht="13" customHeight="1">
      <c r="C52" s="208"/>
      <c r="D52" s="128" t="s">
        <v>141</v>
      </c>
      <c r="P52" s="209"/>
      <c r="X52" s="137"/>
      <c r="Y52" s="137"/>
      <c r="Z52" s="137"/>
      <c r="AA52" s="137"/>
      <c r="AB52" s="137"/>
      <c r="AC52" s="137"/>
      <c r="AD52" s="137"/>
      <c r="AE52" s="137"/>
    </row>
    <row r="53" spans="3:31">
      <c r="C53" s="208"/>
      <c r="E53" s="118" t="s">
        <v>3</v>
      </c>
      <c r="F53" s="203"/>
      <c r="H53" s="551">
        <v>213.49999999999997</v>
      </c>
      <c r="I53" s="551">
        <v>236.60000000000002</v>
      </c>
      <c r="J53" s="551">
        <v>204.79999999999998</v>
      </c>
      <c r="K53" s="551">
        <v>238.41460829493093</v>
      </c>
      <c r="L53" s="551">
        <v>220.17078571428573</v>
      </c>
      <c r="M53" s="551">
        <v>262.60854165748856</v>
      </c>
      <c r="N53" s="551">
        <v>259.93619218654328</v>
      </c>
      <c r="O53" s="551">
        <v>244.66998081661546</v>
      </c>
      <c r="P53" s="209"/>
      <c r="W53" s="129"/>
      <c r="X53" s="137"/>
      <c r="Y53" s="137"/>
      <c r="Z53" s="137"/>
      <c r="AA53" s="137"/>
      <c r="AB53" s="137"/>
      <c r="AC53" s="137"/>
      <c r="AD53" s="137"/>
      <c r="AE53" s="137"/>
    </row>
    <row r="54" spans="3:31">
      <c r="C54" s="208"/>
      <c r="E54" s="131" t="s">
        <v>148</v>
      </c>
      <c r="F54" s="132"/>
      <c r="G54" s="131"/>
      <c r="H54" s="552"/>
      <c r="I54" s="553">
        <v>0.10819672131147562</v>
      </c>
      <c r="J54" s="553">
        <v>-0.13440405748098072</v>
      </c>
      <c r="K54" s="553">
        <v>0.16413382956509248</v>
      </c>
      <c r="L54" s="553">
        <v>-7.6521412471825867E-2</v>
      </c>
      <c r="M54" s="553">
        <v>0.19274925965097855</v>
      </c>
      <c r="N54" s="553">
        <v>-1.0176171171274118E-2</v>
      </c>
      <c r="O54" s="553">
        <v>-5.8730610929977778E-2</v>
      </c>
      <c r="P54" s="209"/>
      <c r="V54" s="135"/>
      <c r="W54" s="129"/>
      <c r="X54" s="137"/>
      <c r="Y54" s="137"/>
      <c r="Z54" s="137"/>
      <c r="AA54" s="137"/>
      <c r="AB54" s="137"/>
      <c r="AC54" s="137"/>
      <c r="AD54" s="137"/>
      <c r="AE54" s="137"/>
    </row>
    <row r="55" spans="3:31" ht="3" customHeight="1">
      <c r="C55" s="208"/>
      <c r="H55" s="554"/>
      <c r="I55" s="554"/>
      <c r="J55" s="554"/>
      <c r="K55" s="554"/>
      <c r="L55" s="554"/>
      <c r="M55" s="554"/>
      <c r="N55" s="554"/>
      <c r="O55" s="554"/>
      <c r="P55" s="209"/>
      <c r="X55" s="137"/>
      <c r="Y55" s="137"/>
      <c r="Z55" s="137"/>
      <c r="AA55" s="137"/>
      <c r="AB55" s="137"/>
      <c r="AC55" s="137"/>
      <c r="AD55" s="137"/>
      <c r="AE55" s="137"/>
    </row>
    <row r="56" spans="3:31" ht="3" customHeight="1">
      <c r="C56" s="208"/>
      <c r="H56" s="552"/>
      <c r="I56" s="552"/>
      <c r="J56" s="552"/>
      <c r="K56" s="552"/>
      <c r="L56" s="552"/>
      <c r="M56" s="552"/>
      <c r="N56" s="552"/>
      <c r="O56" s="552"/>
      <c r="P56" s="209"/>
      <c r="X56" s="137"/>
      <c r="Y56" s="137"/>
      <c r="Z56" s="137"/>
      <c r="AA56" s="137"/>
      <c r="AB56" s="137"/>
      <c r="AC56" s="137"/>
      <c r="AD56" s="137"/>
      <c r="AE56" s="137"/>
    </row>
    <row r="57" spans="3:31">
      <c r="C57" s="208"/>
      <c r="E57" s="118" t="s">
        <v>5</v>
      </c>
      <c r="F57" s="203"/>
      <c r="H57" s="551">
        <v>50.19999999999996</v>
      </c>
      <c r="I57" s="551">
        <v>68.400000000000034</v>
      </c>
      <c r="J57" s="551">
        <v>33.099999999999966</v>
      </c>
      <c r="K57" s="551">
        <v>60.834294930875643</v>
      </c>
      <c r="L57" s="551">
        <v>33.859071668202773</v>
      </c>
      <c r="M57" s="551">
        <v>68.207666428336495</v>
      </c>
      <c r="N57" s="551">
        <v>57.052627960241011</v>
      </c>
      <c r="O57" s="551">
        <v>34.164573612547684</v>
      </c>
      <c r="P57" s="210"/>
      <c r="W57" s="129"/>
      <c r="X57" s="137"/>
      <c r="Y57" s="137"/>
      <c r="Z57" s="137"/>
      <c r="AA57" s="137"/>
      <c r="AB57" s="137"/>
      <c r="AC57" s="137"/>
      <c r="AD57" s="137"/>
      <c r="AE57" s="137"/>
    </row>
    <row r="58" spans="3:31">
      <c r="C58" s="208"/>
      <c r="E58" s="131" t="s">
        <v>149</v>
      </c>
      <c r="F58" s="132"/>
      <c r="G58" s="131"/>
      <c r="H58" s="553">
        <v>0.23512880562060876</v>
      </c>
      <c r="I58" s="553">
        <v>0.28909551986475074</v>
      </c>
      <c r="J58" s="553">
        <v>0.16162109374999983</v>
      </c>
      <c r="K58" s="553">
        <v>0.25516177622648251</v>
      </c>
      <c r="L58" s="553">
        <v>0.15378548774468873</v>
      </c>
      <c r="M58" s="553">
        <v>0.25973133241529306</v>
      </c>
      <c r="N58" s="553">
        <v>0.21948704980373482</v>
      </c>
      <c r="O58" s="553">
        <v>0.13963533040922843</v>
      </c>
      <c r="P58" s="211"/>
      <c r="V58" s="135"/>
      <c r="W58" s="129"/>
      <c r="X58" s="137"/>
      <c r="Y58" s="137"/>
      <c r="Z58" s="137"/>
      <c r="AA58" s="137"/>
      <c r="AB58" s="137"/>
      <c r="AC58" s="137"/>
      <c r="AD58" s="137"/>
      <c r="AE58" s="137"/>
    </row>
    <row r="59" spans="3:31">
      <c r="C59" s="208"/>
      <c r="E59" s="131" t="s">
        <v>148</v>
      </c>
      <c r="F59" s="132"/>
      <c r="G59" s="131"/>
      <c r="H59" s="555"/>
      <c r="I59" s="553">
        <v>0.36254980079681443</v>
      </c>
      <c r="J59" s="553">
        <v>-0.51608187134502992</v>
      </c>
      <c r="K59" s="553">
        <v>0.83789410667298214</v>
      </c>
      <c r="L59" s="553">
        <v>-0.44342131840804733</v>
      </c>
      <c r="M59" s="553">
        <v>1.0144576643071601</v>
      </c>
      <c r="N59" s="553">
        <v>-0.16354522962335483</v>
      </c>
      <c r="O59" s="553">
        <v>-0.40117440976853191</v>
      </c>
      <c r="P59" s="211"/>
      <c r="V59" s="135"/>
      <c r="W59" s="129"/>
      <c r="X59" s="137"/>
      <c r="Y59" s="137"/>
      <c r="Z59" s="137"/>
      <c r="AA59" s="137"/>
      <c r="AB59" s="137"/>
      <c r="AC59" s="137"/>
      <c r="AD59" s="137"/>
      <c r="AE59" s="137"/>
    </row>
    <row r="60" spans="3:31" ht="3" customHeight="1">
      <c r="C60" s="208"/>
      <c r="H60" s="554"/>
      <c r="I60" s="554"/>
      <c r="J60" s="554"/>
      <c r="K60" s="554"/>
      <c r="L60" s="554"/>
      <c r="M60" s="554"/>
      <c r="N60" s="554"/>
      <c r="O60" s="554"/>
      <c r="P60" s="209"/>
      <c r="X60" s="137"/>
      <c r="Y60" s="137"/>
      <c r="Z60" s="137"/>
      <c r="AA60" s="137"/>
      <c r="AB60" s="137"/>
      <c r="AC60" s="137"/>
      <c r="AD60" s="137"/>
      <c r="AE60" s="137"/>
    </row>
    <row r="61" spans="3:31" ht="3" customHeight="1">
      <c r="C61" s="208"/>
      <c r="H61" s="552"/>
      <c r="I61" s="552"/>
      <c r="J61" s="552"/>
      <c r="K61" s="552"/>
      <c r="L61" s="552"/>
      <c r="M61" s="552"/>
      <c r="N61" s="552"/>
      <c r="O61" s="552"/>
      <c r="P61" s="209"/>
      <c r="X61" s="137"/>
      <c r="Y61" s="137"/>
      <c r="Z61" s="137"/>
      <c r="AA61" s="137"/>
      <c r="AB61" s="137"/>
      <c r="AC61" s="137"/>
      <c r="AD61" s="137"/>
      <c r="AE61" s="137"/>
    </row>
    <row r="62" spans="3:31">
      <c r="C62" s="208"/>
      <c r="E62" s="118" t="s">
        <v>8</v>
      </c>
      <c r="F62" s="203"/>
      <c r="H62" s="551">
        <v>14.099999999999962</v>
      </c>
      <c r="I62" s="551">
        <v>23.700000000000035</v>
      </c>
      <c r="J62" s="551">
        <v>2.1999999999999651</v>
      </c>
      <c r="K62" s="551">
        <v>21.230708371735837</v>
      </c>
      <c r="L62" s="551">
        <v>4.0836963536990583</v>
      </c>
      <c r="M62" s="551">
        <v>26.465181422846875</v>
      </c>
      <c r="N62" s="551">
        <v>19.699260828035641</v>
      </c>
      <c r="O62" s="551">
        <v>5.1079044100805815</v>
      </c>
      <c r="P62" s="210"/>
      <c r="W62" s="129"/>
      <c r="X62" s="137"/>
      <c r="Y62" s="137"/>
      <c r="Z62" s="137"/>
      <c r="AA62" s="137"/>
      <c r="AB62" s="137"/>
      <c r="AC62" s="137"/>
      <c r="AD62" s="137"/>
      <c r="AE62" s="137"/>
    </row>
    <row r="63" spans="3:31">
      <c r="C63" s="208"/>
      <c r="E63" s="131" t="s">
        <v>149</v>
      </c>
      <c r="F63" s="132"/>
      <c r="G63" s="131"/>
      <c r="H63" s="553">
        <v>6.604215456674456E-2</v>
      </c>
      <c r="I63" s="553">
        <v>0.10016906170752338</v>
      </c>
      <c r="J63" s="553">
        <v>1.074218749999983E-2</v>
      </c>
      <c r="K63" s="553">
        <v>8.904952814582727E-2</v>
      </c>
      <c r="L63" s="553">
        <v>1.8547857475507426E-2</v>
      </c>
      <c r="M63" s="553">
        <v>0.10077806782600589</v>
      </c>
      <c r="N63" s="553">
        <v>7.5784986547384914E-2</v>
      </c>
      <c r="O63" s="553">
        <v>2.0876710714703685E-2</v>
      </c>
      <c r="P63" s="210"/>
      <c r="W63" s="129"/>
      <c r="X63" s="137"/>
      <c r="Y63" s="137"/>
      <c r="Z63" s="137"/>
      <c r="AA63" s="137"/>
      <c r="AB63" s="137"/>
      <c r="AC63" s="137"/>
      <c r="AD63" s="137"/>
      <c r="AE63" s="137"/>
    </row>
    <row r="64" spans="3:31">
      <c r="C64" s="208"/>
      <c r="E64" s="131" t="s">
        <v>148</v>
      </c>
      <c r="F64" s="132"/>
      <c r="G64" s="131"/>
      <c r="H64" s="555"/>
      <c r="I64" s="553">
        <v>0.68085106382979421</v>
      </c>
      <c r="J64" s="553">
        <v>-0.9071729957805923</v>
      </c>
      <c r="K64" s="553">
        <v>8.6503219871528056</v>
      </c>
      <c r="L64" s="553">
        <v>-0.80765143196372902</v>
      </c>
      <c r="M64" s="553">
        <v>5.4806927671971533</v>
      </c>
      <c r="N64" s="553">
        <v>-0.25565366383509269</v>
      </c>
      <c r="O64" s="553">
        <v>-0.74070578309156132</v>
      </c>
      <c r="P64" s="210"/>
      <c r="W64" s="129"/>
      <c r="X64" s="137"/>
      <c r="Y64" s="137"/>
      <c r="Z64" s="137"/>
      <c r="AA64" s="137"/>
      <c r="AB64" s="137"/>
      <c r="AC64" s="137"/>
      <c r="AD64" s="137"/>
      <c r="AE64" s="137"/>
    </row>
    <row r="65" spans="2:31" ht="4" customHeight="1">
      <c r="C65" s="212"/>
      <c r="D65" s="213"/>
      <c r="E65" s="213"/>
      <c r="F65" s="213"/>
      <c r="G65" s="213"/>
      <c r="H65" s="213"/>
      <c r="I65" s="213"/>
      <c r="J65" s="213"/>
      <c r="K65" s="213"/>
      <c r="L65" s="213"/>
      <c r="M65" s="213"/>
      <c r="N65" s="213"/>
      <c r="O65" s="213"/>
      <c r="P65" s="215"/>
      <c r="X65" s="137"/>
      <c r="Y65" s="137"/>
      <c r="Z65" s="137"/>
      <c r="AA65" s="137"/>
      <c r="AB65" s="137"/>
      <c r="AC65" s="137"/>
      <c r="AD65" s="137"/>
      <c r="AE65" s="137"/>
    </row>
    <row r="66" spans="2:31" ht="12" customHeight="1"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X66" s="137"/>
      <c r="Y66" s="137"/>
      <c r="Z66" s="137"/>
      <c r="AA66" s="137"/>
      <c r="AB66" s="137"/>
      <c r="AC66" s="137"/>
      <c r="AD66" s="137"/>
      <c r="AE66" s="137"/>
    </row>
  </sheetData>
  <printOptions horizontalCentered="1" verticalCentered="1"/>
  <pageMargins left="0.25" right="0.25" top="0.35" bottom="0.5" header="0.25" footer="0.25"/>
  <pageSetup scale="85" orientation="landscape" r:id="rId1"/>
  <headerFooter>
    <oddFooter>&amp;L&amp;K000000&amp;F&amp;A&amp;C&amp;K000000Page &amp;P of &amp;N&amp;R&amp;K000000&amp;D &amp;T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6432E141-2854-439F-993C-6CC4FD658F77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Summary!H16:O16</xm:f>
              <xm:sqref>F16</xm:sqref>
            </x14:sparkline>
          </x14:sparklines>
        </x14:sparklineGroup>
        <x14:sparklineGroup lineWeight="1" displayEmptyCellsAs="gap" high="1" low="1" xr2:uid="{B52FA5C1-8ABD-4858-952B-1FE363D8F282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Summary!H12:O12</xm:f>
              <xm:sqref>F12</xm:sqref>
            </x14:sparkline>
          </x14:sparklines>
        </x14:sparklineGroup>
        <x14:sparklineGroup lineWeight="1" displayEmptyCellsAs="gap" high="1" low="1" xr2:uid="{7C576C4A-CC28-42C3-BB62-0E794D368835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Summary!H21:O21</xm:f>
              <xm:sqref>F21</xm:sqref>
            </x14:sparkline>
          </x14:sparklines>
        </x14:sparklineGroup>
        <x14:sparklineGroup lineWeight="1" displayEmptyCellsAs="gap" high="1" low="1" xr2:uid="{922AC61D-B8DA-48C6-B9FA-F462165B173B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Summary!H33:O33</xm:f>
              <xm:sqref>F33</xm:sqref>
            </x14:sparkline>
          </x14:sparklines>
        </x14:sparklineGroup>
        <x14:sparklineGroup lineWeight="1" displayEmptyCellsAs="gap" high="1" low="1" xr2:uid="{64F1AC68-22C1-494C-8DB9-8B7DE5149FDB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Summary!H37:O37</xm:f>
              <xm:sqref>F37</xm:sqref>
            </x14:sparkline>
          </x14:sparklines>
        </x14:sparklineGroup>
        <x14:sparklineGroup lineWeight="1" displayEmptyCellsAs="gap" high="1" low="1" xr2:uid="{AD712293-37A1-4BBB-9B0B-D14D90E896D3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Summary!H42:O42</xm:f>
              <xm:sqref>F42</xm:sqref>
            </x14:sparkline>
          </x14:sparklines>
        </x14:sparklineGroup>
        <x14:sparklineGroup lineWeight="1" displayEmptyCellsAs="gap" high="1" low="1" xr2:uid="{210DCF42-6BB4-4817-B593-1DB3DE3EEC14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Summary!H53:O53</xm:f>
              <xm:sqref>F53</xm:sqref>
            </x14:sparkline>
          </x14:sparklines>
        </x14:sparklineGroup>
        <x14:sparklineGroup lineWeight="1" displayEmptyCellsAs="gap" high="1" low="1" xr2:uid="{EDAF874D-F657-491B-9B83-DF36A749AF6C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Summary!H57:O57</xm:f>
              <xm:sqref>F57</xm:sqref>
            </x14:sparkline>
          </x14:sparklines>
        </x14:sparklineGroup>
        <x14:sparklineGroup lineWeight="1" displayEmptyCellsAs="gap" high="1" low="1" xr2:uid="{4924D4C9-984C-4594-998A-20C6D0FE1C6A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Summary!H62:O62</xm:f>
              <xm:sqref>F62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B1:Q78"/>
  <sheetViews>
    <sheetView showGridLines="0" zoomScale="120" zoomScaleNormal="120" zoomScaleSheetLayoutView="100" workbookViewId="0">
      <selection activeCell="J25" sqref="J25"/>
    </sheetView>
  </sheetViews>
  <sheetFormatPr baseColWidth="10" defaultColWidth="8.83203125" defaultRowHeight="13"/>
  <cols>
    <col min="1" max="1" width="2.5" customWidth="1"/>
    <col min="2" max="2" width="5.5" customWidth="1"/>
    <col min="3" max="3" width="2.1640625" customWidth="1"/>
    <col min="4" max="4" width="13.5" customWidth="1"/>
    <col min="5" max="14" width="10.5" customWidth="1"/>
    <col min="15" max="15" width="5.5" customWidth="1"/>
  </cols>
  <sheetData>
    <row r="1" spans="2:17" ht="22.5" customHeight="1">
      <c r="B1" s="302" t="str">
        <f>Cover!C13</f>
        <v>Blu Containers Company</v>
      </c>
      <c r="C1" s="289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</row>
    <row r="2" spans="2:17" ht="18.75" customHeight="1">
      <c r="B2" s="290" t="s">
        <v>237</v>
      </c>
      <c r="C2" s="291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</row>
    <row r="3" spans="2:17" ht="3" customHeight="1" thickBot="1">
      <c r="B3" s="187"/>
      <c r="C3" s="187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 spans="2:17" ht="12" customHeight="1"/>
    <row r="5" spans="2:17" ht="16" customHeight="1">
      <c r="C5" s="295" t="s">
        <v>80</v>
      </c>
      <c r="D5" s="296"/>
      <c r="E5" s="296"/>
      <c r="F5" s="296"/>
      <c r="G5" s="296"/>
      <c r="H5" s="297"/>
      <c r="J5" s="295" t="s">
        <v>118</v>
      </c>
      <c r="K5" s="296"/>
      <c r="L5" s="296"/>
      <c r="M5" s="296"/>
      <c r="N5" s="297"/>
    </row>
    <row r="6" spans="2:17" ht="3" customHeight="1">
      <c r="C6" s="193"/>
      <c r="D6" s="194"/>
      <c r="E6" s="194"/>
      <c r="F6" s="194"/>
      <c r="G6" s="194"/>
      <c r="H6" s="195"/>
      <c r="J6" s="193"/>
      <c r="K6" s="194"/>
      <c r="L6" s="194"/>
      <c r="M6" s="194"/>
      <c r="N6" s="195"/>
    </row>
    <row r="7" spans="2:17" ht="3" customHeight="1">
      <c r="C7" s="200"/>
      <c r="D7" s="201"/>
      <c r="E7" s="201"/>
      <c r="F7" s="201"/>
      <c r="G7" s="201"/>
      <c r="H7" s="202"/>
      <c r="J7" s="200"/>
      <c r="K7" s="201"/>
      <c r="L7" s="201"/>
      <c r="M7" s="201"/>
      <c r="N7" s="202"/>
    </row>
    <row r="8" spans="2:17" ht="14" customHeight="1">
      <c r="C8" s="149" t="s">
        <v>79</v>
      </c>
      <c r="D8" s="15" t="s">
        <v>142</v>
      </c>
      <c r="G8" s="303">
        <v>2023</v>
      </c>
      <c r="H8" s="150"/>
      <c r="J8" s="155" t="str">
        <f ca="1">"Stock Price - "&amp;TEXT(TODAY()-1,"mm/dd/yy")</f>
        <v>Stock Price - 06/30/24</v>
      </c>
      <c r="K8" s="4"/>
      <c r="M8" s="5"/>
      <c r="N8" s="304">
        <v>11.5</v>
      </c>
      <c r="Q8" s="6"/>
    </row>
    <row r="9" spans="2:17" ht="14" customHeight="1">
      <c r="C9" s="149" t="s">
        <v>79</v>
      </c>
      <c r="D9" s="7" t="s">
        <v>166</v>
      </c>
      <c r="H9" s="150"/>
      <c r="J9" s="155" t="str">
        <f>"Fully Diluted Shares O/S (MM) - Dec. 31, "&amp;G8-1</f>
        <v>Fully Diluted Shares O/S (MM) - Dec. 31, 2022</v>
      </c>
      <c r="N9" s="305">
        <v>14.8</v>
      </c>
    </row>
    <row r="10" spans="2:17" ht="14" customHeight="1">
      <c r="C10" s="151"/>
      <c r="D10" s="152" t="s">
        <v>128</v>
      </c>
      <c r="E10" s="153"/>
      <c r="F10" s="153"/>
      <c r="G10" s="153"/>
      <c r="H10" s="154"/>
      <c r="J10" s="156" t="s">
        <v>119</v>
      </c>
      <c r="K10" s="153"/>
      <c r="L10" s="153"/>
      <c r="M10" s="157"/>
      <c r="N10" s="306">
        <v>0.2</v>
      </c>
    </row>
    <row r="11" spans="2:17" ht="14" customHeight="1">
      <c r="M11" s="5"/>
      <c r="N11" s="148"/>
    </row>
    <row r="12" spans="2:17" ht="6" customHeight="1">
      <c r="M12" s="5"/>
      <c r="N12" s="148"/>
    </row>
    <row r="13" spans="2:17" s="9" customFormat="1" ht="16" customHeight="1">
      <c r="C13" s="295" t="s">
        <v>81</v>
      </c>
      <c r="D13" s="296"/>
      <c r="E13" s="296"/>
      <c r="F13" s="296"/>
      <c r="G13" s="296"/>
      <c r="H13" s="297"/>
      <c r="J13" s="295" t="s">
        <v>82</v>
      </c>
      <c r="K13" s="296"/>
      <c r="L13" s="296"/>
      <c r="M13" s="296"/>
      <c r="N13" s="297"/>
    </row>
    <row r="14" spans="2:17" s="9" customFormat="1" ht="3" customHeight="1">
      <c r="C14" s="193"/>
      <c r="D14" s="194"/>
      <c r="E14" s="194"/>
      <c r="F14" s="194"/>
      <c r="G14" s="194"/>
      <c r="H14" s="195"/>
      <c r="J14" s="193"/>
      <c r="K14" s="194"/>
      <c r="L14" s="194"/>
      <c r="M14" s="194"/>
      <c r="N14" s="195"/>
    </row>
    <row r="15" spans="2:17" s="9" customFormat="1" ht="3" customHeight="1">
      <c r="C15" s="200"/>
      <c r="D15" s="201"/>
      <c r="E15" s="201"/>
      <c r="F15" s="201"/>
      <c r="G15" s="201"/>
      <c r="H15" s="202"/>
      <c r="J15" s="200"/>
      <c r="K15" s="201"/>
      <c r="L15" s="201"/>
      <c r="M15" s="201"/>
      <c r="N15" s="202"/>
    </row>
    <row r="16" spans="2:17" ht="14" customHeight="1">
      <c r="C16" s="149" t="s">
        <v>79</v>
      </c>
      <c r="D16" s="7" t="s">
        <v>78</v>
      </c>
      <c r="H16" s="150"/>
      <c r="J16" s="155"/>
      <c r="N16" s="150"/>
    </row>
    <row r="17" spans="3:14" ht="14" customHeight="1">
      <c r="C17" s="159" t="s">
        <v>0</v>
      </c>
      <c r="D17" s="10"/>
      <c r="E17" s="11" t="str">
        <f>Scenarios!G6&amp;" - "&amp;Scenarios!K6</f>
        <v>2023 - 2027</v>
      </c>
      <c r="F17" s="12"/>
      <c r="G17" s="11"/>
      <c r="H17" s="160"/>
      <c r="J17" s="158" t="s">
        <v>185</v>
      </c>
      <c r="N17" s="307">
        <v>420</v>
      </c>
    </row>
    <row r="18" spans="3:14" s="13" customFormat="1" ht="16">
      <c r="C18" s="161" t="s">
        <v>58</v>
      </c>
      <c r="D18"/>
      <c r="E18" s="2" t="s">
        <v>138</v>
      </c>
      <c r="F18" s="2"/>
      <c r="G18" s="2"/>
      <c r="H18" s="162"/>
      <c r="I18" s="14"/>
      <c r="J18" s="155"/>
      <c r="K18"/>
      <c r="L18"/>
      <c r="M18"/>
      <c r="N18" s="150"/>
    </row>
    <row r="19" spans="3:14" ht="14" customHeight="1">
      <c r="C19" s="161" t="s">
        <v>59</v>
      </c>
      <c r="F19" s="308">
        <v>0.04</v>
      </c>
      <c r="G19" s="2"/>
      <c r="H19" s="162" t="s">
        <v>139</v>
      </c>
      <c r="I19" s="15"/>
      <c r="J19" s="155"/>
      <c r="N19" s="150"/>
    </row>
    <row r="20" spans="3:14" ht="15.5" customHeight="1">
      <c r="C20" s="163" t="s">
        <v>60</v>
      </c>
      <c r="D20" s="153"/>
      <c r="E20" s="153"/>
      <c r="F20" s="309">
        <v>-0.04</v>
      </c>
      <c r="G20" s="164"/>
      <c r="H20" s="165" t="s">
        <v>139</v>
      </c>
      <c r="I20" s="15"/>
      <c r="J20" s="156"/>
      <c r="K20" s="153"/>
      <c r="L20" s="153"/>
      <c r="M20" s="153"/>
      <c r="N20" s="154"/>
    </row>
    <row r="21" spans="3:14" ht="14" customHeight="1">
      <c r="I21" s="15"/>
    </row>
    <row r="22" spans="3:14" ht="6" customHeight="1">
      <c r="I22" s="15"/>
    </row>
    <row r="23" spans="3:14" s="9" customFormat="1" ht="16" customHeight="1">
      <c r="C23" s="295" t="s">
        <v>84</v>
      </c>
      <c r="D23" s="296"/>
      <c r="E23" s="296"/>
      <c r="F23" s="296"/>
      <c r="G23" s="296"/>
      <c r="H23" s="297"/>
      <c r="J23" s="295" t="s">
        <v>182</v>
      </c>
      <c r="K23" s="296"/>
      <c r="L23" s="296"/>
      <c r="M23" s="296"/>
      <c r="N23" s="297"/>
    </row>
    <row r="24" spans="3:14" ht="3" customHeight="1">
      <c r="C24" s="193"/>
      <c r="D24" s="194"/>
      <c r="E24" s="194"/>
      <c r="F24" s="194"/>
      <c r="G24" s="194"/>
      <c r="H24" s="195"/>
      <c r="J24" s="193"/>
      <c r="K24" s="194"/>
      <c r="L24" s="194"/>
      <c r="M24" s="194"/>
      <c r="N24" s="195"/>
    </row>
    <row r="25" spans="3:14" ht="3" customHeight="1">
      <c r="C25" s="200"/>
      <c r="D25" s="201"/>
      <c r="E25" s="201"/>
      <c r="F25" s="201"/>
      <c r="G25" s="201"/>
      <c r="H25" s="202"/>
      <c r="J25" s="200"/>
      <c r="K25" s="201"/>
      <c r="L25" s="201"/>
      <c r="M25" s="201"/>
      <c r="N25" s="202"/>
    </row>
    <row r="26" spans="3:14" ht="15.5" customHeight="1">
      <c r="C26" s="159" t="s">
        <v>85</v>
      </c>
      <c r="D26" s="7"/>
      <c r="E26" s="17">
        <f>G8</f>
        <v>2023</v>
      </c>
      <c r="G26" s="17" t="s">
        <v>87</v>
      </c>
      <c r="H26" s="150"/>
      <c r="J26" s="168"/>
      <c r="N26" s="150"/>
    </row>
    <row r="27" spans="3:14" ht="14" customHeight="1">
      <c r="C27" s="166" t="s">
        <v>86</v>
      </c>
      <c r="D27" s="7"/>
      <c r="E27" s="311">
        <v>226</v>
      </c>
      <c r="F27" t="s">
        <v>143</v>
      </c>
      <c r="G27" t="s">
        <v>88</v>
      </c>
      <c r="H27" s="150"/>
      <c r="J27" s="169" t="s">
        <v>191</v>
      </c>
      <c r="M27" s="18"/>
      <c r="N27" s="310">
        <v>0.01</v>
      </c>
    </row>
    <row r="28" spans="3:14" ht="14" customHeight="1">
      <c r="C28" s="166" t="s">
        <v>151</v>
      </c>
      <c r="D28" s="7"/>
      <c r="E28" s="311">
        <v>66.2</v>
      </c>
      <c r="F28" t="s">
        <v>143</v>
      </c>
      <c r="G28" t="s">
        <v>88</v>
      </c>
      <c r="H28" s="150"/>
      <c r="J28" s="170" t="s">
        <v>188</v>
      </c>
      <c r="N28" s="310">
        <v>0.06</v>
      </c>
    </row>
    <row r="29" spans="3:14" ht="14" customHeight="1">
      <c r="C29" s="166" t="s">
        <v>152</v>
      </c>
      <c r="D29" s="15"/>
      <c r="E29" s="311">
        <v>23.5</v>
      </c>
      <c r="F29" t="s">
        <v>144</v>
      </c>
      <c r="G29" t="s">
        <v>190</v>
      </c>
      <c r="H29" s="150"/>
      <c r="J29" s="170" t="s">
        <v>189</v>
      </c>
      <c r="N29" s="310">
        <v>0.06</v>
      </c>
    </row>
    <row r="30" spans="3:14" ht="15.5" customHeight="1">
      <c r="C30" s="166" t="s">
        <v>53</v>
      </c>
      <c r="D30" s="15"/>
      <c r="E30" s="311">
        <v>43.5</v>
      </c>
      <c r="F30" t="s">
        <v>144</v>
      </c>
      <c r="G30" t="s">
        <v>190</v>
      </c>
      <c r="H30" s="150"/>
      <c r="J30" s="155"/>
      <c r="N30" s="150"/>
    </row>
    <row r="31" spans="3:14" ht="14" customHeight="1">
      <c r="C31" s="166" t="s">
        <v>10</v>
      </c>
      <c r="D31" s="15"/>
      <c r="E31" s="311">
        <v>2</v>
      </c>
      <c r="F31" t="s">
        <v>144</v>
      </c>
      <c r="G31" t="s">
        <v>190</v>
      </c>
      <c r="H31" s="150"/>
      <c r="J31" s="155"/>
      <c r="N31" s="150"/>
    </row>
    <row r="32" spans="3:14" ht="15.5" customHeight="1">
      <c r="C32" s="167" t="s">
        <v>89</v>
      </c>
      <c r="D32" s="152"/>
      <c r="E32" s="312">
        <v>3.9</v>
      </c>
      <c r="F32" s="153" t="s">
        <v>144</v>
      </c>
      <c r="G32" s="153" t="s">
        <v>190</v>
      </c>
      <c r="H32" s="154"/>
      <c r="J32" s="156"/>
      <c r="K32" s="153"/>
      <c r="L32" s="153"/>
      <c r="M32" s="153"/>
      <c r="N32" s="154"/>
    </row>
    <row r="33" spans="2:17" ht="14" customHeight="1"/>
    <row r="34" spans="2:17" ht="6" customHeight="1"/>
    <row r="35" spans="2:17" s="9" customFormat="1" ht="16" customHeight="1">
      <c r="C35" s="295" t="s">
        <v>90</v>
      </c>
      <c r="D35" s="298"/>
      <c r="E35" s="298"/>
      <c r="F35" s="298"/>
      <c r="G35" s="298"/>
      <c r="H35" s="299"/>
      <c r="J35" s="295" t="s">
        <v>83</v>
      </c>
      <c r="K35" s="298"/>
      <c r="L35" s="298"/>
      <c r="M35" s="298"/>
      <c r="N35" s="299"/>
    </row>
    <row r="36" spans="2:17" ht="3" customHeight="1">
      <c r="C36" s="193"/>
      <c r="D36" s="194"/>
      <c r="E36" s="194"/>
      <c r="F36" s="194"/>
      <c r="G36" s="194"/>
      <c r="H36" s="195"/>
      <c r="J36" s="193"/>
      <c r="K36" s="194"/>
      <c r="L36" s="194"/>
      <c r="M36" s="194"/>
      <c r="N36" s="195"/>
    </row>
    <row r="37" spans="2:17" ht="3" customHeight="1">
      <c r="C37" s="200"/>
      <c r="D37" s="201"/>
      <c r="E37" s="201"/>
      <c r="F37" s="201"/>
      <c r="G37" s="201"/>
      <c r="H37" s="202"/>
      <c r="J37" s="200"/>
      <c r="K37" s="201"/>
      <c r="L37" s="201"/>
      <c r="M37" s="201"/>
      <c r="N37" s="202"/>
    </row>
    <row r="38" spans="2:17" ht="14" customHeight="1">
      <c r="C38" s="149" t="s">
        <v>79</v>
      </c>
      <c r="D38" s="7" t="s">
        <v>153</v>
      </c>
      <c r="H38" s="173" t="s">
        <v>91</v>
      </c>
      <c r="J38" s="155"/>
      <c r="N38" s="150"/>
    </row>
    <row r="39" spans="2:17" ht="14" customHeight="1">
      <c r="C39" s="149" t="s">
        <v>79</v>
      </c>
      <c r="D39" s="19" t="s">
        <v>154</v>
      </c>
      <c r="H39" s="314">
        <v>25</v>
      </c>
      <c r="J39" s="158" t="s">
        <v>186</v>
      </c>
      <c r="N39" s="313">
        <v>0.35</v>
      </c>
    </row>
    <row r="40" spans="2:17" ht="14" customHeight="1">
      <c r="C40" s="151" t="s">
        <v>79</v>
      </c>
      <c r="D40" s="174" t="s">
        <v>155</v>
      </c>
      <c r="E40" s="153"/>
      <c r="F40" s="153"/>
      <c r="G40" s="153"/>
      <c r="H40" s="315">
        <v>30</v>
      </c>
      <c r="J40" s="171" t="s">
        <v>187</v>
      </c>
      <c r="K40" s="153"/>
      <c r="L40" s="153"/>
      <c r="M40" s="153"/>
      <c r="N40" s="172"/>
    </row>
    <row r="41" spans="2:17" ht="15" customHeight="1">
      <c r="B41" s="8"/>
      <c r="C41" s="8"/>
      <c r="D41" s="20"/>
      <c r="E41" s="16"/>
      <c r="F41" s="16"/>
      <c r="G41" s="16"/>
      <c r="H41" s="16"/>
      <c r="I41" s="8"/>
      <c r="J41" s="8"/>
      <c r="K41" s="8"/>
      <c r="L41" s="8"/>
      <c r="M41" s="8"/>
      <c r="N41" s="8"/>
      <c r="O41" s="8"/>
    </row>
    <row r="42" spans="2:17" ht="14" customHeight="1">
      <c r="C42" s="21"/>
      <c r="D42" s="19"/>
      <c r="H42" s="22"/>
    </row>
    <row r="43" spans="2:17" ht="14" customHeight="1">
      <c r="C43" s="21"/>
      <c r="J43" s="23"/>
    </row>
    <row r="44" spans="2:17" ht="22.5" customHeight="1">
      <c r="B44" s="287" t="str">
        <f>Summary!B1</f>
        <v>Blu Containers Company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2:17" ht="18.75" customHeight="1">
      <c r="B45" s="288" t="s">
        <v>238</v>
      </c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2:17" ht="3" customHeight="1" thickBot="1">
      <c r="B46" s="187"/>
      <c r="C46" s="187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</row>
    <row r="47" spans="2:17" ht="12" customHeight="1">
      <c r="C47" s="21"/>
      <c r="J47" s="23"/>
    </row>
    <row r="48" spans="2:17" s="9" customFormat="1" ht="16" customHeight="1">
      <c r="C48" s="295" t="s">
        <v>156</v>
      </c>
      <c r="D48" s="298"/>
      <c r="E48" s="298"/>
      <c r="F48" s="298"/>
      <c r="G48" s="298"/>
      <c r="H48" s="298"/>
      <c r="I48" s="298"/>
      <c r="J48" s="300">
        <f>G8</f>
        <v>2023</v>
      </c>
      <c r="K48" s="300">
        <f>J48+1</f>
        <v>2024</v>
      </c>
      <c r="L48" s="300">
        <f>K48+1</f>
        <v>2025</v>
      </c>
      <c r="M48" s="300">
        <f>L48+1</f>
        <v>2026</v>
      </c>
      <c r="N48" s="301">
        <f>M48+1</f>
        <v>2027</v>
      </c>
      <c r="Q48" s="175"/>
    </row>
    <row r="49" spans="3:17" s="9" customFormat="1" ht="3" customHeight="1">
      <c r="C49" s="193"/>
      <c r="D49" s="194"/>
      <c r="E49" s="194"/>
      <c r="F49" s="194"/>
      <c r="G49" s="194"/>
      <c r="H49" s="195"/>
      <c r="I49" s="195"/>
      <c r="J49" s="195"/>
      <c r="K49" s="195"/>
      <c r="L49" s="195"/>
      <c r="M49" s="195"/>
      <c r="N49" s="195"/>
      <c r="Q49" s="175"/>
    </row>
    <row r="50" spans="3:17" s="9" customFormat="1" ht="3" customHeight="1">
      <c r="C50" s="200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2"/>
      <c r="Q50" s="175"/>
    </row>
    <row r="51" spans="3:17" ht="8" customHeight="1">
      <c r="C51" s="155"/>
      <c r="L51" s="23"/>
      <c r="N51" s="150"/>
    </row>
    <row r="52" spans="3:17" ht="14" customHeight="1">
      <c r="C52" s="176" t="s">
        <v>37</v>
      </c>
      <c r="J52" s="25"/>
      <c r="K52" s="25"/>
      <c r="L52" s="25"/>
      <c r="M52" s="25"/>
      <c r="N52" s="177"/>
      <c r="Q52" s="24"/>
    </row>
    <row r="53" spans="3:17" ht="14" customHeight="1">
      <c r="C53" s="176"/>
      <c r="D53" t="s">
        <v>161</v>
      </c>
      <c r="G53" t="s">
        <v>144</v>
      </c>
      <c r="J53" s="25">
        <v>0</v>
      </c>
      <c r="K53" s="25">
        <v>0</v>
      </c>
      <c r="L53" s="25">
        <v>0</v>
      </c>
      <c r="M53" s="25">
        <v>0</v>
      </c>
      <c r="N53" s="177">
        <v>0</v>
      </c>
    </row>
    <row r="54" spans="3:17" ht="6" customHeight="1">
      <c r="C54" s="155"/>
      <c r="L54" s="23"/>
      <c r="N54" s="150"/>
    </row>
    <row r="55" spans="3:17" ht="14" customHeight="1">
      <c r="C55" s="176" t="s">
        <v>47</v>
      </c>
      <c r="J55" s="25"/>
      <c r="K55" s="25"/>
      <c r="L55" s="25"/>
      <c r="M55" s="25"/>
      <c r="N55" s="177"/>
      <c r="Q55" s="24"/>
    </row>
    <row r="56" spans="3:17" ht="14" customHeight="1">
      <c r="C56" s="176"/>
      <c r="D56" t="s">
        <v>162</v>
      </c>
      <c r="G56" t="s">
        <v>144</v>
      </c>
      <c r="J56" s="25">
        <v>0</v>
      </c>
      <c r="K56" s="25">
        <v>0</v>
      </c>
      <c r="L56" s="25">
        <v>0</v>
      </c>
      <c r="M56" s="25">
        <v>0</v>
      </c>
      <c r="N56" s="177">
        <v>0</v>
      </c>
    </row>
    <row r="57" spans="3:17" ht="6" customHeight="1">
      <c r="C57" s="155"/>
      <c r="L57" s="23"/>
      <c r="N57" s="150"/>
    </row>
    <row r="58" spans="3:17" ht="14" customHeight="1">
      <c r="C58" s="176" t="s">
        <v>101</v>
      </c>
      <c r="G58" t="s">
        <v>144</v>
      </c>
      <c r="J58" s="25">
        <v>16</v>
      </c>
      <c r="K58" s="25">
        <v>17</v>
      </c>
      <c r="L58" s="25">
        <v>17.3</v>
      </c>
      <c r="M58" s="25">
        <v>17.5</v>
      </c>
      <c r="N58" s="177">
        <v>18</v>
      </c>
      <c r="Q58" s="24"/>
    </row>
    <row r="59" spans="3:17" ht="6" customHeight="1">
      <c r="C59" s="155"/>
      <c r="L59" s="23"/>
      <c r="N59" s="150"/>
    </row>
    <row r="60" spans="3:17" ht="14.25" customHeight="1">
      <c r="C60" s="176" t="s">
        <v>172</v>
      </c>
      <c r="L60" s="23"/>
      <c r="N60" s="150"/>
    </row>
    <row r="61" spans="3:17" ht="14.25" customHeight="1">
      <c r="C61" s="155"/>
      <c r="D61" t="s">
        <v>176</v>
      </c>
      <c r="G61" t="s">
        <v>144</v>
      </c>
      <c r="J61" s="25">
        <v>5</v>
      </c>
      <c r="K61" s="25">
        <v>5</v>
      </c>
      <c r="L61" s="25">
        <v>5</v>
      </c>
      <c r="M61" s="25">
        <v>5</v>
      </c>
      <c r="N61" s="177">
        <v>5</v>
      </c>
    </row>
    <row r="62" spans="3:17" ht="6" customHeight="1">
      <c r="C62" s="155"/>
      <c r="L62" s="23"/>
      <c r="N62" s="150"/>
    </row>
    <row r="63" spans="3:17" ht="14.25" customHeight="1">
      <c r="C63" s="176" t="s">
        <v>157</v>
      </c>
      <c r="L63" s="23"/>
      <c r="N63" s="150"/>
    </row>
    <row r="64" spans="3:17" ht="14" customHeight="1">
      <c r="C64" s="155"/>
      <c r="D64" t="s">
        <v>14</v>
      </c>
      <c r="G64" t="s">
        <v>158</v>
      </c>
      <c r="J64" s="316">
        <v>48</v>
      </c>
      <c r="K64" s="316">
        <v>44</v>
      </c>
      <c r="L64" s="316">
        <v>40</v>
      </c>
      <c r="M64" s="316">
        <v>40</v>
      </c>
      <c r="N64" s="317">
        <v>40</v>
      </c>
    </row>
    <row r="65" spans="2:15" ht="14" customHeight="1">
      <c r="C65" s="168"/>
      <c r="D65" t="s">
        <v>28</v>
      </c>
      <c r="G65" t="s">
        <v>158</v>
      </c>
      <c r="J65" s="316">
        <v>70</v>
      </c>
      <c r="K65" s="316">
        <v>65</v>
      </c>
      <c r="L65" s="316">
        <v>60</v>
      </c>
      <c r="M65" s="316">
        <v>60</v>
      </c>
      <c r="N65" s="317">
        <v>55</v>
      </c>
    </row>
    <row r="66" spans="2:15" ht="14" customHeight="1">
      <c r="C66" s="168"/>
      <c r="D66" t="s">
        <v>163</v>
      </c>
      <c r="G66" t="s">
        <v>158</v>
      </c>
      <c r="J66" s="316">
        <v>30</v>
      </c>
      <c r="K66" s="316">
        <v>30</v>
      </c>
      <c r="L66" s="316">
        <v>30</v>
      </c>
      <c r="M66" s="316">
        <v>30</v>
      </c>
      <c r="N66" s="317">
        <v>30</v>
      </c>
    </row>
    <row r="67" spans="2:15" ht="14" customHeight="1">
      <c r="C67" s="168"/>
      <c r="D67" t="s">
        <v>164</v>
      </c>
      <c r="G67" t="s">
        <v>158</v>
      </c>
      <c r="J67" s="316">
        <v>3</v>
      </c>
      <c r="K67" s="316">
        <v>3</v>
      </c>
      <c r="L67" s="316">
        <v>3</v>
      </c>
      <c r="M67" s="316">
        <v>3</v>
      </c>
      <c r="N67" s="317">
        <v>3</v>
      </c>
    </row>
    <row r="68" spans="2:15" ht="14" customHeight="1">
      <c r="C68" s="149"/>
      <c r="D68" t="s">
        <v>20</v>
      </c>
      <c r="G68" t="s">
        <v>158</v>
      </c>
      <c r="J68" s="316">
        <v>40</v>
      </c>
      <c r="K68" s="316">
        <v>40</v>
      </c>
      <c r="L68" s="316">
        <v>40</v>
      </c>
      <c r="M68" s="316">
        <v>40</v>
      </c>
      <c r="N68" s="317">
        <v>40</v>
      </c>
    </row>
    <row r="69" spans="2:15" ht="14" customHeight="1">
      <c r="C69" s="149"/>
      <c r="D69" t="s">
        <v>165</v>
      </c>
      <c r="G69" t="s">
        <v>158</v>
      </c>
      <c r="J69" s="316">
        <v>10</v>
      </c>
      <c r="K69" s="316">
        <v>10</v>
      </c>
      <c r="L69" s="316">
        <v>10</v>
      </c>
      <c r="M69" s="316">
        <v>10</v>
      </c>
      <c r="N69" s="317">
        <v>10</v>
      </c>
    </row>
    <row r="70" spans="2:15" ht="6" customHeight="1">
      <c r="C70" s="149"/>
      <c r="N70" s="150"/>
    </row>
    <row r="71" spans="2:15" ht="14" customHeight="1">
      <c r="C71" s="178" t="s">
        <v>159</v>
      </c>
      <c r="N71" s="150"/>
    </row>
    <row r="72" spans="2:15" ht="14" customHeight="1">
      <c r="C72" s="166"/>
      <c r="D72" t="s">
        <v>184</v>
      </c>
      <c r="G72" t="s">
        <v>144</v>
      </c>
      <c r="J72" s="25">
        <v>-25</v>
      </c>
      <c r="K72" s="25">
        <v>-25</v>
      </c>
      <c r="L72" s="25">
        <v>-25</v>
      </c>
      <c r="M72" s="25">
        <v>-25</v>
      </c>
      <c r="N72" s="177">
        <v>-25</v>
      </c>
    </row>
    <row r="73" spans="2:15" ht="14" customHeight="1">
      <c r="C73" s="149"/>
      <c r="D73" t="s">
        <v>120</v>
      </c>
      <c r="G73" t="s">
        <v>144</v>
      </c>
      <c r="J73" s="25">
        <v>0</v>
      </c>
      <c r="K73" s="25">
        <v>0</v>
      </c>
      <c r="L73" s="25">
        <v>0</v>
      </c>
      <c r="M73" s="25">
        <v>0</v>
      </c>
      <c r="N73" s="177">
        <v>0</v>
      </c>
    </row>
    <row r="74" spans="2:15" ht="12" customHeight="1">
      <c r="C74" s="151"/>
      <c r="D74" s="153"/>
      <c r="E74" s="153"/>
      <c r="F74" s="153"/>
      <c r="G74" s="153"/>
      <c r="H74" s="153"/>
      <c r="I74" s="153"/>
      <c r="J74" s="179"/>
      <c r="K74" s="179"/>
      <c r="L74" s="179"/>
      <c r="M74" s="179"/>
      <c r="N74" s="180"/>
    </row>
    <row r="75" spans="2:15" ht="9" customHeight="1">
      <c r="B75" s="8"/>
      <c r="C75" s="8"/>
      <c r="D75" s="20"/>
      <c r="E75" s="16"/>
      <c r="F75" s="16"/>
      <c r="G75" s="16"/>
      <c r="H75" s="16"/>
      <c r="I75" s="8"/>
      <c r="J75" s="8"/>
      <c r="K75" s="8"/>
      <c r="L75" s="8"/>
      <c r="M75" s="8"/>
      <c r="N75" s="8"/>
      <c r="O75" s="8"/>
    </row>
    <row r="76" spans="2:15" ht="12.75" customHeight="1">
      <c r="D76" s="26"/>
      <c r="E76" s="2"/>
      <c r="F76" s="2"/>
      <c r="G76" s="2"/>
      <c r="H76" s="2"/>
    </row>
    <row r="77" spans="2:15">
      <c r="D77" s="23"/>
    </row>
    <row r="78" spans="2:15">
      <c r="D78" s="23"/>
    </row>
  </sheetData>
  <sheetProtection formatCells="0" formatColumns="0" formatRows="0" insertColumns="0" insertRows="0"/>
  <phoneticPr fontId="0" type="noConversion"/>
  <conditionalFormatting sqref="J349:N353">
    <cfRule type="cellIs" dxfId="1" priority="1" stopIfTrue="1" operator="greaterThan">
      <formula>330</formula>
    </cfRule>
  </conditionalFormatting>
  <printOptions horizontalCentered="1" verticalCentered="1"/>
  <pageMargins left="0.25" right="0.25" top="0.35" bottom="0.5" header="0.25" footer="0.25"/>
  <pageSetup scale="90" orientation="landscape" r:id="rId1"/>
  <headerFooter>
    <oddFooter>&amp;L&amp;K000000&amp;F&amp;A&amp;C&amp;K000000Page &amp;P of &amp;N&amp;R&amp;K000000&amp;D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M42"/>
  <sheetViews>
    <sheetView showGridLines="0" zoomScale="120" zoomScaleNormal="120" zoomScaleSheetLayoutView="100" workbookViewId="0">
      <selection activeCell="H20" sqref="H20"/>
    </sheetView>
  </sheetViews>
  <sheetFormatPr baseColWidth="10" defaultColWidth="10.5" defaultRowHeight="13"/>
  <cols>
    <col min="1" max="1" width="4.33203125" style="29" bestFit="1" customWidth="1"/>
    <col min="2" max="2" width="1.5" style="29" customWidth="1"/>
    <col min="3" max="3" width="18.5" style="29" customWidth="1"/>
    <col min="4" max="4" width="11.5" style="49" customWidth="1"/>
    <col min="5" max="5" width="1.5" style="49" customWidth="1"/>
    <col min="6" max="6" width="6.6640625" style="29" customWidth="1"/>
    <col min="7" max="11" width="12.6640625" style="29" customWidth="1"/>
    <col min="12" max="12" width="13.5" style="29" customWidth="1"/>
    <col min="13" max="13" width="10.5" style="29" customWidth="1"/>
    <col min="14" max="17" width="13.5" style="29" customWidth="1"/>
    <col min="18" max="16384" width="10.5" style="29"/>
  </cols>
  <sheetData>
    <row r="1" spans="1:11" s="27" customFormat="1" ht="22.75" customHeight="1">
      <c r="A1" s="292"/>
      <c r="B1" s="330" t="str">
        <f>Assumptions!B1</f>
        <v>Blu Containers Company</v>
      </c>
      <c r="C1" s="28"/>
      <c r="D1" s="28"/>
      <c r="E1" s="28"/>
      <c r="F1" s="28"/>
      <c r="G1" s="28"/>
      <c r="H1" s="28"/>
      <c r="I1" s="28"/>
      <c r="J1" s="28"/>
      <c r="K1" s="28"/>
    </row>
    <row r="2" spans="1:11" ht="18">
      <c r="A2" s="293"/>
      <c r="B2" s="294" t="s">
        <v>192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ht="3" customHeight="1" thickBot="1">
      <c r="B3" s="185"/>
      <c r="C3" s="185"/>
      <c r="D3" s="186"/>
      <c r="E3" s="186"/>
      <c r="F3" s="185"/>
      <c r="G3" s="185"/>
      <c r="H3" s="185"/>
      <c r="I3" s="185"/>
      <c r="J3" s="185"/>
      <c r="K3" s="185"/>
    </row>
    <row r="4" spans="1:11" ht="12.75" customHeight="1">
      <c r="C4" s="31"/>
      <c r="D4" s="32"/>
      <c r="E4" s="32"/>
      <c r="F4" s="31"/>
    </row>
    <row r="5" spans="1:11" ht="6" customHeight="1">
      <c r="B5" s="33"/>
      <c r="C5" s="34"/>
      <c r="D5" s="35"/>
      <c r="E5" s="36"/>
      <c r="G5" s="37"/>
      <c r="H5" s="37"/>
      <c r="I5" s="37"/>
      <c r="J5" s="37"/>
      <c r="K5" s="37"/>
    </row>
    <row r="6" spans="1:11" ht="16.25" customHeight="1">
      <c r="B6" s="339" t="s">
        <v>99</v>
      </c>
      <c r="C6" s="38"/>
      <c r="D6" s="62">
        <v>3</v>
      </c>
      <c r="E6" s="39"/>
      <c r="F6" s="38"/>
      <c r="G6" s="331">
        <f>Assumptions!G8</f>
        <v>2023</v>
      </c>
      <c r="H6" s="331">
        <f>G6+1</f>
        <v>2024</v>
      </c>
      <c r="I6" s="331">
        <f>H6+1</f>
        <v>2025</v>
      </c>
      <c r="J6" s="331">
        <f>I6+1</f>
        <v>2026</v>
      </c>
      <c r="K6" s="331">
        <f>J6+1</f>
        <v>2027</v>
      </c>
    </row>
    <row r="7" spans="1:11" ht="6" customHeight="1">
      <c r="B7" s="41"/>
      <c r="C7" s="42"/>
      <c r="D7" s="43"/>
      <c r="E7" s="44"/>
      <c r="F7" s="38"/>
      <c r="G7" s="40"/>
      <c r="H7" s="40"/>
      <c r="I7" s="45"/>
      <c r="J7" s="45"/>
      <c r="K7" s="40"/>
    </row>
    <row r="8" spans="1:11">
      <c r="B8" s="38"/>
      <c r="C8" s="38"/>
      <c r="D8" s="46"/>
      <c r="E8" s="46"/>
      <c r="F8" s="38"/>
      <c r="G8" s="40"/>
      <c r="H8" s="40"/>
      <c r="I8" s="45"/>
      <c r="J8" s="45"/>
      <c r="K8" s="40"/>
    </row>
    <row r="9" spans="1:11">
      <c r="B9" s="38"/>
      <c r="C9" s="38"/>
      <c r="D9" s="46"/>
      <c r="E9" s="46"/>
      <c r="F9" s="38"/>
      <c r="G9" s="40"/>
      <c r="H9" s="40"/>
      <c r="I9" s="45"/>
      <c r="J9" s="45"/>
      <c r="K9" s="40"/>
    </row>
    <row r="10" spans="1:11" ht="16">
      <c r="A10" s="47"/>
      <c r="B10" s="48" t="s">
        <v>92</v>
      </c>
    </row>
    <row r="11" spans="1:11" ht="12.75" customHeight="1"/>
    <row r="12" spans="1:11" ht="16.25" customHeight="1">
      <c r="B12" s="50" t="s">
        <v>98</v>
      </c>
      <c r="D12" s="51"/>
      <c r="E12" s="51"/>
      <c r="G12" s="557">
        <f>CHOOSE($D$6,G14,G15,G16)</f>
        <v>2.5000000000000001E-2</v>
      </c>
      <c r="H12" s="558">
        <f t="shared" ref="H12:K12" si="0">CHOOSE($D$6,H14,H15,H16)</f>
        <v>2.5000000000000001E-2</v>
      </c>
      <c r="I12" s="558">
        <f t="shared" si="0"/>
        <v>2.5000000000000001E-2</v>
      </c>
      <c r="J12" s="558">
        <f t="shared" si="0"/>
        <v>2.5000000000000001E-2</v>
      </c>
      <c r="K12" s="559">
        <f t="shared" si="0"/>
        <v>2.5000000000000001E-2</v>
      </c>
    </row>
    <row r="13" spans="1:11" ht="4.25" customHeight="1">
      <c r="B13" s="52"/>
      <c r="D13" s="51"/>
      <c r="E13" s="51"/>
      <c r="G13" s="53"/>
      <c r="H13" s="54"/>
      <c r="I13" s="54"/>
      <c r="J13" s="54"/>
      <c r="K13" s="54"/>
    </row>
    <row r="14" spans="1:11">
      <c r="B14" s="52"/>
      <c r="C14" s="29" t="str">
        <f>Assumptions!C18</f>
        <v>Base Case</v>
      </c>
      <c r="D14" s="51"/>
      <c r="E14" s="51"/>
      <c r="G14" s="318">
        <v>0.02</v>
      </c>
      <c r="H14" s="319">
        <v>0.02</v>
      </c>
      <c r="I14" s="319">
        <v>0.02</v>
      </c>
      <c r="J14" s="319">
        <v>2.5000000000000001E-2</v>
      </c>
      <c r="K14" s="320">
        <v>2.5000000000000001E-2</v>
      </c>
    </row>
    <row r="15" spans="1:11">
      <c r="B15" s="52"/>
      <c r="C15" s="29" t="str">
        <f>Assumptions!C19</f>
        <v>Best Case</v>
      </c>
      <c r="D15" s="51"/>
      <c r="E15" s="51"/>
      <c r="G15" s="321">
        <v>1.7999999999999999E-2</v>
      </c>
      <c r="H15" s="322">
        <v>1.7999999999999999E-2</v>
      </c>
      <c r="I15" s="322">
        <v>1.7999999999999999E-2</v>
      </c>
      <c r="J15" s="322">
        <v>0.02</v>
      </c>
      <c r="K15" s="323">
        <v>0.02</v>
      </c>
    </row>
    <row r="16" spans="1:11">
      <c r="B16" s="52"/>
      <c r="C16" s="29" t="str">
        <f>Assumptions!C20</f>
        <v>Worst Case</v>
      </c>
      <c r="D16" s="51"/>
      <c r="E16" s="51"/>
      <c r="G16" s="324">
        <v>2.5000000000000001E-2</v>
      </c>
      <c r="H16" s="325">
        <v>2.5000000000000001E-2</v>
      </c>
      <c r="I16" s="325">
        <v>2.5000000000000001E-2</v>
      </c>
      <c r="J16" s="325">
        <v>2.5000000000000001E-2</v>
      </c>
      <c r="K16" s="326">
        <v>2.5000000000000001E-2</v>
      </c>
    </row>
    <row r="17" spans="1:13">
      <c r="C17" s="55"/>
      <c r="D17" s="56"/>
      <c r="E17" s="56"/>
      <c r="G17" s="57"/>
      <c r="H17" s="57"/>
      <c r="I17" s="57"/>
      <c r="J17" s="57"/>
      <c r="K17" s="58"/>
    </row>
    <row r="18" spans="1:13">
      <c r="B18" s="59"/>
      <c r="C18" s="59"/>
      <c r="D18" s="60"/>
      <c r="E18" s="60"/>
      <c r="F18" s="59"/>
      <c r="G18" s="59"/>
      <c r="H18" s="59"/>
      <c r="I18" s="59"/>
      <c r="J18" s="59"/>
      <c r="K18" s="59"/>
    </row>
    <row r="20" spans="1:13" ht="12.75" customHeight="1"/>
    <row r="21" spans="1:13" ht="12.75" customHeight="1">
      <c r="B21" s="48" t="s">
        <v>107</v>
      </c>
    </row>
    <row r="22" spans="1:13" ht="12.75" customHeight="1"/>
    <row r="23" spans="1:13" s="61" customFormat="1" ht="16.25" customHeight="1">
      <c r="B23" s="50" t="s">
        <v>168</v>
      </c>
      <c r="D23" s="62"/>
      <c r="E23" s="62"/>
      <c r="G23" s="560">
        <f>CHOOSE($D$6,G25,G26,G27)</f>
        <v>768</v>
      </c>
      <c r="H23" s="561">
        <f t="shared" ref="H23:K23" si="1">CHOOSE($D$6,H25,H26,H27)</f>
        <v>696</v>
      </c>
      <c r="I23" s="561">
        <f t="shared" si="1"/>
        <v>792</v>
      </c>
      <c r="J23" s="561">
        <f t="shared" si="1"/>
        <v>768</v>
      </c>
      <c r="K23" s="562">
        <f t="shared" si="1"/>
        <v>720</v>
      </c>
    </row>
    <row r="24" spans="1:13" ht="4.25" customHeight="1">
      <c r="B24" s="63"/>
      <c r="D24" s="51"/>
      <c r="E24" s="51"/>
      <c r="G24" s="64"/>
      <c r="H24" s="64"/>
      <c r="I24" s="64"/>
      <c r="J24" s="64"/>
      <c r="K24" s="64"/>
    </row>
    <row r="25" spans="1:13">
      <c r="C25" s="55" t="str">
        <f>C14</f>
        <v>Base Case</v>
      </c>
      <c r="D25" s="56"/>
      <c r="E25" s="56"/>
      <c r="G25" s="327">
        <v>800</v>
      </c>
      <c r="H25" s="328">
        <v>725</v>
      </c>
      <c r="I25" s="328">
        <v>825</v>
      </c>
      <c r="J25" s="328">
        <v>800</v>
      </c>
      <c r="K25" s="329">
        <v>750</v>
      </c>
      <c r="L25" s="65"/>
      <c r="M25" s="66"/>
    </row>
    <row r="26" spans="1:13">
      <c r="A26" s="338">
        <f>Assumptions!F19</f>
        <v>0.04</v>
      </c>
      <c r="C26" s="55" t="str">
        <f t="shared" ref="C26:C27" si="2">C15</f>
        <v>Best Case</v>
      </c>
      <c r="D26" s="56"/>
      <c r="E26" s="56"/>
      <c r="G26" s="332">
        <f>G$25*(1+$A26)</f>
        <v>832</v>
      </c>
      <c r="H26" s="333">
        <f t="shared" ref="H26:K27" si="3">H$25*(1+$A26)</f>
        <v>754</v>
      </c>
      <c r="I26" s="333">
        <f t="shared" si="3"/>
        <v>858</v>
      </c>
      <c r="J26" s="333">
        <f t="shared" si="3"/>
        <v>832</v>
      </c>
      <c r="K26" s="334">
        <f t="shared" si="3"/>
        <v>780</v>
      </c>
      <c r="L26" s="65"/>
      <c r="M26" s="66"/>
    </row>
    <row r="27" spans="1:13">
      <c r="A27" s="338">
        <f>Assumptions!F20</f>
        <v>-0.04</v>
      </c>
      <c r="C27" s="55" t="str">
        <f t="shared" si="2"/>
        <v>Worst Case</v>
      </c>
      <c r="D27" s="56"/>
      <c r="E27" s="56"/>
      <c r="G27" s="335">
        <f t="shared" ref="G27" si="4">G$25*(1+$A27)</f>
        <v>768</v>
      </c>
      <c r="H27" s="336">
        <f t="shared" si="3"/>
        <v>696</v>
      </c>
      <c r="I27" s="336">
        <f t="shared" si="3"/>
        <v>792</v>
      </c>
      <c r="J27" s="336">
        <f t="shared" si="3"/>
        <v>768</v>
      </c>
      <c r="K27" s="337">
        <f t="shared" si="3"/>
        <v>720</v>
      </c>
      <c r="L27" s="65"/>
      <c r="M27" s="66"/>
    </row>
    <row r="28" spans="1:13">
      <c r="C28" s="67"/>
      <c r="D28" s="56"/>
      <c r="E28" s="56"/>
      <c r="G28" s="68"/>
      <c r="H28" s="68"/>
      <c r="I28" s="68"/>
      <c r="J28" s="68"/>
      <c r="K28" s="69"/>
      <c r="L28" s="65"/>
    </row>
    <row r="29" spans="1:13">
      <c r="C29" s="67"/>
      <c r="D29" s="56"/>
      <c r="E29" s="56"/>
      <c r="G29" s="68"/>
      <c r="H29" s="68"/>
      <c r="I29" s="68"/>
      <c r="J29" s="68"/>
      <c r="K29" s="69"/>
      <c r="L29" s="65"/>
    </row>
    <row r="30" spans="1:13" ht="16.25" customHeight="1">
      <c r="B30" s="50" t="s">
        <v>108</v>
      </c>
      <c r="D30" s="51"/>
      <c r="E30" s="51"/>
      <c r="G30" s="557">
        <f>CHOOSE($D$6,G32,G33,G34)</f>
        <v>0.04</v>
      </c>
      <c r="H30" s="558">
        <f t="shared" ref="H30:K30" si="5">CHOOSE($D$6,H32,H33,H34)</f>
        <v>0.04</v>
      </c>
      <c r="I30" s="558">
        <f t="shared" si="5"/>
        <v>0.03</v>
      </c>
      <c r="J30" s="558">
        <f t="shared" si="5"/>
        <v>0.03</v>
      </c>
      <c r="K30" s="559">
        <f t="shared" si="5"/>
        <v>0.02</v>
      </c>
    </row>
    <row r="31" spans="1:13" ht="4.25" customHeight="1">
      <c r="B31" s="52"/>
      <c r="D31" s="51"/>
      <c r="E31" s="51"/>
      <c r="G31" s="53"/>
      <c r="H31" s="54"/>
      <c r="I31" s="54"/>
      <c r="J31" s="54"/>
      <c r="K31" s="54"/>
    </row>
    <row r="32" spans="1:13">
      <c r="B32" s="52"/>
      <c r="C32" s="29" t="str">
        <f>C14</f>
        <v>Base Case</v>
      </c>
      <c r="D32" s="51"/>
      <c r="E32" s="51"/>
      <c r="G32" s="318">
        <v>0.05</v>
      </c>
      <c r="H32" s="319">
        <v>0.04</v>
      </c>
      <c r="I32" s="319">
        <v>0.04</v>
      </c>
      <c r="J32" s="319">
        <v>0.04</v>
      </c>
      <c r="K32" s="320">
        <v>0.04</v>
      </c>
    </row>
    <row r="33" spans="2:12">
      <c r="B33" s="52"/>
      <c r="C33" s="29" t="str">
        <f>C15</f>
        <v>Best Case</v>
      </c>
      <c r="D33" s="51"/>
      <c r="E33" s="51"/>
      <c r="G33" s="321">
        <v>0.05</v>
      </c>
      <c r="H33" s="322">
        <v>0.04</v>
      </c>
      <c r="I33" s="322">
        <v>0.05</v>
      </c>
      <c r="J33" s="322">
        <v>0.05</v>
      </c>
      <c r="K33" s="323">
        <v>0.04</v>
      </c>
    </row>
    <row r="34" spans="2:12">
      <c r="B34" s="52"/>
      <c r="C34" s="29" t="str">
        <f>C16</f>
        <v>Worst Case</v>
      </c>
      <c r="D34" s="51"/>
      <c r="E34" s="51"/>
      <c r="G34" s="324">
        <v>0.04</v>
      </c>
      <c r="H34" s="325">
        <v>0.04</v>
      </c>
      <c r="I34" s="325">
        <v>0.03</v>
      </c>
      <c r="J34" s="325">
        <v>0.03</v>
      </c>
      <c r="K34" s="326">
        <v>0.02</v>
      </c>
    </row>
    <row r="35" spans="2:12">
      <c r="C35" s="67"/>
      <c r="D35" s="56"/>
      <c r="E35" s="56"/>
      <c r="G35" s="68"/>
      <c r="H35" s="68"/>
      <c r="I35" s="68"/>
      <c r="J35" s="68"/>
      <c r="K35" s="69"/>
      <c r="L35" s="65"/>
    </row>
    <row r="36" spans="2:12">
      <c r="B36" s="70"/>
      <c r="C36" s="70"/>
      <c r="D36" s="71"/>
      <c r="E36" s="71"/>
      <c r="F36" s="70"/>
      <c r="G36" s="70"/>
      <c r="H36" s="70"/>
      <c r="I36" s="70"/>
      <c r="J36" s="70"/>
      <c r="K36" s="70"/>
    </row>
    <row r="39" spans="2:12">
      <c r="C39" s="38"/>
      <c r="D39" s="51"/>
      <c r="E39" s="51"/>
      <c r="G39" s="72"/>
    </row>
    <row r="40" spans="2:12">
      <c r="D40" s="56"/>
      <c r="E40" s="56"/>
      <c r="H40" s="66"/>
    </row>
    <row r="41" spans="2:12">
      <c r="D41" s="56"/>
      <c r="E41" s="56"/>
    </row>
    <row r="42" spans="2:12">
      <c r="G42" s="72"/>
    </row>
  </sheetData>
  <sheetProtection formatCells="0" formatColumns="0" formatRows="0" insertColumns="0" insertRows="0"/>
  <phoneticPr fontId="0" type="noConversion"/>
  <conditionalFormatting sqref="J348:M352">
    <cfRule type="cellIs" dxfId="0" priority="1" stopIfTrue="1" operator="greaterThan">
      <formula>330</formula>
    </cfRule>
  </conditionalFormatting>
  <printOptions horizontalCentered="1" verticalCentered="1"/>
  <pageMargins left="0.25" right="0.25" top="0.35" bottom="0.5" header="0.25" footer="0.25"/>
  <pageSetup orientation="landscape" r:id="rId1"/>
  <headerFooter>
    <oddFooter>&amp;L&amp;K000000&amp;F&amp;A&amp;C&amp;K000000Page &amp;P of &amp;N&amp;R&amp;K000000&amp;D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Drop Down 1">
              <controlPr defaultSize="0" autoLine="0" autoPict="0">
                <anchor moveWithCells="1">
                  <from>
                    <xdr:col>2</xdr:col>
                    <xdr:colOff>1168400</xdr:colOff>
                    <xdr:row>4</xdr:row>
                    <xdr:rowOff>12700</xdr:rowOff>
                  </from>
                  <to>
                    <xdr:col>5</xdr:col>
                    <xdr:colOff>63500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II350"/>
  <sheetViews>
    <sheetView showGridLines="0" topLeftCell="A336" zoomScale="140" zoomScaleNormal="140" zoomScaleSheetLayoutView="90" workbookViewId="0">
      <selection activeCell="M336" sqref="M336"/>
    </sheetView>
  </sheetViews>
  <sheetFormatPr baseColWidth="10" defaultColWidth="9.5" defaultRowHeight="13"/>
  <cols>
    <col min="1" max="1" width="3.5" customWidth="1"/>
    <col min="2" max="2" width="1.83203125" customWidth="1"/>
    <col min="3" max="3" width="2.5" customWidth="1"/>
    <col min="4" max="4" width="11.5" customWidth="1"/>
    <col min="5" max="5" width="12.5" customWidth="1"/>
    <col min="6" max="6" width="10.5" style="356" customWidth="1"/>
    <col min="7" max="7" width="1.83203125" customWidth="1"/>
    <col min="8" max="15" width="10.6640625" customWidth="1"/>
  </cols>
  <sheetData>
    <row r="1" spans="1:15" ht="12.75" customHeight="1">
      <c r="A1" s="346"/>
      <c r="B1" s="1"/>
      <c r="C1" s="2"/>
      <c r="D1" s="2"/>
      <c r="E1" s="2"/>
      <c r="F1" s="347"/>
      <c r="G1" s="2"/>
      <c r="H1" s="2"/>
      <c r="I1" s="2"/>
      <c r="J1" s="2"/>
      <c r="K1" s="2"/>
      <c r="L1" s="2"/>
      <c r="M1" s="2"/>
      <c r="N1" s="2"/>
      <c r="O1" s="340" t="str">
        <f>"Currently Running: "&amp;CHOOSE(Scenarios!$D$6,Scenarios!C14,Scenarios!C15,Scenarios!C16)&amp;" Scenario"</f>
        <v>Currently Running: Worst Case Scenario</v>
      </c>
    </row>
    <row r="2" spans="1:15" ht="23">
      <c r="A2" s="348"/>
      <c r="B2" s="287" t="str">
        <f>Scenarios!B1</f>
        <v>Blu Containers Company</v>
      </c>
      <c r="C2" s="2"/>
      <c r="D2" s="2"/>
      <c r="E2" s="2"/>
      <c r="F2" s="347"/>
      <c r="G2" s="2"/>
      <c r="H2" s="2"/>
      <c r="I2" s="2"/>
      <c r="J2" s="2"/>
      <c r="K2" s="2"/>
      <c r="L2" s="2"/>
      <c r="M2" s="2"/>
      <c r="N2" s="2"/>
      <c r="O2" s="2"/>
    </row>
    <row r="3" spans="1:15" ht="18">
      <c r="A3" s="349"/>
      <c r="B3" s="288" t="s">
        <v>100</v>
      </c>
      <c r="C3" s="350"/>
      <c r="D3" s="350"/>
      <c r="E3" s="350"/>
      <c r="F3" s="351"/>
      <c r="G3" s="350"/>
      <c r="H3" s="350"/>
      <c r="I3" s="350"/>
      <c r="J3" s="350"/>
      <c r="K3" s="350"/>
      <c r="L3" s="350"/>
      <c r="M3" s="350"/>
      <c r="N3" s="350"/>
      <c r="O3" s="350"/>
    </row>
    <row r="4" spans="1:15" ht="3" customHeight="1" thickBot="1">
      <c r="A4" s="349"/>
      <c r="B4" s="352"/>
      <c r="C4" s="353"/>
      <c r="D4" s="353"/>
      <c r="E4" s="353"/>
      <c r="F4" s="354"/>
      <c r="G4" s="353"/>
      <c r="H4" s="353"/>
      <c r="I4" s="353"/>
      <c r="J4" s="353"/>
      <c r="K4" s="353"/>
      <c r="L4" s="353"/>
      <c r="M4" s="353"/>
      <c r="N4" s="353"/>
      <c r="O4" s="353"/>
    </row>
    <row r="5" spans="1:15" ht="12.75" customHeight="1">
      <c r="A5" s="355"/>
      <c r="B5" s="350"/>
      <c r="C5" s="350"/>
      <c r="D5" s="350"/>
      <c r="E5" s="350"/>
      <c r="F5" s="351"/>
      <c r="G5" s="350"/>
      <c r="H5" s="350"/>
      <c r="I5" s="350"/>
      <c r="J5" s="350"/>
      <c r="K5" s="350"/>
      <c r="L5" s="350"/>
      <c r="M5" s="350"/>
      <c r="N5" s="350"/>
      <c r="O5" s="350"/>
    </row>
    <row r="6" spans="1:15">
      <c r="G6" s="357"/>
      <c r="K6" s="358" t="s">
        <v>2</v>
      </c>
      <c r="L6" s="16"/>
      <c r="M6" s="16"/>
      <c r="N6" s="16"/>
      <c r="O6" s="16"/>
    </row>
    <row r="7" spans="1:15">
      <c r="G7" s="17"/>
      <c r="H7" s="359">
        <f>I7-1</f>
        <v>2020</v>
      </c>
      <c r="I7" s="359">
        <f>J7-1</f>
        <v>2021</v>
      </c>
      <c r="J7" s="359">
        <f>K7-1</f>
        <v>2022</v>
      </c>
      <c r="K7" s="84">
        <f>Scenarios!G6</f>
        <v>2023</v>
      </c>
      <c r="L7" s="84">
        <f>Scenarios!H6</f>
        <v>2024</v>
      </c>
      <c r="M7" s="84">
        <f>Scenarios!I6</f>
        <v>2025</v>
      </c>
      <c r="N7" s="84">
        <f>Scenarios!J6</f>
        <v>2026</v>
      </c>
      <c r="O7" s="84">
        <f>Scenarios!K6</f>
        <v>2027</v>
      </c>
    </row>
    <row r="8" spans="1:15" ht="12.75" customHeight="1">
      <c r="H8" s="360"/>
      <c r="I8" s="360"/>
      <c r="J8" s="360"/>
    </row>
    <row r="9" spans="1:15">
      <c r="B9" s="361" t="s">
        <v>1</v>
      </c>
      <c r="F9" s="362"/>
      <c r="H9" s="360"/>
      <c r="I9" s="360"/>
      <c r="J9" s="360"/>
      <c r="K9" s="363"/>
    </row>
    <row r="10" spans="1:15">
      <c r="C10" s="7" t="s">
        <v>62</v>
      </c>
      <c r="F10" s="364" t="s">
        <v>169</v>
      </c>
      <c r="H10" s="73"/>
      <c r="I10" s="73"/>
      <c r="J10" s="74">
        <v>694.4</v>
      </c>
      <c r="K10" s="365">
        <f>Scenarios!G23</f>
        <v>768</v>
      </c>
      <c r="L10" s="365">
        <f>Scenarios!H23</f>
        <v>696</v>
      </c>
      <c r="M10" s="365">
        <f>Scenarios!I23</f>
        <v>792</v>
      </c>
      <c r="N10" s="365">
        <f>Scenarios!J23</f>
        <v>768</v>
      </c>
      <c r="O10" s="365">
        <f>Scenarios!K23</f>
        <v>720</v>
      </c>
    </row>
    <row r="11" spans="1:15">
      <c r="C11" t="s">
        <v>98</v>
      </c>
      <c r="F11" s="356" t="s">
        <v>109</v>
      </c>
      <c r="H11" s="366"/>
      <c r="I11" s="367"/>
      <c r="J11" s="367"/>
      <c r="K11" s="368">
        <f>Scenarios!G12</f>
        <v>2.5000000000000001E-2</v>
      </c>
      <c r="L11" s="368">
        <f>Scenarios!H12</f>
        <v>2.5000000000000001E-2</v>
      </c>
      <c r="M11" s="368">
        <f>Scenarios!I12</f>
        <v>2.5000000000000001E-2</v>
      </c>
      <c r="N11" s="368">
        <f>Scenarios!J12</f>
        <v>2.5000000000000001E-2</v>
      </c>
      <c r="O11" s="368">
        <f>Scenarios!K12</f>
        <v>2.5000000000000001E-2</v>
      </c>
    </row>
    <row r="12" spans="1:15">
      <c r="C12" s="15" t="s">
        <v>51</v>
      </c>
      <c r="F12" s="364" t="s">
        <v>169</v>
      </c>
      <c r="H12" s="75"/>
      <c r="I12" s="75"/>
      <c r="J12" s="76">
        <v>100</v>
      </c>
      <c r="K12" s="369">
        <f>J12*(1+K11)</f>
        <v>102.49999999999999</v>
      </c>
      <c r="L12" s="369">
        <f t="shared" ref="L12:O12" si="0">K12*(1+L11)</f>
        <v>105.06249999999997</v>
      </c>
      <c r="M12" s="369">
        <f t="shared" si="0"/>
        <v>107.68906249999996</v>
      </c>
      <c r="N12" s="369">
        <f t="shared" si="0"/>
        <v>110.38128906249996</v>
      </c>
      <c r="O12" s="369">
        <f t="shared" si="0"/>
        <v>113.14082128906244</v>
      </c>
    </row>
    <row r="13" spans="1:15">
      <c r="C13" s="370" t="s">
        <v>64</v>
      </c>
      <c r="F13" s="371" t="s">
        <v>169</v>
      </c>
      <c r="H13" s="77"/>
      <c r="I13" s="77"/>
      <c r="J13" s="78">
        <f t="shared" ref="J13:O13" si="1">J10-J12</f>
        <v>594.4</v>
      </c>
      <c r="K13" s="78">
        <f t="shared" si="1"/>
        <v>665.5</v>
      </c>
      <c r="L13" s="78">
        <f t="shared" si="1"/>
        <v>590.9375</v>
      </c>
      <c r="M13" s="78">
        <f t="shared" si="1"/>
        <v>684.31093750000002</v>
      </c>
      <c r="N13" s="78">
        <f t="shared" si="1"/>
        <v>657.61871093750005</v>
      </c>
      <c r="O13" s="78">
        <f t="shared" si="1"/>
        <v>606.85917871093761</v>
      </c>
    </row>
    <row r="14" spans="1:15">
      <c r="B14" s="372"/>
      <c r="C14" s="373"/>
      <c r="D14" s="372"/>
      <c r="E14" s="372"/>
      <c r="F14" s="374"/>
      <c r="G14" s="372"/>
      <c r="H14" s="79"/>
      <c r="I14" s="79"/>
      <c r="J14" s="79"/>
      <c r="K14" s="80"/>
      <c r="L14" s="80"/>
      <c r="M14" s="80"/>
      <c r="N14" s="80"/>
      <c r="O14" s="80"/>
    </row>
    <row r="15" spans="1:15">
      <c r="C15" s="361"/>
      <c r="F15" s="371"/>
      <c r="H15" s="81"/>
      <c r="I15" s="81"/>
      <c r="J15" s="81"/>
      <c r="K15" s="82"/>
      <c r="L15" s="82"/>
      <c r="M15" s="82"/>
      <c r="N15" s="82"/>
      <c r="O15" s="82"/>
    </row>
    <row r="16" spans="1:15">
      <c r="B16" s="370" t="s">
        <v>110</v>
      </c>
    </row>
    <row r="17" spans="1:15">
      <c r="B17" s="370"/>
      <c r="C17" t="s">
        <v>160</v>
      </c>
      <c r="F17" s="356" t="s">
        <v>76</v>
      </c>
      <c r="H17" s="74"/>
      <c r="I17" s="74"/>
      <c r="J17" s="74"/>
      <c r="K17" s="365">
        <f>Assumptions!N17</f>
        <v>420</v>
      </c>
      <c r="L17" s="83">
        <f>K17</f>
        <v>420</v>
      </c>
      <c r="M17" s="83">
        <f>L17</f>
        <v>420</v>
      </c>
      <c r="N17" s="83">
        <f>M17</f>
        <v>420</v>
      </c>
      <c r="O17" s="83">
        <f>N17</f>
        <v>420</v>
      </c>
    </row>
    <row r="18" spans="1:15">
      <c r="B18" s="370"/>
    </row>
    <row r="19" spans="1:15">
      <c r="C19" t="s">
        <v>108</v>
      </c>
      <c r="F19" s="356" t="s">
        <v>109</v>
      </c>
      <c r="H19" s="366"/>
      <c r="I19" s="367"/>
      <c r="J19" s="375"/>
      <c r="K19" s="376">
        <f>Scenarios!G30</f>
        <v>0.04</v>
      </c>
      <c r="L19" s="376">
        <f>Scenarios!H30</f>
        <v>0.04</v>
      </c>
      <c r="M19" s="376">
        <f>Scenarios!I30</f>
        <v>0.03</v>
      </c>
      <c r="N19" s="376">
        <f>Scenarios!J30</f>
        <v>0.03</v>
      </c>
      <c r="O19" s="376">
        <f>Scenarios!K30</f>
        <v>0.02</v>
      </c>
    </row>
    <row r="20" spans="1:15">
      <c r="C20" s="84" t="s">
        <v>111</v>
      </c>
      <c r="F20" s="377" t="s">
        <v>76</v>
      </c>
      <c r="H20" s="85"/>
      <c r="I20" s="85"/>
      <c r="J20" s="78">
        <f>J26*1000/J10</f>
        <v>344.4700460829493</v>
      </c>
      <c r="K20" s="78">
        <f>MIN(J20*(1+K19),K17)</f>
        <v>358.24884792626727</v>
      </c>
      <c r="L20" s="78">
        <f t="shared" ref="L20:O20" si="2">MIN(K20*(1+L19),L17)</f>
        <v>372.57880184331799</v>
      </c>
      <c r="M20" s="78">
        <f t="shared" si="2"/>
        <v>383.75616589861755</v>
      </c>
      <c r="N20" s="78">
        <f t="shared" si="2"/>
        <v>395.26885087557611</v>
      </c>
      <c r="O20" s="78">
        <f t="shared" si="2"/>
        <v>403.17422789308762</v>
      </c>
    </row>
    <row r="21" spans="1:15" ht="6" customHeight="1">
      <c r="C21" s="84"/>
      <c r="F21" s="377"/>
      <c r="H21" s="82"/>
      <c r="I21" s="82"/>
      <c r="J21" s="82"/>
      <c r="K21" s="82"/>
      <c r="L21" s="82"/>
      <c r="M21" s="82"/>
      <c r="N21" s="82"/>
      <c r="O21" s="82"/>
    </row>
    <row r="22" spans="1:15">
      <c r="C22" t="s">
        <v>52</v>
      </c>
      <c r="F22" s="377"/>
      <c r="H22" s="378"/>
      <c r="I22" s="378"/>
      <c r="J22" s="378"/>
      <c r="K22" s="378">
        <f>K20/K17</f>
        <v>0.85297344744349346</v>
      </c>
      <c r="L22" s="378">
        <f t="shared" ref="L22:O22" si="3">L20/L17</f>
        <v>0.88709238534123336</v>
      </c>
      <c r="M22" s="378">
        <f t="shared" si="3"/>
        <v>0.91370515690147036</v>
      </c>
      <c r="N22" s="378">
        <f t="shared" si="3"/>
        <v>0.9411163116085145</v>
      </c>
      <c r="O22" s="378">
        <f t="shared" si="3"/>
        <v>0.95993863784068478</v>
      </c>
    </row>
    <row r="23" spans="1:15" ht="12.75" customHeight="1">
      <c r="B23" s="372"/>
      <c r="C23" s="372"/>
      <c r="D23" s="372"/>
      <c r="E23" s="372"/>
      <c r="F23" s="379"/>
      <c r="G23" s="372"/>
      <c r="H23" s="372"/>
      <c r="I23" s="372"/>
      <c r="J23" s="372"/>
      <c r="K23" s="372"/>
      <c r="L23" s="372"/>
      <c r="M23" s="372"/>
      <c r="N23" s="372"/>
      <c r="O23" s="372"/>
    </row>
    <row r="24" spans="1:15" ht="12.75" customHeight="1"/>
    <row r="25" spans="1:15">
      <c r="B25" s="84" t="s">
        <v>43</v>
      </c>
    </row>
    <row r="26" spans="1:15">
      <c r="A26" s="380"/>
      <c r="C26" s="7" t="s">
        <v>44</v>
      </c>
      <c r="F26" s="356" t="s">
        <v>170</v>
      </c>
      <c r="H26" s="86"/>
      <c r="I26" s="86"/>
      <c r="J26" s="87">
        <f>J84</f>
        <v>239.2</v>
      </c>
      <c r="K26" s="87">
        <f>K10*K20/1000</f>
        <v>275.1351152073733</v>
      </c>
      <c r="L26" s="87">
        <f t="shared" ref="L26:O26" si="4">L10*L20/1000</f>
        <v>259.31484608294932</v>
      </c>
      <c r="M26" s="87">
        <f t="shared" si="4"/>
        <v>303.93488339170511</v>
      </c>
      <c r="N26" s="87">
        <f t="shared" si="4"/>
        <v>303.56647747244244</v>
      </c>
      <c r="O26" s="87">
        <f t="shared" si="4"/>
        <v>290.28544408302304</v>
      </c>
    </row>
    <row r="27" spans="1:15">
      <c r="C27" s="15" t="s">
        <v>51</v>
      </c>
      <c r="F27" s="356" t="s">
        <v>170</v>
      </c>
      <c r="H27" s="86"/>
      <c r="I27" s="86"/>
      <c r="J27" s="87">
        <f>J85</f>
        <v>34.4</v>
      </c>
      <c r="K27" s="87">
        <f>K20*K12/1000</f>
        <v>36.720506912442389</v>
      </c>
      <c r="L27" s="87">
        <f t="shared" ref="L27:O27" si="5">L20*L12/1000</f>
        <v>39.144060368663588</v>
      </c>
      <c r="M27" s="87">
        <f t="shared" si="5"/>
        <v>41.326341734216577</v>
      </c>
      <c r="N27" s="87">
        <f t="shared" si="5"/>
        <v>43.630285285899156</v>
      </c>
      <c r="O27" s="87">
        <f t="shared" si="5"/>
        <v>45.615463266407559</v>
      </c>
    </row>
    <row r="28" spans="1:15">
      <c r="C28" s="84" t="s">
        <v>3</v>
      </c>
      <c r="F28" s="377" t="s">
        <v>170</v>
      </c>
      <c r="H28" s="88"/>
      <c r="I28" s="88"/>
      <c r="J28" s="89">
        <f t="shared" ref="J28" si="6">J26-J27</f>
        <v>204.79999999999998</v>
      </c>
      <c r="K28" s="89">
        <f>K26-K27</f>
        <v>238.41460829493093</v>
      </c>
      <c r="L28" s="89">
        <f t="shared" ref="L28:O28" si="7">L26-L27</f>
        <v>220.17078571428573</v>
      </c>
      <c r="M28" s="89">
        <f t="shared" si="7"/>
        <v>262.60854165748856</v>
      </c>
      <c r="N28" s="89">
        <f t="shared" si="7"/>
        <v>259.93619218654328</v>
      </c>
      <c r="O28" s="89">
        <f t="shared" si="7"/>
        <v>244.66998081661546</v>
      </c>
    </row>
    <row r="29" spans="1:15" ht="12.75" customHeight="1">
      <c r="B29" s="8"/>
      <c r="C29" s="8"/>
      <c r="D29" s="8"/>
      <c r="E29" s="8"/>
      <c r="F29" s="381"/>
      <c r="G29" s="8"/>
      <c r="H29" s="8"/>
      <c r="I29" s="8"/>
      <c r="J29" s="8"/>
      <c r="K29" s="8"/>
      <c r="L29" s="8"/>
      <c r="M29" s="8"/>
      <c r="N29" s="8"/>
      <c r="O29" s="8"/>
    </row>
    <row r="30" spans="1:15" ht="12.75" customHeight="1"/>
    <row r="31" spans="1:15" ht="12.75" customHeight="1">
      <c r="A31" s="348"/>
      <c r="B31" s="382"/>
      <c r="C31" s="2"/>
      <c r="D31" s="2"/>
      <c r="E31" s="2"/>
      <c r="F31" s="347"/>
      <c r="G31" s="2"/>
      <c r="H31" s="2"/>
      <c r="I31" s="2"/>
      <c r="J31" s="2"/>
      <c r="K31" s="2"/>
      <c r="L31" s="2"/>
      <c r="M31" s="2"/>
      <c r="N31" s="2"/>
      <c r="O31" s="340" t="str">
        <f>$O$1</f>
        <v>Currently Running: Worst Case Scenario</v>
      </c>
    </row>
    <row r="32" spans="1:15" ht="23">
      <c r="A32" s="348"/>
      <c r="B32" s="287" t="str">
        <f>B$2</f>
        <v>Blu Containers Company</v>
      </c>
      <c r="C32" s="2"/>
      <c r="D32" s="2"/>
      <c r="E32" s="2"/>
      <c r="F32" s="347"/>
      <c r="G32" s="2"/>
      <c r="H32" s="2"/>
      <c r="I32" s="2"/>
      <c r="J32" s="2"/>
      <c r="K32" s="2"/>
      <c r="L32" s="2"/>
      <c r="M32" s="2"/>
      <c r="N32" s="2"/>
      <c r="O32" s="2"/>
    </row>
    <row r="33" spans="1:15" ht="18">
      <c r="A33" s="349"/>
      <c r="B33" s="288" t="s">
        <v>180</v>
      </c>
      <c r="C33" s="350"/>
      <c r="D33" s="350"/>
      <c r="E33" s="350"/>
      <c r="F33" s="351"/>
      <c r="G33" s="350"/>
      <c r="H33" s="350"/>
      <c r="I33" s="350"/>
      <c r="J33" s="350"/>
      <c r="K33" s="350"/>
      <c r="L33" s="350"/>
      <c r="M33" s="350"/>
      <c r="N33" s="350"/>
      <c r="O33" s="350"/>
    </row>
    <row r="34" spans="1:15" ht="3" customHeight="1" thickBot="1">
      <c r="A34" s="349"/>
      <c r="B34" s="352"/>
      <c r="C34" s="353"/>
      <c r="D34" s="353"/>
      <c r="E34" s="353"/>
      <c r="F34" s="354"/>
      <c r="G34" s="353"/>
      <c r="H34" s="353"/>
      <c r="I34" s="353"/>
      <c r="J34" s="353"/>
      <c r="K34" s="353"/>
      <c r="L34" s="353"/>
      <c r="M34" s="353"/>
      <c r="N34" s="353"/>
      <c r="O34" s="353"/>
    </row>
    <row r="35" spans="1:15" ht="12.75" customHeight="1">
      <c r="A35" s="355"/>
      <c r="B35" s="350"/>
      <c r="C35" s="350"/>
      <c r="D35" s="350"/>
      <c r="E35" s="350"/>
      <c r="F35" s="351"/>
      <c r="G35" s="350"/>
      <c r="H35" s="350"/>
      <c r="I35" s="350"/>
      <c r="J35" s="350"/>
      <c r="K35" s="350"/>
      <c r="L35" s="350"/>
      <c r="M35" s="350"/>
      <c r="N35" s="350"/>
      <c r="O35" s="350"/>
    </row>
    <row r="36" spans="1:15">
      <c r="G36" s="357"/>
      <c r="K36" s="358" t="s">
        <v>2</v>
      </c>
      <c r="L36" s="16"/>
      <c r="M36" s="16"/>
      <c r="N36" s="16"/>
      <c r="O36" s="16"/>
    </row>
    <row r="37" spans="1:15">
      <c r="G37" s="17"/>
      <c r="H37" s="359">
        <f t="shared" ref="H37:J37" si="8">H$7</f>
        <v>2020</v>
      </c>
      <c r="I37" s="359">
        <f t="shared" si="8"/>
        <v>2021</v>
      </c>
      <c r="J37" s="359">
        <f t="shared" si="8"/>
        <v>2022</v>
      </c>
      <c r="K37" s="383">
        <f>K$7</f>
        <v>2023</v>
      </c>
      <c r="L37" s="383">
        <f>L$7</f>
        <v>2024</v>
      </c>
      <c r="M37" s="383">
        <f>M$7</f>
        <v>2025</v>
      </c>
      <c r="N37" s="383">
        <f>N$7</f>
        <v>2026</v>
      </c>
      <c r="O37" s="383">
        <f>O$7</f>
        <v>2027</v>
      </c>
    </row>
    <row r="38" spans="1:15" ht="13" customHeight="1">
      <c r="G38" s="17"/>
      <c r="H38" s="17"/>
      <c r="I38" s="17"/>
      <c r="J38" s="17"/>
      <c r="K38" s="17"/>
      <c r="L38" s="17"/>
      <c r="M38" s="17"/>
      <c r="N38" s="17"/>
      <c r="O38" s="17"/>
    </row>
    <row r="39" spans="1:15" ht="13" customHeight="1">
      <c r="B39" s="384" t="s">
        <v>111</v>
      </c>
      <c r="C39" s="385"/>
      <c r="D39" s="385"/>
      <c r="E39" s="385"/>
      <c r="F39" s="386" t="s">
        <v>76</v>
      </c>
      <c r="G39" s="387"/>
      <c r="H39" s="388"/>
      <c r="I39" s="388"/>
      <c r="J39" s="388">
        <f t="shared" ref="J39:O39" si="9">J20</f>
        <v>344.4700460829493</v>
      </c>
      <c r="K39" s="388">
        <f t="shared" si="9"/>
        <v>358.24884792626727</v>
      </c>
      <c r="L39" s="388">
        <f t="shared" si="9"/>
        <v>372.57880184331799</v>
      </c>
      <c r="M39" s="388">
        <f t="shared" si="9"/>
        <v>383.75616589861755</v>
      </c>
      <c r="N39" s="388">
        <f t="shared" si="9"/>
        <v>395.26885087557611</v>
      </c>
      <c r="O39" s="389">
        <f t="shared" si="9"/>
        <v>403.17422789308762</v>
      </c>
    </row>
    <row r="40" spans="1:15">
      <c r="B40" s="390" t="s">
        <v>98</v>
      </c>
      <c r="C40" s="372"/>
      <c r="D40" s="372"/>
      <c r="E40" s="372"/>
      <c r="F40" s="379" t="s">
        <v>109</v>
      </c>
      <c r="G40" s="391"/>
      <c r="H40" s="392"/>
      <c r="I40" s="392"/>
      <c r="J40" s="392"/>
      <c r="K40" s="392"/>
      <c r="L40" s="393">
        <f>L11</f>
        <v>2.5000000000000001E-2</v>
      </c>
      <c r="M40" s="393">
        <f>M11</f>
        <v>2.5000000000000001E-2</v>
      </c>
      <c r="N40" s="393">
        <f>N11</f>
        <v>2.5000000000000001E-2</v>
      </c>
      <c r="O40" s="394">
        <f>O11</f>
        <v>2.5000000000000001E-2</v>
      </c>
    </row>
    <row r="41" spans="1:15" ht="13" customHeight="1">
      <c r="B41" s="395"/>
      <c r="G41" s="17"/>
      <c r="H41" s="17"/>
      <c r="I41" s="17"/>
      <c r="J41" s="17"/>
      <c r="K41" s="17"/>
      <c r="L41" s="17"/>
      <c r="M41" s="17"/>
      <c r="N41" s="17"/>
      <c r="O41" s="17"/>
    </row>
    <row r="42" spans="1:15" ht="12.75" customHeight="1">
      <c r="B42" s="396" t="s">
        <v>77</v>
      </c>
      <c r="G42" s="17"/>
      <c r="H42" s="17"/>
      <c r="I42" s="17"/>
      <c r="J42" s="17"/>
      <c r="K42" s="17"/>
      <c r="M42" s="17"/>
      <c r="N42" s="17"/>
      <c r="O42" s="17"/>
    </row>
    <row r="43" spans="1:15">
      <c r="A43" s="380"/>
      <c r="C43" s="84" t="s">
        <v>33</v>
      </c>
    </row>
    <row r="44" spans="1:15">
      <c r="D44" s="15" t="str">
        <f>Assumptions!C27</f>
        <v>Raw Materials</v>
      </c>
      <c r="F44" s="356" t="s">
        <v>169</v>
      </c>
      <c r="H44" s="397"/>
      <c r="I44" s="397"/>
      <c r="J44" s="397"/>
      <c r="K44" s="398">
        <f>Assumptions!E27</f>
        <v>226</v>
      </c>
      <c r="L44" s="399">
        <f>K44*(1+L$40)</f>
        <v>231.64999999999998</v>
      </c>
      <c r="M44" s="399">
        <f t="shared" ref="M44:O44" si="10">L44*(1+M$40)</f>
        <v>237.44124999999997</v>
      </c>
      <c r="N44" s="399">
        <f t="shared" si="10"/>
        <v>243.37728124999995</v>
      </c>
      <c r="O44" s="399">
        <f t="shared" si="10"/>
        <v>249.46171328124993</v>
      </c>
    </row>
    <row r="45" spans="1:15">
      <c r="D45" s="15" t="str">
        <f>Assumptions!C28</f>
        <v>Utilities</v>
      </c>
      <c r="F45" s="356" t="s">
        <v>169</v>
      </c>
      <c r="H45" s="397"/>
      <c r="I45" s="397"/>
      <c r="J45" s="397"/>
      <c r="K45" s="398">
        <f>Assumptions!E28</f>
        <v>66.2</v>
      </c>
      <c r="L45" s="400">
        <f t="shared" ref="L45:O45" si="11">K45*(1+L$40)</f>
        <v>67.855000000000004</v>
      </c>
      <c r="M45" s="400">
        <f t="shared" si="11"/>
        <v>69.551374999999993</v>
      </c>
      <c r="N45" s="400">
        <f t="shared" si="11"/>
        <v>71.290159374999988</v>
      </c>
      <c r="O45" s="400">
        <f t="shared" si="11"/>
        <v>73.072413359374977</v>
      </c>
    </row>
    <row r="46" spans="1:15">
      <c r="D46" s="84" t="s">
        <v>34</v>
      </c>
      <c r="F46" s="377" t="s">
        <v>169</v>
      </c>
      <c r="H46" s="92"/>
      <c r="I46" s="92"/>
      <c r="J46" s="92"/>
      <c r="K46" s="92">
        <f>SUM(K44:K45)</f>
        <v>292.2</v>
      </c>
      <c r="L46" s="92">
        <f t="shared" ref="L46:O46" si="12">SUM(L44:L45)</f>
        <v>299.505</v>
      </c>
      <c r="M46" s="92">
        <f t="shared" si="12"/>
        <v>306.99262499999998</v>
      </c>
      <c r="N46" s="92">
        <f t="shared" si="12"/>
        <v>314.66744062499993</v>
      </c>
      <c r="O46" s="92">
        <f t="shared" si="12"/>
        <v>322.53412664062489</v>
      </c>
    </row>
    <row r="47" spans="1:15" ht="6" customHeight="1">
      <c r="D47" s="15"/>
      <c r="H47" s="108"/>
      <c r="I47" s="108"/>
      <c r="J47" s="108"/>
      <c r="K47" s="108"/>
      <c r="L47" s="108"/>
      <c r="M47" s="108"/>
      <c r="N47" s="108"/>
      <c r="O47" s="108"/>
    </row>
    <row r="48" spans="1:15" ht="12.75" customHeight="1">
      <c r="C48" s="370" t="s">
        <v>35</v>
      </c>
      <c r="D48" s="15"/>
      <c r="H48" s="401"/>
      <c r="I48" s="401"/>
      <c r="J48" s="401"/>
      <c r="K48" s="401"/>
      <c r="L48" s="402"/>
      <c r="M48" s="402"/>
      <c r="N48" s="402"/>
      <c r="O48" s="402"/>
    </row>
    <row r="49" spans="1:16" ht="12.75" customHeight="1">
      <c r="D49" s="15" t="str">
        <f>Assumptions!C29</f>
        <v>Rent</v>
      </c>
      <c r="F49" s="356" t="s">
        <v>169</v>
      </c>
      <c r="H49" s="399"/>
      <c r="I49" s="399"/>
      <c r="J49" s="399"/>
      <c r="K49" s="399">
        <f>K64/K$39*1000</f>
        <v>65.596861332647293</v>
      </c>
      <c r="L49" s="399">
        <f t="shared" ref="L49:O49" si="13">L64/L$39*1000</f>
        <v>64.650752755734089</v>
      </c>
      <c r="M49" s="399">
        <f t="shared" si="13"/>
        <v>64.336914150123732</v>
      </c>
      <c r="N49" s="399">
        <f t="shared" si="13"/>
        <v>64.024599032890109</v>
      </c>
      <c r="O49" s="399">
        <f t="shared" si="13"/>
        <v>64.338445106580735</v>
      </c>
    </row>
    <row r="50" spans="1:16">
      <c r="D50" s="15" t="str">
        <f>Assumptions!C30</f>
        <v>Operating Labour</v>
      </c>
      <c r="F50" s="356" t="s">
        <v>169</v>
      </c>
      <c r="H50" s="399"/>
      <c r="I50" s="399"/>
      <c r="J50" s="399"/>
      <c r="K50" s="399">
        <f t="shared" ref="K50:O50" si="14">K65/K$39*1000</f>
        <v>121.42397736043222</v>
      </c>
      <c r="L50" s="399">
        <f t="shared" si="14"/>
        <v>119.67266999465674</v>
      </c>
      <c r="M50" s="399">
        <f t="shared" si="14"/>
        <v>119.09173470342053</v>
      </c>
      <c r="N50" s="399">
        <f t="shared" si="14"/>
        <v>118.5136194864136</v>
      </c>
      <c r="O50" s="399">
        <f t="shared" si="14"/>
        <v>119.09456860154307</v>
      </c>
    </row>
    <row r="51" spans="1:16" ht="12.75" customHeight="1">
      <c r="D51" t="s">
        <v>10</v>
      </c>
      <c r="F51" s="356" t="s">
        <v>169</v>
      </c>
      <c r="H51" s="399"/>
      <c r="I51" s="399"/>
      <c r="J51" s="399"/>
      <c r="K51" s="400">
        <f t="shared" ref="K51:O51" si="15">K66/K$39*1000</f>
        <v>5.5827116027784927</v>
      </c>
      <c r="L51" s="400">
        <f t="shared" si="15"/>
        <v>5.5021917238922633</v>
      </c>
      <c r="M51" s="400">
        <f t="shared" si="15"/>
        <v>5.4754820553296799</v>
      </c>
      <c r="N51" s="400">
        <f t="shared" si="15"/>
        <v>5.4489020453523507</v>
      </c>
      <c r="O51" s="400">
        <f t="shared" si="15"/>
        <v>5.4756123494962337</v>
      </c>
    </row>
    <row r="52" spans="1:16">
      <c r="D52" s="361" t="s">
        <v>50</v>
      </c>
      <c r="F52" s="377" t="s">
        <v>169</v>
      </c>
      <c r="H52" s="92"/>
      <c r="I52" s="92"/>
      <c r="J52" s="92"/>
      <c r="K52" s="92">
        <f t="shared" ref="K52:O52" si="16">SUM(K49:K51)</f>
        <v>192.60355029585799</v>
      </c>
      <c r="L52" s="92">
        <f t="shared" si="16"/>
        <v>189.82561447428307</v>
      </c>
      <c r="M52" s="92">
        <f t="shared" si="16"/>
        <v>188.90413090887392</v>
      </c>
      <c r="N52" s="92">
        <f t="shared" si="16"/>
        <v>187.98712056465607</v>
      </c>
      <c r="O52" s="92">
        <f t="shared" si="16"/>
        <v>188.90862605762004</v>
      </c>
      <c r="P52" s="403"/>
    </row>
    <row r="53" spans="1:16" ht="6" customHeight="1">
      <c r="C53" s="84"/>
      <c r="F53" s="377"/>
      <c r="H53" s="404"/>
      <c r="I53" s="404"/>
      <c r="J53" s="404"/>
      <c r="K53" s="404"/>
      <c r="L53" s="404"/>
      <c r="M53" s="404"/>
      <c r="N53" s="404"/>
      <c r="O53" s="404"/>
      <c r="P53" s="403"/>
    </row>
    <row r="54" spans="1:16" ht="14" thickBot="1">
      <c r="C54" s="361" t="s">
        <v>45</v>
      </c>
      <c r="F54" s="377" t="s">
        <v>169</v>
      </c>
      <c r="H54" s="88"/>
      <c r="I54" s="88"/>
      <c r="J54" s="88"/>
      <c r="K54" s="405">
        <f>K46+K52</f>
        <v>484.80355029585797</v>
      </c>
      <c r="L54" s="405">
        <f t="shared" ref="L54:O54" si="17">L46+L52</f>
        <v>489.33061447428304</v>
      </c>
      <c r="M54" s="405">
        <f t="shared" si="17"/>
        <v>495.8967559088739</v>
      </c>
      <c r="N54" s="405">
        <f t="shared" si="17"/>
        <v>502.65456118965596</v>
      </c>
      <c r="O54" s="405">
        <f t="shared" si="17"/>
        <v>511.44275269824493</v>
      </c>
    </row>
    <row r="55" spans="1:16" ht="13" customHeight="1" thickTop="1">
      <c r="B55" s="373"/>
      <c r="C55" s="406"/>
      <c r="D55" s="372"/>
      <c r="E55" s="372"/>
      <c r="F55" s="407"/>
      <c r="G55" s="408"/>
      <c r="H55" s="408"/>
      <c r="I55" s="408"/>
      <c r="J55" s="408"/>
      <c r="K55" s="408"/>
      <c r="L55" s="408"/>
      <c r="M55" s="408"/>
      <c r="N55" s="408"/>
      <c r="O55" s="408"/>
    </row>
    <row r="56" spans="1:16" ht="13" customHeight="1">
      <c r="B56" s="361"/>
      <c r="C56" s="84"/>
      <c r="F56" s="377"/>
      <c r="H56" s="404"/>
      <c r="I56" s="404"/>
      <c r="J56" s="404"/>
      <c r="K56" s="404"/>
      <c r="L56" s="404"/>
      <c r="M56" s="404"/>
      <c r="N56" s="404"/>
      <c r="O56" s="404"/>
    </row>
    <row r="57" spans="1:16">
      <c r="B57" s="396" t="s">
        <v>181</v>
      </c>
      <c r="C57" s="84"/>
      <c r="F57" s="377"/>
      <c r="H57" s="404"/>
      <c r="I57" s="404"/>
      <c r="J57" s="404"/>
      <c r="K57" s="404"/>
      <c r="L57" s="404"/>
      <c r="M57" s="404"/>
      <c r="N57" s="404"/>
      <c r="O57" s="404"/>
    </row>
    <row r="58" spans="1:16">
      <c r="C58" s="84" t="s">
        <v>33</v>
      </c>
      <c r="F58" s="377"/>
      <c r="H58" s="404"/>
      <c r="I58" s="404"/>
      <c r="J58" s="404"/>
      <c r="K58" s="404"/>
      <c r="L58" s="404"/>
      <c r="M58" s="404"/>
      <c r="N58" s="404"/>
      <c r="O58" s="404"/>
    </row>
    <row r="59" spans="1:16">
      <c r="D59" s="15" t="str">
        <f>D44</f>
        <v>Raw Materials</v>
      </c>
      <c r="F59" s="356" t="s">
        <v>170</v>
      </c>
      <c r="H59" s="399"/>
      <c r="I59" s="399"/>
      <c r="J59" s="399"/>
      <c r="K59" s="399">
        <f>K44*K$39/1000</f>
        <v>80.964239631336397</v>
      </c>
      <c r="L59" s="399">
        <f t="shared" ref="L59:O59" si="18">L44*L$39/1000</f>
        <v>86.307879447004595</v>
      </c>
      <c r="M59" s="399">
        <f t="shared" si="18"/>
        <v>91.11954372617511</v>
      </c>
      <c r="N59" s="399">
        <f t="shared" si="18"/>
        <v>96.199458288909369</v>
      </c>
      <c r="O59" s="399">
        <f t="shared" si="18"/>
        <v>100.57653364105475</v>
      </c>
    </row>
    <row r="60" spans="1:16">
      <c r="D60" s="15" t="str">
        <f>D45</f>
        <v>Utilities</v>
      </c>
      <c r="F60" s="356" t="s">
        <v>170</v>
      </c>
      <c r="H60" s="399"/>
      <c r="I60" s="399"/>
      <c r="J60" s="399"/>
      <c r="K60" s="400">
        <f t="shared" ref="K60:O60" si="19">K45*K$39/1000</f>
        <v>23.716073732718893</v>
      </c>
      <c r="L60" s="400">
        <f t="shared" si="19"/>
        <v>25.281334599078345</v>
      </c>
      <c r="M60" s="400">
        <f t="shared" si="19"/>
        <v>26.690769002976957</v>
      </c>
      <c r="N60" s="400">
        <f t="shared" si="19"/>
        <v>28.178779374892926</v>
      </c>
      <c r="O60" s="400">
        <f t="shared" si="19"/>
        <v>29.460913836450548</v>
      </c>
    </row>
    <row r="61" spans="1:16" ht="12.75" customHeight="1">
      <c r="D61" s="84" t="s">
        <v>34</v>
      </c>
      <c r="F61" s="377" t="s">
        <v>170</v>
      </c>
      <c r="H61" s="92"/>
      <c r="I61" s="92"/>
      <c r="J61" s="92"/>
      <c r="K61" s="92">
        <f t="shared" ref="K61:O61" si="20">SUM(K59:K60)</f>
        <v>104.68031336405529</v>
      </c>
      <c r="L61" s="92">
        <f t="shared" si="20"/>
        <v>111.58921404608294</v>
      </c>
      <c r="M61" s="92">
        <f t="shared" si="20"/>
        <v>117.81031272915206</v>
      </c>
      <c r="N61" s="92">
        <f t="shared" si="20"/>
        <v>124.3782376638023</v>
      </c>
      <c r="O61" s="92">
        <f t="shared" si="20"/>
        <v>130.03744747750531</v>
      </c>
    </row>
    <row r="62" spans="1:16" ht="6" customHeight="1">
      <c r="D62" s="15"/>
      <c r="F62" s="377"/>
      <c r="H62" s="404"/>
      <c r="I62" s="404"/>
      <c r="J62" s="404"/>
      <c r="K62" s="404"/>
      <c r="L62" s="404"/>
      <c r="M62" s="404"/>
      <c r="N62" s="404"/>
      <c r="O62" s="404"/>
    </row>
    <row r="63" spans="1:16" ht="12.75" customHeight="1">
      <c r="C63" s="370" t="s">
        <v>35</v>
      </c>
      <c r="D63" s="15"/>
      <c r="F63" s="377"/>
      <c r="H63" s="404"/>
      <c r="I63" s="404"/>
      <c r="J63" s="404"/>
      <c r="K63" s="404"/>
      <c r="L63" s="404"/>
      <c r="M63" s="404"/>
      <c r="N63" s="404"/>
      <c r="O63" s="404"/>
    </row>
    <row r="64" spans="1:16" ht="12.75" customHeight="1">
      <c r="A64" s="18"/>
      <c r="D64" s="15" t="str">
        <f>D49</f>
        <v>Rent</v>
      </c>
      <c r="F64" s="356" t="s">
        <v>170</v>
      </c>
      <c r="H64" s="397"/>
      <c r="I64" s="397"/>
      <c r="J64" s="397"/>
      <c r="K64" s="398">
        <f>Assumptions!E29</f>
        <v>23.5</v>
      </c>
      <c r="L64" s="399">
        <f>K64*(1+L$40)</f>
        <v>24.087499999999999</v>
      </c>
      <c r="M64" s="399">
        <f t="shared" ref="M64:O64" si="21">L64*(1+M$40)</f>
        <v>24.689687499999998</v>
      </c>
      <c r="N64" s="399">
        <f t="shared" si="21"/>
        <v>25.306929687499995</v>
      </c>
      <c r="O64" s="399">
        <f t="shared" si="21"/>
        <v>25.939602929687492</v>
      </c>
    </row>
    <row r="65" spans="1:15" ht="12.75" customHeight="1">
      <c r="D65" s="15" t="str">
        <f>D50</f>
        <v>Operating Labour</v>
      </c>
      <c r="F65" s="356" t="s">
        <v>170</v>
      </c>
      <c r="H65" s="397"/>
      <c r="I65" s="397"/>
      <c r="J65" s="397"/>
      <c r="K65" s="398">
        <f>Assumptions!E30</f>
        <v>43.5</v>
      </c>
      <c r="L65" s="399">
        <f t="shared" ref="L65:O65" si="22">K65*(1+L$40)</f>
        <v>44.587499999999999</v>
      </c>
      <c r="M65" s="399">
        <f t="shared" si="22"/>
        <v>45.702187499999994</v>
      </c>
      <c r="N65" s="399">
        <f t="shared" si="22"/>
        <v>46.844742187499989</v>
      </c>
      <c r="O65" s="399">
        <f t="shared" si="22"/>
        <v>48.015860742187485</v>
      </c>
    </row>
    <row r="66" spans="1:15" ht="13" customHeight="1">
      <c r="D66" t="str">
        <f>D51</f>
        <v>Other</v>
      </c>
      <c r="F66" s="356" t="s">
        <v>170</v>
      </c>
      <c r="H66" s="397"/>
      <c r="I66" s="397"/>
      <c r="J66" s="397"/>
      <c r="K66" s="409">
        <f>Assumptions!E31</f>
        <v>2</v>
      </c>
      <c r="L66" s="400">
        <f t="shared" ref="L66:O66" si="23">K66*(1+L$40)</f>
        <v>2.0499999999999998</v>
      </c>
      <c r="M66" s="400">
        <f t="shared" si="23"/>
        <v>2.1012499999999998</v>
      </c>
      <c r="N66" s="400">
        <f t="shared" si="23"/>
        <v>2.1537812499999998</v>
      </c>
      <c r="O66" s="400">
        <f t="shared" si="23"/>
        <v>2.2076257812499995</v>
      </c>
    </row>
    <row r="67" spans="1:15" ht="13" customHeight="1">
      <c r="D67" s="361" t="s">
        <v>50</v>
      </c>
      <c r="F67" s="377" t="s">
        <v>170</v>
      </c>
      <c r="H67" s="92"/>
      <c r="I67" s="92"/>
      <c r="J67" s="92"/>
      <c r="K67" s="92">
        <f>SUM(K64:K66)</f>
        <v>69</v>
      </c>
      <c r="L67" s="92">
        <f t="shared" ref="L67:O67" si="24">SUM(L64:L66)</f>
        <v>70.724999999999994</v>
      </c>
      <c r="M67" s="92">
        <f t="shared" si="24"/>
        <v>72.493124999999992</v>
      </c>
      <c r="N67" s="92">
        <f t="shared" si="24"/>
        <v>74.305453124999971</v>
      </c>
      <c r="O67" s="92">
        <f t="shared" si="24"/>
        <v>76.163089453124982</v>
      </c>
    </row>
    <row r="68" spans="1:15" ht="6" customHeight="1">
      <c r="C68" s="84"/>
      <c r="H68" s="108"/>
      <c r="I68" s="108"/>
      <c r="J68" s="108"/>
      <c r="K68" s="108"/>
      <c r="L68" s="108"/>
      <c r="M68" s="108"/>
      <c r="N68" s="108"/>
      <c r="O68" s="108"/>
    </row>
    <row r="69" spans="1:15" ht="14" thickBot="1">
      <c r="C69" s="361" t="s">
        <v>45</v>
      </c>
      <c r="F69" s="377" t="s">
        <v>170</v>
      </c>
      <c r="H69" s="88"/>
      <c r="I69" s="88"/>
      <c r="J69" s="88"/>
      <c r="K69" s="405">
        <f>K61+K67</f>
        <v>173.68031336405528</v>
      </c>
      <c r="L69" s="405">
        <f t="shared" ref="L69:O69" si="25">L61+L67</f>
        <v>182.31421404608295</v>
      </c>
      <c r="M69" s="405">
        <f t="shared" si="25"/>
        <v>190.30343772915205</v>
      </c>
      <c r="N69" s="405">
        <f t="shared" si="25"/>
        <v>198.68369078880227</v>
      </c>
      <c r="O69" s="405">
        <f t="shared" si="25"/>
        <v>206.20053693063028</v>
      </c>
    </row>
    <row r="70" spans="1:15" ht="12.75" customHeight="1" thickTop="1">
      <c r="B70" s="410"/>
      <c r="C70" s="411"/>
      <c r="D70" s="8"/>
      <c r="E70" s="8"/>
      <c r="F70" s="412"/>
      <c r="G70" s="413"/>
      <c r="H70" s="413"/>
      <c r="I70" s="413"/>
      <c r="J70" s="413"/>
      <c r="K70" s="413"/>
      <c r="L70" s="413"/>
      <c r="M70" s="413"/>
      <c r="N70" s="413"/>
      <c r="O70" s="413"/>
    </row>
    <row r="71" spans="1:15">
      <c r="H71" s="101"/>
      <c r="I71" s="101"/>
      <c r="J71" s="101"/>
      <c r="K71" s="101"/>
      <c r="L71" s="101"/>
      <c r="M71" s="101"/>
      <c r="N71" s="101"/>
      <c r="O71" s="101"/>
    </row>
    <row r="72" spans="1:15" ht="12.75" customHeight="1">
      <c r="A72" s="348"/>
      <c r="B72" s="382"/>
      <c r="C72" s="2"/>
      <c r="D72" s="2"/>
      <c r="E72" s="2"/>
      <c r="F72" s="347"/>
      <c r="G72" s="2"/>
      <c r="H72" s="2"/>
      <c r="I72" s="2"/>
      <c r="J72" s="2"/>
      <c r="K72" s="2"/>
      <c r="L72" s="2"/>
      <c r="M72" s="2"/>
      <c r="N72" s="2"/>
      <c r="O72" s="340" t="str">
        <f>$O$1</f>
        <v>Currently Running: Worst Case Scenario</v>
      </c>
    </row>
    <row r="73" spans="1:15" ht="23">
      <c r="A73" s="348"/>
      <c r="B73" s="287" t="str">
        <f>B$2</f>
        <v>Blu Containers Company</v>
      </c>
      <c r="C73" s="2"/>
      <c r="D73" s="2"/>
      <c r="E73" s="2"/>
      <c r="F73" s="347"/>
      <c r="G73" s="2"/>
      <c r="H73" s="2"/>
      <c r="I73" s="2"/>
      <c r="J73" s="2"/>
      <c r="K73" s="2"/>
      <c r="L73" s="2"/>
      <c r="M73" s="2"/>
      <c r="N73" s="2"/>
      <c r="O73" s="2"/>
    </row>
    <row r="74" spans="1:15" ht="18">
      <c r="A74" s="349"/>
      <c r="B74" s="288" t="s">
        <v>37</v>
      </c>
      <c r="C74" s="350"/>
      <c r="D74" s="350"/>
      <c r="E74" s="350"/>
      <c r="F74" s="351"/>
      <c r="G74" s="350"/>
      <c r="H74" s="350"/>
      <c r="I74" s="350"/>
      <c r="J74" s="350"/>
      <c r="K74" s="350"/>
      <c r="L74" s="350"/>
      <c r="M74" s="350"/>
      <c r="N74" s="350"/>
      <c r="O74" s="350"/>
    </row>
    <row r="75" spans="1:15" ht="3" customHeight="1" thickBot="1">
      <c r="A75" s="349"/>
      <c r="B75" s="352"/>
      <c r="C75" s="353"/>
      <c r="D75" s="353"/>
      <c r="E75" s="353"/>
      <c r="F75" s="354"/>
      <c r="G75" s="353"/>
      <c r="H75" s="353"/>
      <c r="I75" s="353"/>
      <c r="J75" s="353"/>
      <c r="K75" s="353"/>
      <c r="L75" s="353"/>
      <c r="M75" s="353"/>
      <c r="N75" s="353"/>
      <c r="O75" s="353"/>
    </row>
    <row r="76" spans="1:15" ht="15" customHeight="1">
      <c r="A76" s="355"/>
      <c r="B76" s="414" t="s">
        <v>171</v>
      </c>
      <c r="C76" s="350"/>
      <c r="D76" s="350"/>
      <c r="E76" s="350"/>
      <c r="F76" s="351"/>
      <c r="G76" s="350"/>
      <c r="H76" s="350"/>
      <c r="I76" s="350"/>
      <c r="J76" s="350"/>
      <c r="K76" s="350"/>
      <c r="L76" s="350"/>
      <c r="M76" s="350"/>
      <c r="N76" s="350"/>
      <c r="O76" s="350"/>
    </row>
    <row r="77" spans="1:15">
      <c r="G77" s="357"/>
      <c r="K77" s="358" t="s">
        <v>2</v>
      </c>
      <c r="L77" s="16"/>
      <c r="M77" s="16"/>
      <c r="N77" s="16"/>
      <c r="O77" s="16"/>
    </row>
    <row r="78" spans="1:15">
      <c r="G78" s="17"/>
      <c r="H78" s="359">
        <f t="shared" ref="H78:J78" si="26">H$7</f>
        <v>2020</v>
      </c>
      <c r="I78" s="359">
        <f t="shared" si="26"/>
        <v>2021</v>
      </c>
      <c r="J78" s="359">
        <f t="shared" si="26"/>
        <v>2022</v>
      </c>
      <c r="K78" s="383">
        <f>K$7</f>
        <v>2023</v>
      </c>
      <c r="L78" s="383">
        <f>L$7</f>
        <v>2024</v>
      </c>
      <c r="M78" s="383">
        <f>M$7</f>
        <v>2025</v>
      </c>
      <c r="N78" s="383">
        <f>N$7</f>
        <v>2026</v>
      </c>
      <c r="O78" s="383">
        <f>O$7</f>
        <v>2027</v>
      </c>
    </row>
    <row r="79" spans="1:15" ht="6" customHeight="1">
      <c r="G79" s="17"/>
      <c r="H79" s="17"/>
      <c r="I79" s="17"/>
      <c r="J79" s="17"/>
      <c r="K79" s="415"/>
      <c r="L79" s="415"/>
      <c r="M79" s="415"/>
      <c r="N79" s="53"/>
      <c r="O79" s="363"/>
    </row>
    <row r="80" spans="1:15">
      <c r="B80" s="384" t="s">
        <v>111</v>
      </c>
      <c r="C80" s="385"/>
      <c r="D80" s="385"/>
      <c r="E80" s="385"/>
      <c r="F80" s="386" t="s">
        <v>76</v>
      </c>
      <c r="G80" s="387"/>
      <c r="H80" s="388"/>
      <c r="I80" s="388"/>
      <c r="J80" s="388">
        <f t="shared" ref="J80" si="27">J20</f>
        <v>344.4700460829493</v>
      </c>
      <c r="K80" s="388">
        <f>K39</f>
        <v>358.24884792626727</v>
      </c>
      <c r="L80" s="388">
        <f t="shared" ref="L80:O80" si="28">L39</f>
        <v>372.57880184331799</v>
      </c>
      <c r="M80" s="388">
        <f t="shared" si="28"/>
        <v>383.75616589861755</v>
      </c>
      <c r="N80" s="388">
        <f t="shared" si="28"/>
        <v>395.26885087557611</v>
      </c>
      <c r="O80" s="389">
        <f t="shared" si="28"/>
        <v>403.17422789308762</v>
      </c>
    </row>
    <row r="81" spans="1:15">
      <c r="B81" s="390" t="s">
        <v>98</v>
      </c>
      <c r="C81" s="372"/>
      <c r="D81" s="372"/>
      <c r="E81" s="372"/>
      <c r="F81" s="379" t="s">
        <v>109</v>
      </c>
      <c r="G81" s="391"/>
      <c r="H81" s="392"/>
      <c r="I81" s="392"/>
      <c r="J81" s="392"/>
      <c r="K81" s="392"/>
      <c r="L81" s="393">
        <f>L40</f>
        <v>2.5000000000000001E-2</v>
      </c>
      <c r="M81" s="393">
        <f t="shared" ref="M81:O81" si="29">M40</f>
        <v>2.5000000000000001E-2</v>
      </c>
      <c r="N81" s="393">
        <f t="shared" si="29"/>
        <v>2.5000000000000001E-2</v>
      </c>
      <c r="O81" s="394">
        <f t="shared" si="29"/>
        <v>2.5000000000000001E-2</v>
      </c>
    </row>
    <row r="82" spans="1:15" ht="6" customHeight="1">
      <c r="F82" s="362"/>
      <c r="G82" s="17"/>
      <c r="H82" s="17"/>
      <c r="I82" s="17"/>
      <c r="J82" s="17"/>
      <c r="K82" s="415"/>
      <c r="L82" s="415"/>
      <c r="M82" s="415"/>
      <c r="N82" s="53"/>
      <c r="O82" s="363"/>
    </row>
    <row r="83" spans="1:15">
      <c r="B83" s="84" t="s">
        <v>43</v>
      </c>
      <c r="F83" s="362"/>
      <c r="G83" s="17"/>
      <c r="H83" s="17"/>
      <c r="I83" s="17"/>
      <c r="J83" s="17"/>
      <c r="K83" s="415"/>
      <c r="L83" s="415"/>
      <c r="M83" s="415"/>
      <c r="N83" s="53"/>
      <c r="O83" s="363"/>
    </row>
    <row r="84" spans="1:15">
      <c r="C84" t="s">
        <v>44</v>
      </c>
      <c r="F84" s="362"/>
      <c r="G84" s="17"/>
      <c r="H84" s="397">
        <v>244.79999999999998</v>
      </c>
      <c r="I84" s="397">
        <v>269.3</v>
      </c>
      <c r="J84" s="397">
        <v>239.2</v>
      </c>
      <c r="K84" s="416">
        <f>K26</f>
        <v>275.1351152073733</v>
      </c>
      <c r="L84" s="416">
        <f t="shared" ref="L84:O84" si="30">L26</f>
        <v>259.31484608294932</v>
      </c>
      <c r="M84" s="416">
        <f t="shared" si="30"/>
        <v>303.93488339170511</v>
      </c>
      <c r="N84" s="416">
        <f t="shared" si="30"/>
        <v>303.56647747244244</v>
      </c>
      <c r="O84" s="416">
        <f t="shared" si="30"/>
        <v>290.28544408302304</v>
      </c>
    </row>
    <row r="85" spans="1:15">
      <c r="C85" s="15" t="s">
        <v>51</v>
      </c>
      <c r="F85" s="362"/>
      <c r="G85" s="17"/>
      <c r="H85" s="94">
        <v>31.3</v>
      </c>
      <c r="I85" s="94">
        <v>32.700000000000003</v>
      </c>
      <c r="J85" s="94">
        <v>34.4</v>
      </c>
      <c r="K85" s="417">
        <f t="shared" ref="K85:O85" si="31">K27</f>
        <v>36.720506912442389</v>
      </c>
      <c r="L85" s="417">
        <f t="shared" si="31"/>
        <v>39.144060368663588</v>
      </c>
      <c r="M85" s="417">
        <f t="shared" si="31"/>
        <v>41.326341734216577</v>
      </c>
      <c r="N85" s="417">
        <f t="shared" si="31"/>
        <v>43.630285285899156</v>
      </c>
      <c r="O85" s="417">
        <f t="shared" si="31"/>
        <v>45.615463266407559</v>
      </c>
    </row>
    <row r="86" spans="1:15">
      <c r="C86" s="84" t="s">
        <v>3</v>
      </c>
      <c r="F86" s="418"/>
      <c r="G86" s="17"/>
      <c r="H86" s="419">
        <f t="shared" ref="H86:O86" si="32">+H84-H85</f>
        <v>213.49999999999997</v>
      </c>
      <c r="I86" s="419">
        <f t="shared" si="32"/>
        <v>236.60000000000002</v>
      </c>
      <c r="J86" s="419">
        <f t="shared" si="32"/>
        <v>204.79999999999998</v>
      </c>
      <c r="K86" s="419">
        <f t="shared" si="32"/>
        <v>238.41460829493093</v>
      </c>
      <c r="L86" s="419">
        <f t="shared" si="32"/>
        <v>220.17078571428573</v>
      </c>
      <c r="M86" s="419">
        <f t="shared" si="32"/>
        <v>262.60854165748856</v>
      </c>
      <c r="N86" s="419">
        <f t="shared" si="32"/>
        <v>259.93619218654328</v>
      </c>
      <c r="O86" s="419">
        <f t="shared" si="32"/>
        <v>244.66998081661546</v>
      </c>
    </row>
    <row r="87" spans="1:15">
      <c r="F87" s="362"/>
      <c r="G87" s="17"/>
      <c r="H87" s="420"/>
      <c r="I87" s="420"/>
      <c r="J87" s="420"/>
      <c r="K87" s="421"/>
      <c r="L87" s="421"/>
      <c r="M87" s="421"/>
      <c r="N87" s="421"/>
      <c r="O87" s="403"/>
    </row>
    <row r="88" spans="1:15">
      <c r="C88" t="s">
        <v>4</v>
      </c>
      <c r="F88" s="362"/>
      <c r="G88" s="17"/>
      <c r="H88" s="90">
        <v>159.9</v>
      </c>
      <c r="I88" s="90">
        <v>164.6</v>
      </c>
      <c r="J88" s="90">
        <v>167.9</v>
      </c>
      <c r="K88" s="416">
        <f>K69</f>
        <v>173.68031336405528</v>
      </c>
      <c r="L88" s="416">
        <f t="shared" ref="L88:O88" si="33">L69</f>
        <v>182.31421404608295</v>
      </c>
      <c r="M88" s="416">
        <f t="shared" si="33"/>
        <v>190.30343772915205</v>
      </c>
      <c r="N88" s="416">
        <f t="shared" si="33"/>
        <v>198.68369078880227</v>
      </c>
      <c r="O88" s="416">
        <f t="shared" si="33"/>
        <v>206.20053693063028</v>
      </c>
    </row>
    <row r="89" spans="1:15">
      <c r="A89" s="380"/>
      <c r="C89" s="7" t="s">
        <v>36</v>
      </c>
      <c r="F89" s="362"/>
      <c r="G89" s="17"/>
      <c r="H89" s="91">
        <v>3.4</v>
      </c>
      <c r="I89" s="91">
        <v>3.6</v>
      </c>
      <c r="J89" s="91">
        <v>3.8</v>
      </c>
      <c r="K89" s="422">
        <f>Assumptions!E32</f>
        <v>3.9</v>
      </c>
      <c r="L89" s="417">
        <f>K89*(1+L81)</f>
        <v>3.9974999999999996</v>
      </c>
      <c r="M89" s="417">
        <f t="shared" ref="M89:O89" si="34">L89*(1+M81)</f>
        <v>4.097437499999999</v>
      </c>
      <c r="N89" s="417">
        <f t="shared" si="34"/>
        <v>4.1998734374999982</v>
      </c>
      <c r="O89" s="417">
        <f t="shared" si="34"/>
        <v>4.3048702734374977</v>
      </c>
    </row>
    <row r="90" spans="1:15">
      <c r="C90" s="361" t="s">
        <v>45</v>
      </c>
      <c r="F90" s="418"/>
      <c r="G90" s="17"/>
      <c r="H90" s="419">
        <f t="shared" ref="H90:J90" si="35">SUM(H88:H89)</f>
        <v>163.30000000000001</v>
      </c>
      <c r="I90" s="419">
        <f t="shared" si="35"/>
        <v>168.2</v>
      </c>
      <c r="J90" s="419">
        <f t="shared" si="35"/>
        <v>171.70000000000002</v>
      </c>
      <c r="K90" s="419">
        <f t="shared" ref="K90:O90" si="36">SUM(K88:K89)</f>
        <v>177.58031336405529</v>
      </c>
      <c r="L90" s="419">
        <f t="shared" si="36"/>
        <v>186.31171404608295</v>
      </c>
      <c r="M90" s="419">
        <f t="shared" si="36"/>
        <v>194.40087522915206</v>
      </c>
      <c r="N90" s="419">
        <f t="shared" si="36"/>
        <v>202.88356422630227</v>
      </c>
      <c r="O90" s="419">
        <f t="shared" si="36"/>
        <v>210.50540720406778</v>
      </c>
    </row>
    <row r="91" spans="1:15">
      <c r="C91" s="361"/>
      <c r="F91" s="418"/>
      <c r="G91" s="17"/>
      <c r="H91" s="423"/>
      <c r="I91" s="423"/>
      <c r="J91" s="423"/>
      <c r="K91" s="423"/>
      <c r="L91" s="423"/>
      <c r="M91" s="423"/>
      <c r="N91" s="423"/>
      <c r="O91" s="423"/>
    </row>
    <row r="92" spans="1:15">
      <c r="A92" s="380"/>
      <c r="C92" s="7" t="s">
        <v>161</v>
      </c>
      <c r="F92" s="362"/>
      <c r="G92" s="17"/>
      <c r="H92" s="91">
        <v>0</v>
      </c>
      <c r="I92" s="91">
        <v>0</v>
      </c>
      <c r="J92" s="91">
        <v>0</v>
      </c>
      <c r="K92" s="422">
        <f>Assumptions!J53</f>
        <v>0</v>
      </c>
      <c r="L92" s="422">
        <f>Assumptions!K53</f>
        <v>0</v>
      </c>
      <c r="M92" s="422">
        <f>Assumptions!L53</f>
        <v>0</v>
      </c>
      <c r="N92" s="422">
        <f>Assumptions!M53</f>
        <v>0</v>
      </c>
      <c r="O92" s="422">
        <f>Assumptions!N53</f>
        <v>0</v>
      </c>
    </row>
    <row r="93" spans="1:15">
      <c r="B93" s="84"/>
      <c r="C93" s="84" t="s">
        <v>5</v>
      </c>
      <c r="F93" s="418"/>
      <c r="H93" s="92">
        <f t="shared" ref="H93:O93" si="37">H86-H90+H92</f>
        <v>50.19999999999996</v>
      </c>
      <c r="I93" s="92">
        <f t="shared" si="37"/>
        <v>68.400000000000034</v>
      </c>
      <c r="J93" s="92">
        <f t="shared" si="37"/>
        <v>33.099999999999966</v>
      </c>
      <c r="K93" s="92">
        <f t="shared" si="37"/>
        <v>60.834294930875643</v>
      </c>
      <c r="L93" s="92">
        <f t="shared" si="37"/>
        <v>33.859071668202773</v>
      </c>
      <c r="M93" s="92">
        <f t="shared" si="37"/>
        <v>68.207666428336495</v>
      </c>
      <c r="N93" s="92">
        <f t="shared" si="37"/>
        <v>57.052627960241011</v>
      </c>
      <c r="O93" s="92">
        <f t="shared" si="37"/>
        <v>34.164573612547684</v>
      </c>
    </row>
    <row r="94" spans="1:15">
      <c r="F94" s="362"/>
      <c r="H94" s="108"/>
      <c r="I94" s="108"/>
      <c r="J94" s="424"/>
      <c r="K94" s="424"/>
      <c r="L94" s="424"/>
      <c r="M94" s="424"/>
      <c r="N94" s="424"/>
      <c r="O94" s="424"/>
    </row>
    <row r="95" spans="1:15">
      <c r="C95" t="s">
        <v>46</v>
      </c>
      <c r="F95" s="362"/>
      <c r="H95" s="93">
        <v>15.4</v>
      </c>
      <c r="I95" s="93">
        <v>15.5</v>
      </c>
      <c r="J95" s="93">
        <v>15.8</v>
      </c>
      <c r="K95" s="400">
        <f>K217</f>
        <v>16.174666666666667</v>
      </c>
      <c r="L95" s="400">
        <f t="shared" ref="L95:O95" si="38">L217</f>
        <v>16.724666666666668</v>
      </c>
      <c r="M95" s="400">
        <f t="shared" si="38"/>
        <v>17.296333333333333</v>
      </c>
      <c r="N95" s="400">
        <f t="shared" si="38"/>
        <v>17.876333333333335</v>
      </c>
      <c r="O95" s="400">
        <f t="shared" si="38"/>
        <v>18.468</v>
      </c>
    </row>
    <row r="96" spans="1:15">
      <c r="C96" s="361" t="s">
        <v>7</v>
      </c>
      <c r="F96" s="418"/>
      <c r="H96" s="92">
        <f t="shared" ref="H96:J96" si="39">H93-H95</f>
        <v>34.799999999999962</v>
      </c>
      <c r="I96" s="92">
        <f t="shared" si="39"/>
        <v>52.900000000000034</v>
      </c>
      <c r="J96" s="92">
        <f t="shared" si="39"/>
        <v>17.299999999999965</v>
      </c>
      <c r="K96" s="92">
        <f>K93-K95</f>
        <v>44.659628264208976</v>
      </c>
      <c r="L96" s="92">
        <f t="shared" ref="L96:O96" si="40">L93-L95</f>
        <v>17.134405001536106</v>
      </c>
      <c r="M96" s="92">
        <f t="shared" si="40"/>
        <v>50.911333095003158</v>
      </c>
      <c r="N96" s="92">
        <f t="shared" si="40"/>
        <v>39.176294626907676</v>
      </c>
      <c r="O96" s="92">
        <f t="shared" si="40"/>
        <v>15.696573612547684</v>
      </c>
    </row>
    <row r="97" spans="2:16" ht="6" customHeight="1">
      <c r="C97" s="361"/>
      <c r="F97" s="418"/>
      <c r="H97" s="404"/>
      <c r="I97" s="404"/>
      <c r="J97" s="404"/>
      <c r="K97" s="404"/>
      <c r="L97" s="404"/>
      <c r="M97" s="404"/>
      <c r="N97" s="404"/>
      <c r="O97" s="404"/>
    </row>
    <row r="98" spans="2:16">
      <c r="C98" s="15" t="s">
        <v>73</v>
      </c>
      <c r="F98" s="362"/>
      <c r="H98" s="94">
        <v>15</v>
      </c>
      <c r="I98" s="94">
        <v>15</v>
      </c>
      <c r="J98" s="94">
        <v>14</v>
      </c>
      <c r="K98" s="400">
        <f>K324</f>
        <v>11.997</v>
      </c>
      <c r="L98" s="400">
        <f t="shared" ref="L98:O98" si="41">L324</f>
        <v>10.851795226614477</v>
      </c>
      <c r="M98" s="400">
        <f t="shared" si="41"/>
        <v>10.195669367546428</v>
      </c>
      <c r="N98" s="400">
        <f t="shared" si="41"/>
        <v>8.8697395068528433</v>
      </c>
      <c r="O98" s="400">
        <f t="shared" si="41"/>
        <v>7.8382591355006364</v>
      </c>
    </row>
    <row r="99" spans="2:16">
      <c r="C99" s="370" t="s">
        <v>75</v>
      </c>
      <c r="F99" s="418"/>
      <c r="H99" s="399">
        <f t="shared" ref="H99:J99" si="42">H96-H98</f>
        <v>19.799999999999962</v>
      </c>
      <c r="I99" s="399">
        <f t="shared" si="42"/>
        <v>37.900000000000034</v>
      </c>
      <c r="J99" s="399">
        <f t="shared" si="42"/>
        <v>3.2999999999999652</v>
      </c>
      <c r="K99" s="399">
        <f>K96-K98</f>
        <v>32.662628264208976</v>
      </c>
      <c r="L99" s="399">
        <f t="shared" ref="L99:O99" si="43">L96-L98</f>
        <v>6.2826097749216281</v>
      </c>
      <c r="M99" s="399">
        <f t="shared" si="43"/>
        <v>40.715663727456729</v>
      </c>
      <c r="N99" s="399">
        <f t="shared" si="43"/>
        <v>30.306555120054831</v>
      </c>
      <c r="O99" s="399">
        <f t="shared" si="43"/>
        <v>7.8583144770470481</v>
      </c>
    </row>
    <row r="100" spans="2:16" ht="6" customHeight="1">
      <c r="C100" s="361"/>
      <c r="F100" s="418"/>
      <c r="H100" s="425"/>
      <c r="I100" s="425"/>
      <c r="J100" s="425"/>
      <c r="K100" s="425"/>
      <c r="L100" s="404"/>
      <c r="M100" s="92"/>
      <c r="N100" s="92"/>
      <c r="O100" s="404"/>
    </row>
    <row r="101" spans="2:16">
      <c r="C101" t="s">
        <v>93</v>
      </c>
      <c r="F101" s="362"/>
      <c r="H101" s="397">
        <v>3</v>
      </c>
      <c r="I101" s="397">
        <v>8</v>
      </c>
      <c r="J101" s="397">
        <v>0</v>
      </c>
      <c r="K101" s="399">
        <f>K239</f>
        <v>9.6819198924731413</v>
      </c>
      <c r="L101" s="399">
        <f t="shared" ref="L101:O101" si="44">L239</f>
        <v>0.44891342122256978</v>
      </c>
      <c r="M101" s="399">
        <f t="shared" si="44"/>
        <v>12.500482304609854</v>
      </c>
      <c r="N101" s="399">
        <f t="shared" si="44"/>
        <v>8.8572942920191906</v>
      </c>
      <c r="O101" s="399">
        <f t="shared" si="44"/>
        <v>1.0004100669664668</v>
      </c>
    </row>
    <row r="102" spans="2:16">
      <c r="C102" t="s">
        <v>145</v>
      </c>
      <c r="F102" s="362"/>
      <c r="H102" s="94">
        <v>2.7</v>
      </c>
      <c r="I102" s="94">
        <v>6.2</v>
      </c>
      <c r="J102" s="94">
        <v>1.1000000000000001</v>
      </c>
      <c r="K102" s="400">
        <f t="shared" ref="K102:O102" si="45">K240</f>
        <v>1.75</v>
      </c>
      <c r="L102" s="400">
        <f t="shared" si="45"/>
        <v>1.75</v>
      </c>
      <c r="M102" s="400">
        <f t="shared" si="45"/>
        <v>1.75</v>
      </c>
      <c r="N102" s="400">
        <f t="shared" si="45"/>
        <v>1.75</v>
      </c>
      <c r="O102" s="400">
        <f t="shared" si="45"/>
        <v>1.7499999999999998</v>
      </c>
    </row>
    <row r="103" spans="2:16">
      <c r="C103" s="84" t="s">
        <v>94</v>
      </c>
      <c r="F103" s="418"/>
      <c r="H103" s="426">
        <f t="shared" ref="H103:J103" si="46">SUM(H101:H102)</f>
        <v>5.7</v>
      </c>
      <c r="I103" s="426">
        <f t="shared" si="46"/>
        <v>14.2</v>
      </c>
      <c r="J103" s="426">
        <f t="shared" si="46"/>
        <v>1.1000000000000001</v>
      </c>
      <c r="K103" s="426">
        <f t="shared" ref="K103:O103" si="47">SUM(K101:K102)</f>
        <v>11.431919892473141</v>
      </c>
      <c r="L103" s="426">
        <f t="shared" si="47"/>
        <v>2.1989134212225698</v>
      </c>
      <c r="M103" s="426">
        <f t="shared" si="47"/>
        <v>14.250482304609854</v>
      </c>
      <c r="N103" s="426">
        <f t="shared" si="47"/>
        <v>10.607294292019191</v>
      </c>
      <c r="O103" s="426">
        <f t="shared" si="47"/>
        <v>2.7504100669664666</v>
      </c>
    </row>
    <row r="104" spans="2:16">
      <c r="F104" s="362"/>
    </row>
    <row r="105" spans="2:16" ht="14" thickBot="1">
      <c r="C105" s="427" t="s">
        <v>8</v>
      </c>
      <c r="D105" s="84"/>
      <c r="E105" s="84"/>
      <c r="F105" s="418"/>
      <c r="H105" s="428">
        <f t="shared" ref="H105:J105" si="48">H99-H103</f>
        <v>14.099999999999962</v>
      </c>
      <c r="I105" s="428">
        <f t="shared" si="48"/>
        <v>23.700000000000035</v>
      </c>
      <c r="J105" s="428">
        <f t="shared" si="48"/>
        <v>2.1999999999999651</v>
      </c>
      <c r="K105" s="428">
        <f>K99-K103</f>
        <v>21.230708371735837</v>
      </c>
      <c r="L105" s="428">
        <f t="shared" ref="L105:O105" si="49">L99-L103</f>
        <v>4.0836963536990583</v>
      </c>
      <c r="M105" s="428">
        <f t="shared" si="49"/>
        <v>26.465181422846875</v>
      </c>
      <c r="N105" s="428">
        <f t="shared" si="49"/>
        <v>19.699260828035641</v>
      </c>
      <c r="O105" s="428">
        <f t="shared" si="49"/>
        <v>5.1079044100805815</v>
      </c>
    </row>
    <row r="106" spans="2:16" ht="14" thickTop="1">
      <c r="C106" s="429"/>
      <c r="F106"/>
      <c r="H106" s="430"/>
      <c r="I106" s="430"/>
      <c r="J106" s="430"/>
      <c r="K106" s="430"/>
      <c r="L106" s="430"/>
      <c r="M106" s="430"/>
      <c r="N106" s="430"/>
      <c r="O106" s="430"/>
    </row>
    <row r="107" spans="2:16">
      <c r="H107" s="101"/>
      <c r="I107" s="101"/>
      <c r="J107" s="101"/>
      <c r="K107" s="431"/>
      <c r="L107" s="431"/>
      <c r="M107" s="431"/>
      <c r="N107" s="431"/>
      <c r="O107" s="431"/>
    </row>
    <row r="108" spans="2:16">
      <c r="B108" s="432" t="s">
        <v>38</v>
      </c>
      <c r="C108" s="433"/>
      <c r="D108" s="433"/>
      <c r="E108" s="433"/>
      <c r="F108" s="434"/>
      <c r="G108" s="433"/>
      <c r="H108" s="435"/>
      <c r="I108" s="435"/>
      <c r="J108" s="435"/>
      <c r="K108" s="435"/>
      <c r="L108" s="435"/>
      <c r="M108" s="435"/>
      <c r="N108" s="435"/>
      <c r="O108" s="436"/>
    </row>
    <row r="109" spans="2:16">
      <c r="B109" s="437"/>
      <c r="C109" t="s">
        <v>39</v>
      </c>
      <c r="H109" s="95">
        <f t="shared" ref="H109:J109" si="50">H93/H86</f>
        <v>0.23512880562060876</v>
      </c>
      <c r="I109" s="95">
        <f t="shared" si="50"/>
        <v>0.28909551986475074</v>
      </c>
      <c r="J109" s="95">
        <f t="shared" si="50"/>
        <v>0.16162109374999983</v>
      </c>
      <c r="K109" s="95">
        <f>K93/K86</f>
        <v>0.25516177622648251</v>
      </c>
      <c r="L109" s="95">
        <f t="shared" ref="L109:O109" si="51">L93/L86</f>
        <v>0.15378548774468873</v>
      </c>
      <c r="M109" s="95">
        <f t="shared" si="51"/>
        <v>0.25973133241529306</v>
      </c>
      <c r="N109" s="95">
        <f t="shared" si="51"/>
        <v>0.21948704980373482</v>
      </c>
      <c r="O109" s="95">
        <f t="shared" si="51"/>
        <v>0.13963533040922843</v>
      </c>
      <c r="P109" s="438"/>
    </row>
    <row r="110" spans="2:16">
      <c r="B110" s="437"/>
      <c r="C110" t="s">
        <v>40</v>
      </c>
      <c r="F110" s="439"/>
      <c r="H110" s="95">
        <f t="shared" ref="H110:J110" si="52">H96/H86</f>
        <v>0.16299765807962513</v>
      </c>
      <c r="I110" s="95">
        <f t="shared" si="52"/>
        <v>0.22358410819949293</v>
      </c>
      <c r="J110" s="95">
        <f t="shared" si="52"/>
        <v>8.4472656249999833E-2</v>
      </c>
      <c r="K110" s="95">
        <f>K96/K86</f>
        <v>0.18731917722492389</v>
      </c>
      <c r="L110" s="95">
        <f t="shared" ref="L110:O110" si="53">L96/L86</f>
        <v>7.7823245013856276E-2</v>
      </c>
      <c r="M110" s="95">
        <f t="shared" si="53"/>
        <v>0.19386777282136194</v>
      </c>
      <c r="N110" s="95">
        <f t="shared" si="53"/>
        <v>0.15071504393967886</v>
      </c>
      <c r="O110" s="95">
        <f t="shared" si="53"/>
        <v>6.4154064017818951E-2</v>
      </c>
    </row>
    <row r="111" spans="2:16">
      <c r="B111" s="437"/>
      <c r="C111" t="s">
        <v>214</v>
      </c>
      <c r="F111" s="439"/>
      <c r="H111" s="95">
        <f>H105/H86</f>
        <v>6.604215456674456E-2</v>
      </c>
      <c r="I111" s="95">
        <f t="shared" ref="I111:O111" si="54">I105/I86</f>
        <v>0.10016906170752338</v>
      </c>
      <c r="J111" s="95">
        <f t="shared" si="54"/>
        <v>1.074218749999983E-2</v>
      </c>
      <c r="K111" s="95">
        <f t="shared" si="54"/>
        <v>8.904952814582727E-2</v>
      </c>
      <c r="L111" s="95">
        <f t="shared" si="54"/>
        <v>1.8547857475507426E-2</v>
      </c>
      <c r="M111" s="95">
        <f t="shared" si="54"/>
        <v>0.10077806782600589</v>
      </c>
      <c r="N111" s="95">
        <f t="shared" si="54"/>
        <v>7.5784986547384914E-2</v>
      </c>
      <c r="O111" s="95">
        <f t="shared" si="54"/>
        <v>2.0876710714703685E-2</v>
      </c>
    </row>
    <row r="112" spans="2:16">
      <c r="B112" s="440"/>
      <c r="C112" s="8" t="s">
        <v>124</v>
      </c>
      <c r="D112" s="8"/>
      <c r="E112" s="8"/>
      <c r="F112" s="441"/>
      <c r="G112" s="8"/>
      <c r="H112" s="442"/>
      <c r="I112" s="442">
        <f>I105/(I186+H186)*2</f>
        <v>9.5104333868378937E-2</v>
      </c>
      <c r="J112" s="442">
        <f t="shared" ref="J112:O112" si="55">J105/(J186+I186)*2</f>
        <v>8.5073472544468873E-3</v>
      </c>
      <c r="K112" s="442">
        <f t="shared" si="55"/>
        <v>7.951805986845073E-2</v>
      </c>
      <c r="L112" s="442">
        <f t="shared" si="55"/>
        <v>1.4736306147724958E-2</v>
      </c>
      <c r="M112" s="442">
        <f t="shared" si="55"/>
        <v>9.1468173361335198E-2</v>
      </c>
      <c r="N112" s="442">
        <f t="shared" si="55"/>
        <v>6.3999496236989029E-2</v>
      </c>
      <c r="O112" s="442">
        <f t="shared" si="55"/>
        <v>1.6076432404856646E-2</v>
      </c>
    </row>
    <row r="113" spans="1:15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</row>
    <row r="114" spans="1:15">
      <c r="C114" s="443"/>
      <c r="F114" s="439"/>
      <c r="H114" s="444"/>
      <c r="I114" s="444"/>
      <c r="J114" s="444"/>
      <c r="K114" s="444"/>
      <c r="L114" s="444"/>
      <c r="M114" s="444"/>
      <c r="N114" s="444"/>
      <c r="O114" s="444"/>
    </row>
    <row r="115" spans="1:15" ht="12.75" customHeight="1">
      <c r="A115" s="348"/>
      <c r="B115" s="382"/>
      <c r="C115" s="2"/>
      <c r="D115" s="2"/>
      <c r="E115" s="2"/>
      <c r="F115" s="347"/>
      <c r="G115" s="2"/>
      <c r="H115" s="2"/>
      <c r="I115" s="2"/>
      <c r="J115" s="2"/>
      <c r="K115" s="2"/>
      <c r="L115" s="2"/>
      <c r="M115" s="2"/>
      <c r="N115" s="2"/>
      <c r="O115" s="340" t="str">
        <f>$O$1</f>
        <v>Currently Running: Worst Case Scenario</v>
      </c>
    </row>
    <row r="116" spans="1:15" ht="23">
      <c r="B116" s="287" t="str">
        <f>B$2</f>
        <v>Blu Containers Company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8">
      <c r="B117" s="288" t="s">
        <v>47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3" customHeight="1" thickBot="1">
      <c r="A118" s="349"/>
      <c r="B118" s="352"/>
      <c r="C118" s="353"/>
      <c r="D118" s="353"/>
      <c r="E118" s="353"/>
      <c r="F118" s="354"/>
      <c r="G118" s="353"/>
      <c r="H118" s="353"/>
      <c r="I118" s="353"/>
      <c r="J118" s="353"/>
      <c r="K118" s="353"/>
      <c r="L118" s="353"/>
      <c r="M118" s="353"/>
      <c r="N118" s="353"/>
      <c r="O118" s="353"/>
    </row>
    <row r="119" spans="1:15">
      <c r="B119" s="414" t="s">
        <v>171</v>
      </c>
      <c r="F119"/>
    </row>
    <row r="120" spans="1:15">
      <c r="F120"/>
      <c r="K120" s="358" t="s">
        <v>2</v>
      </c>
      <c r="L120" s="16"/>
      <c r="M120" s="16"/>
      <c r="N120" s="16"/>
      <c r="O120" s="16"/>
    </row>
    <row r="121" spans="1:15">
      <c r="B121" s="445"/>
      <c r="F121" s="446"/>
      <c r="G121" s="447"/>
      <c r="H121" s="359">
        <f t="shared" ref="H121:J121" si="56">H$7</f>
        <v>2020</v>
      </c>
      <c r="I121" s="359">
        <f t="shared" si="56"/>
        <v>2021</v>
      </c>
      <c r="J121" s="359">
        <f t="shared" si="56"/>
        <v>2022</v>
      </c>
      <c r="K121" s="181">
        <f>K$7</f>
        <v>2023</v>
      </c>
      <c r="L121" s="181">
        <f>L$7</f>
        <v>2024</v>
      </c>
      <c r="M121" s="181">
        <f>M$7</f>
        <v>2025</v>
      </c>
      <c r="N121" s="181">
        <f>N$7</f>
        <v>2026</v>
      </c>
      <c r="O121" s="181">
        <f>O$7</f>
        <v>2027</v>
      </c>
    </row>
    <row r="122" spans="1:15">
      <c r="B122" s="84" t="s">
        <v>9</v>
      </c>
      <c r="F122"/>
    </row>
    <row r="123" spans="1:15">
      <c r="C123" t="s">
        <v>8</v>
      </c>
      <c r="F123"/>
      <c r="G123" s="97"/>
      <c r="H123" s="96">
        <v>14.099999999999962</v>
      </c>
      <c r="I123" s="96">
        <v>23.700000000000035</v>
      </c>
      <c r="J123" s="96">
        <v>2.2000000000000002</v>
      </c>
      <c r="K123" s="98">
        <f>K105</f>
        <v>21.230708371735837</v>
      </c>
      <c r="L123" s="98">
        <f t="shared" ref="L123:O123" si="57">L105</f>
        <v>4.0836963536990583</v>
      </c>
      <c r="M123" s="98">
        <f t="shared" si="57"/>
        <v>26.465181422846875</v>
      </c>
      <c r="N123" s="98">
        <f t="shared" si="57"/>
        <v>19.699260828035641</v>
      </c>
      <c r="O123" s="98">
        <f t="shared" si="57"/>
        <v>5.1079044100805815</v>
      </c>
    </row>
    <row r="124" spans="1:15">
      <c r="C124" t="s">
        <v>6</v>
      </c>
      <c r="F124"/>
      <c r="G124" s="97"/>
      <c r="H124" s="96">
        <v>15.4</v>
      </c>
      <c r="I124" s="96">
        <v>15.5</v>
      </c>
      <c r="J124" s="96">
        <v>15.8</v>
      </c>
      <c r="K124" s="98">
        <f>K95</f>
        <v>16.174666666666667</v>
      </c>
      <c r="L124" s="98">
        <f t="shared" ref="L124:O124" si="58">L95</f>
        <v>16.724666666666668</v>
      </c>
      <c r="M124" s="98">
        <f t="shared" si="58"/>
        <v>17.296333333333333</v>
      </c>
      <c r="N124" s="98">
        <f t="shared" si="58"/>
        <v>17.876333333333335</v>
      </c>
      <c r="O124" s="98">
        <f t="shared" si="58"/>
        <v>18.468</v>
      </c>
    </row>
    <row r="125" spans="1:15">
      <c r="C125" t="s">
        <v>145</v>
      </c>
      <c r="F125"/>
      <c r="G125" s="97"/>
      <c r="H125" s="96">
        <v>2.7</v>
      </c>
      <c r="I125" s="96">
        <v>6.2</v>
      </c>
      <c r="J125" s="96">
        <v>1.1000000000000001</v>
      </c>
      <c r="K125" s="98">
        <f>K102</f>
        <v>1.75</v>
      </c>
      <c r="L125" s="98">
        <f t="shared" ref="L125:O125" si="59">L102</f>
        <v>1.75</v>
      </c>
      <c r="M125" s="98">
        <f t="shared" si="59"/>
        <v>1.75</v>
      </c>
      <c r="N125" s="98">
        <f t="shared" si="59"/>
        <v>1.75</v>
      </c>
      <c r="O125" s="98">
        <f t="shared" si="59"/>
        <v>1.7499999999999998</v>
      </c>
    </row>
    <row r="126" spans="1:15">
      <c r="C126" t="s">
        <v>125</v>
      </c>
      <c r="F126"/>
      <c r="G126" s="104"/>
      <c r="H126" s="99">
        <v>0</v>
      </c>
      <c r="I126" s="99">
        <v>0</v>
      </c>
      <c r="J126" s="100">
        <v>0</v>
      </c>
      <c r="K126" s="400">
        <f>K277</f>
        <v>-7.2487140963296781E-2</v>
      </c>
      <c r="L126" s="400">
        <f t="shared" ref="L126:O126" si="60">L277</f>
        <v>6.1938072348415787</v>
      </c>
      <c r="M126" s="400">
        <f t="shared" si="60"/>
        <v>-0.8196474600510868</v>
      </c>
      <c r="N126" s="400">
        <f t="shared" si="60"/>
        <v>-0.69440247322507531</v>
      </c>
      <c r="O126" s="400">
        <f t="shared" si="60"/>
        <v>3.6121280968538656</v>
      </c>
    </row>
    <row r="127" spans="1:15">
      <c r="C127" s="361" t="s">
        <v>11</v>
      </c>
      <c r="F127"/>
      <c r="G127" s="404"/>
      <c r="H127" s="448">
        <f t="shared" ref="H127:J127" si="61">SUM(H123:H126)</f>
        <v>32.199999999999967</v>
      </c>
      <c r="I127" s="448">
        <f t="shared" si="61"/>
        <v>45.400000000000034</v>
      </c>
      <c r="J127" s="448">
        <f t="shared" si="61"/>
        <v>19.100000000000001</v>
      </c>
      <c r="K127" s="448">
        <f t="shared" ref="K127:O127" si="62">SUM(K123:K126)</f>
        <v>39.082887897439207</v>
      </c>
      <c r="L127" s="448">
        <f t="shared" si="62"/>
        <v>28.752170255207304</v>
      </c>
      <c r="M127" s="448">
        <f t="shared" si="62"/>
        <v>44.691867296129118</v>
      </c>
      <c r="N127" s="448">
        <f t="shared" si="62"/>
        <v>38.6311916881439</v>
      </c>
      <c r="O127" s="448">
        <f t="shared" si="62"/>
        <v>28.938032506934448</v>
      </c>
    </row>
    <row r="128" spans="1:15">
      <c r="B128" s="7"/>
      <c r="F128"/>
      <c r="G128" s="101"/>
      <c r="H128" s="449"/>
      <c r="I128" s="449"/>
      <c r="J128" s="449"/>
      <c r="K128" s="449"/>
      <c r="L128" s="449"/>
      <c r="M128" s="449"/>
      <c r="N128" s="449"/>
      <c r="O128" s="449"/>
    </row>
    <row r="129" spans="1:15">
      <c r="B129" s="7"/>
      <c r="F129"/>
      <c r="G129" s="101"/>
      <c r="H129" s="449"/>
      <c r="I129" s="449"/>
      <c r="J129" s="449"/>
      <c r="K129" s="449"/>
      <c r="L129" s="449"/>
      <c r="M129" s="449"/>
      <c r="N129" s="449"/>
      <c r="O129" s="449"/>
    </row>
    <row r="130" spans="1:15">
      <c r="B130" s="84" t="s">
        <v>102</v>
      </c>
      <c r="F130"/>
      <c r="G130" s="101"/>
      <c r="H130" s="102"/>
      <c r="I130" s="102"/>
      <c r="J130" s="102"/>
      <c r="K130" s="97"/>
      <c r="L130" s="97"/>
      <c r="M130" s="97"/>
      <c r="N130" s="97"/>
      <c r="O130" s="97"/>
    </row>
    <row r="131" spans="1:15">
      <c r="C131" t="s">
        <v>54</v>
      </c>
      <c r="H131" s="103">
        <v>-14.1</v>
      </c>
      <c r="I131" s="103">
        <v>-15</v>
      </c>
      <c r="J131" s="103">
        <v>-15.5</v>
      </c>
      <c r="K131" s="398">
        <f>-Assumptions!J58</f>
        <v>-16</v>
      </c>
      <c r="L131" s="398">
        <f>-Assumptions!K58</f>
        <v>-17</v>
      </c>
      <c r="M131" s="398">
        <f>-Assumptions!L58</f>
        <v>-17.3</v>
      </c>
      <c r="N131" s="398">
        <f>-Assumptions!M58</f>
        <v>-17.5</v>
      </c>
      <c r="O131" s="398">
        <f>-Assumptions!N58</f>
        <v>-18</v>
      </c>
    </row>
    <row r="132" spans="1:15">
      <c r="C132" t="s">
        <v>10</v>
      </c>
      <c r="H132" s="93">
        <v>-5</v>
      </c>
      <c r="I132" s="93">
        <v>4</v>
      </c>
      <c r="J132" s="93">
        <v>3</v>
      </c>
      <c r="K132" s="422">
        <f>-Assumptions!J56</f>
        <v>0</v>
      </c>
      <c r="L132" s="422">
        <f>-Assumptions!K56</f>
        <v>0</v>
      </c>
      <c r="M132" s="422">
        <f>-Assumptions!L56</f>
        <v>0</v>
      </c>
      <c r="N132" s="422">
        <f>-Assumptions!M56</f>
        <v>0</v>
      </c>
      <c r="O132" s="422">
        <f>-Assumptions!N56</f>
        <v>0</v>
      </c>
    </row>
    <row r="133" spans="1:15">
      <c r="A133" s="84"/>
      <c r="C133" s="84" t="s">
        <v>103</v>
      </c>
      <c r="F133"/>
      <c r="G133" s="404"/>
      <c r="H133" s="450">
        <f t="shared" ref="H133:J133" si="63">SUM(H131:H132)</f>
        <v>-19.100000000000001</v>
      </c>
      <c r="I133" s="450">
        <f t="shared" si="63"/>
        <v>-11</v>
      </c>
      <c r="J133" s="450">
        <f t="shared" si="63"/>
        <v>-12.5</v>
      </c>
      <c r="K133" s="450">
        <f t="shared" ref="K133:O133" si="64">SUM(K131:K132)</f>
        <v>-16</v>
      </c>
      <c r="L133" s="450">
        <f t="shared" si="64"/>
        <v>-17</v>
      </c>
      <c r="M133" s="450">
        <f t="shared" si="64"/>
        <v>-17.3</v>
      </c>
      <c r="N133" s="450">
        <f t="shared" si="64"/>
        <v>-17.5</v>
      </c>
      <c r="O133" s="450">
        <f t="shared" si="64"/>
        <v>-18</v>
      </c>
    </row>
    <row r="134" spans="1:15">
      <c r="A134" s="84"/>
      <c r="B134" s="370"/>
      <c r="F134"/>
      <c r="G134" s="404"/>
      <c r="H134" s="451"/>
      <c r="I134" s="451"/>
      <c r="J134" s="452"/>
      <c r="K134" s="453"/>
      <c r="L134" s="453"/>
      <c r="M134" s="453"/>
      <c r="N134" s="453"/>
      <c r="O134" s="453"/>
    </row>
    <row r="135" spans="1:15">
      <c r="A135" s="84"/>
      <c r="B135" s="370"/>
      <c r="F135"/>
      <c r="G135" s="404"/>
      <c r="H135" s="451"/>
      <c r="I135" s="451"/>
      <c r="J135" s="451"/>
      <c r="K135" s="453"/>
      <c r="L135" s="453"/>
      <c r="M135" s="453"/>
      <c r="N135" s="453"/>
      <c r="O135" s="453"/>
    </row>
    <row r="136" spans="1:15">
      <c r="A136" s="84"/>
      <c r="B136" s="370" t="s">
        <v>72</v>
      </c>
      <c r="F136"/>
      <c r="G136" s="404"/>
      <c r="H136" s="454"/>
      <c r="I136" s="454"/>
      <c r="J136" s="454"/>
      <c r="K136" s="455"/>
      <c r="L136" s="455"/>
      <c r="M136" s="455"/>
      <c r="N136" s="455"/>
      <c r="O136" s="455"/>
    </row>
    <row r="137" spans="1:15">
      <c r="A137" s="84"/>
      <c r="B137" s="370"/>
      <c r="C137" t="s">
        <v>131</v>
      </c>
      <c r="F137"/>
      <c r="G137" s="404"/>
      <c r="H137" s="103">
        <v>0</v>
      </c>
      <c r="I137" s="103">
        <v>0</v>
      </c>
      <c r="J137" s="103">
        <v>0</v>
      </c>
      <c r="K137" s="98">
        <f>K308</f>
        <v>5.8632537769079605</v>
      </c>
      <c r="L137" s="98">
        <f t="shared" ref="L137:O137" si="65">L308</f>
        <v>14.064569015532504</v>
      </c>
      <c r="M137" s="98">
        <f t="shared" si="65"/>
        <v>2.9011689884402552</v>
      </c>
      <c r="N137" s="98">
        <f t="shared" si="65"/>
        <v>7.8086604774632251</v>
      </c>
      <c r="O137" s="98">
        <f t="shared" si="65"/>
        <v>15.083548375081666</v>
      </c>
    </row>
    <row r="138" spans="1:15">
      <c r="A138" s="84"/>
      <c r="B138" s="370"/>
      <c r="C138" t="s">
        <v>132</v>
      </c>
      <c r="F138"/>
      <c r="G138" s="404"/>
      <c r="H138" s="103">
        <v>-25</v>
      </c>
      <c r="I138" s="103">
        <v>-25</v>
      </c>
      <c r="J138" s="103">
        <v>-25</v>
      </c>
      <c r="K138" s="98">
        <f>K317</f>
        <v>-25</v>
      </c>
      <c r="L138" s="98">
        <f t="shared" ref="L138:O138" si="66">L317</f>
        <v>-25</v>
      </c>
      <c r="M138" s="98">
        <f t="shared" si="66"/>
        <v>-25</v>
      </c>
      <c r="N138" s="98">
        <f t="shared" si="66"/>
        <v>-25</v>
      </c>
      <c r="O138" s="98">
        <f t="shared" si="66"/>
        <v>-25</v>
      </c>
    </row>
    <row r="139" spans="1:15">
      <c r="A139" s="84"/>
      <c r="B139" s="370"/>
      <c r="C139" t="s">
        <v>121</v>
      </c>
      <c r="F139"/>
      <c r="G139" s="404"/>
      <c r="H139" s="103">
        <v>0</v>
      </c>
      <c r="I139" s="103">
        <v>0</v>
      </c>
      <c r="J139" s="103">
        <v>0</v>
      </c>
      <c r="K139" s="98">
        <f>K337</f>
        <v>0</v>
      </c>
      <c r="L139" s="98">
        <f t="shared" ref="L139:O139" si="67">L337</f>
        <v>0</v>
      </c>
      <c r="M139" s="98">
        <f t="shared" si="67"/>
        <v>0</v>
      </c>
      <c r="N139" s="98">
        <f t="shared" si="67"/>
        <v>0</v>
      </c>
      <c r="O139" s="98">
        <f t="shared" si="67"/>
        <v>0</v>
      </c>
    </row>
    <row r="140" spans="1:15">
      <c r="A140" s="84"/>
      <c r="B140" s="370"/>
      <c r="C140" t="s">
        <v>122</v>
      </c>
      <c r="F140"/>
      <c r="G140" s="404"/>
      <c r="H140" s="93">
        <v>-2.8</v>
      </c>
      <c r="I140" s="93">
        <v>-4.7</v>
      </c>
      <c r="J140" s="93">
        <v>-2.4</v>
      </c>
      <c r="K140" s="98">
        <f>-K342</f>
        <v>-4.2461416743471672</v>
      </c>
      <c r="L140" s="98">
        <f t="shared" ref="L140:O140" si="68">-L342</f>
        <v>-0.81673927073981167</v>
      </c>
      <c r="M140" s="98">
        <f t="shared" si="68"/>
        <v>-5.293036284569375</v>
      </c>
      <c r="N140" s="98">
        <f t="shared" si="68"/>
        <v>-3.9398521656071281</v>
      </c>
      <c r="O140" s="98">
        <f t="shared" si="68"/>
        <v>-1.0215808820161163</v>
      </c>
    </row>
    <row r="141" spans="1:15">
      <c r="A141" s="84"/>
      <c r="B141" s="370"/>
      <c r="C141" s="84" t="s">
        <v>104</v>
      </c>
      <c r="F141"/>
      <c r="G141" s="404"/>
      <c r="H141" s="450">
        <f t="shared" ref="H141:J141" si="69">SUM(H137:H140)</f>
        <v>-27.8</v>
      </c>
      <c r="I141" s="450">
        <f t="shared" si="69"/>
        <v>-29.7</v>
      </c>
      <c r="J141" s="450">
        <f t="shared" si="69"/>
        <v>-27.4</v>
      </c>
      <c r="K141" s="450">
        <f t="shared" ref="K141:O141" si="70">SUM(K137:K140)</f>
        <v>-23.382887897439208</v>
      </c>
      <c r="L141" s="450">
        <f t="shared" si="70"/>
        <v>-11.752170255207307</v>
      </c>
      <c r="M141" s="450">
        <f t="shared" si="70"/>
        <v>-27.391867296129121</v>
      </c>
      <c r="N141" s="450">
        <f t="shared" si="70"/>
        <v>-21.131191688143904</v>
      </c>
      <c r="O141" s="450">
        <f t="shared" si="70"/>
        <v>-10.938032506934452</v>
      </c>
    </row>
    <row r="142" spans="1:15">
      <c r="A142" s="84"/>
      <c r="B142" s="370"/>
      <c r="F142"/>
      <c r="G142" s="404"/>
      <c r="H142" s="454"/>
      <c r="I142" s="454"/>
      <c r="J142" s="454"/>
      <c r="K142" s="454"/>
      <c r="L142" s="454"/>
      <c r="M142" s="454"/>
      <c r="N142" s="454"/>
      <c r="O142" s="454"/>
    </row>
    <row r="143" spans="1:15">
      <c r="A143" s="84"/>
      <c r="C143" s="361"/>
      <c r="F143"/>
      <c r="G143" s="404"/>
      <c r="H143" s="454"/>
      <c r="I143" s="454"/>
      <c r="J143" s="454"/>
      <c r="K143" s="454"/>
      <c r="L143" s="454"/>
      <c r="M143" s="454"/>
      <c r="N143" s="454"/>
      <c r="O143" s="454"/>
    </row>
    <row r="144" spans="1:15">
      <c r="A144" s="84"/>
      <c r="B144" s="456" t="s">
        <v>55</v>
      </c>
      <c r="C144" s="457"/>
      <c r="D144" s="433"/>
      <c r="E144" s="433"/>
      <c r="F144" s="433"/>
      <c r="G144" s="458"/>
      <c r="H144" s="459">
        <f t="shared" ref="H144:O144" si="71">H141+H133+H127</f>
        <v>-14.700000000000038</v>
      </c>
      <c r="I144" s="459">
        <f t="shared" si="71"/>
        <v>4.7000000000000313</v>
      </c>
      <c r="J144" s="459">
        <f t="shared" si="71"/>
        <v>-20.799999999999997</v>
      </c>
      <c r="K144" s="459">
        <f t="shared" si="71"/>
        <v>-0.29999999999999716</v>
      </c>
      <c r="L144" s="459">
        <f t="shared" si="71"/>
        <v>0</v>
      </c>
      <c r="M144" s="459">
        <f t="shared" si="71"/>
        <v>0</v>
      </c>
      <c r="N144" s="459">
        <f t="shared" si="71"/>
        <v>0</v>
      </c>
      <c r="O144" s="459">
        <f t="shared" si="71"/>
        <v>0</v>
      </c>
    </row>
    <row r="145" spans="1:19">
      <c r="A145" s="84"/>
      <c r="B145" s="437" t="s">
        <v>56</v>
      </c>
      <c r="C145" s="361"/>
      <c r="F145"/>
      <c r="G145" s="404"/>
      <c r="H145" s="460">
        <v>31.1</v>
      </c>
      <c r="I145" s="461">
        <f t="shared" ref="I145:J145" si="72">+H146</f>
        <v>16.399999999999963</v>
      </c>
      <c r="J145" s="461">
        <f t="shared" si="72"/>
        <v>21.099999999999994</v>
      </c>
      <c r="K145" s="461">
        <f t="shared" ref="K145" si="73">+J146</f>
        <v>0.29999999999999716</v>
      </c>
      <c r="L145" s="461">
        <f t="shared" ref="L145" si="74">+K146</f>
        <v>0</v>
      </c>
      <c r="M145" s="461">
        <f t="shared" ref="M145" si="75">+L146</f>
        <v>0</v>
      </c>
      <c r="N145" s="461">
        <f t="shared" ref="N145" si="76">+M146</f>
        <v>0</v>
      </c>
      <c r="O145" s="461">
        <f t="shared" ref="O145" si="77">+N146</f>
        <v>0</v>
      </c>
    </row>
    <row r="146" spans="1:19">
      <c r="A146" s="84"/>
      <c r="B146" s="462" t="s">
        <v>57</v>
      </c>
      <c r="C146" s="410"/>
      <c r="D146" s="8"/>
      <c r="E146" s="8"/>
      <c r="F146" s="8"/>
      <c r="G146" s="413"/>
      <c r="H146" s="463">
        <f t="shared" ref="H146:O146" si="78">H145+H144</f>
        <v>16.399999999999963</v>
      </c>
      <c r="I146" s="463">
        <f t="shared" si="78"/>
        <v>21.099999999999994</v>
      </c>
      <c r="J146" s="463">
        <f t="shared" si="78"/>
        <v>0.29999999999999716</v>
      </c>
      <c r="K146" s="463">
        <f t="shared" si="78"/>
        <v>0</v>
      </c>
      <c r="L146" s="463">
        <f t="shared" si="78"/>
        <v>0</v>
      </c>
      <c r="M146" s="463">
        <f t="shared" si="78"/>
        <v>0</v>
      </c>
      <c r="N146" s="463">
        <f t="shared" si="78"/>
        <v>0</v>
      </c>
      <c r="O146" s="463">
        <f t="shared" si="78"/>
        <v>0</v>
      </c>
    </row>
    <row r="147" spans="1:19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</row>
    <row r="148" spans="1:19">
      <c r="F148"/>
    </row>
    <row r="149" spans="1:19" ht="12.75" customHeight="1">
      <c r="A149" s="348"/>
      <c r="B149" s="382"/>
      <c r="C149" s="2"/>
      <c r="D149" s="2"/>
      <c r="E149" s="2"/>
      <c r="F149" s="347"/>
      <c r="G149" s="2"/>
      <c r="H149" s="2"/>
      <c r="I149" s="2"/>
      <c r="J149" s="2"/>
      <c r="K149" s="2"/>
      <c r="L149" s="2"/>
      <c r="M149" s="2"/>
      <c r="N149" s="2"/>
      <c r="O149" s="340" t="str">
        <f>$O$1</f>
        <v>Currently Running: Worst Case Scenario</v>
      </c>
    </row>
    <row r="150" spans="1:19" ht="23">
      <c r="B150" s="287" t="str">
        <f>B$2</f>
        <v>Blu Containers Company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9" ht="18">
      <c r="B151" s="288" t="s">
        <v>105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9" ht="3" customHeight="1" thickBot="1">
      <c r="A152" s="349"/>
      <c r="B152" s="352"/>
      <c r="C152" s="353"/>
      <c r="D152" s="353"/>
      <c r="E152" s="353"/>
      <c r="F152" s="354"/>
      <c r="G152" s="353"/>
      <c r="H152" s="353"/>
      <c r="I152" s="353"/>
      <c r="J152" s="353"/>
      <c r="K152" s="353"/>
      <c r="L152" s="353"/>
      <c r="M152" s="353"/>
      <c r="N152" s="353"/>
      <c r="O152" s="353"/>
    </row>
    <row r="153" spans="1:19">
      <c r="B153" s="414" t="s">
        <v>171</v>
      </c>
      <c r="F153"/>
      <c r="O153" s="15"/>
    </row>
    <row r="154" spans="1:19">
      <c r="F154"/>
      <c r="H154" s="464"/>
      <c r="I154" s="464"/>
      <c r="J154" s="464"/>
      <c r="K154" s="358" t="s">
        <v>2</v>
      </c>
      <c r="L154" s="16"/>
      <c r="M154" s="16"/>
      <c r="N154" s="16"/>
      <c r="O154" s="16"/>
    </row>
    <row r="155" spans="1:19">
      <c r="B155" s="465"/>
      <c r="F155" s="466"/>
      <c r="G155" s="447"/>
      <c r="H155" s="359">
        <f t="shared" ref="H155:J155" si="79">H$7</f>
        <v>2020</v>
      </c>
      <c r="I155" s="359">
        <f t="shared" si="79"/>
        <v>2021</v>
      </c>
      <c r="J155" s="359">
        <f t="shared" si="79"/>
        <v>2022</v>
      </c>
      <c r="K155" s="181">
        <f>K$7</f>
        <v>2023</v>
      </c>
      <c r="L155" s="181">
        <f>L$7</f>
        <v>2024</v>
      </c>
      <c r="M155" s="181">
        <f>M$7</f>
        <v>2025</v>
      </c>
      <c r="N155" s="181">
        <f>N$7</f>
        <v>2026</v>
      </c>
      <c r="O155" s="181">
        <f>O$7</f>
        <v>2027</v>
      </c>
    </row>
    <row r="156" spans="1:19">
      <c r="B156" s="465"/>
      <c r="F156"/>
      <c r="G156" s="447"/>
      <c r="H156" s="466"/>
      <c r="I156" s="466"/>
      <c r="J156" s="466"/>
      <c r="K156" s="466"/>
      <c r="L156" s="466"/>
      <c r="M156" s="466"/>
      <c r="N156" s="466"/>
      <c r="O156" s="466"/>
    </row>
    <row r="157" spans="1:19">
      <c r="B157" s="84" t="s">
        <v>12</v>
      </c>
      <c r="F157"/>
    </row>
    <row r="158" spans="1:19">
      <c r="C158" t="s">
        <v>13</v>
      </c>
      <c r="F158" s="362"/>
      <c r="G158" s="104"/>
      <c r="H158" s="103">
        <v>16.399999999999963</v>
      </c>
      <c r="I158" s="103">
        <v>21.099999999999994</v>
      </c>
      <c r="J158" s="103">
        <v>0.3</v>
      </c>
      <c r="K158" s="467">
        <f>K146</f>
        <v>0</v>
      </c>
      <c r="L158" s="467">
        <f t="shared" ref="L158:O158" si="80">L146</f>
        <v>0</v>
      </c>
      <c r="M158" s="467">
        <f t="shared" si="80"/>
        <v>0</v>
      </c>
      <c r="N158" s="467">
        <f t="shared" si="80"/>
        <v>0</v>
      </c>
      <c r="O158" s="467">
        <f t="shared" si="80"/>
        <v>0</v>
      </c>
      <c r="R158" s="426"/>
      <c r="S158" s="426"/>
    </row>
    <row r="159" spans="1:19">
      <c r="C159" t="s">
        <v>14</v>
      </c>
      <c r="F159" s="362"/>
      <c r="G159" s="104"/>
      <c r="H159" s="103">
        <v>27</v>
      </c>
      <c r="I159" s="103">
        <v>27.8</v>
      </c>
      <c r="J159" s="103">
        <v>28.3</v>
      </c>
      <c r="K159" s="98">
        <f>K269</f>
        <v>31.353153967552558</v>
      </c>
      <c r="L159" s="98">
        <f t="shared" ref="L159:O159" si="81">L269</f>
        <v>26.468619047619047</v>
      </c>
      <c r="M159" s="98">
        <f t="shared" si="81"/>
        <v>28.779018263834363</v>
      </c>
      <c r="N159" s="98">
        <f t="shared" si="81"/>
        <v>28.486158047840359</v>
      </c>
      <c r="O159" s="98">
        <f t="shared" si="81"/>
        <v>26.813148582642793</v>
      </c>
    </row>
    <row r="160" spans="1:19">
      <c r="C160" t="s">
        <v>15</v>
      </c>
      <c r="F160" s="362"/>
      <c r="G160" s="104"/>
      <c r="H160" s="103">
        <v>36.5</v>
      </c>
      <c r="I160" s="103">
        <v>36.1</v>
      </c>
      <c r="J160" s="103">
        <v>35.1</v>
      </c>
      <c r="K160" s="98">
        <f t="shared" ref="K160:O160" si="82">K270</f>
        <v>33.30855324790101</v>
      </c>
      <c r="L160" s="98">
        <f t="shared" si="82"/>
        <v>32.378207412555717</v>
      </c>
      <c r="M160" s="98">
        <f t="shared" si="82"/>
        <v>31.282756886983901</v>
      </c>
      <c r="N160" s="98">
        <f t="shared" si="82"/>
        <v>32.660332732405855</v>
      </c>
      <c r="O160" s="98">
        <f t="shared" si="82"/>
        <v>31.071313784067573</v>
      </c>
    </row>
    <row r="161" spans="2:15">
      <c r="C161" t="s">
        <v>163</v>
      </c>
      <c r="F161" s="362"/>
      <c r="G161" s="104"/>
      <c r="H161" s="103">
        <v>14.6</v>
      </c>
      <c r="I161" s="103">
        <v>14.4</v>
      </c>
      <c r="J161" s="103">
        <v>14.9</v>
      </c>
      <c r="K161" s="98">
        <f t="shared" ref="K161:O161" si="83">K271</f>
        <v>14.275094249100434</v>
      </c>
      <c r="L161" s="98">
        <f t="shared" si="83"/>
        <v>14.943788036564175</v>
      </c>
      <c r="M161" s="98">
        <f t="shared" si="83"/>
        <v>15.64137844349195</v>
      </c>
      <c r="N161" s="98">
        <f t="shared" si="83"/>
        <v>16.330166366202928</v>
      </c>
      <c r="O161" s="98">
        <f t="shared" si="83"/>
        <v>16.947989336764131</v>
      </c>
    </row>
    <row r="162" spans="2:15">
      <c r="C162" s="15" t="s">
        <v>10</v>
      </c>
      <c r="F162" s="362"/>
      <c r="G162" s="104"/>
      <c r="H162" s="93">
        <v>1.4</v>
      </c>
      <c r="I162" s="93">
        <v>1.8</v>
      </c>
      <c r="J162" s="93">
        <v>1.2</v>
      </c>
      <c r="K162" s="400">
        <f t="shared" ref="K162:O162" si="84">K272</f>
        <v>1.4275094249100433</v>
      </c>
      <c r="L162" s="400">
        <f t="shared" si="84"/>
        <v>1.4943788036564176</v>
      </c>
      <c r="M162" s="400">
        <f t="shared" si="84"/>
        <v>1.5641378443491951</v>
      </c>
      <c r="N162" s="400">
        <f t="shared" si="84"/>
        <v>1.6330166366202927</v>
      </c>
      <c r="O162" s="400">
        <f t="shared" si="84"/>
        <v>1.6947989336764131</v>
      </c>
    </row>
    <row r="163" spans="2:15">
      <c r="C163" s="361" t="s">
        <v>16</v>
      </c>
      <c r="F163" s="418"/>
      <c r="G163" s="108"/>
      <c r="H163" s="98">
        <f t="shared" ref="H163:J163" si="85">SUM(H158:H162)</f>
        <v>95.899999999999963</v>
      </c>
      <c r="I163" s="98">
        <f t="shared" si="85"/>
        <v>101.2</v>
      </c>
      <c r="J163" s="98">
        <f t="shared" si="85"/>
        <v>79.800000000000011</v>
      </c>
      <c r="K163" s="98">
        <f>SUM(K158:K162)</f>
        <v>80.364310889464036</v>
      </c>
      <c r="L163" s="98">
        <f t="shared" ref="L163:O163" si="86">SUM(L158:L162)</f>
        <v>75.284993300395357</v>
      </c>
      <c r="M163" s="98">
        <f t="shared" si="86"/>
        <v>77.267291438659399</v>
      </c>
      <c r="N163" s="98">
        <f t="shared" si="86"/>
        <v>79.109673783069439</v>
      </c>
      <c r="O163" s="98">
        <f t="shared" si="86"/>
        <v>76.527250637150914</v>
      </c>
    </row>
    <row r="164" spans="2:15">
      <c r="F164" s="108"/>
      <c r="G164" s="97"/>
      <c r="H164" s="108"/>
      <c r="I164" s="108"/>
      <c r="J164" s="468"/>
      <c r="K164" s="468"/>
      <c r="L164" s="468"/>
      <c r="M164" s="468"/>
      <c r="N164" s="468"/>
      <c r="O164" s="468"/>
    </row>
    <row r="165" spans="2:15">
      <c r="C165" t="s">
        <v>17</v>
      </c>
      <c r="F165" s="362"/>
      <c r="G165" s="104"/>
      <c r="H165" s="103">
        <v>398.5</v>
      </c>
      <c r="I165" s="103">
        <v>398</v>
      </c>
      <c r="J165" s="103">
        <v>397.7</v>
      </c>
      <c r="K165" s="98">
        <f>K219</f>
        <v>397.52533333333332</v>
      </c>
      <c r="L165" s="98">
        <f t="shared" ref="L165:O165" si="87">L219</f>
        <v>397.80066666666664</v>
      </c>
      <c r="M165" s="98">
        <f t="shared" si="87"/>
        <v>397.80433333333332</v>
      </c>
      <c r="N165" s="98">
        <f t="shared" si="87"/>
        <v>397.428</v>
      </c>
      <c r="O165" s="98">
        <f t="shared" si="87"/>
        <v>396.96</v>
      </c>
    </row>
    <row r="166" spans="2:15">
      <c r="C166" s="15" t="s">
        <v>10</v>
      </c>
      <c r="F166" s="362"/>
      <c r="G166" s="104"/>
      <c r="H166" s="93">
        <v>19</v>
      </c>
      <c r="I166" s="93">
        <v>15</v>
      </c>
      <c r="J166" s="93">
        <v>12</v>
      </c>
      <c r="K166" s="400">
        <f>J166-K132</f>
        <v>12</v>
      </c>
      <c r="L166" s="400">
        <f t="shared" ref="L166:O166" si="88">K166-L132</f>
        <v>12</v>
      </c>
      <c r="M166" s="400">
        <f t="shared" si="88"/>
        <v>12</v>
      </c>
      <c r="N166" s="400">
        <f t="shared" si="88"/>
        <v>12</v>
      </c>
      <c r="O166" s="400">
        <f t="shared" si="88"/>
        <v>12</v>
      </c>
    </row>
    <row r="167" spans="2:15">
      <c r="C167" s="370" t="s">
        <v>177</v>
      </c>
      <c r="F167" s="362"/>
      <c r="G167" s="104"/>
      <c r="H167" s="105">
        <f>SUM(H165:H166)</f>
        <v>417.5</v>
      </c>
      <c r="I167" s="105">
        <f t="shared" ref="I167:J167" si="89">SUM(I165:I166)</f>
        <v>413</v>
      </c>
      <c r="J167" s="105">
        <f t="shared" si="89"/>
        <v>409.7</v>
      </c>
      <c r="K167" s="105">
        <f t="shared" ref="K167:O167" si="90">SUM(K165:K166)</f>
        <v>409.52533333333332</v>
      </c>
      <c r="L167" s="105">
        <f t="shared" si="90"/>
        <v>409.80066666666664</v>
      </c>
      <c r="M167" s="105">
        <f t="shared" si="90"/>
        <v>409.80433333333332</v>
      </c>
      <c r="N167" s="105">
        <f t="shared" si="90"/>
        <v>409.428</v>
      </c>
      <c r="O167" s="105">
        <f t="shared" si="90"/>
        <v>408.96</v>
      </c>
    </row>
    <row r="168" spans="2:15">
      <c r="C168" s="15"/>
      <c r="F168" s="362"/>
      <c r="G168" s="104"/>
      <c r="H168" s="103"/>
      <c r="I168" s="103"/>
      <c r="J168" s="103"/>
      <c r="K168" s="98"/>
      <c r="L168" s="98"/>
      <c r="M168" s="98"/>
      <c r="N168" s="98"/>
      <c r="O168" s="98"/>
    </row>
    <row r="169" spans="2:15" ht="14" thickBot="1">
      <c r="C169" s="84" t="s">
        <v>18</v>
      </c>
      <c r="F169" s="418"/>
      <c r="G169" s="404"/>
      <c r="H169" s="405">
        <f>+H163+H167</f>
        <v>513.4</v>
      </c>
      <c r="I169" s="405">
        <f t="shared" ref="I169:J169" si="91">+I163+I167</f>
        <v>514.20000000000005</v>
      </c>
      <c r="J169" s="405">
        <f t="shared" si="91"/>
        <v>489.5</v>
      </c>
      <c r="K169" s="405">
        <f>+K163+K167</f>
        <v>489.88964422279736</v>
      </c>
      <c r="L169" s="405">
        <f t="shared" ref="L169:O169" si="92">+L163+L167</f>
        <v>485.08565996706199</v>
      </c>
      <c r="M169" s="405">
        <f t="shared" si="92"/>
        <v>487.07162477199273</v>
      </c>
      <c r="N169" s="405">
        <f t="shared" si="92"/>
        <v>488.53767378306941</v>
      </c>
      <c r="O169" s="405">
        <f t="shared" si="92"/>
        <v>485.48725063715091</v>
      </c>
    </row>
    <row r="170" spans="2:15" ht="14" thickTop="1">
      <c r="F170" s="108"/>
      <c r="G170" s="97"/>
      <c r="H170" s="108"/>
      <c r="I170" s="108"/>
      <c r="J170" s="97"/>
      <c r="K170" s="97"/>
      <c r="L170" s="97"/>
      <c r="M170" s="97"/>
      <c r="N170" s="97"/>
      <c r="O170" s="97"/>
    </row>
    <row r="171" spans="2:15">
      <c r="F171" s="108"/>
      <c r="G171" s="97"/>
      <c r="H171" s="108"/>
      <c r="I171" s="108"/>
      <c r="J171" s="97"/>
      <c r="K171" s="97"/>
      <c r="L171" s="97"/>
      <c r="M171" s="97"/>
      <c r="N171" s="97"/>
      <c r="O171" s="97"/>
    </row>
    <row r="172" spans="2:15">
      <c r="B172" s="361" t="s">
        <v>19</v>
      </c>
      <c r="F172" s="108"/>
      <c r="G172" s="97"/>
      <c r="H172" s="108"/>
      <c r="I172" s="108"/>
      <c r="J172" s="97"/>
      <c r="K172" s="97"/>
      <c r="L172" s="97"/>
      <c r="M172" s="97"/>
      <c r="N172" s="97"/>
      <c r="O172" s="97"/>
    </row>
    <row r="173" spans="2:15">
      <c r="C173" s="15" t="s">
        <v>133</v>
      </c>
      <c r="F173" s="362"/>
      <c r="G173" s="104"/>
      <c r="H173" s="103">
        <v>0</v>
      </c>
      <c r="I173" s="103">
        <v>0</v>
      </c>
      <c r="J173" s="103">
        <v>0</v>
      </c>
      <c r="K173" s="98">
        <f>K309</f>
        <v>5.8632537769079605</v>
      </c>
      <c r="L173" s="98">
        <f t="shared" ref="L173:O173" si="93">L309</f>
        <v>19.927822792440466</v>
      </c>
      <c r="M173" s="98">
        <f t="shared" si="93"/>
        <v>22.82899178088072</v>
      </c>
      <c r="N173" s="98">
        <f t="shared" si="93"/>
        <v>30.637652258343945</v>
      </c>
      <c r="O173" s="98">
        <f t="shared" si="93"/>
        <v>45.72120063342561</v>
      </c>
    </row>
    <row r="174" spans="2:15">
      <c r="C174" s="15" t="s">
        <v>20</v>
      </c>
      <c r="F174" s="362"/>
      <c r="G174" s="104"/>
      <c r="H174" s="106">
        <v>18.299999999999997</v>
      </c>
      <c r="I174" s="106">
        <v>18.700000000000003</v>
      </c>
      <c r="J174" s="106">
        <v>18.2</v>
      </c>
      <c r="K174" s="399">
        <f>K273</f>
        <v>19.03345899880058</v>
      </c>
      <c r="L174" s="399">
        <f t="shared" ref="L174:O174" si="94">L273</f>
        <v>19.925050715418902</v>
      </c>
      <c r="M174" s="399">
        <f t="shared" si="94"/>
        <v>20.855171257989266</v>
      </c>
      <c r="N174" s="399">
        <f t="shared" si="94"/>
        <v>21.773555154937235</v>
      </c>
      <c r="O174" s="399">
        <f t="shared" si="94"/>
        <v>22.597319115685508</v>
      </c>
    </row>
    <row r="175" spans="2:15">
      <c r="C175" s="15" t="s">
        <v>10</v>
      </c>
      <c r="F175" s="362"/>
      <c r="G175" s="104"/>
      <c r="H175" s="93">
        <v>4.7</v>
      </c>
      <c r="I175" s="93">
        <v>4.9000000000000004</v>
      </c>
      <c r="J175" s="93">
        <v>4.8</v>
      </c>
      <c r="K175" s="400">
        <f t="shared" ref="K175:O175" si="95">K274</f>
        <v>4.7583647497001449</v>
      </c>
      <c r="L175" s="400">
        <f t="shared" si="95"/>
        <v>4.9812626788547254</v>
      </c>
      <c r="M175" s="400">
        <f t="shared" si="95"/>
        <v>5.2137928144973165</v>
      </c>
      <c r="N175" s="400">
        <f t="shared" si="95"/>
        <v>5.4433887887343086</v>
      </c>
      <c r="O175" s="400">
        <f t="shared" si="95"/>
        <v>5.649329778921377</v>
      </c>
    </row>
    <row r="176" spans="2:15">
      <c r="C176" s="361" t="s">
        <v>21</v>
      </c>
      <c r="F176" s="418"/>
      <c r="G176" s="108"/>
      <c r="H176" s="399">
        <f t="shared" ref="H176:J176" si="96">SUM(H173:H175)</f>
        <v>22.999999999999996</v>
      </c>
      <c r="I176" s="399">
        <f t="shared" si="96"/>
        <v>23.6</v>
      </c>
      <c r="J176" s="399">
        <f t="shared" si="96"/>
        <v>23</v>
      </c>
      <c r="K176" s="399">
        <f t="shared" ref="K176:O176" si="97">SUM(K173:K175)</f>
        <v>29.655077525408686</v>
      </c>
      <c r="L176" s="399">
        <f t="shared" si="97"/>
        <v>44.834136186714098</v>
      </c>
      <c r="M176" s="399">
        <f t="shared" si="97"/>
        <v>48.8979558533673</v>
      </c>
      <c r="N176" s="399">
        <f t="shared" si="97"/>
        <v>57.854596202015486</v>
      </c>
      <c r="O176" s="399">
        <f t="shared" si="97"/>
        <v>73.967849528032502</v>
      </c>
    </row>
    <row r="177" spans="2:15">
      <c r="F177" s="108"/>
      <c r="G177" s="97"/>
      <c r="H177" s="108"/>
      <c r="I177" s="108"/>
      <c r="J177" s="97"/>
      <c r="K177" s="97"/>
      <c r="L177" s="97"/>
      <c r="M177" s="98"/>
      <c r="N177" s="97"/>
      <c r="O177" s="97"/>
    </row>
    <row r="178" spans="2:15">
      <c r="C178" t="s">
        <v>145</v>
      </c>
      <c r="F178" s="362"/>
      <c r="G178" s="97"/>
      <c r="H178" s="107">
        <v>0.70000000000000018</v>
      </c>
      <c r="I178" s="107">
        <v>6.9</v>
      </c>
      <c r="J178" s="107">
        <v>8</v>
      </c>
      <c r="K178" s="98">
        <f>J178+K125</f>
        <v>9.75</v>
      </c>
      <c r="L178" s="98">
        <f t="shared" ref="L178:O178" si="98">K178+L125</f>
        <v>11.5</v>
      </c>
      <c r="M178" s="98">
        <f t="shared" si="98"/>
        <v>13.25</v>
      </c>
      <c r="N178" s="98">
        <f t="shared" si="98"/>
        <v>15</v>
      </c>
      <c r="O178" s="98">
        <f t="shared" si="98"/>
        <v>16.75</v>
      </c>
    </row>
    <row r="179" spans="2:15">
      <c r="C179" s="15" t="s">
        <v>130</v>
      </c>
      <c r="F179" s="362"/>
      <c r="G179" s="469"/>
      <c r="H179" s="93">
        <v>250</v>
      </c>
      <c r="I179" s="93">
        <v>225</v>
      </c>
      <c r="J179" s="93">
        <v>200</v>
      </c>
      <c r="K179" s="400">
        <f>K318</f>
        <v>175</v>
      </c>
      <c r="L179" s="400">
        <f t="shared" ref="L179:O179" si="99">L318</f>
        <v>150</v>
      </c>
      <c r="M179" s="400">
        <f t="shared" si="99"/>
        <v>125</v>
      </c>
      <c r="N179" s="400">
        <f t="shared" si="99"/>
        <v>100</v>
      </c>
      <c r="O179" s="400">
        <f t="shared" si="99"/>
        <v>75</v>
      </c>
    </row>
    <row r="180" spans="2:15">
      <c r="C180" s="370" t="s">
        <v>22</v>
      </c>
      <c r="F180" s="418"/>
      <c r="G180" s="104"/>
      <c r="H180" s="98">
        <f t="shared" ref="H180:J180" si="100">SUM(H178:H179)</f>
        <v>250.7</v>
      </c>
      <c r="I180" s="98">
        <f t="shared" si="100"/>
        <v>231.9</v>
      </c>
      <c r="J180" s="98">
        <f t="shared" si="100"/>
        <v>208</v>
      </c>
      <c r="K180" s="98">
        <f t="shared" ref="K180:O180" si="101">SUM(K178:K179)</f>
        <v>184.75</v>
      </c>
      <c r="L180" s="98">
        <f t="shared" si="101"/>
        <v>161.5</v>
      </c>
      <c r="M180" s="98">
        <f t="shared" si="101"/>
        <v>138.25</v>
      </c>
      <c r="N180" s="98">
        <f t="shared" si="101"/>
        <v>115</v>
      </c>
      <c r="O180" s="98">
        <f t="shared" si="101"/>
        <v>91.75</v>
      </c>
    </row>
    <row r="181" spans="2:15">
      <c r="C181" s="361"/>
      <c r="F181" s="108"/>
      <c r="G181" s="97"/>
      <c r="H181" s="108"/>
      <c r="I181" s="108"/>
      <c r="J181" s="97"/>
      <c r="K181" s="97"/>
      <c r="L181" s="97"/>
      <c r="M181" s="97"/>
      <c r="N181" s="97"/>
      <c r="O181" s="97"/>
    </row>
    <row r="182" spans="2:15">
      <c r="C182" s="370" t="s">
        <v>23</v>
      </c>
      <c r="F182" s="418"/>
      <c r="G182" s="404"/>
      <c r="H182" s="92">
        <f t="shared" ref="H182:O182" si="102">H180+H176</f>
        <v>273.7</v>
      </c>
      <c r="I182" s="92">
        <f t="shared" si="102"/>
        <v>255.5</v>
      </c>
      <c r="J182" s="92">
        <f t="shared" si="102"/>
        <v>231</v>
      </c>
      <c r="K182" s="92">
        <f t="shared" si="102"/>
        <v>214.40507752540867</v>
      </c>
      <c r="L182" s="92">
        <f t="shared" si="102"/>
        <v>206.33413618671409</v>
      </c>
      <c r="M182" s="92">
        <f t="shared" si="102"/>
        <v>187.14795585336731</v>
      </c>
      <c r="N182" s="92">
        <f t="shared" si="102"/>
        <v>172.8545962020155</v>
      </c>
      <c r="O182" s="92">
        <f t="shared" si="102"/>
        <v>165.7178495280325</v>
      </c>
    </row>
    <row r="183" spans="2:15">
      <c r="F183" s="108"/>
      <c r="G183" s="108"/>
      <c r="H183" s="108"/>
      <c r="I183" s="108"/>
      <c r="J183" s="97"/>
      <c r="K183" s="97"/>
      <c r="L183" s="97"/>
      <c r="M183" s="97"/>
      <c r="N183" s="97"/>
      <c r="O183" s="97"/>
    </row>
    <row r="184" spans="2:15">
      <c r="C184" t="s">
        <v>114</v>
      </c>
      <c r="F184" s="362"/>
      <c r="G184" s="108"/>
      <c r="H184" s="103">
        <v>120</v>
      </c>
      <c r="I184" s="103">
        <v>120</v>
      </c>
      <c r="J184" s="103">
        <v>120</v>
      </c>
      <c r="K184" s="98">
        <f>K338</f>
        <v>120</v>
      </c>
      <c r="L184" s="98">
        <f t="shared" ref="L184:O184" si="103">L338</f>
        <v>120</v>
      </c>
      <c r="M184" s="98">
        <f t="shared" si="103"/>
        <v>120</v>
      </c>
      <c r="N184" s="98">
        <f t="shared" si="103"/>
        <v>120</v>
      </c>
      <c r="O184" s="98">
        <f t="shared" si="103"/>
        <v>120</v>
      </c>
    </row>
    <row r="185" spans="2:15">
      <c r="C185" t="s">
        <v>117</v>
      </c>
      <c r="F185" s="362"/>
      <c r="G185" s="108"/>
      <c r="H185" s="93">
        <v>119.70000000000002</v>
      </c>
      <c r="I185" s="93">
        <v>138.70000000000007</v>
      </c>
      <c r="J185" s="93">
        <v>138.50000000000003</v>
      </c>
      <c r="K185" s="400">
        <f>K349</f>
        <v>155.48456669738869</v>
      </c>
      <c r="L185" s="400">
        <f t="shared" ref="L185:O185" si="104">L349</f>
        <v>158.75152378034792</v>
      </c>
      <c r="M185" s="400">
        <f t="shared" si="104"/>
        <v>179.92366891862542</v>
      </c>
      <c r="N185" s="400">
        <f t="shared" si="104"/>
        <v>195.68307758105394</v>
      </c>
      <c r="O185" s="400">
        <f t="shared" si="104"/>
        <v>199.76940110911841</v>
      </c>
    </row>
    <row r="186" spans="2:15">
      <c r="C186" s="361" t="s">
        <v>24</v>
      </c>
      <c r="F186" s="418"/>
      <c r="G186" s="104"/>
      <c r="H186" s="448">
        <f>SUM(H184:H185)</f>
        <v>239.70000000000002</v>
      </c>
      <c r="I186" s="448">
        <f>SUM(I184:I185)</f>
        <v>258.70000000000005</v>
      </c>
      <c r="J186" s="448">
        <f t="shared" ref="J186" si="105">SUM(J184:J185)</f>
        <v>258.5</v>
      </c>
      <c r="K186" s="448">
        <f t="shared" ref="K186:O186" si="106">SUM(K184:K185)</f>
        <v>275.48456669738869</v>
      </c>
      <c r="L186" s="448">
        <f t="shared" si="106"/>
        <v>278.75152378034795</v>
      </c>
      <c r="M186" s="448">
        <f t="shared" si="106"/>
        <v>299.92366891862542</v>
      </c>
      <c r="N186" s="448">
        <f t="shared" si="106"/>
        <v>315.68307758105391</v>
      </c>
      <c r="O186" s="448">
        <f t="shared" si="106"/>
        <v>319.76940110911841</v>
      </c>
    </row>
    <row r="187" spans="2:15">
      <c r="F187" s="108"/>
      <c r="G187" s="108"/>
      <c r="H187" s="97"/>
      <c r="I187" s="97"/>
      <c r="J187" s="97"/>
      <c r="K187" s="97"/>
      <c r="L187" s="97"/>
      <c r="M187" s="97"/>
      <c r="N187" s="97"/>
      <c r="O187" s="97"/>
    </row>
    <row r="188" spans="2:15" ht="14" thickBot="1">
      <c r="B188" s="361" t="s">
        <v>25</v>
      </c>
      <c r="F188" s="418"/>
      <c r="G188" s="404"/>
      <c r="H188" s="405">
        <f>H186+H182</f>
        <v>513.4</v>
      </c>
      <c r="I188" s="405">
        <f>I186+I182</f>
        <v>514.20000000000005</v>
      </c>
      <c r="J188" s="405">
        <f t="shared" ref="J188:O188" si="107">J186+J182</f>
        <v>489.5</v>
      </c>
      <c r="K188" s="405">
        <f t="shared" si="107"/>
        <v>489.88964422279736</v>
      </c>
      <c r="L188" s="405">
        <f t="shared" si="107"/>
        <v>485.08565996706204</v>
      </c>
      <c r="M188" s="405">
        <f t="shared" si="107"/>
        <v>487.07162477199273</v>
      </c>
      <c r="N188" s="405">
        <f t="shared" si="107"/>
        <v>488.53767378306941</v>
      </c>
      <c r="O188" s="405">
        <f t="shared" si="107"/>
        <v>485.48725063715091</v>
      </c>
    </row>
    <row r="189" spans="2:15" ht="14" thickTop="1">
      <c r="F189" s="470"/>
      <c r="G189" s="470"/>
      <c r="H189" s="83"/>
      <c r="I189" s="83"/>
      <c r="J189" s="83"/>
      <c r="K189" s="83"/>
      <c r="L189" s="83"/>
      <c r="M189" s="83"/>
      <c r="N189" s="83"/>
      <c r="O189" s="83"/>
    </row>
    <row r="190" spans="2:15">
      <c r="B190" s="445"/>
      <c r="D190" s="471" t="s">
        <v>26</v>
      </c>
      <c r="F190" s="472"/>
      <c r="G190" s="472"/>
      <c r="H190" s="473">
        <f>ROUND(H169-H188,3)</f>
        <v>0</v>
      </c>
      <c r="I190" s="473">
        <f t="shared" ref="I190:O190" si="108">ROUND(I169-I188,3)</f>
        <v>0</v>
      </c>
      <c r="J190" s="473">
        <f t="shared" si="108"/>
        <v>0</v>
      </c>
      <c r="K190" s="473">
        <f t="shared" si="108"/>
        <v>0</v>
      </c>
      <c r="L190" s="473">
        <f t="shared" si="108"/>
        <v>0</v>
      </c>
      <c r="M190" s="473">
        <f t="shared" si="108"/>
        <v>0</v>
      </c>
      <c r="N190" s="473">
        <f t="shared" si="108"/>
        <v>0</v>
      </c>
      <c r="O190" s="473">
        <f t="shared" si="108"/>
        <v>0</v>
      </c>
    </row>
    <row r="191" spans="2:15">
      <c r="B191" s="474"/>
      <c r="C191" s="8"/>
      <c r="D191" s="8"/>
      <c r="E191" s="8"/>
      <c r="F191" s="8"/>
      <c r="G191" s="8"/>
      <c r="H191" s="8"/>
      <c r="I191" s="8"/>
      <c r="J191" s="8"/>
      <c r="K191" s="475"/>
      <c r="L191" s="475"/>
      <c r="M191" s="475"/>
      <c r="N191" s="475"/>
      <c r="O191" s="475"/>
    </row>
    <row r="192" spans="2:15">
      <c r="F192"/>
    </row>
    <row r="193" spans="1:243" ht="12.75" customHeight="1">
      <c r="A193" s="348"/>
      <c r="B193" s="382"/>
      <c r="C193" s="2"/>
      <c r="D193" s="2"/>
      <c r="E193" s="2"/>
      <c r="F193" s="347"/>
      <c r="G193" s="2"/>
      <c r="H193" s="2"/>
      <c r="I193" s="2"/>
      <c r="J193" s="2"/>
      <c r="K193" s="2"/>
      <c r="L193" s="2"/>
      <c r="M193" s="2"/>
      <c r="N193" s="2"/>
      <c r="O193" s="340" t="str">
        <f>$O$1</f>
        <v>Currently Running: Worst Case Scenario</v>
      </c>
    </row>
    <row r="194" spans="1:243" ht="22.75" customHeight="1">
      <c r="B194" s="287" t="str">
        <f>B$2</f>
        <v>Blu Containers Company</v>
      </c>
      <c r="C194" s="476"/>
      <c r="D194" s="476"/>
      <c r="E194" s="477"/>
      <c r="F194" s="477"/>
      <c r="G194" s="478"/>
      <c r="H194" s="478"/>
      <c r="I194" s="478"/>
      <c r="J194" s="478"/>
      <c r="K194" s="478"/>
      <c r="L194" s="478"/>
      <c r="M194" s="478"/>
      <c r="N194" s="478"/>
      <c r="O194" s="478"/>
    </row>
    <row r="195" spans="1:243" ht="18">
      <c r="B195" s="288" t="s">
        <v>240</v>
      </c>
      <c r="C195" s="355"/>
      <c r="D195" s="355"/>
      <c r="E195" s="479"/>
      <c r="F195" s="479"/>
      <c r="G195" s="355"/>
      <c r="H195" s="355"/>
      <c r="I195" s="355"/>
      <c r="J195" s="355"/>
      <c r="K195" s="355"/>
      <c r="L195" s="355"/>
      <c r="M195" s="355"/>
      <c r="N195" s="355"/>
      <c r="O195" s="355"/>
    </row>
    <row r="196" spans="1:243" ht="3" customHeight="1" thickBot="1">
      <c r="A196" s="349"/>
      <c r="B196" s="352"/>
      <c r="C196" s="353"/>
      <c r="D196" s="353"/>
      <c r="E196" s="353"/>
      <c r="F196" s="354"/>
      <c r="G196" s="353"/>
      <c r="H196" s="353"/>
      <c r="I196" s="353"/>
      <c r="J196" s="353"/>
      <c r="K196" s="353"/>
      <c r="L196" s="353"/>
      <c r="M196" s="353"/>
      <c r="N196" s="353"/>
      <c r="O196" s="353"/>
    </row>
    <row r="197" spans="1:243">
      <c r="B197" s="414" t="s">
        <v>171</v>
      </c>
      <c r="C197" s="445"/>
      <c r="E197" s="356"/>
      <c r="G197" s="445"/>
    </row>
    <row r="198" spans="1:243">
      <c r="E198" s="356"/>
      <c r="K198" s="358" t="s">
        <v>2</v>
      </c>
      <c r="L198" s="480"/>
      <c r="M198" s="480"/>
      <c r="N198" s="480"/>
      <c r="O198" s="480"/>
    </row>
    <row r="199" spans="1:243">
      <c r="C199" s="84"/>
      <c r="D199" s="84"/>
      <c r="E199" s="377"/>
      <c r="F199" s="481"/>
      <c r="G199" s="482"/>
      <c r="H199" s="359">
        <f t="shared" ref="H199:J199" si="109">H$7</f>
        <v>2020</v>
      </c>
      <c r="I199" s="359">
        <f t="shared" si="109"/>
        <v>2021</v>
      </c>
      <c r="J199" s="359">
        <f t="shared" si="109"/>
        <v>2022</v>
      </c>
      <c r="K199" s="483">
        <f>K$7</f>
        <v>2023</v>
      </c>
      <c r="L199" s="483">
        <f>L$7</f>
        <v>2024</v>
      </c>
      <c r="M199" s="483">
        <f>M$7</f>
        <v>2025</v>
      </c>
      <c r="N199" s="483">
        <f>N$7</f>
        <v>2026</v>
      </c>
      <c r="O199" s="483">
        <f>O$7</f>
        <v>2027</v>
      </c>
    </row>
    <row r="201" spans="1:243" ht="13.25" customHeight="1">
      <c r="A201" s="484"/>
      <c r="B201" s="485" t="s">
        <v>239</v>
      </c>
      <c r="C201" s="433"/>
      <c r="D201" s="433"/>
      <c r="E201" s="433"/>
      <c r="F201" s="486" t="str">
        <f>Assumptions!H38</f>
        <v>Straight Line</v>
      </c>
      <c r="K201" s="487"/>
      <c r="L201" s="488"/>
      <c r="M201" s="488"/>
      <c r="N201" s="488"/>
      <c r="P201" s="489"/>
      <c r="Q201" s="489"/>
      <c r="R201" s="489"/>
      <c r="S201" s="489"/>
      <c r="T201" s="489"/>
      <c r="U201" s="489"/>
      <c r="V201" s="489"/>
      <c r="W201" s="489"/>
      <c r="X201" s="489"/>
      <c r="Y201" s="489"/>
      <c r="Z201" s="489"/>
      <c r="AA201" s="489"/>
      <c r="AB201" s="489"/>
      <c r="AC201" s="489"/>
      <c r="AD201" s="489"/>
      <c r="AE201" s="489"/>
      <c r="AF201" s="489"/>
      <c r="AG201" s="489"/>
      <c r="AH201" s="489"/>
      <c r="AI201" s="489"/>
      <c r="AJ201" s="489"/>
      <c r="AK201" s="489"/>
      <c r="AL201" s="489"/>
      <c r="AM201" s="489"/>
      <c r="AN201" s="489"/>
      <c r="AO201" s="489"/>
      <c r="AP201" s="489"/>
      <c r="AQ201" s="489"/>
      <c r="AR201" s="489"/>
      <c r="AS201" s="489"/>
      <c r="AT201" s="489"/>
      <c r="AU201" s="489"/>
      <c r="AV201" s="489"/>
      <c r="AW201" s="489"/>
      <c r="AX201" s="489"/>
      <c r="AY201" s="489"/>
      <c r="AZ201" s="489"/>
      <c r="BA201" s="489"/>
      <c r="BB201" s="489"/>
      <c r="BC201" s="489"/>
      <c r="BD201" s="489"/>
      <c r="BE201" s="489"/>
      <c r="BF201" s="489"/>
      <c r="BG201" s="489"/>
      <c r="BH201" s="489"/>
      <c r="BI201" s="489"/>
      <c r="BJ201" s="489"/>
      <c r="BK201" s="489"/>
      <c r="BL201" s="489"/>
      <c r="BM201" s="489"/>
      <c r="BN201" s="489"/>
      <c r="BO201" s="489"/>
      <c r="BP201" s="489"/>
      <c r="BQ201" s="489"/>
      <c r="BR201" s="489"/>
      <c r="BS201" s="489"/>
      <c r="BT201" s="489"/>
      <c r="BU201" s="489"/>
      <c r="BV201" s="489"/>
      <c r="BW201" s="489"/>
      <c r="BX201" s="489"/>
      <c r="BY201" s="489"/>
      <c r="BZ201" s="489"/>
      <c r="CA201" s="489"/>
      <c r="CB201" s="489"/>
      <c r="CC201" s="489"/>
      <c r="CD201" s="489"/>
      <c r="CE201" s="489"/>
      <c r="CF201" s="489"/>
      <c r="CG201" s="489"/>
      <c r="CH201" s="489"/>
      <c r="CI201" s="489"/>
      <c r="CJ201" s="489"/>
      <c r="CK201" s="489"/>
      <c r="CL201" s="489"/>
      <c r="CM201" s="489"/>
      <c r="CN201" s="489"/>
      <c r="CO201" s="489"/>
      <c r="CP201" s="489"/>
      <c r="CQ201" s="489"/>
      <c r="CR201" s="489"/>
      <c r="CS201" s="489"/>
      <c r="CT201" s="489"/>
      <c r="CU201" s="489"/>
      <c r="CV201" s="489"/>
      <c r="CW201" s="489"/>
      <c r="CX201" s="489"/>
      <c r="CY201" s="489"/>
      <c r="CZ201" s="489"/>
      <c r="DA201" s="489"/>
      <c r="DB201" s="489"/>
      <c r="DC201" s="489"/>
      <c r="DD201" s="489"/>
      <c r="DE201" s="489"/>
      <c r="DF201" s="489"/>
      <c r="DG201" s="489"/>
      <c r="DH201" s="489"/>
      <c r="DI201" s="489"/>
      <c r="DJ201" s="489"/>
      <c r="DK201" s="489"/>
      <c r="DL201" s="489"/>
      <c r="DM201" s="489"/>
      <c r="DN201" s="489"/>
      <c r="DO201" s="489"/>
      <c r="DP201" s="489"/>
      <c r="DQ201" s="489"/>
      <c r="DR201" s="489"/>
      <c r="DS201" s="489"/>
      <c r="DT201" s="489"/>
      <c r="DU201" s="489"/>
      <c r="DV201" s="489"/>
      <c r="DW201" s="489"/>
      <c r="DX201" s="489"/>
      <c r="DY201" s="489"/>
      <c r="DZ201" s="489"/>
      <c r="EA201" s="489"/>
      <c r="EB201" s="489"/>
      <c r="EC201" s="489"/>
      <c r="ED201" s="489"/>
      <c r="EE201" s="489"/>
      <c r="EF201" s="489"/>
      <c r="EG201" s="489"/>
      <c r="EH201" s="489"/>
      <c r="EI201" s="489"/>
      <c r="EJ201" s="489"/>
      <c r="EK201" s="489"/>
      <c r="EL201" s="489"/>
      <c r="EM201" s="489"/>
      <c r="EN201" s="489"/>
      <c r="EO201" s="489"/>
      <c r="EP201" s="489"/>
      <c r="EQ201" s="489"/>
      <c r="ER201" s="489"/>
      <c r="ES201" s="489"/>
      <c r="ET201" s="489"/>
      <c r="EU201" s="489"/>
      <c r="EV201" s="489"/>
      <c r="EW201" s="489"/>
      <c r="EX201" s="489"/>
      <c r="EY201" s="489"/>
      <c r="EZ201" s="489"/>
      <c r="FA201" s="489"/>
      <c r="FB201" s="489"/>
      <c r="FC201" s="489"/>
      <c r="FD201" s="489"/>
      <c r="FE201" s="489"/>
      <c r="FF201" s="489"/>
      <c r="FG201" s="489"/>
      <c r="FH201" s="489"/>
      <c r="FI201" s="489"/>
      <c r="FJ201" s="489"/>
      <c r="FK201" s="489"/>
      <c r="FL201" s="489"/>
      <c r="FM201" s="489"/>
      <c r="FN201" s="489"/>
      <c r="FO201" s="489"/>
      <c r="FP201" s="489"/>
      <c r="FQ201" s="489"/>
      <c r="FR201" s="489"/>
      <c r="FS201" s="489"/>
      <c r="FT201" s="489"/>
      <c r="FU201" s="489"/>
      <c r="FV201" s="489"/>
      <c r="FW201" s="489"/>
      <c r="FX201" s="489"/>
      <c r="FY201" s="489"/>
      <c r="FZ201" s="489"/>
      <c r="GA201" s="489"/>
      <c r="GB201" s="489"/>
      <c r="GC201" s="489"/>
      <c r="GD201" s="489"/>
      <c r="GE201" s="489"/>
      <c r="GF201" s="489"/>
      <c r="GG201" s="489"/>
      <c r="GH201" s="489"/>
      <c r="GI201" s="489"/>
      <c r="GJ201" s="489"/>
      <c r="GK201" s="489"/>
      <c r="GL201" s="489"/>
      <c r="GM201" s="489"/>
      <c r="GN201" s="489"/>
      <c r="GO201" s="489"/>
      <c r="GP201" s="489"/>
      <c r="GQ201" s="489"/>
      <c r="GR201" s="489"/>
      <c r="GS201" s="489"/>
      <c r="GT201" s="489"/>
      <c r="GU201" s="489"/>
      <c r="GV201" s="489"/>
      <c r="GW201" s="489"/>
      <c r="GX201" s="489"/>
      <c r="GY201" s="489"/>
      <c r="GZ201" s="489"/>
      <c r="HA201" s="489"/>
      <c r="HB201" s="489"/>
      <c r="HC201" s="489"/>
      <c r="HD201" s="489"/>
      <c r="HE201" s="489"/>
      <c r="HF201" s="489"/>
      <c r="HG201" s="489"/>
      <c r="HH201" s="489"/>
      <c r="HI201" s="489"/>
      <c r="HJ201" s="489"/>
      <c r="HK201" s="489"/>
      <c r="HL201" s="489"/>
      <c r="HM201" s="489"/>
      <c r="HN201" s="489"/>
      <c r="HO201" s="489"/>
      <c r="HP201" s="489"/>
      <c r="HQ201" s="489"/>
      <c r="HR201" s="489"/>
      <c r="HS201" s="489"/>
      <c r="HT201" s="489"/>
      <c r="HU201" s="489"/>
      <c r="HV201" s="489"/>
      <c r="HW201" s="489"/>
      <c r="HX201" s="489"/>
      <c r="HY201" s="489"/>
      <c r="HZ201" s="489"/>
      <c r="IA201" s="489"/>
      <c r="IB201" s="489"/>
      <c r="IC201" s="489"/>
      <c r="ID201" s="489"/>
      <c r="IE201" s="489"/>
      <c r="IF201" s="489"/>
      <c r="IG201" s="489"/>
      <c r="IH201" s="489"/>
      <c r="II201" s="489"/>
    </row>
    <row r="202" spans="1:243" ht="13.25" customHeight="1">
      <c r="A202" s="484"/>
      <c r="B202" s="490" t="s">
        <v>194</v>
      </c>
      <c r="F202" s="491">
        <f>Assumptions!H39</f>
        <v>25</v>
      </c>
      <c r="K202" s="487"/>
      <c r="L202" s="488"/>
      <c r="M202" s="488"/>
      <c r="N202" s="488"/>
      <c r="P202" s="489"/>
      <c r="Q202" s="489"/>
      <c r="R202" s="489"/>
      <c r="S202" s="489"/>
      <c r="T202" s="489"/>
      <c r="U202" s="489"/>
      <c r="V202" s="489"/>
      <c r="W202" s="489"/>
      <c r="X202" s="489"/>
      <c r="Y202" s="489"/>
      <c r="Z202" s="489"/>
      <c r="AA202" s="489"/>
      <c r="AB202" s="489"/>
      <c r="AC202" s="489"/>
      <c r="AD202" s="489"/>
      <c r="AE202" s="489"/>
      <c r="AF202" s="489"/>
      <c r="AG202" s="489"/>
      <c r="AH202" s="489"/>
      <c r="AI202" s="489"/>
      <c r="AJ202" s="489"/>
      <c r="AK202" s="489"/>
      <c r="AL202" s="489"/>
      <c r="AM202" s="489"/>
      <c r="AN202" s="489"/>
      <c r="AO202" s="489"/>
      <c r="AP202" s="489"/>
      <c r="AQ202" s="489"/>
      <c r="AR202" s="489"/>
      <c r="AS202" s="489"/>
      <c r="AT202" s="489"/>
      <c r="AU202" s="489"/>
      <c r="AV202" s="489"/>
      <c r="AW202" s="489"/>
      <c r="AX202" s="489"/>
      <c r="AY202" s="489"/>
      <c r="AZ202" s="489"/>
      <c r="BA202" s="489"/>
      <c r="BB202" s="489"/>
      <c r="BC202" s="489"/>
      <c r="BD202" s="489"/>
      <c r="BE202" s="489"/>
      <c r="BF202" s="489"/>
      <c r="BG202" s="489"/>
      <c r="BH202" s="489"/>
      <c r="BI202" s="489"/>
      <c r="BJ202" s="489"/>
      <c r="BK202" s="489"/>
      <c r="BL202" s="489"/>
      <c r="BM202" s="489"/>
      <c r="BN202" s="489"/>
      <c r="BO202" s="489"/>
      <c r="BP202" s="489"/>
      <c r="BQ202" s="489"/>
      <c r="BR202" s="489"/>
      <c r="BS202" s="489"/>
      <c r="BT202" s="489"/>
      <c r="BU202" s="489"/>
      <c r="BV202" s="489"/>
      <c r="BW202" s="489"/>
      <c r="BX202" s="489"/>
      <c r="BY202" s="489"/>
      <c r="BZ202" s="489"/>
      <c r="CA202" s="489"/>
      <c r="CB202" s="489"/>
      <c r="CC202" s="489"/>
      <c r="CD202" s="489"/>
      <c r="CE202" s="489"/>
      <c r="CF202" s="489"/>
      <c r="CG202" s="489"/>
      <c r="CH202" s="489"/>
      <c r="CI202" s="489"/>
      <c r="CJ202" s="489"/>
      <c r="CK202" s="489"/>
      <c r="CL202" s="489"/>
      <c r="CM202" s="489"/>
      <c r="CN202" s="489"/>
      <c r="CO202" s="489"/>
      <c r="CP202" s="489"/>
      <c r="CQ202" s="489"/>
      <c r="CR202" s="489"/>
      <c r="CS202" s="489"/>
      <c r="CT202" s="489"/>
      <c r="CU202" s="489"/>
      <c r="CV202" s="489"/>
      <c r="CW202" s="489"/>
      <c r="CX202" s="489"/>
      <c r="CY202" s="489"/>
      <c r="CZ202" s="489"/>
      <c r="DA202" s="489"/>
      <c r="DB202" s="489"/>
      <c r="DC202" s="489"/>
      <c r="DD202" s="489"/>
      <c r="DE202" s="489"/>
      <c r="DF202" s="489"/>
      <c r="DG202" s="489"/>
      <c r="DH202" s="489"/>
      <c r="DI202" s="489"/>
      <c r="DJ202" s="489"/>
      <c r="DK202" s="489"/>
      <c r="DL202" s="489"/>
      <c r="DM202" s="489"/>
      <c r="DN202" s="489"/>
      <c r="DO202" s="489"/>
      <c r="DP202" s="489"/>
      <c r="DQ202" s="489"/>
      <c r="DR202" s="489"/>
      <c r="DS202" s="489"/>
      <c r="DT202" s="489"/>
      <c r="DU202" s="489"/>
      <c r="DV202" s="489"/>
      <c r="DW202" s="489"/>
      <c r="DX202" s="489"/>
      <c r="DY202" s="489"/>
      <c r="DZ202" s="489"/>
      <c r="EA202" s="489"/>
      <c r="EB202" s="489"/>
      <c r="EC202" s="489"/>
      <c r="ED202" s="489"/>
      <c r="EE202" s="489"/>
      <c r="EF202" s="489"/>
      <c r="EG202" s="489"/>
      <c r="EH202" s="489"/>
      <c r="EI202" s="489"/>
      <c r="EJ202" s="489"/>
      <c r="EK202" s="489"/>
      <c r="EL202" s="489"/>
      <c r="EM202" s="489"/>
      <c r="EN202" s="489"/>
      <c r="EO202" s="489"/>
      <c r="EP202" s="489"/>
      <c r="EQ202" s="489"/>
      <c r="ER202" s="489"/>
      <c r="ES202" s="489"/>
      <c r="ET202" s="489"/>
      <c r="EU202" s="489"/>
      <c r="EV202" s="489"/>
      <c r="EW202" s="489"/>
      <c r="EX202" s="489"/>
      <c r="EY202" s="489"/>
      <c r="EZ202" s="489"/>
      <c r="FA202" s="489"/>
      <c r="FB202" s="489"/>
      <c r="FC202" s="489"/>
      <c r="FD202" s="489"/>
      <c r="FE202" s="489"/>
      <c r="FF202" s="489"/>
      <c r="FG202" s="489"/>
      <c r="FH202" s="489"/>
      <c r="FI202" s="489"/>
      <c r="FJ202" s="489"/>
      <c r="FK202" s="489"/>
      <c r="FL202" s="489"/>
      <c r="FM202" s="489"/>
      <c r="FN202" s="489"/>
      <c r="FO202" s="489"/>
      <c r="FP202" s="489"/>
      <c r="FQ202" s="489"/>
      <c r="FR202" s="489"/>
      <c r="FS202" s="489"/>
      <c r="FT202" s="489"/>
      <c r="FU202" s="489"/>
      <c r="FV202" s="489"/>
      <c r="FW202" s="489"/>
      <c r="FX202" s="489"/>
      <c r="FY202" s="489"/>
      <c r="FZ202" s="489"/>
      <c r="GA202" s="489"/>
      <c r="GB202" s="489"/>
      <c r="GC202" s="489"/>
      <c r="GD202" s="489"/>
      <c r="GE202" s="489"/>
      <c r="GF202" s="489"/>
      <c r="GG202" s="489"/>
      <c r="GH202" s="489"/>
      <c r="GI202" s="489"/>
      <c r="GJ202" s="489"/>
      <c r="GK202" s="489"/>
      <c r="GL202" s="489"/>
      <c r="GM202" s="489"/>
      <c r="GN202" s="489"/>
      <c r="GO202" s="489"/>
      <c r="GP202" s="489"/>
      <c r="GQ202" s="489"/>
      <c r="GR202" s="489"/>
      <c r="GS202" s="489"/>
      <c r="GT202" s="489"/>
      <c r="GU202" s="489"/>
      <c r="GV202" s="489"/>
      <c r="GW202" s="489"/>
      <c r="GX202" s="489"/>
      <c r="GY202" s="489"/>
      <c r="GZ202" s="489"/>
      <c r="HA202" s="489"/>
      <c r="HB202" s="489"/>
      <c r="HC202" s="489"/>
      <c r="HD202" s="489"/>
      <c r="HE202" s="489"/>
      <c r="HF202" s="489"/>
      <c r="HG202" s="489"/>
      <c r="HH202" s="489"/>
      <c r="HI202" s="489"/>
      <c r="HJ202" s="489"/>
      <c r="HK202" s="489"/>
      <c r="HL202" s="489"/>
      <c r="HM202" s="489"/>
      <c r="HN202" s="489"/>
      <c r="HO202" s="489"/>
      <c r="HP202" s="489"/>
      <c r="HQ202" s="489"/>
      <c r="HR202" s="489"/>
      <c r="HS202" s="489"/>
      <c r="HT202" s="489"/>
      <c r="HU202" s="489"/>
      <c r="HV202" s="489"/>
      <c r="HW202" s="489"/>
      <c r="HX202" s="489"/>
      <c r="HY202" s="489"/>
      <c r="HZ202" s="489"/>
      <c r="IA202" s="489"/>
      <c r="IB202" s="489"/>
      <c r="IC202" s="489"/>
      <c r="ID202" s="489"/>
      <c r="IE202" s="489"/>
      <c r="IF202" s="489"/>
      <c r="IG202" s="489"/>
      <c r="IH202" s="489"/>
      <c r="II202" s="489"/>
    </row>
    <row r="203" spans="1:243" ht="13.25" customHeight="1">
      <c r="A203" s="484"/>
      <c r="B203" s="492" t="s">
        <v>140</v>
      </c>
      <c r="C203" s="8"/>
      <c r="D203" s="493"/>
      <c r="E203" s="494"/>
      <c r="F203" s="495">
        <f>Assumptions!H40</f>
        <v>30</v>
      </c>
      <c r="K203" s="487"/>
      <c r="L203" s="488"/>
      <c r="M203" s="488"/>
      <c r="N203" s="488"/>
      <c r="P203" s="489"/>
      <c r="Q203" s="489"/>
      <c r="R203" s="489"/>
      <c r="S203" s="489"/>
      <c r="T203" s="489"/>
      <c r="U203" s="489"/>
      <c r="V203" s="489"/>
      <c r="W203" s="489"/>
      <c r="X203" s="489"/>
      <c r="Y203" s="489"/>
      <c r="Z203" s="489"/>
      <c r="AA203" s="489"/>
      <c r="AB203" s="489"/>
      <c r="AC203" s="489"/>
      <c r="AD203" s="489"/>
      <c r="AE203" s="489"/>
      <c r="AF203" s="489"/>
      <c r="AG203" s="489"/>
      <c r="AH203" s="489"/>
      <c r="AI203" s="489"/>
      <c r="AJ203" s="489"/>
      <c r="AK203" s="489"/>
      <c r="AL203" s="489"/>
      <c r="AM203" s="489"/>
      <c r="AN203" s="489"/>
      <c r="AO203" s="489"/>
      <c r="AP203" s="489"/>
      <c r="AQ203" s="489"/>
      <c r="AR203" s="489"/>
      <c r="AS203" s="489"/>
      <c r="AT203" s="489"/>
      <c r="AU203" s="489"/>
      <c r="AV203" s="489"/>
      <c r="AW203" s="489"/>
      <c r="AX203" s="489"/>
      <c r="AY203" s="489"/>
      <c r="AZ203" s="489"/>
      <c r="BA203" s="489"/>
      <c r="BB203" s="489"/>
      <c r="BC203" s="489"/>
      <c r="BD203" s="489"/>
      <c r="BE203" s="489"/>
      <c r="BF203" s="489"/>
      <c r="BG203" s="489"/>
      <c r="BH203" s="489"/>
      <c r="BI203" s="489"/>
      <c r="BJ203" s="489"/>
      <c r="BK203" s="489"/>
      <c r="BL203" s="489"/>
      <c r="BM203" s="489"/>
      <c r="BN203" s="489"/>
      <c r="BO203" s="489"/>
      <c r="BP203" s="489"/>
      <c r="BQ203" s="489"/>
      <c r="BR203" s="489"/>
      <c r="BS203" s="489"/>
      <c r="BT203" s="489"/>
      <c r="BU203" s="489"/>
      <c r="BV203" s="489"/>
      <c r="BW203" s="489"/>
      <c r="BX203" s="489"/>
      <c r="BY203" s="489"/>
      <c r="BZ203" s="489"/>
      <c r="CA203" s="489"/>
      <c r="CB203" s="489"/>
      <c r="CC203" s="489"/>
      <c r="CD203" s="489"/>
      <c r="CE203" s="489"/>
      <c r="CF203" s="489"/>
      <c r="CG203" s="489"/>
      <c r="CH203" s="489"/>
      <c r="CI203" s="489"/>
      <c r="CJ203" s="489"/>
      <c r="CK203" s="489"/>
      <c r="CL203" s="489"/>
      <c r="CM203" s="489"/>
      <c r="CN203" s="489"/>
      <c r="CO203" s="489"/>
      <c r="CP203" s="489"/>
      <c r="CQ203" s="489"/>
      <c r="CR203" s="489"/>
      <c r="CS203" s="489"/>
      <c r="CT203" s="489"/>
      <c r="CU203" s="489"/>
      <c r="CV203" s="489"/>
      <c r="CW203" s="489"/>
      <c r="CX203" s="489"/>
      <c r="CY203" s="489"/>
      <c r="CZ203" s="489"/>
      <c r="DA203" s="489"/>
      <c r="DB203" s="489"/>
      <c r="DC203" s="489"/>
      <c r="DD203" s="489"/>
      <c r="DE203" s="489"/>
      <c r="DF203" s="489"/>
      <c r="DG203" s="489"/>
      <c r="DH203" s="489"/>
      <c r="DI203" s="489"/>
      <c r="DJ203" s="489"/>
      <c r="DK203" s="489"/>
      <c r="DL203" s="489"/>
      <c r="DM203" s="489"/>
      <c r="DN203" s="489"/>
      <c r="DO203" s="489"/>
      <c r="DP203" s="489"/>
      <c r="DQ203" s="489"/>
      <c r="DR203" s="489"/>
      <c r="DS203" s="489"/>
      <c r="DT203" s="489"/>
      <c r="DU203" s="489"/>
      <c r="DV203" s="489"/>
      <c r="DW203" s="489"/>
      <c r="DX203" s="489"/>
      <c r="DY203" s="489"/>
      <c r="DZ203" s="489"/>
      <c r="EA203" s="489"/>
      <c r="EB203" s="489"/>
      <c r="EC203" s="489"/>
      <c r="ED203" s="489"/>
      <c r="EE203" s="489"/>
      <c r="EF203" s="489"/>
      <c r="EG203" s="489"/>
      <c r="EH203" s="489"/>
      <c r="EI203" s="489"/>
      <c r="EJ203" s="489"/>
      <c r="EK203" s="489"/>
      <c r="EL203" s="489"/>
      <c r="EM203" s="489"/>
      <c r="EN203" s="489"/>
      <c r="EO203" s="489"/>
      <c r="EP203" s="489"/>
      <c r="EQ203" s="489"/>
      <c r="ER203" s="489"/>
      <c r="ES203" s="489"/>
      <c r="ET203" s="489"/>
      <c r="EU203" s="489"/>
      <c r="EV203" s="489"/>
      <c r="EW203" s="489"/>
      <c r="EX203" s="489"/>
      <c r="EY203" s="489"/>
      <c r="EZ203" s="489"/>
      <c r="FA203" s="489"/>
      <c r="FB203" s="489"/>
      <c r="FC203" s="489"/>
      <c r="FD203" s="489"/>
      <c r="FE203" s="489"/>
      <c r="FF203" s="489"/>
      <c r="FG203" s="489"/>
      <c r="FH203" s="489"/>
      <c r="FI203" s="489"/>
      <c r="FJ203" s="489"/>
      <c r="FK203" s="489"/>
      <c r="FL203" s="489"/>
      <c r="FM203" s="489"/>
      <c r="FN203" s="489"/>
      <c r="FO203" s="489"/>
      <c r="FP203" s="489"/>
      <c r="FQ203" s="489"/>
      <c r="FR203" s="489"/>
      <c r="FS203" s="489"/>
      <c r="FT203" s="489"/>
      <c r="FU203" s="489"/>
      <c r="FV203" s="489"/>
      <c r="FW203" s="489"/>
      <c r="FX203" s="489"/>
      <c r="FY203" s="489"/>
      <c r="FZ203" s="489"/>
      <c r="GA203" s="489"/>
      <c r="GB203" s="489"/>
      <c r="GC203" s="489"/>
      <c r="GD203" s="489"/>
      <c r="GE203" s="489"/>
      <c r="GF203" s="489"/>
      <c r="GG203" s="489"/>
      <c r="GH203" s="489"/>
      <c r="GI203" s="489"/>
      <c r="GJ203" s="489"/>
      <c r="GK203" s="489"/>
      <c r="GL203" s="489"/>
      <c r="GM203" s="489"/>
      <c r="GN203" s="489"/>
      <c r="GO203" s="489"/>
      <c r="GP203" s="489"/>
      <c r="GQ203" s="489"/>
      <c r="GR203" s="489"/>
      <c r="GS203" s="489"/>
      <c r="GT203" s="489"/>
      <c r="GU203" s="489"/>
      <c r="GV203" s="489"/>
      <c r="GW203" s="489"/>
      <c r="GX203" s="489"/>
      <c r="GY203" s="489"/>
      <c r="GZ203" s="489"/>
      <c r="HA203" s="489"/>
      <c r="HB203" s="489"/>
      <c r="HC203" s="489"/>
      <c r="HD203" s="489"/>
      <c r="HE203" s="489"/>
      <c r="HF203" s="489"/>
      <c r="HG203" s="489"/>
      <c r="HH203" s="489"/>
      <c r="HI203" s="489"/>
      <c r="HJ203" s="489"/>
      <c r="HK203" s="489"/>
      <c r="HL203" s="489"/>
      <c r="HM203" s="489"/>
      <c r="HN203" s="489"/>
      <c r="HO203" s="489"/>
      <c r="HP203" s="489"/>
      <c r="HQ203" s="489"/>
      <c r="HR203" s="489"/>
      <c r="HS203" s="489"/>
      <c r="HT203" s="489"/>
      <c r="HU203" s="489"/>
      <c r="HV203" s="489"/>
      <c r="HW203" s="489"/>
      <c r="HX203" s="489"/>
      <c r="HY203" s="489"/>
      <c r="HZ203" s="489"/>
      <c r="IA203" s="489"/>
      <c r="IB203" s="489"/>
      <c r="IC203" s="489"/>
      <c r="ID203" s="489"/>
      <c r="IE203" s="489"/>
      <c r="IF203" s="489"/>
      <c r="IG203" s="489"/>
      <c r="IH203" s="489"/>
      <c r="II203" s="489"/>
    </row>
    <row r="204" spans="1:243" ht="12.75" customHeight="1">
      <c r="F204"/>
      <c r="K204" s="496"/>
    </row>
    <row r="205" spans="1:243" ht="12.75" customHeight="1">
      <c r="D205" s="84" t="s">
        <v>242</v>
      </c>
      <c r="F205"/>
      <c r="K205" s="430">
        <f>J219</f>
        <v>397.7</v>
      </c>
      <c r="L205" s="430">
        <f t="shared" ref="L205:O205" si="110">K219</f>
        <v>397.52533333333332</v>
      </c>
      <c r="M205" s="430">
        <f t="shared" si="110"/>
        <v>397.80066666666664</v>
      </c>
      <c r="N205" s="430">
        <f t="shared" si="110"/>
        <v>397.80433333333332</v>
      </c>
      <c r="O205" s="430">
        <f t="shared" si="110"/>
        <v>397.428</v>
      </c>
    </row>
    <row r="206" spans="1:243" ht="12.75" customHeight="1">
      <c r="D206" t="s">
        <v>241</v>
      </c>
      <c r="F206"/>
      <c r="K206" s="497">
        <f>-K131</f>
        <v>16</v>
      </c>
      <c r="L206" s="497">
        <f t="shared" ref="L206:O206" si="111">-L131</f>
        <v>17</v>
      </c>
      <c r="M206" s="497">
        <f t="shared" si="111"/>
        <v>17.3</v>
      </c>
      <c r="N206" s="497">
        <f t="shared" si="111"/>
        <v>17.5</v>
      </c>
      <c r="O206" s="497">
        <f t="shared" si="111"/>
        <v>18</v>
      </c>
    </row>
    <row r="207" spans="1:243" ht="12.75" customHeight="1">
      <c r="F207"/>
      <c r="K207" s="496"/>
    </row>
    <row r="208" spans="1:243">
      <c r="D208" t="s">
        <v>41</v>
      </c>
      <c r="F208"/>
      <c r="H208" s="25"/>
      <c r="I208" s="25"/>
      <c r="J208" s="25"/>
      <c r="K208" s="497">
        <f>J165/F202</f>
        <v>15.907999999999999</v>
      </c>
      <c r="L208" s="497">
        <f>K208</f>
        <v>15.907999999999999</v>
      </c>
      <c r="M208" s="497">
        <f>L208</f>
        <v>15.907999999999999</v>
      </c>
      <c r="N208" s="497">
        <f>M208</f>
        <v>15.907999999999999</v>
      </c>
      <c r="O208" s="497">
        <f>N208</f>
        <v>15.907999999999999</v>
      </c>
    </row>
    <row r="209" spans="1:15">
      <c r="F209"/>
    </row>
    <row r="210" spans="1:15">
      <c r="D210" s="498" t="s">
        <v>54</v>
      </c>
      <c r="F210"/>
    </row>
    <row r="211" spans="1:15">
      <c r="D211" s="499">
        <f>K199</f>
        <v>2023</v>
      </c>
      <c r="E211" s="500">
        <f>-HLOOKUP(D211,$K$121:$O$131,ROWS($K$121:$K$131),FALSE)</f>
        <v>16</v>
      </c>
      <c r="F211" s="501"/>
      <c r="H211" s="488"/>
      <c r="I211" s="488"/>
      <c r="J211" s="488"/>
      <c r="K211" s="502">
        <f>IF(K$199=$D211,$E211/$F$203/2,MIN($E211/$F$203,$E211-SUM($J211:J211)))</f>
        <v>0.26666666666666666</v>
      </c>
      <c r="L211" s="502">
        <f>IF(L$199=$D211,$E211/$F$203/2,MIN($E211/$F$203,$E211-SUM($J211:K211)))</f>
        <v>0.53333333333333333</v>
      </c>
      <c r="M211" s="502">
        <f>IF(M$199=$D211,$E211/$F$203/2,MIN($E211/$F$203,$E211-SUM($J211:L211)))</f>
        <v>0.53333333333333333</v>
      </c>
      <c r="N211" s="502">
        <f>IF(N$199=$D211,$E211/$F$203/2,MIN($E211/$F$203,$E211-SUM($J211:M211)))</f>
        <v>0.53333333333333333</v>
      </c>
      <c r="O211" s="502">
        <f>IF(O$199=$D211,$E211/$F$203/2,MIN($E211/$F$203,$E211-SUM($J211:N211)))</f>
        <v>0.53333333333333333</v>
      </c>
    </row>
    <row r="212" spans="1:15">
      <c r="D212" s="499">
        <f>D211+1</f>
        <v>2024</v>
      </c>
      <c r="E212" s="503">
        <f t="shared" ref="E212:E215" si="112">-HLOOKUP(D212,$K$121:$O$131,ROWS($K$121:$K$131),FALSE)</f>
        <v>17</v>
      </c>
      <c r="F212" s="501"/>
      <c r="H212" s="488"/>
      <c r="I212" s="488"/>
      <c r="J212" s="488"/>
      <c r="K212" s="502"/>
      <c r="L212" s="502">
        <f>IF(L$199=$D212,$E212/$F$203/2,MIN($E212/$F$203,$E212-SUM($J212:K212)))</f>
        <v>0.28333333333333333</v>
      </c>
      <c r="M212" s="502">
        <f>IF(M$199=$D212,$E212/$F$203/2,MIN($E212/$F$203,$E212-SUM($J212:L212)))</f>
        <v>0.56666666666666665</v>
      </c>
      <c r="N212" s="502">
        <f>IF(N$199=$D212,$E212/$F$203/2,MIN($E212/$F$203,$E212-SUM($J212:M212)))</f>
        <v>0.56666666666666665</v>
      </c>
      <c r="O212" s="502">
        <f>IF(O$199=$D212,$E212/$F$203/2,MIN($E212/$F$203,$E212-SUM($J212:N212)))</f>
        <v>0.56666666666666665</v>
      </c>
    </row>
    <row r="213" spans="1:15">
      <c r="D213" s="499">
        <f>D212+1</f>
        <v>2025</v>
      </c>
      <c r="E213" s="503">
        <f t="shared" si="112"/>
        <v>17.3</v>
      </c>
      <c r="F213" s="501"/>
      <c r="H213" s="403"/>
      <c r="I213" s="403"/>
      <c r="J213" s="403"/>
      <c r="K213" s="502"/>
      <c r="L213" s="502"/>
      <c r="M213" s="502">
        <f>IF(M$199=$D213,$E213/$F$203/2,MIN($E213/$F$203,$E213-SUM($J213:L213)))</f>
        <v>0.28833333333333333</v>
      </c>
      <c r="N213" s="502">
        <f>IF(N$199=$D213,$E213/$F$203/2,MIN($E213/$F$203,$E213-SUM($J213:M213)))</f>
        <v>0.57666666666666666</v>
      </c>
      <c r="O213" s="502">
        <f>IF(O$199=$D213,$E213/$F$203/2,MIN($E213/$F$203,$E213-SUM($J213:N213)))</f>
        <v>0.57666666666666666</v>
      </c>
    </row>
    <row r="214" spans="1:15">
      <c r="D214" s="499">
        <f>D213+1</f>
        <v>2026</v>
      </c>
      <c r="E214" s="503">
        <f t="shared" si="112"/>
        <v>17.5</v>
      </c>
      <c r="F214" s="501"/>
      <c r="H214" s="403"/>
      <c r="I214" s="403"/>
      <c r="J214" s="403"/>
      <c r="K214" s="426"/>
      <c r="L214" s="502"/>
      <c r="M214" s="502"/>
      <c r="N214" s="502">
        <f>IF(N$199=$D214,$E214/$F$203/2,MIN($E214/$F$203,$E214-SUM($J214:M214)))</f>
        <v>0.29166666666666669</v>
      </c>
      <c r="O214" s="502">
        <f>IF(O$199=$D214,$E214/$F$203/2,MIN($E214/$F$203,$E214-SUM($J214:N214)))</f>
        <v>0.58333333333333337</v>
      </c>
    </row>
    <row r="215" spans="1:15">
      <c r="D215" s="499">
        <f>D214+1</f>
        <v>2027</v>
      </c>
      <c r="E215" s="504">
        <f t="shared" si="112"/>
        <v>18</v>
      </c>
      <c r="F215" s="501"/>
      <c r="H215" s="403"/>
      <c r="I215" s="403"/>
      <c r="J215" s="403"/>
      <c r="K215" s="426"/>
      <c r="L215" s="426"/>
      <c r="M215" s="502"/>
      <c r="N215" s="502"/>
      <c r="O215" s="502">
        <f>IF(O$199=$D215,$E215/$F$203/2,MIN($E215/$F$203,$E215-SUM($J215:N215)))</f>
        <v>0.3</v>
      </c>
    </row>
    <row r="217" spans="1:15" ht="14" thickBot="1">
      <c r="D217" s="505" t="s">
        <v>42</v>
      </c>
      <c r="H217" s="506"/>
      <c r="I217" s="506"/>
      <c r="J217" s="506"/>
      <c r="K217" s="506">
        <f>SUM(K208:K215)</f>
        <v>16.174666666666667</v>
      </c>
      <c r="L217" s="506">
        <f t="shared" ref="L217:O217" si="113">SUM(L208:L215)</f>
        <v>16.724666666666668</v>
      </c>
      <c r="M217" s="506">
        <f t="shared" si="113"/>
        <v>17.296333333333333</v>
      </c>
      <c r="N217" s="506">
        <f t="shared" si="113"/>
        <v>17.876333333333335</v>
      </c>
      <c r="O217" s="506">
        <f t="shared" si="113"/>
        <v>18.468</v>
      </c>
    </row>
    <row r="218" spans="1:15" ht="14" thickTop="1">
      <c r="D218" s="505"/>
      <c r="H218" s="341"/>
      <c r="I218" s="341"/>
      <c r="J218" s="341"/>
      <c r="K218" s="341"/>
      <c r="L218" s="341"/>
      <c r="M218" s="341"/>
      <c r="N218" s="341"/>
      <c r="O218" s="341"/>
    </row>
    <row r="219" spans="1:15">
      <c r="D219" s="84" t="s">
        <v>243</v>
      </c>
      <c r="H219" s="341"/>
      <c r="I219" s="341"/>
      <c r="J219" s="341">
        <f>J165</f>
        <v>397.7</v>
      </c>
      <c r="K219" s="341">
        <f>K205+K206-K217</f>
        <v>397.52533333333332</v>
      </c>
      <c r="L219" s="341">
        <f t="shared" ref="L219:O219" si="114">L205+L206-L217</f>
        <v>397.80066666666664</v>
      </c>
      <c r="M219" s="341">
        <f t="shared" si="114"/>
        <v>397.80433333333332</v>
      </c>
      <c r="N219" s="341">
        <f t="shared" si="114"/>
        <v>397.428</v>
      </c>
      <c r="O219" s="341">
        <f t="shared" si="114"/>
        <v>396.96</v>
      </c>
    </row>
    <row r="220" spans="1:15">
      <c r="B220" s="8"/>
      <c r="C220" s="8"/>
      <c r="D220" s="8"/>
      <c r="E220" s="8"/>
      <c r="F220" s="381"/>
      <c r="G220" s="8"/>
      <c r="H220" s="507"/>
      <c r="I220" s="507"/>
      <c r="J220" s="507"/>
      <c r="K220" s="507"/>
      <c r="L220" s="507"/>
      <c r="M220" s="507"/>
      <c r="N220" s="507"/>
      <c r="O220" s="8"/>
    </row>
    <row r="221" spans="1:15">
      <c r="F221"/>
    </row>
    <row r="222" spans="1:15" ht="12.75" customHeight="1">
      <c r="A222" s="348"/>
      <c r="B222" s="382"/>
      <c r="C222" s="2"/>
      <c r="D222" s="2"/>
      <c r="E222" s="2"/>
      <c r="F222" s="347"/>
      <c r="G222" s="2"/>
      <c r="H222" s="2"/>
      <c r="I222" s="2"/>
      <c r="J222" s="2"/>
      <c r="K222" s="2"/>
      <c r="L222" s="2"/>
      <c r="M222" s="2"/>
      <c r="N222" s="2"/>
      <c r="O222" s="340" t="str">
        <f>$O$1</f>
        <v>Currently Running: Worst Case Scenario</v>
      </c>
    </row>
    <row r="223" spans="1:15" ht="23">
      <c r="B223" s="287" t="str">
        <f>B$2</f>
        <v>Blu Containers Company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8">
      <c r="B224" s="288" t="s">
        <v>48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6" ht="3" customHeight="1" thickBot="1">
      <c r="A225" s="349"/>
      <c r="B225" s="352"/>
      <c r="C225" s="353"/>
      <c r="D225" s="353"/>
      <c r="E225" s="353"/>
      <c r="F225" s="354"/>
      <c r="G225" s="353"/>
      <c r="H225" s="353"/>
      <c r="I225" s="353"/>
      <c r="J225" s="353"/>
      <c r="K225" s="353"/>
      <c r="L225" s="353"/>
      <c r="M225" s="353"/>
      <c r="N225" s="353"/>
      <c r="O225" s="353"/>
    </row>
    <row r="226" spans="1:16">
      <c r="B226" s="414" t="s">
        <v>171</v>
      </c>
      <c r="F226"/>
    </row>
    <row r="227" spans="1:16">
      <c r="F227"/>
      <c r="H227" s="464"/>
      <c r="I227" s="464"/>
      <c r="J227" s="464"/>
      <c r="K227" s="358" t="s">
        <v>2</v>
      </c>
      <c r="L227" s="16"/>
      <c r="M227" s="16"/>
      <c r="N227" s="16"/>
      <c r="O227" s="16"/>
    </row>
    <row r="228" spans="1:16">
      <c r="B228" s="508"/>
      <c r="C228" s="109" t="s">
        <v>95</v>
      </c>
      <c r="D228" s="110"/>
      <c r="E228" s="509">
        <f>Assumptions!N39</f>
        <v>0.35</v>
      </c>
      <c r="F228"/>
      <c r="H228" s="482"/>
      <c r="I228" s="482"/>
      <c r="J228" s="482"/>
      <c r="K228" s="181">
        <f>K$7</f>
        <v>2023</v>
      </c>
      <c r="L228" s="181">
        <f>L$7</f>
        <v>2024</v>
      </c>
      <c r="M228" s="181">
        <f>M$7</f>
        <v>2025</v>
      </c>
      <c r="N228" s="181">
        <f>N$7</f>
        <v>2026</v>
      </c>
      <c r="O228" s="181">
        <f>O$7</f>
        <v>2027</v>
      </c>
    </row>
    <row r="229" spans="1:16">
      <c r="B229" s="508"/>
      <c r="C229" s="84"/>
      <c r="E229" s="510"/>
      <c r="F229"/>
      <c r="H229" s="482"/>
      <c r="I229" s="482"/>
      <c r="J229" s="482"/>
      <c r="K229" s="181"/>
      <c r="L229" s="181"/>
      <c r="M229" s="181"/>
      <c r="N229" s="181"/>
      <c r="O229" s="181"/>
    </row>
    <row r="230" spans="1:16">
      <c r="F230"/>
    </row>
    <row r="231" spans="1:16">
      <c r="D231" s="361" t="s">
        <v>173</v>
      </c>
      <c r="F231"/>
      <c r="H231" s="511" t="s">
        <v>31</v>
      </c>
      <c r="I231" s="488"/>
      <c r="J231" s="488"/>
      <c r="K231" s="512">
        <f>K99</f>
        <v>32.662628264208976</v>
      </c>
      <c r="L231" s="512">
        <f t="shared" ref="L231:O231" si="115">L99</f>
        <v>6.2826097749216281</v>
      </c>
      <c r="M231" s="512">
        <f t="shared" si="115"/>
        <v>40.715663727456729</v>
      </c>
      <c r="N231" s="512">
        <f t="shared" si="115"/>
        <v>30.306555120054831</v>
      </c>
      <c r="O231" s="512">
        <f t="shared" si="115"/>
        <v>7.8583144770470481</v>
      </c>
    </row>
    <row r="232" spans="1:16" ht="6" customHeight="1">
      <c r="E232" s="68"/>
      <c r="F232" s="68"/>
      <c r="H232" s="421"/>
      <c r="I232" s="421"/>
      <c r="J232" s="421"/>
      <c r="K232" s="421"/>
      <c r="L232" s="421"/>
      <c r="M232" s="421"/>
      <c r="N232" s="421"/>
      <c r="O232" s="421"/>
    </row>
    <row r="233" spans="1:16" ht="15">
      <c r="D233" t="s">
        <v>183</v>
      </c>
      <c r="F233"/>
      <c r="K233" s="513">
        <f>Assumptions!J61</f>
        <v>5</v>
      </c>
      <c r="L233" s="513">
        <f>Assumptions!K61</f>
        <v>5</v>
      </c>
      <c r="M233" s="513">
        <f>Assumptions!L61</f>
        <v>5</v>
      </c>
      <c r="N233" s="513">
        <f>Assumptions!M61</f>
        <v>5</v>
      </c>
      <c r="O233" s="513">
        <f>Assumptions!N61</f>
        <v>5</v>
      </c>
    </row>
    <row r="234" spans="1:16">
      <c r="D234" s="361" t="s">
        <v>174</v>
      </c>
      <c r="F234" s="68"/>
      <c r="H234" s="511" t="s">
        <v>32</v>
      </c>
      <c r="I234" s="514"/>
      <c r="J234" s="514"/>
      <c r="K234" s="512">
        <f>K231-K233</f>
        <v>27.662628264208976</v>
      </c>
      <c r="L234" s="512">
        <f t="shared" ref="L234:O234" si="116">L231-L233</f>
        <v>1.2826097749216281</v>
      </c>
      <c r="M234" s="512">
        <f t="shared" si="116"/>
        <v>35.715663727456729</v>
      </c>
      <c r="N234" s="512">
        <f t="shared" si="116"/>
        <v>25.306555120054831</v>
      </c>
      <c r="O234" s="512">
        <f t="shared" si="116"/>
        <v>2.8583144770470481</v>
      </c>
    </row>
    <row r="235" spans="1:16">
      <c r="E235" s="84"/>
      <c r="F235"/>
      <c r="H235" s="488"/>
      <c r="I235" s="488"/>
      <c r="J235" s="488"/>
      <c r="K235" s="502"/>
      <c r="L235" s="502"/>
      <c r="M235" s="502"/>
      <c r="N235" s="502"/>
      <c r="O235" s="502"/>
      <c r="P235" s="426"/>
    </row>
    <row r="236" spans="1:16">
      <c r="D236" s="15" t="str">
        <f>CONCATENATE("Accounting Taxes (",$E$228*100,"% of A)")</f>
        <v>Accounting Taxes (35% of A)</v>
      </c>
      <c r="E236" s="68"/>
      <c r="F236" s="421"/>
      <c r="G236" s="421"/>
      <c r="H236" s="488"/>
      <c r="I236" s="488"/>
      <c r="J236" s="488"/>
      <c r="K236" s="502">
        <f>K231*$E$228</f>
        <v>11.431919892473141</v>
      </c>
      <c r="L236" s="502">
        <f t="shared" ref="L236:O236" si="117">L231*$E$228</f>
        <v>2.1989134212225698</v>
      </c>
      <c r="M236" s="502">
        <f t="shared" si="117"/>
        <v>14.250482304609854</v>
      </c>
      <c r="N236" s="502">
        <f t="shared" si="117"/>
        <v>10.607294292019191</v>
      </c>
      <c r="O236" s="502">
        <f t="shared" si="117"/>
        <v>2.7504100669664666</v>
      </c>
    </row>
    <row r="237" spans="1:16">
      <c r="F237" s="515"/>
      <c r="H237" s="488"/>
      <c r="I237" s="488"/>
      <c r="J237" s="488"/>
      <c r="K237" s="488"/>
      <c r="L237" s="488"/>
      <c r="M237" s="488"/>
      <c r="N237" s="488"/>
      <c r="O237" s="488"/>
    </row>
    <row r="238" spans="1:16">
      <c r="D238" s="432" t="s">
        <v>96</v>
      </c>
      <c r="E238" s="516"/>
      <c r="F238" s="517"/>
      <c r="G238" s="517"/>
      <c r="H238" s="517"/>
      <c r="I238" s="517"/>
      <c r="J238" s="517"/>
      <c r="K238" s="517"/>
      <c r="L238" s="517"/>
      <c r="M238" s="517"/>
      <c r="N238" s="517"/>
      <c r="O238" s="518"/>
    </row>
    <row r="239" spans="1:16">
      <c r="D239" s="519" t="str">
        <f>CONCATENATE("Current Tax (",$E$228*100,"% of B)")</f>
        <v>Current Tax (35% of B)</v>
      </c>
      <c r="E239" s="68"/>
      <c r="F239" s="421"/>
      <c r="G239" s="520"/>
      <c r="H239" s="488"/>
      <c r="I239" s="488"/>
      <c r="J239" s="488"/>
      <c r="K239" s="502">
        <f>K234*$E$228</f>
        <v>9.6819198924731413</v>
      </c>
      <c r="L239" s="502">
        <f t="shared" ref="L239:O239" si="118">L234*$E$228</f>
        <v>0.44891342122256978</v>
      </c>
      <c r="M239" s="502">
        <f t="shared" si="118"/>
        <v>12.500482304609854</v>
      </c>
      <c r="N239" s="502">
        <f t="shared" si="118"/>
        <v>8.8572942920191906</v>
      </c>
      <c r="O239" s="502">
        <f t="shared" si="118"/>
        <v>1.0004100669664668</v>
      </c>
    </row>
    <row r="240" spans="1:16">
      <c r="D240" s="437" t="s">
        <v>146</v>
      </c>
      <c r="E240" s="68"/>
      <c r="F240" s="421"/>
      <c r="G240" s="421"/>
      <c r="H240" s="488"/>
      <c r="I240" s="488"/>
      <c r="J240" s="488"/>
      <c r="K240" s="521">
        <f>K236-K239</f>
        <v>1.75</v>
      </c>
      <c r="L240" s="521">
        <f t="shared" ref="L240:O240" si="119">L236-L239</f>
        <v>1.75</v>
      </c>
      <c r="M240" s="521">
        <f t="shared" si="119"/>
        <v>1.75</v>
      </c>
      <c r="N240" s="521">
        <f t="shared" si="119"/>
        <v>1.75</v>
      </c>
      <c r="O240" s="521">
        <f t="shared" si="119"/>
        <v>1.7499999999999998</v>
      </c>
    </row>
    <row r="241" spans="1:15">
      <c r="D241" s="522" t="s">
        <v>97</v>
      </c>
      <c r="E241" s="523"/>
      <c r="F241" s="524"/>
      <c r="G241" s="524"/>
      <c r="H241" s="525"/>
      <c r="I241" s="525"/>
      <c r="J241" s="525"/>
      <c r="K241" s="526">
        <f t="shared" ref="K241:O241" si="120">SUM(K239:K240)</f>
        <v>11.431919892473141</v>
      </c>
      <c r="L241" s="526">
        <f t="shared" si="120"/>
        <v>2.1989134212225698</v>
      </c>
      <c r="M241" s="526">
        <f t="shared" si="120"/>
        <v>14.250482304609854</v>
      </c>
      <c r="N241" s="526">
        <f t="shared" si="120"/>
        <v>10.607294292019191</v>
      </c>
      <c r="O241" s="526">
        <f t="shared" si="120"/>
        <v>2.7504100669664666</v>
      </c>
    </row>
    <row r="242" spans="1:15">
      <c r="E242" s="68"/>
      <c r="F242" s="421"/>
      <c r="G242" s="421"/>
      <c r="H242" s="421"/>
      <c r="I242" s="421"/>
      <c r="J242" s="421"/>
      <c r="K242" s="421"/>
      <c r="L242" s="421"/>
      <c r="M242" s="421"/>
      <c r="N242" s="421"/>
      <c r="O242" s="421"/>
    </row>
    <row r="243" spans="1:15">
      <c r="C243" s="527" t="s">
        <v>175</v>
      </c>
      <c r="E243" s="68"/>
      <c r="F243" s="421"/>
      <c r="G243" s="421"/>
      <c r="H243" s="421"/>
      <c r="I243" s="421"/>
      <c r="J243" s="421"/>
      <c r="K243" s="421"/>
      <c r="L243" s="421"/>
      <c r="M243" s="421"/>
      <c r="N243" s="421"/>
      <c r="O243" s="421"/>
    </row>
    <row r="244" spans="1:15" ht="6" customHeight="1">
      <c r="B244" s="8"/>
      <c r="C244" s="8"/>
      <c r="D244" s="8"/>
      <c r="E244" s="528"/>
      <c r="F244" s="528"/>
      <c r="G244" s="529"/>
      <c r="H244" s="529"/>
      <c r="I244" s="529"/>
      <c r="J244" s="529"/>
      <c r="K244" s="529"/>
      <c r="L244" s="529"/>
      <c r="M244" s="529"/>
      <c r="N244" s="529"/>
      <c r="O244" s="8"/>
    </row>
    <row r="246" spans="1:15" ht="12.75" customHeight="1">
      <c r="A246" s="348"/>
      <c r="B246" s="382"/>
      <c r="C246" s="2"/>
      <c r="D246" s="2"/>
      <c r="E246" s="2"/>
      <c r="F246" s="347"/>
      <c r="G246" s="2"/>
      <c r="H246" s="2"/>
      <c r="I246" s="2"/>
      <c r="J246" s="2"/>
      <c r="K246" s="2"/>
      <c r="L246" s="2"/>
      <c r="M246" s="2"/>
      <c r="N246" s="2"/>
      <c r="O246" s="340" t="str">
        <f>$O$1</f>
        <v>Currently Running: Worst Case Scenario</v>
      </c>
    </row>
    <row r="247" spans="1:15" ht="23">
      <c r="B247" s="287" t="str">
        <f>B$2</f>
        <v>Blu Containers Company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8">
      <c r="B248" s="288" t="s">
        <v>49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3" customHeight="1" thickBot="1">
      <c r="A249" s="349"/>
      <c r="B249" s="352"/>
      <c r="C249" s="353"/>
      <c r="D249" s="353"/>
      <c r="E249" s="353"/>
      <c r="F249" s="354"/>
      <c r="G249" s="353"/>
      <c r="H249" s="353"/>
      <c r="I249" s="353"/>
      <c r="J249" s="353"/>
      <c r="K249" s="353"/>
      <c r="L249" s="353"/>
      <c r="M249" s="353"/>
      <c r="N249" s="353"/>
      <c r="O249" s="353"/>
    </row>
    <row r="250" spans="1:15">
      <c r="B250" s="414" t="s">
        <v>171</v>
      </c>
      <c r="F250"/>
      <c r="O250" s="15"/>
    </row>
    <row r="251" spans="1:15">
      <c r="F251"/>
      <c r="H251" s="2"/>
      <c r="I251" s="2"/>
      <c r="J251" s="2"/>
      <c r="K251" s="358" t="s">
        <v>2</v>
      </c>
      <c r="L251" s="16"/>
      <c r="M251" s="16"/>
      <c r="N251" s="16"/>
      <c r="O251" s="16"/>
    </row>
    <row r="252" spans="1:15" ht="12" customHeight="1">
      <c r="F252"/>
      <c r="G252" s="447"/>
      <c r="H252" s="359">
        <f t="shared" ref="H252:J252" si="121">H$7</f>
        <v>2020</v>
      </c>
      <c r="I252" s="359">
        <f t="shared" si="121"/>
        <v>2021</v>
      </c>
      <c r="J252" s="359">
        <f t="shared" si="121"/>
        <v>2022</v>
      </c>
      <c r="K252" s="181">
        <f>K$7</f>
        <v>2023</v>
      </c>
      <c r="L252" s="181">
        <f>L$7</f>
        <v>2024</v>
      </c>
      <c r="M252" s="181">
        <f>M$7</f>
        <v>2025</v>
      </c>
      <c r="N252" s="181">
        <f>N$7</f>
        <v>2026</v>
      </c>
      <c r="O252" s="181">
        <f>O$7</f>
        <v>2027</v>
      </c>
    </row>
    <row r="253" spans="1:15" ht="12" customHeight="1">
      <c r="F253"/>
    </row>
    <row r="254" spans="1:15">
      <c r="B254" s="530" t="s">
        <v>106</v>
      </c>
      <c r="C254" s="531"/>
      <c r="D254" s="531"/>
      <c r="E254" s="531"/>
      <c r="F254" s="532" t="s">
        <v>61</v>
      </c>
      <c r="G254" s="531"/>
      <c r="H254" s="531"/>
      <c r="I254" s="533">
        <f>DATE(I252,12,31)-DATE(H252,12,31)</f>
        <v>365</v>
      </c>
      <c r="J254" s="533">
        <f t="shared" ref="J254:O254" si="122">DATE(J252,12,31)-DATE(I252,12,31)</f>
        <v>365</v>
      </c>
      <c r="K254" s="533">
        <f t="shared" si="122"/>
        <v>365</v>
      </c>
      <c r="L254" s="533">
        <f t="shared" si="122"/>
        <v>366</v>
      </c>
      <c r="M254" s="533">
        <f t="shared" si="122"/>
        <v>365</v>
      </c>
      <c r="N254" s="533">
        <f t="shared" si="122"/>
        <v>365</v>
      </c>
      <c r="O254" s="533">
        <f t="shared" si="122"/>
        <v>365</v>
      </c>
    </row>
    <row r="255" spans="1:15">
      <c r="F255" s="362"/>
    </row>
    <row r="256" spans="1:15">
      <c r="B256" s="84" t="s">
        <v>141</v>
      </c>
      <c r="F256" s="362"/>
    </row>
    <row r="257" spans="2:15">
      <c r="C257" t="s">
        <v>3</v>
      </c>
      <c r="F257" s="362" t="s">
        <v>170</v>
      </c>
      <c r="I257" s="87">
        <f>I86</f>
        <v>236.60000000000002</v>
      </c>
      <c r="J257" s="87">
        <f t="shared" ref="J257:O257" si="123">J86</f>
        <v>204.79999999999998</v>
      </c>
      <c r="K257" s="87">
        <f t="shared" si="123"/>
        <v>238.41460829493093</v>
      </c>
      <c r="L257" s="87">
        <f t="shared" si="123"/>
        <v>220.17078571428573</v>
      </c>
      <c r="M257" s="87">
        <f t="shared" si="123"/>
        <v>262.60854165748856</v>
      </c>
      <c r="N257" s="87">
        <f t="shared" si="123"/>
        <v>259.93619218654328</v>
      </c>
      <c r="O257" s="87">
        <f t="shared" si="123"/>
        <v>244.66998081661546</v>
      </c>
    </row>
    <row r="258" spans="2:15">
      <c r="C258" t="s">
        <v>4</v>
      </c>
      <c r="F258" s="362" t="s">
        <v>170</v>
      </c>
      <c r="I258" s="87">
        <f>I88</f>
        <v>164.6</v>
      </c>
      <c r="J258" s="87">
        <f t="shared" ref="J258:O258" si="124">J88</f>
        <v>167.9</v>
      </c>
      <c r="K258" s="87">
        <f t="shared" si="124"/>
        <v>173.68031336405528</v>
      </c>
      <c r="L258" s="87">
        <f t="shared" si="124"/>
        <v>182.31421404608295</v>
      </c>
      <c r="M258" s="87">
        <f t="shared" si="124"/>
        <v>190.30343772915205</v>
      </c>
      <c r="N258" s="87">
        <f t="shared" si="124"/>
        <v>198.68369078880227</v>
      </c>
      <c r="O258" s="87">
        <f t="shared" si="124"/>
        <v>206.20053693063028</v>
      </c>
    </row>
    <row r="259" spans="2:15">
      <c r="F259" s="362"/>
    </row>
    <row r="260" spans="2:15">
      <c r="B260" s="534" t="s">
        <v>27</v>
      </c>
      <c r="C260" s="111"/>
      <c r="F260" s="362"/>
    </row>
    <row r="261" spans="2:15">
      <c r="B261" s="535"/>
      <c r="C261" s="111" t="s">
        <v>14</v>
      </c>
      <c r="F261" s="362" t="s">
        <v>61</v>
      </c>
      <c r="G261" s="113"/>
      <c r="H261" s="114"/>
      <c r="I261" s="87">
        <f>I269/I257*I254</f>
        <v>42.886728655959423</v>
      </c>
      <c r="J261" s="87">
        <f>J269/J257*J254</f>
        <v>50.437011718750007</v>
      </c>
      <c r="K261" s="536">
        <f>Assumptions!J64</f>
        <v>48</v>
      </c>
      <c r="L261" s="536">
        <f>Assumptions!K64</f>
        <v>44</v>
      </c>
      <c r="M261" s="536">
        <f>Assumptions!L64</f>
        <v>40</v>
      </c>
      <c r="N261" s="536">
        <f>Assumptions!M64</f>
        <v>40</v>
      </c>
      <c r="O261" s="536">
        <f>Assumptions!N64</f>
        <v>40</v>
      </c>
    </row>
    <row r="262" spans="2:15">
      <c r="B262" s="535"/>
      <c r="C262" s="112" t="s">
        <v>28</v>
      </c>
      <c r="F262" s="362" t="s">
        <v>61</v>
      </c>
      <c r="G262" s="113"/>
      <c r="H262" s="114"/>
      <c r="I262" s="87">
        <f>I270/I$258*I$254</f>
        <v>80.051640340218725</v>
      </c>
      <c r="J262" s="87">
        <f t="shared" ref="J262:J266" si="125">J270/J$258*J$254</f>
        <v>76.304347826086953</v>
      </c>
      <c r="K262" s="536">
        <f>Assumptions!J65</f>
        <v>70</v>
      </c>
      <c r="L262" s="536">
        <f>Assumptions!K65</f>
        <v>65</v>
      </c>
      <c r="M262" s="536">
        <f>Assumptions!L65</f>
        <v>60</v>
      </c>
      <c r="N262" s="536">
        <f>Assumptions!M65</f>
        <v>60</v>
      </c>
      <c r="O262" s="536">
        <f>Assumptions!N65</f>
        <v>55</v>
      </c>
    </row>
    <row r="263" spans="2:15">
      <c r="B263" s="535"/>
      <c r="C263" s="112" t="s">
        <v>163</v>
      </c>
      <c r="F263" s="362" t="s">
        <v>61</v>
      </c>
      <c r="G263" s="113"/>
      <c r="H263" s="114"/>
      <c r="I263" s="87">
        <f t="shared" ref="I263" si="126">I271/I$258*I$254</f>
        <v>31.93195625759417</v>
      </c>
      <c r="J263" s="87">
        <f t="shared" si="125"/>
        <v>32.391304347826086</v>
      </c>
      <c r="K263" s="536">
        <f>Assumptions!J66</f>
        <v>30</v>
      </c>
      <c r="L263" s="536">
        <f>Assumptions!K66</f>
        <v>30</v>
      </c>
      <c r="M263" s="536">
        <f>Assumptions!L66</f>
        <v>30</v>
      </c>
      <c r="N263" s="536">
        <f>Assumptions!M66</f>
        <v>30</v>
      </c>
      <c r="O263" s="536">
        <f>Assumptions!N66</f>
        <v>30</v>
      </c>
    </row>
    <row r="264" spans="2:15">
      <c r="B264" s="535"/>
      <c r="C264" s="112" t="s">
        <v>164</v>
      </c>
      <c r="F264" s="362" t="s">
        <v>61</v>
      </c>
      <c r="G264" s="113"/>
      <c r="H264" s="114"/>
      <c r="I264" s="87">
        <f t="shared" ref="I264" si="127">I272/I$258*I$254</f>
        <v>3.9914945321992712</v>
      </c>
      <c r="J264" s="87">
        <f t="shared" si="125"/>
        <v>2.6086956521739131</v>
      </c>
      <c r="K264" s="536">
        <f>Assumptions!J67</f>
        <v>3</v>
      </c>
      <c r="L264" s="536">
        <f>Assumptions!K67</f>
        <v>3</v>
      </c>
      <c r="M264" s="536">
        <f>Assumptions!L67</f>
        <v>3</v>
      </c>
      <c r="N264" s="536">
        <f>Assumptions!M67</f>
        <v>3</v>
      </c>
      <c r="O264" s="536">
        <f>Assumptions!N67</f>
        <v>3</v>
      </c>
    </row>
    <row r="265" spans="2:15">
      <c r="B265" s="535"/>
      <c r="C265" s="111" t="s">
        <v>20</v>
      </c>
      <c r="F265" s="362" t="s">
        <v>61</v>
      </c>
      <c r="G265" s="113"/>
      <c r="H265" s="114"/>
      <c r="I265" s="87">
        <f t="shared" ref="I265" si="128">I273/I$258*I$254</f>
        <v>41.467193195625768</v>
      </c>
      <c r="J265" s="87">
        <f>J273/J$258*J$254</f>
        <v>39.565217391304344</v>
      </c>
      <c r="K265" s="536">
        <f>Assumptions!J68</f>
        <v>40</v>
      </c>
      <c r="L265" s="536">
        <f>Assumptions!K68</f>
        <v>40</v>
      </c>
      <c r="M265" s="536">
        <f>Assumptions!L68</f>
        <v>40</v>
      </c>
      <c r="N265" s="536">
        <f>Assumptions!M68</f>
        <v>40</v>
      </c>
      <c r="O265" s="536">
        <f>Assumptions!N68</f>
        <v>40</v>
      </c>
    </row>
    <row r="266" spans="2:15">
      <c r="B266" s="535"/>
      <c r="C266" s="111" t="s">
        <v>165</v>
      </c>
      <c r="F266" s="362" t="s">
        <v>61</v>
      </c>
      <c r="G266" s="113"/>
      <c r="H266" s="114"/>
      <c r="I266" s="87">
        <f t="shared" ref="I266" si="129">I274/I$258*I$254</f>
        <v>10.865735115431351</v>
      </c>
      <c r="J266" s="87">
        <f t="shared" si="125"/>
        <v>10.434782608695652</v>
      </c>
      <c r="K266" s="536">
        <f>Assumptions!J69</f>
        <v>10</v>
      </c>
      <c r="L266" s="536">
        <f>Assumptions!K69</f>
        <v>10</v>
      </c>
      <c r="M266" s="536">
        <f>Assumptions!L69</f>
        <v>10</v>
      </c>
      <c r="N266" s="536">
        <f>Assumptions!M69</f>
        <v>10</v>
      </c>
      <c r="O266" s="536">
        <f>Assumptions!N69</f>
        <v>10</v>
      </c>
    </row>
    <row r="267" spans="2:15">
      <c r="B267" s="535"/>
      <c r="C267" s="111"/>
      <c r="F267" s="362"/>
      <c r="H267" s="499"/>
      <c r="I267" s="499"/>
      <c r="J267" s="499"/>
      <c r="K267" s="499"/>
      <c r="L267" s="499"/>
      <c r="M267" s="499"/>
      <c r="N267" s="499"/>
      <c r="O267" s="499"/>
    </row>
    <row r="268" spans="2:15">
      <c r="B268" s="534" t="s">
        <v>29</v>
      </c>
      <c r="C268" s="111"/>
      <c r="F268" s="362"/>
      <c r="H268" s="499"/>
      <c r="I268" s="499"/>
      <c r="J268" s="499"/>
      <c r="K268" s="499"/>
      <c r="L268" s="499"/>
      <c r="M268" s="499"/>
      <c r="N268" s="499"/>
      <c r="O268" s="499"/>
    </row>
    <row r="269" spans="2:15">
      <c r="B269" s="535"/>
      <c r="C269" s="111" t="s">
        <v>14</v>
      </c>
      <c r="F269" s="362" t="s">
        <v>170</v>
      </c>
      <c r="I269" s="87">
        <f>I159</f>
        <v>27.8</v>
      </c>
      <c r="J269" s="87">
        <f t="shared" ref="J269:J272" si="130">J159</f>
        <v>28.3</v>
      </c>
      <c r="K269" s="87">
        <f>K257/K254*K261</f>
        <v>31.353153967552558</v>
      </c>
      <c r="L269" s="87">
        <f t="shared" ref="L269:O269" si="131">L257/L254*L261</f>
        <v>26.468619047619047</v>
      </c>
      <c r="M269" s="87">
        <f t="shared" si="131"/>
        <v>28.779018263834363</v>
      </c>
      <c r="N269" s="87">
        <f t="shared" si="131"/>
        <v>28.486158047840359</v>
      </c>
      <c r="O269" s="87">
        <f t="shared" si="131"/>
        <v>26.813148582642793</v>
      </c>
    </row>
    <row r="270" spans="2:15">
      <c r="B270" s="535"/>
      <c r="C270" s="112" t="s">
        <v>28</v>
      </c>
      <c r="F270" s="362" t="s">
        <v>170</v>
      </c>
      <c r="I270" s="87">
        <f t="shared" ref="I270" si="132">I160</f>
        <v>36.1</v>
      </c>
      <c r="J270" s="87">
        <f t="shared" si="130"/>
        <v>35.1</v>
      </c>
      <c r="K270" s="87">
        <f>K$258/K$254*K262</f>
        <v>33.30855324790101</v>
      </c>
      <c r="L270" s="87">
        <f t="shared" ref="L270:O270" si="133">L$258/L$254*L262</f>
        <v>32.378207412555717</v>
      </c>
      <c r="M270" s="87">
        <f t="shared" si="133"/>
        <v>31.282756886983901</v>
      </c>
      <c r="N270" s="87">
        <f t="shared" si="133"/>
        <v>32.660332732405855</v>
      </c>
      <c r="O270" s="87">
        <f t="shared" si="133"/>
        <v>31.071313784067573</v>
      </c>
    </row>
    <row r="271" spans="2:15">
      <c r="B271" s="535"/>
      <c r="C271" s="112" t="s">
        <v>163</v>
      </c>
      <c r="F271" s="362" t="s">
        <v>170</v>
      </c>
      <c r="I271" s="87">
        <f t="shared" ref="I271" si="134">I161</f>
        <v>14.4</v>
      </c>
      <c r="J271" s="87">
        <f t="shared" si="130"/>
        <v>14.9</v>
      </c>
      <c r="K271" s="87">
        <f t="shared" ref="K271:O271" si="135">K$258/K$254*K263</f>
        <v>14.275094249100434</v>
      </c>
      <c r="L271" s="87">
        <f t="shared" si="135"/>
        <v>14.943788036564175</v>
      </c>
      <c r="M271" s="87">
        <f>M$258/M$254*M263</f>
        <v>15.64137844349195</v>
      </c>
      <c r="N271" s="87">
        <f t="shared" si="135"/>
        <v>16.330166366202928</v>
      </c>
      <c r="O271" s="87">
        <f t="shared" si="135"/>
        <v>16.947989336764131</v>
      </c>
    </row>
    <row r="272" spans="2:15">
      <c r="B272" s="535"/>
      <c r="C272" s="112" t="s">
        <v>164</v>
      </c>
      <c r="F272" s="362" t="s">
        <v>170</v>
      </c>
      <c r="I272" s="87">
        <f t="shared" ref="I272" si="136">I162</f>
        <v>1.8</v>
      </c>
      <c r="J272" s="87">
        <f t="shared" si="130"/>
        <v>1.2</v>
      </c>
      <c r="K272" s="87">
        <f t="shared" ref="K272:O272" si="137">K$258/K$254*K264</f>
        <v>1.4275094249100433</v>
      </c>
      <c r="L272" s="87">
        <f t="shared" si="137"/>
        <v>1.4943788036564176</v>
      </c>
      <c r="M272" s="87">
        <f t="shared" si="137"/>
        <v>1.5641378443491951</v>
      </c>
      <c r="N272" s="87">
        <f t="shared" si="137"/>
        <v>1.6330166366202927</v>
      </c>
      <c r="O272" s="87">
        <f t="shared" si="137"/>
        <v>1.6947989336764131</v>
      </c>
    </row>
    <row r="273" spans="1:15">
      <c r="B273" s="535"/>
      <c r="C273" s="111" t="s">
        <v>20</v>
      </c>
      <c r="F273" s="362" t="s">
        <v>170</v>
      </c>
      <c r="I273" s="86">
        <f>I174</f>
        <v>18.700000000000003</v>
      </c>
      <c r="J273" s="86">
        <f t="shared" ref="J273:J274" si="138">J174</f>
        <v>18.2</v>
      </c>
      <c r="K273" s="86">
        <f t="shared" ref="K273:O273" si="139">K$258/K$254*K265</f>
        <v>19.03345899880058</v>
      </c>
      <c r="L273" s="86">
        <f t="shared" si="139"/>
        <v>19.925050715418902</v>
      </c>
      <c r="M273" s="86">
        <f t="shared" si="139"/>
        <v>20.855171257989266</v>
      </c>
      <c r="N273" s="86">
        <f t="shared" si="139"/>
        <v>21.773555154937235</v>
      </c>
      <c r="O273" s="86">
        <f t="shared" si="139"/>
        <v>22.597319115685508</v>
      </c>
    </row>
    <row r="274" spans="1:15">
      <c r="B274" s="535"/>
      <c r="C274" s="111" t="s">
        <v>165</v>
      </c>
      <c r="F274" s="362" t="s">
        <v>170</v>
      </c>
      <c r="I274" s="537">
        <f t="shared" ref="I274" si="140">I175</f>
        <v>4.9000000000000004</v>
      </c>
      <c r="J274" s="537">
        <f t="shared" si="138"/>
        <v>4.8</v>
      </c>
      <c r="K274" s="537">
        <f t="shared" ref="K274:O274" si="141">K$258/K$254*K266</f>
        <v>4.7583647497001449</v>
      </c>
      <c r="L274" s="537">
        <f t="shared" si="141"/>
        <v>4.9812626788547254</v>
      </c>
      <c r="M274" s="537">
        <f t="shared" si="141"/>
        <v>5.2137928144973165</v>
      </c>
      <c r="N274" s="537">
        <f t="shared" si="141"/>
        <v>5.4433887887343086</v>
      </c>
      <c r="O274" s="537">
        <f t="shared" si="141"/>
        <v>5.649329778921377</v>
      </c>
    </row>
    <row r="275" spans="1:15">
      <c r="B275" s="535"/>
      <c r="C275" s="115" t="s">
        <v>30</v>
      </c>
      <c r="D275" s="84"/>
      <c r="E275" s="84"/>
      <c r="F275" s="418" t="s">
        <v>170</v>
      </c>
      <c r="I275" s="538">
        <f>SUM(I269:I272)-SUM(I273:I274)</f>
        <v>56.500000000000007</v>
      </c>
      <c r="J275" s="538">
        <f t="shared" ref="J275:O275" si="142">SUM(J269:J272)-SUM(J273:J274)</f>
        <v>56.500000000000014</v>
      </c>
      <c r="K275" s="538">
        <f t="shared" si="142"/>
        <v>56.572487140963311</v>
      </c>
      <c r="L275" s="538">
        <f t="shared" si="142"/>
        <v>50.378679906121732</v>
      </c>
      <c r="M275" s="538">
        <f t="shared" si="142"/>
        <v>51.198327366172819</v>
      </c>
      <c r="N275" s="538">
        <f t="shared" si="142"/>
        <v>51.892729839397894</v>
      </c>
      <c r="O275" s="538">
        <f t="shared" si="142"/>
        <v>48.280601742544029</v>
      </c>
    </row>
    <row r="276" spans="1:15">
      <c r="B276" s="535"/>
      <c r="C276" s="111"/>
      <c r="F276" s="362"/>
      <c r="H276" s="499"/>
      <c r="I276" s="499"/>
      <c r="J276" s="499"/>
      <c r="K276" s="499"/>
      <c r="L276" s="499"/>
      <c r="M276" s="499"/>
      <c r="N276" s="499"/>
      <c r="O276" s="499"/>
    </row>
    <row r="277" spans="1:15" ht="14" thickBot="1">
      <c r="B277" s="115" t="s">
        <v>112</v>
      </c>
      <c r="C277" s="535"/>
      <c r="F277" s="418" t="s">
        <v>170</v>
      </c>
      <c r="H277" s="499"/>
      <c r="I277" s="499"/>
      <c r="J277" s="405">
        <f>I275-J275</f>
        <v>0</v>
      </c>
      <c r="K277" s="405">
        <f t="shared" ref="K277:O277" si="143">J275-K275</f>
        <v>-7.2487140963296781E-2</v>
      </c>
      <c r="L277" s="405">
        <f t="shared" si="143"/>
        <v>6.1938072348415787</v>
      </c>
      <c r="M277" s="405">
        <f t="shared" si="143"/>
        <v>-0.8196474600510868</v>
      </c>
      <c r="N277" s="405">
        <f t="shared" si="143"/>
        <v>-0.69440247322507531</v>
      </c>
      <c r="O277" s="405">
        <f t="shared" si="143"/>
        <v>3.6121280968538656</v>
      </c>
    </row>
    <row r="278" spans="1:15" ht="14" thickTop="1">
      <c r="B278" s="8"/>
      <c r="C278" s="369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</row>
    <row r="280" spans="1:15" ht="12.75" customHeight="1">
      <c r="A280" s="348"/>
      <c r="B280" s="382"/>
      <c r="C280" s="2"/>
      <c r="D280" s="2"/>
      <c r="E280" s="2"/>
      <c r="F280" s="347"/>
      <c r="G280" s="2"/>
      <c r="H280" s="2"/>
      <c r="I280" s="2"/>
      <c r="J280" s="2"/>
      <c r="K280" s="2"/>
      <c r="L280" s="2"/>
      <c r="M280" s="2"/>
      <c r="N280" s="2"/>
      <c r="O280" s="340" t="str">
        <f>$O$1</f>
        <v>Currently Running: Worst Case Scenario</v>
      </c>
    </row>
    <row r="281" spans="1:15" ht="23">
      <c r="B281" s="287" t="str">
        <f>B$2</f>
        <v>Blu Containers Company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8">
      <c r="B282" s="288" t="s">
        <v>63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3" customHeight="1" thickBot="1">
      <c r="A283" s="349"/>
      <c r="B283" s="352"/>
      <c r="C283" s="353"/>
      <c r="D283" s="353"/>
      <c r="E283" s="353"/>
      <c r="F283" s="354"/>
      <c r="G283" s="353"/>
      <c r="H283" s="353"/>
      <c r="I283" s="353"/>
      <c r="J283" s="353"/>
      <c r="K283" s="353"/>
      <c r="L283" s="353"/>
      <c r="M283" s="353"/>
      <c r="N283" s="353"/>
      <c r="O283" s="353"/>
    </row>
    <row r="284" spans="1:15">
      <c r="B284" s="414" t="s">
        <v>171</v>
      </c>
      <c r="F284"/>
      <c r="O284" s="15"/>
    </row>
    <row r="285" spans="1:15">
      <c r="F285"/>
      <c r="H285" s="2"/>
      <c r="I285" s="2"/>
      <c r="J285" s="2"/>
      <c r="K285" s="358" t="s">
        <v>2</v>
      </c>
      <c r="L285" s="16"/>
      <c r="M285" s="16"/>
      <c r="N285" s="16"/>
      <c r="O285" s="16"/>
    </row>
    <row r="286" spans="1:15">
      <c r="F286"/>
      <c r="G286" s="447"/>
      <c r="H286" s="539"/>
      <c r="I286" s="539"/>
      <c r="J286" s="359">
        <f t="shared" ref="J286:O286" si="144">J$7</f>
        <v>2022</v>
      </c>
      <c r="K286" s="181">
        <f t="shared" si="144"/>
        <v>2023</v>
      </c>
      <c r="L286" s="181">
        <f t="shared" si="144"/>
        <v>2024</v>
      </c>
      <c r="M286" s="181">
        <f t="shared" si="144"/>
        <v>2025</v>
      </c>
      <c r="N286" s="181">
        <f t="shared" si="144"/>
        <v>2026</v>
      </c>
      <c r="O286" s="181">
        <f t="shared" si="144"/>
        <v>2027</v>
      </c>
    </row>
    <row r="287" spans="1:15" ht="6" customHeight="1"/>
    <row r="288" spans="1:15">
      <c r="B288" s="84" t="s">
        <v>127</v>
      </c>
      <c r="K288" s="540"/>
      <c r="L288" s="540"/>
      <c r="M288" s="540"/>
      <c r="N288" s="540"/>
      <c r="O288" s="540"/>
    </row>
    <row r="289" spans="2:15" ht="6" customHeight="1"/>
    <row r="290" spans="2:15">
      <c r="C290" s="84" t="s">
        <v>13</v>
      </c>
    </row>
    <row r="291" spans="2:15">
      <c r="D291" t="s">
        <v>65</v>
      </c>
      <c r="K291" s="426">
        <f>J293</f>
        <v>0.3</v>
      </c>
      <c r="L291" s="426">
        <f>K293</f>
        <v>2.8310687127941492E-15</v>
      </c>
      <c r="M291" s="426">
        <f t="shared" ref="M291:O291" si="145">L293</f>
        <v>2.8310687127941492E-15</v>
      </c>
      <c r="N291" s="426">
        <f t="shared" si="145"/>
        <v>2.8310687127941492E-15</v>
      </c>
      <c r="O291" s="426">
        <f t="shared" si="145"/>
        <v>2.8310687127941492E-15</v>
      </c>
    </row>
    <row r="292" spans="2:15">
      <c r="D292" t="s">
        <v>71</v>
      </c>
      <c r="J292" s="8"/>
      <c r="K292" s="541">
        <f>K144</f>
        <v>-0.29999999999999716</v>
      </c>
      <c r="L292" s="541">
        <f>L144</f>
        <v>0</v>
      </c>
      <c r="M292" s="541">
        <f t="shared" ref="M292:O292" si="146">M144</f>
        <v>0</v>
      </c>
      <c r="N292" s="541">
        <f t="shared" si="146"/>
        <v>0</v>
      </c>
      <c r="O292" s="541">
        <f t="shared" si="146"/>
        <v>0</v>
      </c>
    </row>
    <row r="293" spans="2:15">
      <c r="D293" t="s">
        <v>67</v>
      </c>
      <c r="I293" s="542"/>
      <c r="J293" s="497">
        <f>J158</f>
        <v>0.3</v>
      </c>
      <c r="K293" s="497">
        <f t="shared" ref="K293:O293" si="147">SUM(K291:K292)</f>
        <v>2.8310687127941492E-15</v>
      </c>
      <c r="L293" s="497">
        <f t="shared" si="147"/>
        <v>2.8310687127941492E-15</v>
      </c>
      <c r="M293" s="497">
        <f t="shared" si="147"/>
        <v>2.8310687127941492E-15</v>
      </c>
      <c r="N293" s="497">
        <f t="shared" si="147"/>
        <v>2.8310687127941492E-15</v>
      </c>
      <c r="O293" s="497">
        <f t="shared" si="147"/>
        <v>2.8310687127941492E-15</v>
      </c>
    </row>
    <row r="294" spans="2:15" ht="6" customHeight="1"/>
    <row r="295" spans="2:15">
      <c r="D295" t="s">
        <v>68</v>
      </c>
      <c r="K295" s="543">
        <f>Assumptions!N27</f>
        <v>0.01</v>
      </c>
      <c r="L295" s="544">
        <f>K295</f>
        <v>0.01</v>
      </c>
      <c r="M295" s="544">
        <f t="shared" ref="M295:O295" si="148">L295</f>
        <v>0.01</v>
      </c>
      <c r="N295" s="544">
        <f t="shared" si="148"/>
        <v>0.01</v>
      </c>
      <c r="O295" s="544">
        <f t="shared" si="148"/>
        <v>0.01</v>
      </c>
    </row>
    <row r="296" spans="2:15">
      <c r="D296" s="84" t="s">
        <v>70</v>
      </c>
      <c r="K296" s="545">
        <f>K295*K291</f>
        <v>3.0000000000000001E-3</v>
      </c>
      <c r="L296" s="545">
        <f t="shared" ref="L296:O296" si="149">L295*L291</f>
        <v>2.8310687127941492E-17</v>
      </c>
      <c r="M296" s="545">
        <f t="shared" si="149"/>
        <v>2.8310687127941492E-17</v>
      </c>
      <c r="N296" s="545">
        <f t="shared" si="149"/>
        <v>2.8310687127941492E-17</v>
      </c>
      <c r="O296" s="545">
        <f t="shared" si="149"/>
        <v>2.8310687127941492E-17</v>
      </c>
    </row>
    <row r="297" spans="2:15" ht="6" customHeight="1"/>
    <row r="299" spans="2:15">
      <c r="C299" s="84" t="s">
        <v>129</v>
      </c>
    </row>
    <row r="300" spans="2:15">
      <c r="B300" s="84"/>
      <c r="D300" t="s">
        <v>11</v>
      </c>
      <c r="H300" s="546"/>
      <c r="I300" s="546"/>
      <c r="J300" s="546"/>
      <c r="K300" s="98">
        <f>K127</f>
        <v>39.082887897439207</v>
      </c>
      <c r="L300" s="98">
        <f t="shared" ref="L300:O300" si="150">L127</f>
        <v>28.752170255207304</v>
      </c>
      <c r="M300" s="98">
        <f t="shared" si="150"/>
        <v>44.691867296129118</v>
      </c>
      <c r="N300" s="98">
        <f t="shared" si="150"/>
        <v>38.6311916881439</v>
      </c>
      <c r="O300" s="98">
        <f t="shared" si="150"/>
        <v>28.938032506934448</v>
      </c>
    </row>
    <row r="301" spans="2:15">
      <c r="B301" s="84"/>
      <c r="D301" t="s">
        <v>103</v>
      </c>
      <c r="H301" s="546"/>
      <c r="I301" s="546"/>
      <c r="J301" s="546"/>
      <c r="K301" s="98">
        <f>K133</f>
        <v>-16</v>
      </c>
      <c r="L301" s="98">
        <f t="shared" ref="L301:O301" si="151">L133</f>
        <v>-17</v>
      </c>
      <c r="M301" s="98">
        <f t="shared" si="151"/>
        <v>-17.3</v>
      </c>
      <c r="N301" s="98">
        <f t="shared" si="151"/>
        <v>-17.5</v>
      </c>
      <c r="O301" s="98">
        <f t="shared" si="151"/>
        <v>-18</v>
      </c>
    </row>
    <row r="302" spans="2:15">
      <c r="B302" s="84"/>
      <c r="D302" t="s">
        <v>135</v>
      </c>
      <c r="H302" s="546"/>
      <c r="I302" s="546"/>
      <c r="J302" s="546"/>
      <c r="K302" s="98">
        <f>K317</f>
        <v>-25</v>
      </c>
      <c r="L302" s="98">
        <f t="shared" ref="L302:O302" si="152">L317</f>
        <v>-25</v>
      </c>
      <c r="M302" s="98">
        <f t="shared" si="152"/>
        <v>-25</v>
      </c>
      <c r="N302" s="98">
        <f t="shared" si="152"/>
        <v>-25</v>
      </c>
      <c r="O302" s="98">
        <f t="shared" si="152"/>
        <v>-25</v>
      </c>
    </row>
    <row r="303" spans="2:15">
      <c r="B303" s="84"/>
      <c r="D303" t="s">
        <v>120</v>
      </c>
      <c r="H303" s="546"/>
      <c r="I303" s="546"/>
      <c r="J303" s="546"/>
      <c r="K303" s="98">
        <f>K337</f>
        <v>0</v>
      </c>
      <c r="L303" s="98">
        <f t="shared" ref="L303:O303" si="153">L337</f>
        <v>0</v>
      </c>
      <c r="M303" s="98">
        <f t="shared" si="153"/>
        <v>0</v>
      </c>
      <c r="N303" s="98">
        <f t="shared" si="153"/>
        <v>0</v>
      </c>
      <c r="O303" s="98">
        <f t="shared" si="153"/>
        <v>0</v>
      </c>
    </row>
    <row r="304" spans="2:15">
      <c r="B304" s="84"/>
      <c r="D304" t="s">
        <v>126</v>
      </c>
      <c r="H304" s="546"/>
      <c r="I304" s="546"/>
      <c r="J304" s="546"/>
      <c r="K304" s="400">
        <f>-K342</f>
        <v>-4.2461416743471672</v>
      </c>
      <c r="L304" s="400">
        <f t="shared" ref="L304:O304" si="154">-L342</f>
        <v>-0.81673927073981167</v>
      </c>
      <c r="M304" s="400">
        <f t="shared" si="154"/>
        <v>-5.293036284569375</v>
      </c>
      <c r="N304" s="400">
        <f t="shared" si="154"/>
        <v>-3.9398521656071281</v>
      </c>
      <c r="O304" s="400">
        <f t="shared" si="154"/>
        <v>-1.0215808820161163</v>
      </c>
    </row>
    <row r="305" spans="3:15">
      <c r="D305" s="84" t="s">
        <v>134</v>
      </c>
      <c r="K305" s="430">
        <f t="shared" ref="K305:O305" si="155">SUM(K300:K304)</f>
        <v>-6.1632537769079603</v>
      </c>
      <c r="L305" s="430">
        <f t="shared" si="155"/>
        <v>-14.064569015532507</v>
      </c>
      <c r="M305" s="430">
        <f t="shared" si="155"/>
        <v>-2.9011689884402578</v>
      </c>
      <c r="N305" s="430">
        <f t="shared" si="155"/>
        <v>-7.8086604774632278</v>
      </c>
      <c r="O305" s="430">
        <f t="shared" si="155"/>
        <v>-15.083548375081669</v>
      </c>
    </row>
    <row r="306" spans="3:15">
      <c r="C306" s="84"/>
    </row>
    <row r="307" spans="3:15">
      <c r="D307" t="s">
        <v>136</v>
      </c>
      <c r="K307" s="426">
        <f>J309</f>
        <v>0</v>
      </c>
      <c r="L307" s="426">
        <f t="shared" ref="L307:O307" si="156">K309</f>
        <v>5.8632537769079605</v>
      </c>
      <c r="M307" s="426">
        <f t="shared" si="156"/>
        <v>19.927822792440466</v>
      </c>
      <c r="N307" s="426">
        <f t="shared" si="156"/>
        <v>22.82899178088072</v>
      </c>
      <c r="O307" s="426">
        <f t="shared" si="156"/>
        <v>30.637652258343945</v>
      </c>
    </row>
    <row r="308" spans="3:15">
      <c r="D308" t="s">
        <v>66</v>
      </c>
      <c r="J308" s="8"/>
      <c r="K308" s="541">
        <f>-MIN((K305+K291),K307)</f>
        <v>5.8632537769079605</v>
      </c>
      <c r="L308" s="541">
        <f t="shared" ref="L308:O308" si="157">-MIN((L305+L291),L307)</f>
        <v>14.064569015532504</v>
      </c>
      <c r="M308" s="541">
        <f t="shared" si="157"/>
        <v>2.9011689884402552</v>
      </c>
      <c r="N308" s="541">
        <f t="shared" si="157"/>
        <v>7.8086604774632251</v>
      </c>
      <c r="O308" s="541">
        <f t="shared" si="157"/>
        <v>15.083548375081666</v>
      </c>
    </row>
    <row r="309" spans="3:15">
      <c r="D309" t="s">
        <v>137</v>
      </c>
      <c r="I309" s="542"/>
      <c r="J309" s="497">
        <f>J173</f>
        <v>0</v>
      </c>
      <c r="K309" s="497">
        <f t="shared" ref="K309:O309" si="158">SUM(K307:K308)</f>
        <v>5.8632537769079605</v>
      </c>
      <c r="L309" s="497">
        <f t="shared" si="158"/>
        <v>19.927822792440466</v>
      </c>
      <c r="M309" s="497">
        <f t="shared" si="158"/>
        <v>22.82899178088072</v>
      </c>
      <c r="N309" s="497">
        <f t="shared" si="158"/>
        <v>30.637652258343945</v>
      </c>
      <c r="O309" s="497">
        <f t="shared" si="158"/>
        <v>45.72120063342561</v>
      </c>
    </row>
    <row r="310" spans="3:15" ht="6" customHeight="1"/>
    <row r="311" spans="3:15">
      <c r="D311" t="s">
        <v>68</v>
      </c>
      <c r="K311" s="547">
        <f>Assumptions!N28</f>
        <v>0.06</v>
      </c>
      <c r="L311" s="378">
        <f>K311</f>
        <v>0.06</v>
      </c>
      <c r="M311" s="378">
        <f t="shared" ref="M311:O311" si="159">L311</f>
        <v>0.06</v>
      </c>
      <c r="N311" s="378">
        <f t="shared" si="159"/>
        <v>0.06</v>
      </c>
      <c r="O311" s="378">
        <f t="shared" si="159"/>
        <v>0.06</v>
      </c>
    </row>
    <row r="312" spans="3:15">
      <c r="D312" s="84" t="s">
        <v>69</v>
      </c>
      <c r="K312" s="545">
        <f>K311*K307</f>
        <v>0</v>
      </c>
      <c r="L312" s="545">
        <f t="shared" ref="L312:O312" si="160">L311*L307</f>
        <v>0.3517952266144776</v>
      </c>
      <c r="M312" s="545">
        <f t="shared" si="160"/>
        <v>1.1956693675464278</v>
      </c>
      <c r="N312" s="545">
        <f t="shared" si="160"/>
        <v>1.3697395068528431</v>
      </c>
      <c r="O312" s="545">
        <f t="shared" si="160"/>
        <v>1.8382591355006366</v>
      </c>
    </row>
    <row r="313" spans="3:15" ht="6" customHeight="1"/>
    <row r="315" spans="3:15">
      <c r="C315" s="84" t="s">
        <v>130</v>
      </c>
    </row>
    <row r="316" spans="3:15">
      <c r="D316" t="s">
        <v>65</v>
      </c>
      <c r="K316" s="426">
        <f>J318</f>
        <v>200</v>
      </c>
      <c r="L316" s="426">
        <f t="shared" ref="L316:O316" si="161">K318</f>
        <v>175</v>
      </c>
      <c r="M316" s="426">
        <f t="shared" si="161"/>
        <v>150</v>
      </c>
      <c r="N316" s="426">
        <f t="shared" si="161"/>
        <v>125</v>
      </c>
      <c r="O316" s="426">
        <f t="shared" si="161"/>
        <v>100</v>
      </c>
    </row>
    <row r="317" spans="3:15">
      <c r="D317" t="s">
        <v>66</v>
      </c>
      <c r="J317" s="8"/>
      <c r="K317" s="548">
        <f>Assumptions!J72</f>
        <v>-25</v>
      </c>
      <c r="L317" s="548">
        <f>Assumptions!K72</f>
        <v>-25</v>
      </c>
      <c r="M317" s="548">
        <f>Assumptions!L72</f>
        <v>-25</v>
      </c>
      <c r="N317" s="548">
        <f>Assumptions!M72</f>
        <v>-25</v>
      </c>
      <c r="O317" s="548">
        <f>Assumptions!N72</f>
        <v>-25</v>
      </c>
    </row>
    <row r="318" spans="3:15">
      <c r="D318" t="s">
        <v>67</v>
      </c>
      <c r="I318" s="542"/>
      <c r="J318" s="497">
        <f>J179</f>
        <v>200</v>
      </c>
      <c r="K318" s="497">
        <f t="shared" ref="K318:O318" si="162">SUM(K316:K317)</f>
        <v>175</v>
      </c>
      <c r="L318" s="497">
        <f t="shared" si="162"/>
        <v>150</v>
      </c>
      <c r="M318" s="497">
        <f t="shared" si="162"/>
        <v>125</v>
      </c>
      <c r="N318" s="497">
        <f t="shared" si="162"/>
        <v>100</v>
      </c>
      <c r="O318" s="497">
        <f t="shared" si="162"/>
        <v>75</v>
      </c>
    </row>
    <row r="319" spans="3:15" ht="6" customHeight="1"/>
    <row r="320" spans="3:15">
      <c r="D320" t="s">
        <v>68</v>
      </c>
      <c r="K320" s="547">
        <f>Assumptions!N29</f>
        <v>0.06</v>
      </c>
      <c r="L320" s="378">
        <f>K320</f>
        <v>0.06</v>
      </c>
      <c r="M320" s="378">
        <f t="shared" ref="M320:O320" si="163">L320</f>
        <v>0.06</v>
      </c>
      <c r="N320" s="378">
        <f t="shared" si="163"/>
        <v>0.06</v>
      </c>
      <c r="O320" s="378">
        <f t="shared" si="163"/>
        <v>0.06</v>
      </c>
    </row>
    <row r="321" spans="1:15">
      <c r="D321" s="84" t="s">
        <v>69</v>
      </c>
      <c r="K321" s="545">
        <f>K320*K316</f>
        <v>12</v>
      </c>
      <c r="L321" s="545">
        <f t="shared" ref="L321:O321" si="164">L320*L316</f>
        <v>10.5</v>
      </c>
      <c r="M321" s="545">
        <f t="shared" si="164"/>
        <v>9</v>
      </c>
      <c r="N321" s="545">
        <f t="shared" si="164"/>
        <v>7.5</v>
      </c>
      <c r="O321" s="545">
        <f t="shared" si="164"/>
        <v>6</v>
      </c>
    </row>
    <row r="324" spans="1:15" ht="14" thickBot="1">
      <c r="C324" s="84" t="s">
        <v>74</v>
      </c>
      <c r="K324" s="428">
        <f>K321+K312-K296</f>
        <v>11.997</v>
      </c>
      <c r="L324" s="428">
        <f>L321+L312-L296</f>
        <v>10.851795226614477</v>
      </c>
      <c r="M324" s="428">
        <f>M321+M312-M296</f>
        <v>10.195669367546428</v>
      </c>
      <c r="N324" s="428">
        <f>N321+N312-N296</f>
        <v>8.8697395068528433</v>
      </c>
      <c r="O324" s="428">
        <f>O321+O312-O296</f>
        <v>7.8382591355006364</v>
      </c>
    </row>
    <row r="325" spans="1:15" ht="14" thickTop="1">
      <c r="B325" s="8"/>
      <c r="C325" s="8"/>
      <c r="D325" s="8"/>
      <c r="E325" s="8"/>
      <c r="F325" s="381"/>
      <c r="G325" s="8"/>
      <c r="H325" s="8"/>
      <c r="I325" s="8"/>
      <c r="J325" s="8"/>
      <c r="K325" s="8"/>
      <c r="L325" s="8"/>
      <c r="M325" s="8"/>
      <c r="N325" s="8"/>
      <c r="O325" s="8"/>
    </row>
    <row r="327" spans="1:15" ht="12.75" customHeight="1">
      <c r="A327" s="348"/>
      <c r="B327" s="382"/>
      <c r="C327" s="2"/>
      <c r="D327" s="2"/>
      <c r="E327" s="2"/>
      <c r="F327" s="347"/>
      <c r="G327" s="2"/>
      <c r="H327" s="2"/>
      <c r="I327" s="2"/>
      <c r="J327" s="2"/>
      <c r="K327" s="2"/>
      <c r="L327" s="2"/>
      <c r="M327" s="2"/>
      <c r="N327" s="2"/>
      <c r="O327" s="340" t="str">
        <f>$O$1</f>
        <v>Currently Running: Worst Case Scenario</v>
      </c>
    </row>
    <row r="328" spans="1:15" ht="23">
      <c r="B328" s="287" t="str">
        <f>B$2</f>
        <v>Blu Containers Company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8">
      <c r="B329" s="288" t="s">
        <v>113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3" customHeight="1" thickBot="1">
      <c r="A330" s="349"/>
      <c r="B330" s="352"/>
      <c r="C330" s="353"/>
      <c r="D330" s="353"/>
      <c r="E330" s="353"/>
      <c r="F330" s="354"/>
      <c r="G330" s="353"/>
      <c r="H330" s="353"/>
      <c r="I330" s="353"/>
      <c r="J330" s="353"/>
      <c r="K330" s="353"/>
      <c r="L330" s="353"/>
      <c r="M330" s="353"/>
      <c r="N330" s="353"/>
      <c r="O330" s="353"/>
    </row>
    <row r="331" spans="1:15">
      <c r="B331" s="414" t="s">
        <v>171</v>
      </c>
      <c r="F331"/>
      <c r="O331" s="15"/>
    </row>
    <row r="332" spans="1:15">
      <c r="F332"/>
      <c r="H332" s="2"/>
      <c r="I332" s="2"/>
      <c r="J332" s="2"/>
      <c r="K332" s="358" t="s">
        <v>2</v>
      </c>
      <c r="L332" s="16"/>
      <c r="M332" s="16"/>
      <c r="N332" s="16"/>
      <c r="O332" s="16"/>
    </row>
    <row r="333" spans="1:15">
      <c r="F333"/>
      <c r="G333" s="447"/>
      <c r="H333" s="539"/>
      <c r="I333" s="539"/>
      <c r="J333" s="359">
        <f t="shared" ref="J333:O333" si="165">J$7</f>
        <v>2022</v>
      </c>
      <c r="K333" s="181">
        <f t="shared" si="165"/>
        <v>2023</v>
      </c>
      <c r="L333" s="181">
        <f t="shared" si="165"/>
        <v>2024</v>
      </c>
      <c r="M333" s="181">
        <f t="shared" si="165"/>
        <v>2025</v>
      </c>
      <c r="N333" s="181">
        <f t="shared" si="165"/>
        <v>2026</v>
      </c>
      <c r="O333" s="181">
        <f t="shared" si="165"/>
        <v>2027</v>
      </c>
    </row>
    <row r="335" spans="1:15" ht="13.25" customHeight="1">
      <c r="B335" s="84"/>
      <c r="C335" s="84" t="s">
        <v>114</v>
      </c>
    </row>
    <row r="336" spans="1:15" ht="13.25" customHeight="1">
      <c r="D336" t="s">
        <v>65</v>
      </c>
      <c r="G336" s="362"/>
      <c r="K336" s="426">
        <f>J338</f>
        <v>120</v>
      </c>
      <c r="L336" s="426">
        <f t="shared" ref="L336:O336" si="166">K338</f>
        <v>120</v>
      </c>
      <c r="M336" s="426">
        <f t="shared" si="166"/>
        <v>120</v>
      </c>
      <c r="N336" s="426">
        <f t="shared" si="166"/>
        <v>120</v>
      </c>
      <c r="O336" s="426">
        <f t="shared" si="166"/>
        <v>120</v>
      </c>
    </row>
    <row r="337" spans="2:15" ht="13.25" customHeight="1">
      <c r="D337" t="s">
        <v>123</v>
      </c>
      <c r="J337" s="8"/>
      <c r="K337" s="548">
        <f>Assumptions!J73</f>
        <v>0</v>
      </c>
      <c r="L337" s="548">
        <f>Assumptions!K73</f>
        <v>0</v>
      </c>
      <c r="M337" s="548">
        <f>Assumptions!L73</f>
        <v>0</v>
      </c>
      <c r="N337" s="548">
        <f>Assumptions!M73</f>
        <v>0</v>
      </c>
      <c r="O337" s="548">
        <f>Assumptions!N73</f>
        <v>0</v>
      </c>
    </row>
    <row r="338" spans="2:15" ht="13.25" customHeight="1">
      <c r="D338" t="s">
        <v>67</v>
      </c>
      <c r="J338" s="497">
        <f>J184</f>
        <v>120</v>
      </c>
      <c r="K338" s="497">
        <f t="shared" ref="K338:O338" si="167">SUM(K336:K337)</f>
        <v>120</v>
      </c>
      <c r="L338" s="497">
        <f t="shared" si="167"/>
        <v>120</v>
      </c>
      <c r="M338" s="497">
        <f t="shared" si="167"/>
        <v>120</v>
      </c>
      <c r="N338" s="497">
        <f t="shared" si="167"/>
        <v>120</v>
      </c>
      <c r="O338" s="497">
        <f t="shared" si="167"/>
        <v>120</v>
      </c>
    </row>
    <row r="339" spans="2:15" ht="6" customHeight="1"/>
    <row r="340" spans="2:15" ht="13.25" customHeight="1">
      <c r="D340" t="s">
        <v>115</v>
      </c>
      <c r="K340" s="547">
        <f>Assumptions!N10</f>
        <v>0.2</v>
      </c>
      <c r="L340" s="378">
        <f>K340</f>
        <v>0.2</v>
      </c>
      <c r="M340" s="378">
        <f>L340</f>
        <v>0.2</v>
      </c>
      <c r="N340" s="378">
        <f>M340</f>
        <v>0.2</v>
      </c>
      <c r="O340" s="378">
        <f>N340</f>
        <v>0.2</v>
      </c>
    </row>
    <row r="341" spans="2:15" ht="13.25" customHeight="1">
      <c r="D341" t="s">
        <v>8</v>
      </c>
      <c r="K341" s="426">
        <f>K105</f>
        <v>21.230708371735837</v>
      </c>
      <c r="L341" s="426">
        <f t="shared" ref="L341:O341" si="168">L105</f>
        <v>4.0836963536990583</v>
      </c>
      <c r="M341" s="426">
        <f t="shared" si="168"/>
        <v>26.465181422846875</v>
      </c>
      <c r="N341" s="426">
        <f t="shared" si="168"/>
        <v>19.699260828035641</v>
      </c>
      <c r="O341" s="426">
        <f t="shared" si="168"/>
        <v>5.1079044100805815</v>
      </c>
    </row>
    <row r="342" spans="2:15" ht="13.25" customHeight="1">
      <c r="C342" s="84"/>
      <c r="D342" s="84" t="s">
        <v>116</v>
      </c>
      <c r="K342" s="545">
        <f>K340*K341</f>
        <v>4.2461416743471672</v>
      </c>
      <c r="L342" s="545">
        <f t="shared" ref="L342:O342" si="169">L340*L341</f>
        <v>0.81673927073981167</v>
      </c>
      <c r="M342" s="545">
        <f t="shared" si="169"/>
        <v>5.293036284569375</v>
      </c>
      <c r="N342" s="545">
        <f t="shared" si="169"/>
        <v>3.9398521656071281</v>
      </c>
      <c r="O342" s="545">
        <f t="shared" si="169"/>
        <v>1.0215808820161163</v>
      </c>
    </row>
    <row r="345" spans="2:15" ht="13.25" customHeight="1">
      <c r="B345" s="84"/>
      <c r="C345" s="84" t="s">
        <v>117</v>
      </c>
    </row>
    <row r="346" spans="2:15" ht="13.25" customHeight="1">
      <c r="D346" t="s">
        <v>65</v>
      </c>
      <c r="K346" s="426">
        <f>J349</f>
        <v>138.50000000000003</v>
      </c>
      <c r="L346" s="426">
        <f t="shared" ref="L346:O346" si="170">K349</f>
        <v>155.48456669738869</v>
      </c>
      <c r="M346" s="426">
        <f t="shared" si="170"/>
        <v>158.75152378034792</v>
      </c>
      <c r="N346" s="426">
        <f t="shared" si="170"/>
        <v>179.92366891862542</v>
      </c>
      <c r="O346" s="426">
        <f t="shared" si="170"/>
        <v>195.68307758105394</v>
      </c>
    </row>
    <row r="347" spans="2:15" ht="13.25" customHeight="1">
      <c r="D347" t="s">
        <v>8</v>
      </c>
      <c r="K347" s="426">
        <f>K341</f>
        <v>21.230708371735837</v>
      </c>
      <c r="L347" s="426">
        <f t="shared" ref="L347:O347" si="171">L341</f>
        <v>4.0836963536990583</v>
      </c>
      <c r="M347" s="426">
        <f t="shared" si="171"/>
        <v>26.465181422846875</v>
      </c>
      <c r="N347" s="426">
        <f t="shared" si="171"/>
        <v>19.699260828035641</v>
      </c>
      <c r="O347" s="426">
        <f t="shared" si="171"/>
        <v>5.1079044100805815</v>
      </c>
    </row>
    <row r="348" spans="2:15" ht="13.25" customHeight="1">
      <c r="D348" t="s">
        <v>116</v>
      </c>
      <c r="J348" s="8"/>
      <c r="K348" s="541">
        <f>-K342</f>
        <v>-4.2461416743471672</v>
      </c>
      <c r="L348" s="541">
        <f t="shared" ref="L348:O348" si="172">-L342</f>
        <v>-0.81673927073981167</v>
      </c>
      <c r="M348" s="541">
        <f t="shared" si="172"/>
        <v>-5.293036284569375</v>
      </c>
      <c r="N348" s="541">
        <f t="shared" si="172"/>
        <v>-3.9398521656071281</v>
      </c>
      <c r="O348" s="541">
        <f t="shared" si="172"/>
        <v>-1.0215808820161163</v>
      </c>
    </row>
    <row r="349" spans="2:15" ht="13.25" customHeight="1">
      <c r="D349" s="84" t="s">
        <v>67</v>
      </c>
      <c r="E349" s="84"/>
      <c r="F349" s="377"/>
      <c r="G349" s="84"/>
      <c r="H349" s="84"/>
      <c r="I349" s="84"/>
      <c r="J349" s="430">
        <f>J185</f>
        <v>138.50000000000003</v>
      </c>
      <c r="K349" s="430">
        <f t="shared" ref="K349:O349" si="173">SUM(K346:K348)</f>
        <v>155.48456669738869</v>
      </c>
      <c r="L349" s="430">
        <f t="shared" si="173"/>
        <v>158.75152378034792</v>
      </c>
      <c r="M349" s="430">
        <f t="shared" si="173"/>
        <v>179.92366891862542</v>
      </c>
      <c r="N349" s="430">
        <f t="shared" si="173"/>
        <v>195.68307758105394</v>
      </c>
      <c r="O349" s="430">
        <f t="shared" si="173"/>
        <v>199.76940110911841</v>
      </c>
    </row>
    <row r="350" spans="2:15">
      <c r="B350" s="8"/>
      <c r="C350" s="8"/>
      <c r="D350" s="8"/>
      <c r="E350" s="8"/>
      <c r="F350" s="381"/>
      <c r="G350" s="8"/>
      <c r="H350" s="8"/>
      <c r="I350" s="8"/>
      <c r="J350" s="8"/>
      <c r="K350" s="8"/>
      <c r="L350" s="8"/>
      <c r="M350" s="8"/>
      <c r="N350" s="8"/>
      <c r="O350" s="8"/>
    </row>
  </sheetData>
  <sheetProtection formatCells="0" formatColumns="0" formatRows="0" insertColumns="0" insertRows="0"/>
  <phoneticPr fontId="0" type="noConversion"/>
  <printOptions horizontalCentered="1" verticalCentered="1"/>
  <pageMargins left="0.25" right="0.25" top="0.35" bottom="0.5" header="0.25" footer="0.25"/>
  <pageSetup scale="90" orientation="landscape" r:id="rId1"/>
  <headerFooter>
    <oddFooter>&amp;L&amp;K000000&amp;F&amp;A&amp;C&amp;K000000Page &amp;P of &amp;N&amp;R&amp;K000000&amp;D &amp;T</oddFooter>
  </headerFooter>
  <rowBreaks count="1" manualBreakCount="1">
    <brk id="113" min="1" max="14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BE56-AA9C-3441-A151-87368F273C02}">
  <dimension ref="A1:H51"/>
  <sheetViews>
    <sheetView showGridLines="0" zoomScale="161" zoomScaleNormal="120" workbookViewId="0">
      <selection activeCell="E19" sqref="E19"/>
    </sheetView>
  </sheetViews>
  <sheetFormatPr baseColWidth="10" defaultRowHeight="13"/>
  <cols>
    <col min="2" max="2" width="13.83203125" customWidth="1"/>
    <col min="3" max="3" width="8.5" customWidth="1"/>
    <col min="5" max="5" width="11.1640625" bestFit="1" customWidth="1"/>
    <col min="6" max="6" width="15.6640625" customWidth="1"/>
  </cols>
  <sheetData>
    <row r="1" spans="1:6" ht="16">
      <c r="B1" s="219" t="s">
        <v>195</v>
      </c>
      <c r="C1" s="225"/>
      <c r="D1" s="220"/>
      <c r="E1" s="220"/>
    </row>
    <row r="2" spans="1:6">
      <c r="D2" s="21"/>
      <c r="E2" s="21"/>
    </row>
    <row r="3" spans="1:6">
      <c r="D3" s="217" t="s">
        <v>201</v>
      </c>
      <c r="E3" s="217" t="s">
        <v>217</v>
      </c>
    </row>
    <row r="4" spans="1:6">
      <c r="B4" t="s">
        <v>196</v>
      </c>
      <c r="D4" s="234">
        <v>800</v>
      </c>
      <c r="E4" s="234">
        <v>800</v>
      </c>
    </row>
    <row r="6" spans="1:6">
      <c r="B6" t="s">
        <v>197</v>
      </c>
      <c r="E6" s="221">
        <v>0.03</v>
      </c>
    </row>
    <row r="7" spans="1:6">
      <c r="B7" t="s">
        <v>198</v>
      </c>
      <c r="D7" s="8">
        <f>D8*1000/D4</f>
        <v>125</v>
      </c>
      <c r="E7" s="224">
        <f>D7*(1+E6)</f>
        <v>128.75</v>
      </c>
    </row>
    <row r="8" spans="1:6">
      <c r="B8" t="s">
        <v>199</v>
      </c>
      <c r="D8" s="234">
        <v>100</v>
      </c>
      <c r="E8" s="231">
        <f>E4*E7/1000</f>
        <v>103</v>
      </c>
    </row>
    <row r="9" spans="1:6">
      <c r="B9" t="s">
        <v>200</v>
      </c>
      <c r="E9" s="223">
        <f>E7/D7-1</f>
        <v>3.0000000000000027E-2</v>
      </c>
    </row>
    <row r="10" spans="1:6" ht="9" customHeight="1">
      <c r="B10" s="8"/>
      <c r="C10" s="8"/>
      <c r="D10" s="8"/>
      <c r="E10" s="8"/>
    </row>
    <row r="11" spans="1:6">
      <c r="B11" t="s">
        <v>202</v>
      </c>
      <c r="E11" s="221">
        <v>2.5000000000000001E-2</v>
      </c>
    </row>
    <row r="13" spans="1:6">
      <c r="B13" t="s">
        <v>203</v>
      </c>
      <c r="D13" s="221">
        <v>0.75</v>
      </c>
      <c r="F13" s="556" t="s">
        <v>215</v>
      </c>
    </row>
    <row r="14" spans="1:6">
      <c r="B14" t="s">
        <v>204</v>
      </c>
      <c r="D14" s="218">
        <f>100%-D13</f>
        <v>0.25</v>
      </c>
      <c r="F14" s="556"/>
    </row>
    <row r="16" spans="1:6">
      <c r="A16" s="222">
        <v>1</v>
      </c>
      <c r="B16" t="s">
        <v>205</v>
      </c>
      <c r="D16" s="228">
        <f>D20*1000/D7</f>
        <v>360</v>
      </c>
      <c r="E16" s="228">
        <f>D16*(1+E11)</f>
        <v>368.99999999999994</v>
      </c>
    </row>
    <row r="17" spans="1:5">
      <c r="A17" s="222">
        <v>4</v>
      </c>
      <c r="B17" t="s">
        <v>206</v>
      </c>
      <c r="D17" s="229">
        <f>D21*1000/D7</f>
        <v>120</v>
      </c>
      <c r="E17" s="229">
        <f>E21*1000/E7</f>
        <v>119.41747572815532</v>
      </c>
    </row>
    <row r="18" spans="1:5">
      <c r="B18" s="84" t="s">
        <v>207</v>
      </c>
      <c r="D18" s="230">
        <f t="shared" ref="D18:E18" si="0">SUM(D16:D17)</f>
        <v>480</v>
      </c>
      <c r="E18" s="230">
        <f t="shared" si="0"/>
        <v>488.4174757281553</v>
      </c>
    </row>
    <row r="19" spans="1:5">
      <c r="D19" s="231"/>
      <c r="E19" s="231"/>
    </row>
    <row r="20" spans="1:5">
      <c r="A20" s="222">
        <v>2</v>
      </c>
      <c r="B20" t="s">
        <v>208</v>
      </c>
      <c r="D20" s="228">
        <f>D25*D13</f>
        <v>45</v>
      </c>
      <c r="E20" s="228">
        <f>E16*E7/1000</f>
        <v>47.508749999999992</v>
      </c>
    </row>
    <row r="21" spans="1:5">
      <c r="A21" s="222">
        <v>3</v>
      </c>
      <c r="B21" t="s">
        <v>209</v>
      </c>
      <c r="D21" s="229">
        <f>D25*D14</f>
        <v>15</v>
      </c>
      <c r="E21" s="229">
        <f>D21*(1+E11)</f>
        <v>15.374999999999998</v>
      </c>
    </row>
    <row r="22" spans="1:5">
      <c r="B22" s="84" t="s">
        <v>210</v>
      </c>
      <c r="D22" s="230">
        <f>SUM(D20:D21)</f>
        <v>60</v>
      </c>
      <c r="E22" s="230">
        <f>SUM(E20:E21)</f>
        <v>62.883749999999992</v>
      </c>
    </row>
    <row r="23" spans="1:5" ht="9" customHeight="1">
      <c r="B23" s="8"/>
      <c r="C23" s="8"/>
      <c r="D23" s="232"/>
      <c r="E23" s="232"/>
    </row>
    <row r="24" spans="1:5">
      <c r="D24" s="231"/>
      <c r="E24" s="231"/>
    </row>
    <row r="25" spans="1:5">
      <c r="B25" t="s">
        <v>211</v>
      </c>
      <c r="D25" s="233">
        <v>60</v>
      </c>
      <c r="E25" s="229">
        <f>E22</f>
        <v>62.883749999999992</v>
      </c>
    </row>
    <row r="26" spans="1:5">
      <c r="B26" t="s">
        <v>212</v>
      </c>
      <c r="D26" s="228">
        <f>D8-D25</f>
        <v>40</v>
      </c>
      <c r="E26" s="228">
        <f>E8-E25</f>
        <v>40.116250000000008</v>
      </c>
    </row>
    <row r="27" spans="1:5">
      <c r="B27" t="s">
        <v>213</v>
      </c>
      <c r="D27" s="216"/>
      <c r="E27" s="216"/>
    </row>
    <row r="28" spans="1:5">
      <c r="D28" s="216"/>
      <c r="E28" s="216"/>
    </row>
    <row r="29" spans="1:5">
      <c r="B29" s="109" t="s">
        <v>214</v>
      </c>
      <c r="C29" s="110"/>
      <c r="D29" s="226">
        <f>D26/D8</f>
        <v>0.4</v>
      </c>
      <c r="E29" s="227">
        <f>E26/E8</f>
        <v>0.3894781553398059</v>
      </c>
    </row>
    <row r="35" spans="2:8">
      <c r="B35" s="219" t="s">
        <v>216</v>
      </c>
      <c r="C35" s="220"/>
      <c r="D35" s="220"/>
      <c r="E35" s="220"/>
    </row>
    <row r="37" spans="2:8">
      <c r="B37" s="84"/>
      <c r="C37" s="84"/>
      <c r="D37" s="217" t="s">
        <v>201</v>
      </c>
      <c r="E37" s="217" t="s">
        <v>217</v>
      </c>
      <c r="G37" s="245" t="s">
        <v>221</v>
      </c>
      <c r="H37" s="246" t="s">
        <v>222</v>
      </c>
    </row>
    <row r="38" spans="2:8" ht="12" customHeight="1">
      <c r="G38" s="239">
        <v>0</v>
      </c>
      <c r="H38" s="240">
        <v>10</v>
      </c>
    </row>
    <row r="39" spans="2:8">
      <c r="B39" t="s">
        <v>198</v>
      </c>
      <c r="D39" s="235">
        <v>120</v>
      </c>
      <c r="E39" s="235">
        <v>201</v>
      </c>
      <c r="G39" s="241">
        <v>151</v>
      </c>
      <c r="H39" s="242">
        <v>15</v>
      </c>
    </row>
    <row r="40" spans="2:8">
      <c r="B40" t="s">
        <v>218</v>
      </c>
      <c r="E40" s="235">
        <v>150</v>
      </c>
      <c r="G40" s="241">
        <v>176</v>
      </c>
      <c r="H40" s="242">
        <v>20</v>
      </c>
    </row>
    <row r="41" spans="2:8">
      <c r="G41" s="243">
        <v>201</v>
      </c>
      <c r="H41" s="244">
        <v>25</v>
      </c>
    </row>
    <row r="42" spans="2:8">
      <c r="B42" t="s">
        <v>202</v>
      </c>
      <c r="E42" s="237">
        <v>2.8000000000000001E-2</v>
      </c>
    </row>
    <row r="44" spans="2:8">
      <c r="B44" t="s">
        <v>205</v>
      </c>
      <c r="D44" s="236">
        <v>395</v>
      </c>
      <c r="E44" s="231">
        <f>D44*(1+E42)</f>
        <v>406.06</v>
      </c>
    </row>
    <row r="45" spans="2:8">
      <c r="B45" t="s">
        <v>208</v>
      </c>
      <c r="D45" s="231">
        <f>D44*D39/1000</f>
        <v>47.4</v>
      </c>
      <c r="E45" s="231">
        <f>E44*E39/1000</f>
        <v>81.61806</v>
      </c>
    </row>
    <row r="47" spans="2:8">
      <c r="B47" t="s">
        <v>219</v>
      </c>
      <c r="D47" s="231">
        <f>D48*1000/D39</f>
        <v>83.333333333333329</v>
      </c>
      <c r="E47" s="231">
        <f>E48*1000/E39</f>
        <v>127.86069651741293</v>
      </c>
    </row>
    <row r="48" spans="2:8">
      <c r="B48" t="s">
        <v>220</v>
      </c>
      <c r="D48" s="236">
        <v>10</v>
      </c>
      <c r="E48" s="231">
        <f>VLOOKUP($E$39,G38:H41,2,TRUE)*(1+E42)</f>
        <v>25.7</v>
      </c>
    </row>
    <row r="49" spans="2:5">
      <c r="D49" s="231"/>
      <c r="E49" s="231"/>
    </row>
    <row r="50" spans="2:5">
      <c r="B50" t="s">
        <v>206</v>
      </c>
      <c r="D50" s="231">
        <f>D51*1000/D39</f>
        <v>125</v>
      </c>
      <c r="E50" s="231">
        <f>E51*1000/E39</f>
        <v>76.71641791044776</v>
      </c>
    </row>
    <row r="51" spans="2:5">
      <c r="B51" t="s">
        <v>209</v>
      </c>
      <c r="D51" s="236">
        <v>15</v>
      </c>
      <c r="E51" s="238">
        <f>D51*(1+E42)</f>
        <v>15.42</v>
      </c>
    </row>
  </sheetData>
  <mergeCells count="1">
    <mergeCell ref="F13:F14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9D798-DA89-4148-A50A-3DEA2CFE346D}">
  <dimension ref="B2:G21"/>
  <sheetViews>
    <sheetView showGridLines="0" tabSelected="1" zoomScale="150" zoomScaleNormal="130" workbookViewId="0">
      <selection activeCell="E21" sqref="E21"/>
    </sheetView>
  </sheetViews>
  <sheetFormatPr baseColWidth="10" defaultRowHeight="13"/>
  <cols>
    <col min="2" max="2" width="3" customWidth="1"/>
    <col min="3" max="3" width="19.1640625" customWidth="1"/>
    <col min="4" max="4" width="9.83203125" customWidth="1"/>
    <col min="7" max="7" width="25.5" customWidth="1"/>
  </cols>
  <sheetData>
    <row r="2" spans="2:7">
      <c r="E2" s="258" t="s">
        <v>217</v>
      </c>
    </row>
    <row r="3" spans="2:7">
      <c r="E3" s="217" t="s">
        <v>75</v>
      </c>
      <c r="F3" s="217" t="s">
        <v>223</v>
      </c>
      <c r="G3" s="217" t="s">
        <v>224</v>
      </c>
    </row>
    <row r="4" spans="2:7">
      <c r="B4" t="s">
        <v>225</v>
      </c>
      <c r="E4" s="234">
        <v>100</v>
      </c>
      <c r="F4" s="250">
        <v>0.35</v>
      </c>
      <c r="G4" s="238">
        <f>E4*F4</f>
        <v>35</v>
      </c>
    </row>
    <row r="5" spans="2:7">
      <c r="B5" t="s">
        <v>226</v>
      </c>
      <c r="E5" s="251">
        <v>30</v>
      </c>
      <c r="F5" s="252">
        <v>0.35</v>
      </c>
      <c r="G5" s="254">
        <f>E5*F5</f>
        <v>10.5</v>
      </c>
    </row>
    <row r="6" spans="2:7" ht="7" customHeight="1">
      <c r="B6" s="8"/>
      <c r="C6" s="8"/>
      <c r="D6" s="8"/>
      <c r="E6" s="8"/>
      <c r="F6" s="247"/>
      <c r="G6" s="8"/>
    </row>
    <row r="7" spans="2:7">
      <c r="F7" s="248"/>
    </row>
    <row r="8" spans="2:7">
      <c r="B8" s="84" t="s">
        <v>37</v>
      </c>
      <c r="E8" s="259" t="s">
        <v>217</v>
      </c>
      <c r="F8" s="231"/>
    </row>
    <row r="9" spans="2:7">
      <c r="C9" t="s">
        <v>227</v>
      </c>
      <c r="E9" s="254">
        <f>G5</f>
        <v>10.5</v>
      </c>
      <c r="F9" s="223"/>
    </row>
    <row r="10" spans="2:7">
      <c r="C10" t="s">
        <v>228</v>
      </c>
      <c r="E10" s="255">
        <f>E11-E9</f>
        <v>24.5</v>
      </c>
      <c r="G10" s="260" t="s">
        <v>231</v>
      </c>
    </row>
    <row r="11" spans="2:7">
      <c r="C11" t="s">
        <v>229</v>
      </c>
      <c r="E11" s="238">
        <f>G4</f>
        <v>35</v>
      </c>
      <c r="F11" s="249"/>
    </row>
    <row r="12" spans="2:7">
      <c r="E12" s="8"/>
    </row>
    <row r="13" spans="2:7">
      <c r="C13" s="84" t="s">
        <v>8</v>
      </c>
      <c r="E13" s="256">
        <f>E4-E11</f>
        <v>65</v>
      </c>
    </row>
    <row r="16" spans="2:7">
      <c r="B16" s="84" t="s">
        <v>47</v>
      </c>
      <c r="C16" s="84"/>
    </row>
    <row r="17" spans="2:7">
      <c r="C17" t="s">
        <v>8</v>
      </c>
      <c r="E17" s="254">
        <f>E13</f>
        <v>65</v>
      </c>
    </row>
    <row r="18" spans="2:7">
      <c r="C18" t="s">
        <v>228</v>
      </c>
      <c r="E18" s="254">
        <f>E10</f>
        <v>24.5</v>
      </c>
      <c r="G18" s="260" t="s">
        <v>231</v>
      </c>
    </row>
    <row r="20" spans="2:7">
      <c r="B20" s="84" t="s">
        <v>105</v>
      </c>
      <c r="D20" s="181" t="s">
        <v>201</v>
      </c>
      <c r="E20" s="259" t="s">
        <v>217</v>
      </c>
    </row>
    <row r="21" spans="2:7" ht="12" customHeight="1">
      <c r="C21" t="s">
        <v>230</v>
      </c>
      <c r="D21" s="257">
        <v>10</v>
      </c>
      <c r="E21" s="253">
        <f>D21+E10</f>
        <v>34.5</v>
      </c>
      <c r="G21" s="260" t="s">
        <v>232</v>
      </c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98D8306A1034782492F3567A273F2" ma:contentTypeVersion="12" ma:contentTypeDescription="Create a new document." ma:contentTypeScope="" ma:versionID="4c5b699968f7936cc9e2b89b7e5f9cbe">
  <xsd:schema xmlns:xsd="http://www.w3.org/2001/XMLSchema" xmlns:xs="http://www.w3.org/2001/XMLSchema" xmlns:p="http://schemas.microsoft.com/office/2006/metadata/properties" xmlns:ns2="90f44690-06d1-49fb-852d-53eb500a6f07" xmlns:ns3="7c7e0179-495a-4ef3-8969-463b3802bcab" targetNamespace="http://schemas.microsoft.com/office/2006/metadata/properties" ma:root="true" ma:fieldsID="dadd706c7ce454de55746a2a3b085249" ns2:_="" ns3:_="">
    <xsd:import namespace="90f44690-06d1-49fb-852d-53eb500a6f07"/>
    <xsd:import namespace="7c7e0179-495a-4ef3-8969-463b3802bc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44690-06d1-49fb-852d-53eb500a6f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571d408-0d8c-48a4-adcf-444c1a3db9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7e0179-495a-4ef3-8969-463b3802bc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205484f-7026-451c-87e6-e05ed3f56675}" ma:internalName="TaxCatchAll" ma:showField="CatchAllData" ma:web="7c7e0179-495a-4ef3-8969-463b3802bc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44690-06d1-49fb-852d-53eb500a6f07">
      <Terms xmlns="http://schemas.microsoft.com/office/infopath/2007/PartnerControls"/>
    </lcf76f155ced4ddcb4097134ff3c332f>
    <TaxCatchAll xmlns="7c7e0179-495a-4ef3-8969-463b3802bca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7B2F2C-E8EE-4BB5-A717-F682100019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44690-06d1-49fb-852d-53eb500a6f07"/>
    <ds:schemaRef ds:uri="7c7e0179-495a-4ef3-8969-463b3802bc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85162E-4F6A-4F9A-AA32-41B2CBEE217C}">
  <ds:schemaRefs>
    <ds:schemaRef ds:uri="http://schemas.microsoft.com/office/2006/metadata/properties"/>
    <ds:schemaRef ds:uri="http://schemas.microsoft.com/office/infopath/2007/PartnerControls"/>
    <ds:schemaRef ds:uri="90f44690-06d1-49fb-852d-53eb500a6f07"/>
    <ds:schemaRef ds:uri="7c7e0179-495a-4ef3-8969-463b3802bcab"/>
  </ds:schemaRefs>
</ds:datastoreItem>
</file>

<file path=customXml/itemProps3.xml><?xml version="1.0" encoding="utf-8"?>
<ds:datastoreItem xmlns:ds="http://schemas.openxmlformats.org/officeDocument/2006/customXml" ds:itemID="{C39E450A-0AD5-4057-8FCE-28839633CB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Cover</vt:lpstr>
      <vt:lpstr>Summary</vt:lpstr>
      <vt:lpstr>Assumptions</vt:lpstr>
      <vt:lpstr>Scenarios</vt:lpstr>
      <vt:lpstr>Model</vt:lpstr>
      <vt:lpstr>Cost Backing</vt:lpstr>
      <vt:lpstr>Tax Calcs</vt:lpstr>
      <vt:lpstr>Assumptions!Print_Area</vt:lpstr>
      <vt:lpstr>Cover!Print_Area</vt:lpstr>
      <vt:lpstr>Model!Print_Area</vt:lpstr>
      <vt:lpstr>Scenarios!Print_Area</vt:lpstr>
      <vt:lpstr>Summary!Print_Area</vt:lpstr>
    </vt:vector>
  </TitlesOfParts>
  <Company>Financial Modeling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Schnoor</dc:creator>
  <cp:lastModifiedBy>Vy Nguyen</cp:lastModifiedBy>
  <cp:lastPrinted>2024-07-02T05:35:45Z</cp:lastPrinted>
  <dcterms:created xsi:type="dcterms:W3CDTF">2018-03-28T17:44:41Z</dcterms:created>
  <dcterms:modified xsi:type="dcterms:W3CDTF">2024-07-02T05:57:12Z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0x01010023898D8306A1034782492F3567A273F2</vt:lpwstr>
  </property>
</Properties>
</file>