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codeName="ThisWorkbook"/>
  <mc:AlternateContent xmlns:mc="http://schemas.openxmlformats.org/markup-compatibility/2006">
    <mc:Choice Requires="x15">
      <x15ac:absPath xmlns:x15ac="http://schemas.microsoft.com/office/spreadsheetml/2010/11/ac" url="https://nycu1-my.sharepoint.com/personal/ywtsai_m365_nycu_edu_tw/Documents/NYCU Ivy/陽明交通大學課程 NEW/2023 藥經特論/2023 Fall 特論 PPTs/20231031/"/>
    </mc:Choice>
  </mc:AlternateContent>
  <xr:revisionPtr revIDLastSave="0" documentId="8_{A92163D2-E052-41F0-B7A5-FB6E2A2C64DD}" xr6:coauthVersionLast="47" xr6:coauthVersionMax="47" xr10:uidLastSave="{00000000-0000-0000-0000-000000000000}"/>
  <bookViews>
    <workbookView xWindow="408" yWindow="0" windowWidth="21900" windowHeight="12336" tabRatio="601" activeTab="6"/>
  </bookViews>
  <sheets>
    <sheet name="Model Figure" sheetId="1" r:id="rId1"/>
    <sheet name="Analysis" sheetId="2" r:id="rId2"/>
    <sheet name="Parameters" sheetId="3" r:id="rId3"/>
    <sheet name="Life tables" sheetId="4" r:id="rId4"/>
    <sheet name="Hazard function" sheetId="5" r:id="rId5"/>
    <sheet name="Standard" sheetId="6" r:id="rId6"/>
    <sheet name="NP1" sheetId="7" r:id="rId7"/>
    <sheet name="Macros" sheetId="8" state="veryHidden" r:id=""/>
  </sheets>
  <definedNames>
    <definedName name="a" localSheetId="4">'Hazard function'!#REF!</definedName>
    <definedName name="age">Parameters!$B$8</definedName>
    <definedName name="ageC">Parameters!$B$23</definedName>
    <definedName name="b" localSheetId="4">'Hazard function'!#REF!</definedName>
    <definedName name="c_" localSheetId="4">'Hazard function'!#REF!</definedName>
    <definedName name="cDR">Parameters!$B$11</definedName>
    <definedName name="_cNP1">Parameters!$B$36</definedName>
    <definedName name="_cNP2">Parameters!$B$37</definedName>
    <definedName name="cons">Parameters!$B$22</definedName>
    <definedName name="cPrimary">Parameters!$B$32</definedName>
    <definedName name="cRatio">#REF!</definedName>
    <definedName name="cRevision">Parameters!$B$33</definedName>
    <definedName name="cStandard">Parameters!$B$35</definedName>
    <definedName name="cSuccess">Parameters!$B$34</definedName>
    <definedName name="cycle" localSheetId="6">'NP1'!$A$6:$A$66</definedName>
    <definedName name="cycle">Standard!$A$6:$A$66</definedName>
    <definedName name="d" localSheetId="4">'Hazard function'!#REF!</definedName>
    <definedName name="e" localSheetId="4">'Hazard function'!#REF!</definedName>
    <definedName name="f" localSheetId="4">'Hazard function'!#REF!</definedName>
    <definedName name="g" localSheetId="4">'Hazard function'!#REF!</definedName>
    <definedName name="gamma">Parameters!$B$26</definedName>
    <definedName name="h" localSheetId="4">'Hazard function'!#REF!</definedName>
    <definedName name="i" localSheetId="4">'Hazard function'!#REF!</definedName>
    <definedName name="j" localSheetId="4">'Hazard function'!#REF!</definedName>
    <definedName name="k" localSheetId="4">'Hazard function'!#REF!</definedName>
    <definedName name="l" localSheetId="4">'Hazard function'!#REF!</definedName>
    <definedName name="lambda">Parameters!$B$25</definedName>
    <definedName name="lifetable">'Life tables'!$C$15:$E$20</definedName>
    <definedName name="lngam">Parameters!$B$26</definedName>
    <definedName name="lnlam">Parameters!$B$25</definedName>
    <definedName name="m" localSheetId="4">'Hazard function'!#REF!</definedName>
    <definedName name="male">Parameters!$B$9</definedName>
    <definedName name="maleC">Parameters!$B$24</definedName>
    <definedName name="mr" localSheetId="6">'NP1'!$E$7:$E$66</definedName>
    <definedName name="mr">Standard!$E$7:$E$66</definedName>
    <definedName name="n" localSheetId="4">'Hazard function'!#REF!</definedName>
    <definedName name="NP1cost">'NP1'!$M$68</definedName>
    <definedName name="NP1lys">'NP1'!$N$68</definedName>
    <definedName name="NP1qalys">'NP1'!$O$68</definedName>
    <definedName name="np1RR">'NP1'!$C$7:$C$66</definedName>
    <definedName name="NP2cost">#REF!</definedName>
    <definedName name="NP2lys">#REF!</definedName>
    <definedName name="NP2qalys">#REF!</definedName>
    <definedName name="o" localSheetId="4">'Hazard function'!#REF!</definedName>
    <definedName name="oDR">Parameters!$B$12</definedName>
    <definedName name="omrPTHR">Parameters!$B$16</definedName>
    <definedName name="omrRTHR">Parameters!$B$17</definedName>
    <definedName name="p">'Hazard function'!#REF!</definedName>
    <definedName name="_xlnm.Print_Area" localSheetId="2">Parameters!$A$1:$M$47</definedName>
    <definedName name="q">'Hazard function'!#REF!</definedName>
    <definedName name="r_">'Hazard function'!#REF!</definedName>
    <definedName name="rrNP1">Parameters!$B$27</definedName>
    <definedName name="rrNP2">Parameters!$B$28</definedName>
    <definedName name="rrr">Parameters!$B$18</definedName>
    <definedName name="s">'Hazard function'!#REF!</definedName>
    <definedName name="standardRR">Standard!$C$7:$C$66</definedName>
    <definedName name="STDcost">Standard!$M$68</definedName>
    <definedName name="STDlys">Standard!$N$68</definedName>
    <definedName name="STDqalys">Standard!$O$68</definedName>
    <definedName name="t">'Hazard function'!#REF!</definedName>
    <definedName name="u">'Hazard function'!#REF!</definedName>
    <definedName name="uRevision">Parameters!$B$43</definedName>
    <definedName name="uSuccessP">Parameters!$B$41</definedName>
    <definedName name="uSuccessR">Parameters!$B$42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6" l="1"/>
  <c r="M6" i="6"/>
  <c r="B22" i="3"/>
  <c r="B23" i="3"/>
  <c r="B8" i="3"/>
  <c r="B24" i="3"/>
  <c r="B9" i="3"/>
  <c r="E12" i="7" s="1"/>
  <c r="B26" i="3"/>
  <c r="E17" i="4"/>
  <c r="E18" i="4"/>
  <c r="E19" i="4"/>
  <c r="E30" i="6"/>
  <c r="E20" i="4"/>
  <c r="M6" i="7"/>
  <c r="B27" i="3"/>
  <c r="E8" i="7"/>
  <c r="E20" i="7"/>
  <c r="E21" i="7"/>
  <c r="E24" i="7"/>
  <c r="E28" i="7"/>
  <c r="E29" i="7"/>
  <c r="E32" i="7"/>
  <c r="E33" i="7"/>
  <c r="E36" i="7"/>
  <c r="E37" i="7"/>
  <c r="E40" i="7"/>
  <c r="E41" i="7"/>
  <c r="E44" i="7"/>
  <c r="E45" i="7"/>
  <c r="E48" i="7"/>
  <c r="E49" i="7"/>
  <c r="E50" i="7"/>
  <c r="E51" i="7"/>
  <c r="E52" i="7"/>
  <c r="E53" i="7"/>
  <c r="E54" i="7"/>
  <c r="E55" i="7"/>
  <c r="E56" i="7"/>
  <c r="E57" i="7"/>
  <c r="E58" i="7"/>
  <c r="E59" i="7"/>
  <c r="E60" i="7"/>
  <c r="E61" i="7"/>
  <c r="E62" i="7"/>
  <c r="E63" i="7"/>
  <c r="E64" i="7"/>
  <c r="E65" i="7"/>
  <c r="E66" i="7"/>
  <c r="E10" i="5"/>
  <c r="E6" i="5"/>
  <c r="E7" i="5"/>
  <c r="E9" i="5"/>
  <c r="E8" i="5"/>
  <c r="D16" i="4"/>
  <c r="E16" i="4"/>
  <c r="D17" i="4"/>
  <c r="D18" i="4"/>
  <c r="D19" i="4"/>
  <c r="D20" i="4"/>
  <c r="E15" i="4"/>
  <c r="D15" i="4"/>
  <c r="L6" i="7"/>
  <c r="L6" i="6"/>
  <c r="E35" i="6" l="1"/>
  <c r="E9" i="7"/>
  <c r="B25" i="3"/>
  <c r="E17" i="7"/>
  <c r="E16" i="7"/>
  <c r="E13" i="7"/>
  <c r="E51" i="6"/>
  <c r="E25" i="7"/>
  <c r="C7" i="6"/>
  <c r="C12" i="6"/>
  <c r="C16" i="6"/>
  <c r="C20" i="6"/>
  <c r="C33" i="6"/>
  <c r="C37" i="6"/>
  <c r="C41" i="6"/>
  <c r="C45" i="6"/>
  <c r="C49" i="6"/>
  <c r="C53" i="6"/>
  <c r="C57" i="6"/>
  <c r="C61" i="6"/>
  <c r="C65" i="6"/>
  <c r="C10" i="7"/>
  <c r="C14" i="7"/>
  <c r="C18" i="7"/>
  <c r="C22" i="7"/>
  <c r="C26" i="7"/>
  <c r="C30" i="7"/>
  <c r="C34" i="7"/>
  <c r="C38" i="7"/>
  <c r="C42" i="7"/>
  <c r="C46" i="7"/>
  <c r="C11" i="6"/>
  <c r="C24" i="6"/>
  <c r="C28" i="6"/>
  <c r="C15" i="6"/>
  <c r="C19" i="6"/>
  <c r="C32" i="6"/>
  <c r="C36" i="6"/>
  <c r="C40" i="6"/>
  <c r="C44" i="6"/>
  <c r="C48" i="6"/>
  <c r="C52" i="6"/>
  <c r="C56" i="6"/>
  <c r="C60" i="6"/>
  <c r="C64" i="6"/>
  <c r="C9" i="7"/>
  <c r="C13" i="7"/>
  <c r="C17" i="7"/>
  <c r="C21" i="7"/>
  <c r="C25" i="7"/>
  <c r="C29" i="7"/>
  <c r="C33" i="7"/>
  <c r="C37" i="7"/>
  <c r="C41" i="7"/>
  <c r="C45" i="7"/>
  <c r="C49" i="7"/>
  <c r="C10" i="6"/>
  <c r="C23" i="6"/>
  <c r="C27" i="6"/>
  <c r="C31" i="6"/>
  <c r="C14" i="6"/>
  <c r="C18" i="6"/>
  <c r="C35" i="6"/>
  <c r="C39" i="6"/>
  <c r="C43" i="6"/>
  <c r="C47" i="6"/>
  <c r="C51" i="6"/>
  <c r="C55" i="6"/>
  <c r="C59" i="6"/>
  <c r="C63" i="6"/>
  <c r="C8" i="6"/>
  <c r="C25" i="6"/>
  <c r="C29" i="6"/>
  <c r="C66" i="6"/>
  <c r="C50" i="6"/>
  <c r="C34" i="6"/>
  <c r="C30" i="6"/>
  <c r="E8" i="6"/>
  <c r="E21" i="6"/>
  <c r="E25" i="6"/>
  <c r="E29" i="6"/>
  <c r="E12" i="6"/>
  <c r="E16" i="6"/>
  <c r="E20" i="6"/>
  <c r="E33" i="6"/>
  <c r="E37" i="6"/>
  <c r="E41" i="6"/>
  <c r="E45" i="6"/>
  <c r="E49" i="6"/>
  <c r="E53" i="6"/>
  <c r="E57" i="6"/>
  <c r="E61" i="6"/>
  <c r="E65" i="6"/>
  <c r="E10" i="7"/>
  <c r="E14" i="7"/>
  <c r="E18" i="7"/>
  <c r="E22" i="7"/>
  <c r="E26" i="7"/>
  <c r="E30" i="7"/>
  <c r="E34" i="7"/>
  <c r="E38" i="7"/>
  <c r="E42" i="7"/>
  <c r="E46" i="7"/>
  <c r="E7" i="6"/>
  <c r="E24" i="6"/>
  <c r="E28" i="6"/>
  <c r="E11" i="6"/>
  <c r="E15" i="6"/>
  <c r="E19" i="6"/>
  <c r="E32" i="6"/>
  <c r="E36" i="6"/>
  <c r="E40" i="6"/>
  <c r="E44" i="6"/>
  <c r="E48" i="6"/>
  <c r="E52" i="6"/>
  <c r="E56" i="6"/>
  <c r="E60" i="6"/>
  <c r="E64" i="6"/>
  <c r="E10" i="6"/>
  <c r="E23" i="6"/>
  <c r="E27" i="6"/>
  <c r="E13" i="6"/>
  <c r="E17" i="6"/>
  <c r="E34" i="6"/>
  <c r="E38" i="6"/>
  <c r="E42" i="6"/>
  <c r="E46" i="6"/>
  <c r="E50" i="6"/>
  <c r="E54" i="6"/>
  <c r="E58" i="6"/>
  <c r="E62" i="6"/>
  <c r="E66" i="6"/>
  <c r="E7" i="7"/>
  <c r="E11" i="7"/>
  <c r="E15" i="7"/>
  <c r="E19" i="7"/>
  <c r="E23" i="7"/>
  <c r="E27" i="7"/>
  <c r="E31" i="7"/>
  <c r="E35" i="7"/>
  <c r="E39" i="7"/>
  <c r="E43" i="7"/>
  <c r="E47" i="7"/>
  <c r="C66" i="7"/>
  <c r="C62" i="7"/>
  <c r="C58" i="7"/>
  <c r="C54" i="7"/>
  <c r="C50" i="7"/>
  <c r="C48" i="7"/>
  <c r="C40" i="7"/>
  <c r="C32" i="7"/>
  <c r="C24" i="7"/>
  <c r="C16" i="7"/>
  <c r="C8" i="7"/>
  <c r="E55" i="6"/>
  <c r="E39" i="6"/>
  <c r="E14" i="6"/>
  <c r="E9" i="6"/>
  <c r="C54" i="6"/>
  <c r="C38" i="6"/>
  <c r="C13" i="6"/>
  <c r="C9" i="6"/>
  <c r="C63" i="7"/>
  <c r="C59" i="7"/>
  <c r="C55" i="7"/>
  <c r="C51" i="7"/>
  <c r="C47" i="7"/>
  <c r="C39" i="7"/>
  <c r="C31" i="7"/>
  <c r="C23" i="7"/>
  <c r="C15" i="7"/>
  <c r="C7" i="7"/>
  <c r="E59" i="6"/>
  <c r="E43" i="6"/>
  <c r="E22" i="6"/>
  <c r="E18" i="6"/>
  <c r="C58" i="6"/>
  <c r="C42" i="6"/>
  <c r="C22" i="6"/>
  <c r="C17" i="6"/>
  <c r="C44" i="7"/>
  <c r="C36" i="7"/>
  <c r="C28" i="7"/>
  <c r="C20" i="7"/>
  <c r="C12" i="7"/>
  <c r="E63" i="6"/>
  <c r="E47" i="6"/>
  <c r="E31" i="6"/>
  <c r="E26" i="6"/>
  <c r="C46" i="6" l="1"/>
  <c r="C56" i="7"/>
  <c r="C61" i="7"/>
  <c r="C27" i="7"/>
  <c r="C19" i="7"/>
  <c r="C53" i="7"/>
  <c r="C64" i="7"/>
  <c r="C60" i="7"/>
  <c r="C21" i="6"/>
  <c r="C62" i="6"/>
  <c r="C52" i="7"/>
  <c r="C57" i="7"/>
  <c r="C43" i="7"/>
  <c r="C26" i="6"/>
  <c r="C35" i="7"/>
  <c r="C65" i="7"/>
  <c r="C11" i="7"/>
  <c r="J7" i="7"/>
  <c r="K7" i="7"/>
  <c r="H7" i="7"/>
  <c r="I7" i="7"/>
  <c r="J8" i="7" s="1"/>
  <c r="J7" i="6"/>
  <c r="K7" i="6"/>
  <c r="H7" i="6"/>
  <c r="I7" i="6"/>
  <c r="J8" i="6" l="1"/>
  <c r="H8" i="6"/>
  <c r="I8" i="6"/>
  <c r="M7" i="6"/>
  <c r="O7" i="6"/>
  <c r="L7" i="6"/>
  <c r="K8" i="6"/>
  <c r="N8" i="6"/>
  <c r="I8" i="7"/>
  <c r="J9" i="7" s="1"/>
  <c r="M7" i="7"/>
  <c r="K8" i="7"/>
  <c r="L7" i="7"/>
  <c r="H8" i="7"/>
  <c r="O7" i="7"/>
  <c r="N7" i="6"/>
  <c r="N7" i="7"/>
  <c r="J9" i="6" l="1"/>
  <c r="N8" i="7"/>
  <c r="M8" i="7"/>
  <c r="H9" i="7"/>
  <c r="I9" i="7"/>
  <c r="J10" i="7" s="1"/>
  <c r="L8" i="7"/>
  <c r="K9" i="7"/>
  <c r="O8" i="7"/>
  <c r="N9" i="7"/>
  <c r="I9" i="6"/>
  <c r="J10" i="6" s="1"/>
  <c r="M8" i="6"/>
  <c r="H9" i="6"/>
  <c r="O8" i="6"/>
  <c r="L8" i="6"/>
  <c r="K9" i="6"/>
  <c r="N9" i="6" l="1"/>
  <c r="H10" i="7"/>
  <c r="M9" i="7"/>
  <c r="I10" i="7"/>
  <c r="J11" i="7" s="1"/>
  <c r="O9" i="7"/>
  <c r="L9" i="7"/>
  <c r="K10" i="7"/>
  <c r="M9" i="6"/>
  <c r="H10" i="6"/>
  <c r="L9" i="6"/>
  <c r="I10" i="6"/>
  <c r="J11" i="6" s="1"/>
  <c r="K10" i="6"/>
  <c r="N10" i="6" l="1"/>
  <c r="H11" i="7"/>
  <c r="I11" i="7"/>
  <c r="J12" i="7" s="1"/>
  <c r="O10" i="7"/>
  <c r="M10" i="7"/>
  <c r="L10" i="7"/>
  <c r="K11" i="7"/>
  <c r="N10" i="7"/>
  <c r="M10" i="6"/>
  <c r="O10" i="6"/>
  <c r="H11" i="6"/>
  <c r="I11" i="6"/>
  <c r="J12" i="6" s="1"/>
  <c r="L10" i="6"/>
  <c r="K11" i="6"/>
  <c r="I12" i="7" l="1"/>
  <c r="J13" i="7" s="1"/>
  <c r="H12" i="7"/>
  <c r="O11" i="7"/>
  <c r="L11" i="7"/>
  <c r="M11" i="7"/>
  <c r="K12" i="7"/>
  <c r="N11" i="6"/>
  <c r="N11" i="7"/>
  <c r="H12" i="6"/>
  <c r="O11" i="6"/>
  <c r="I12" i="6"/>
  <c r="J13" i="6" s="1"/>
  <c r="M11" i="6"/>
  <c r="L11" i="6"/>
  <c r="K12" i="6"/>
  <c r="H13" i="6" l="1"/>
  <c r="I13" i="6"/>
  <c r="J14" i="6" s="1"/>
  <c r="O12" i="6"/>
  <c r="M12" i="6"/>
  <c r="K13" i="6"/>
  <c r="L12" i="6"/>
  <c r="M12" i="7"/>
  <c r="O12" i="7"/>
  <c r="L12" i="7"/>
  <c r="H13" i="7"/>
  <c r="N13" i="7" s="1"/>
  <c r="I13" i="7"/>
  <c r="J14" i="7" s="1"/>
  <c r="K13" i="7"/>
  <c r="N12" i="7"/>
  <c r="N12" i="6"/>
  <c r="N13" i="6"/>
  <c r="H14" i="7" l="1"/>
  <c r="M13" i="7"/>
  <c r="L13" i="7"/>
  <c r="K14" i="7"/>
  <c r="I14" i="7"/>
  <c r="J15" i="7" s="1"/>
  <c r="O13" i="7"/>
  <c r="M13" i="6"/>
  <c r="O13" i="6"/>
  <c r="I14" i="6"/>
  <c r="J15" i="6" s="1"/>
  <c r="H14" i="6"/>
  <c r="L13" i="6"/>
  <c r="K14" i="6"/>
  <c r="M14" i="6" l="1"/>
  <c r="H15" i="6"/>
  <c r="O14" i="6"/>
  <c r="I15" i="6"/>
  <c r="J16" i="6" s="1"/>
  <c r="L14" i="6"/>
  <c r="K15" i="6"/>
  <c r="N15" i="6"/>
  <c r="H15" i="7"/>
  <c r="I15" i="7"/>
  <c r="J16" i="7" s="1"/>
  <c r="O14" i="7"/>
  <c r="L14" i="7"/>
  <c r="K15" i="7"/>
  <c r="M14" i="7"/>
  <c r="N14" i="7"/>
  <c r="N14" i="6"/>
  <c r="H16" i="6" l="1"/>
  <c r="I16" i="6"/>
  <c r="J17" i="6" s="1"/>
  <c r="M15" i="6"/>
  <c r="O15" i="6"/>
  <c r="K16" i="6"/>
  <c r="L15" i="6"/>
  <c r="N16" i="6"/>
  <c r="I16" i="7"/>
  <c r="J17" i="7" s="1"/>
  <c r="O15" i="7"/>
  <c r="L15" i="7"/>
  <c r="M15" i="7"/>
  <c r="K16" i="7"/>
  <c r="H16" i="7"/>
  <c r="N16" i="7" s="1"/>
  <c r="N15" i="7"/>
  <c r="M16" i="7" l="1"/>
  <c r="H17" i="7"/>
  <c r="I17" i="7"/>
  <c r="J18" i="7" s="1"/>
  <c r="O16" i="7"/>
  <c r="L16" i="7"/>
  <c r="K17" i="7"/>
  <c r="N17" i="7"/>
  <c r="H17" i="6"/>
  <c r="I17" i="6"/>
  <c r="J18" i="6" s="1"/>
  <c r="O16" i="6"/>
  <c r="M16" i="6"/>
  <c r="L16" i="6"/>
  <c r="K17" i="6"/>
  <c r="N17" i="6" l="1"/>
  <c r="H18" i="7"/>
  <c r="M17" i="7"/>
  <c r="L17" i="7"/>
  <c r="I18" i="7"/>
  <c r="J19" i="7" s="1"/>
  <c r="O17" i="7"/>
  <c r="K18" i="7"/>
  <c r="O17" i="6"/>
  <c r="M17" i="6"/>
  <c r="I18" i="6"/>
  <c r="J19" i="6" s="1"/>
  <c r="H18" i="6"/>
  <c r="L17" i="6"/>
  <c r="K18" i="6"/>
  <c r="H19" i="7" l="1"/>
  <c r="I19" i="7"/>
  <c r="J20" i="7" s="1"/>
  <c r="L18" i="7"/>
  <c r="K19" i="7"/>
  <c r="M18" i="7"/>
  <c r="O18" i="7"/>
  <c r="M18" i="6"/>
  <c r="O18" i="6"/>
  <c r="H19" i="6"/>
  <c r="L18" i="6"/>
  <c r="I19" i="6"/>
  <c r="J20" i="6" s="1"/>
  <c r="K19" i="6"/>
  <c r="N18" i="6"/>
  <c r="N18" i="7"/>
  <c r="H20" i="6" l="1"/>
  <c r="O19" i="6"/>
  <c r="I20" i="6"/>
  <c r="J21" i="6" s="1"/>
  <c r="M19" i="6"/>
  <c r="K20" i="6"/>
  <c r="L19" i="6"/>
  <c r="I20" i="7"/>
  <c r="J21" i="7" s="1"/>
  <c r="H20" i="7"/>
  <c r="L19" i="7"/>
  <c r="K20" i="7"/>
  <c r="M19" i="7"/>
  <c r="O19" i="7"/>
  <c r="N19" i="6"/>
  <c r="N19" i="7"/>
  <c r="H21" i="6" l="1"/>
  <c r="I21" i="6"/>
  <c r="J22" i="6" s="1"/>
  <c r="O20" i="6"/>
  <c r="K21" i="6"/>
  <c r="L20" i="6"/>
  <c r="M20" i="6"/>
  <c r="M20" i="7"/>
  <c r="O20" i="7"/>
  <c r="H21" i="7"/>
  <c r="L20" i="7"/>
  <c r="I21" i="7"/>
  <c r="J22" i="7" s="1"/>
  <c r="K21" i="7"/>
  <c r="N20" i="6"/>
  <c r="N21" i="6"/>
  <c r="N21" i="7"/>
  <c r="N20" i="7"/>
  <c r="H22" i="7" l="1"/>
  <c r="M21" i="7"/>
  <c r="L21" i="7"/>
  <c r="O21" i="7"/>
  <c r="I22" i="7"/>
  <c r="J23" i="7" s="1"/>
  <c r="K22" i="7"/>
  <c r="I22" i="6"/>
  <c r="J23" i="6" s="1"/>
  <c r="M21" i="6"/>
  <c r="O21" i="6"/>
  <c r="H22" i="6"/>
  <c r="L21" i="6"/>
  <c r="K22" i="6"/>
  <c r="H23" i="7" l="1"/>
  <c r="I23" i="7"/>
  <c r="J24" i="7" s="1"/>
  <c r="O22" i="7"/>
  <c r="L22" i="7"/>
  <c r="M22" i="7"/>
  <c r="K23" i="7"/>
  <c r="N22" i="6"/>
  <c r="M22" i="6"/>
  <c r="O22" i="6"/>
  <c r="H23" i="6"/>
  <c r="I23" i="6"/>
  <c r="J24" i="6" s="1"/>
  <c r="L22" i="6"/>
  <c r="K23" i="6"/>
  <c r="N22" i="7"/>
  <c r="N23" i="6" l="1"/>
  <c r="M23" i="6"/>
  <c r="H24" i="6"/>
  <c r="I24" i="6"/>
  <c r="J25" i="6" s="1"/>
  <c r="O23" i="6"/>
  <c r="L23" i="6"/>
  <c r="K24" i="6"/>
  <c r="I24" i="7"/>
  <c r="J25" i="7" s="1"/>
  <c r="K24" i="7"/>
  <c r="O23" i="7"/>
  <c r="M23" i="7"/>
  <c r="L23" i="7"/>
  <c r="H24" i="7"/>
  <c r="N23" i="7"/>
  <c r="M24" i="7" l="1"/>
  <c r="H25" i="7"/>
  <c r="L24" i="7"/>
  <c r="O24" i="7"/>
  <c r="K25" i="7"/>
  <c r="I25" i="7"/>
  <c r="J26" i="7" s="1"/>
  <c r="H25" i="6"/>
  <c r="I25" i="6"/>
  <c r="J26" i="6" s="1"/>
  <c r="O24" i="6"/>
  <c r="L24" i="6"/>
  <c r="M24" i="6"/>
  <c r="K25" i="6"/>
  <c r="N24" i="6"/>
  <c r="N24" i="7"/>
  <c r="N25" i="7" l="1"/>
  <c r="I26" i="6"/>
  <c r="J27" i="6" s="1"/>
  <c r="O25" i="6"/>
  <c r="M25" i="6"/>
  <c r="H26" i="6"/>
  <c r="L25" i="6"/>
  <c r="K26" i="6"/>
  <c r="N26" i="7"/>
  <c r="N25" i="6"/>
  <c r="H26" i="7"/>
  <c r="M25" i="7"/>
  <c r="L25" i="7"/>
  <c r="I26" i="7"/>
  <c r="J27" i="7" s="1"/>
  <c r="O25" i="7"/>
  <c r="K26" i="7"/>
  <c r="O26" i="6" l="1"/>
  <c r="M26" i="6"/>
  <c r="H27" i="6"/>
  <c r="I27" i="6"/>
  <c r="J28" i="6" s="1"/>
  <c r="L26" i="6"/>
  <c r="K27" i="6"/>
  <c r="H27" i="7"/>
  <c r="I27" i="7"/>
  <c r="J28" i="7" s="1"/>
  <c r="L26" i="7"/>
  <c r="M26" i="7"/>
  <c r="O26" i="7"/>
  <c r="K27" i="7"/>
  <c r="N26" i="6"/>
  <c r="N27" i="7" l="1"/>
  <c r="N27" i="6"/>
  <c r="M27" i="6"/>
  <c r="O27" i="6"/>
  <c r="H28" i="6"/>
  <c r="I28" i="6"/>
  <c r="J29" i="6" s="1"/>
  <c r="L27" i="6"/>
  <c r="K28" i="6"/>
  <c r="I28" i="7"/>
  <c r="J29" i="7" s="1"/>
  <c r="H28" i="7"/>
  <c r="M27" i="7"/>
  <c r="O27" i="7"/>
  <c r="L27" i="7"/>
  <c r="K28" i="7"/>
  <c r="M28" i="7" l="1"/>
  <c r="O28" i="7"/>
  <c r="H29" i="7"/>
  <c r="K29" i="7"/>
  <c r="L28" i="7"/>
  <c r="I29" i="7"/>
  <c r="J30" i="7" s="1"/>
  <c r="N28" i="6"/>
  <c r="H29" i="6"/>
  <c r="I29" i="6"/>
  <c r="J30" i="6" s="1"/>
  <c r="O28" i="6"/>
  <c r="K29" i="6"/>
  <c r="M28" i="6"/>
  <c r="L28" i="6"/>
  <c r="N28" i="7"/>
  <c r="N29" i="7" l="1"/>
  <c r="H30" i="7"/>
  <c r="M29" i="7"/>
  <c r="L29" i="7"/>
  <c r="I30" i="7"/>
  <c r="J31" i="7" s="1"/>
  <c r="K30" i="7"/>
  <c r="O29" i="7"/>
  <c r="N30" i="6"/>
  <c r="I30" i="6"/>
  <c r="J31" i="6" s="1"/>
  <c r="M29" i="6"/>
  <c r="O29" i="6"/>
  <c r="H30" i="6"/>
  <c r="L29" i="6"/>
  <c r="K30" i="6"/>
  <c r="N29" i="6"/>
  <c r="H31" i="7" l="1"/>
  <c r="I31" i="7"/>
  <c r="J32" i="7" s="1"/>
  <c r="O30" i="7"/>
  <c r="L30" i="7"/>
  <c r="M30" i="7"/>
  <c r="K31" i="7"/>
  <c r="M30" i="6"/>
  <c r="I31" i="6"/>
  <c r="J32" i="6" s="1"/>
  <c r="H31" i="6"/>
  <c r="O30" i="6"/>
  <c r="K31" i="6"/>
  <c r="L30" i="6"/>
  <c r="N30" i="7"/>
  <c r="N31" i="6" l="1"/>
  <c r="M31" i="6"/>
  <c r="H32" i="6"/>
  <c r="N32" i="6" s="1"/>
  <c r="I32" i="6"/>
  <c r="J33" i="6" s="1"/>
  <c r="O31" i="6"/>
  <c r="L31" i="6"/>
  <c r="K32" i="6"/>
  <c r="I32" i="7"/>
  <c r="J33" i="7" s="1"/>
  <c r="M31" i="7"/>
  <c r="L31" i="7"/>
  <c r="H32" i="7"/>
  <c r="K32" i="7"/>
  <c r="O31" i="7"/>
  <c r="N31" i="7"/>
  <c r="M32" i="7" l="1"/>
  <c r="H33" i="7"/>
  <c r="O32" i="7"/>
  <c r="L32" i="7"/>
  <c r="I33" i="7"/>
  <c r="J34" i="7" s="1"/>
  <c r="K33" i="7"/>
  <c r="H33" i="6"/>
  <c r="I33" i="6"/>
  <c r="J34" i="6" s="1"/>
  <c r="M32" i="6"/>
  <c r="O32" i="6"/>
  <c r="L32" i="6"/>
  <c r="K33" i="6"/>
  <c r="N32" i="7"/>
  <c r="H34" i="6" l="1"/>
  <c r="O33" i="6"/>
  <c r="I34" i="6"/>
  <c r="J35" i="6" s="1"/>
  <c r="M33" i="6"/>
  <c r="K34" i="6"/>
  <c r="L33" i="6"/>
  <c r="N33" i="6"/>
  <c r="N33" i="7"/>
  <c r="H34" i="7"/>
  <c r="M33" i="7"/>
  <c r="L33" i="7"/>
  <c r="K34" i="7"/>
  <c r="O33" i="7"/>
  <c r="I34" i="7"/>
  <c r="J35" i="7" s="1"/>
  <c r="N34" i="7"/>
  <c r="H35" i="7" l="1"/>
  <c r="I35" i="7"/>
  <c r="J36" i="7" s="1"/>
  <c r="L34" i="7"/>
  <c r="M34" i="7"/>
  <c r="K35" i="7"/>
  <c r="O34" i="7"/>
  <c r="O34" i="6"/>
  <c r="M34" i="6"/>
  <c r="I35" i="6"/>
  <c r="J36" i="6" s="1"/>
  <c r="L34" i="6"/>
  <c r="K35" i="6"/>
  <c r="H35" i="6"/>
  <c r="N34" i="6"/>
  <c r="I36" i="7" l="1"/>
  <c r="J37" i="7" s="1"/>
  <c r="H36" i="7"/>
  <c r="L35" i="7"/>
  <c r="M35" i="7"/>
  <c r="K36" i="7"/>
  <c r="O35" i="7"/>
  <c r="N35" i="7"/>
  <c r="M35" i="6"/>
  <c r="O35" i="6"/>
  <c r="H36" i="6"/>
  <c r="I36" i="6"/>
  <c r="J37" i="6" s="1"/>
  <c r="L35" i="6"/>
  <c r="K36" i="6"/>
  <c r="N35" i="6"/>
  <c r="H37" i="6" l="1"/>
  <c r="I37" i="6"/>
  <c r="J38" i="6" s="1"/>
  <c r="O36" i="6"/>
  <c r="M36" i="6"/>
  <c r="K37" i="6"/>
  <c r="L36" i="6"/>
  <c r="M36" i="7"/>
  <c r="O36" i="7"/>
  <c r="H37" i="7"/>
  <c r="L36" i="7"/>
  <c r="K37" i="7"/>
  <c r="I37" i="7"/>
  <c r="J38" i="7" s="1"/>
  <c r="N37" i="6"/>
  <c r="N36" i="6"/>
  <c r="N36" i="7"/>
  <c r="N37" i="7" l="1"/>
  <c r="H38" i="7"/>
  <c r="M37" i="7"/>
  <c r="L37" i="7"/>
  <c r="I38" i="7"/>
  <c r="J39" i="7" s="1"/>
  <c r="O37" i="7"/>
  <c r="K38" i="7"/>
  <c r="H38" i="6"/>
  <c r="I38" i="6"/>
  <c r="J39" i="6" s="1"/>
  <c r="O37" i="6"/>
  <c r="M37" i="6"/>
  <c r="L37" i="6"/>
  <c r="K38" i="6"/>
  <c r="H39" i="7" l="1"/>
  <c r="I39" i="7"/>
  <c r="J40" i="7" s="1"/>
  <c r="O38" i="7"/>
  <c r="L38" i="7"/>
  <c r="M38" i="7"/>
  <c r="K39" i="7"/>
  <c r="N39" i="6"/>
  <c r="N38" i="6"/>
  <c r="M38" i="6"/>
  <c r="I39" i="6"/>
  <c r="J40" i="6" s="1"/>
  <c r="H39" i="6"/>
  <c r="O38" i="6"/>
  <c r="L38" i="6"/>
  <c r="K39" i="6"/>
  <c r="N38" i="7"/>
  <c r="M39" i="6" l="1"/>
  <c r="H40" i="6"/>
  <c r="K40" i="6"/>
  <c r="O39" i="6"/>
  <c r="I40" i="6"/>
  <c r="J41" i="6" s="1"/>
  <c r="L39" i="6"/>
  <c r="I40" i="7"/>
  <c r="J41" i="7" s="1"/>
  <c r="K40" i="7"/>
  <c r="M39" i="7"/>
  <c r="H40" i="7"/>
  <c r="N40" i="7" s="1"/>
  <c r="O39" i="7"/>
  <c r="L39" i="7"/>
  <c r="N39" i="7"/>
  <c r="N40" i="6" l="1"/>
  <c r="M40" i="7"/>
  <c r="H41" i="7"/>
  <c r="L40" i="7"/>
  <c r="K41" i="7"/>
  <c r="I41" i="7"/>
  <c r="J42" i="7" s="1"/>
  <c r="O40" i="7"/>
  <c r="H41" i="6"/>
  <c r="I41" i="6"/>
  <c r="J42" i="6" s="1"/>
  <c r="M40" i="6"/>
  <c r="O40" i="6"/>
  <c r="L40" i="6"/>
  <c r="K41" i="6"/>
  <c r="H42" i="7" l="1"/>
  <c r="M41" i="7"/>
  <c r="L41" i="7"/>
  <c r="K42" i="7"/>
  <c r="O41" i="7"/>
  <c r="I42" i="7"/>
  <c r="J43" i="7" s="1"/>
  <c r="N42" i="6"/>
  <c r="N41" i="7"/>
  <c r="H42" i="6"/>
  <c r="O41" i="6"/>
  <c r="I42" i="6"/>
  <c r="J43" i="6" s="1"/>
  <c r="M41" i="6"/>
  <c r="L41" i="6"/>
  <c r="K42" i="6"/>
  <c r="N41" i="6"/>
  <c r="H43" i="7" l="1"/>
  <c r="I43" i="7"/>
  <c r="J44" i="7" s="1"/>
  <c r="L42" i="7"/>
  <c r="O42" i="7"/>
  <c r="M42" i="7"/>
  <c r="K43" i="7"/>
  <c r="O42" i="6"/>
  <c r="M42" i="6"/>
  <c r="I43" i="6"/>
  <c r="J44" i="6" s="1"/>
  <c r="H43" i="6"/>
  <c r="K43" i="6"/>
  <c r="L42" i="6"/>
  <c r="N42" i="7"/>
  <c r="I44" i="7" l="1"/>
  <c r="J45" i="7" s="1"/>
  <c r="H44" i="7"/>
  <c r="M43" i="7"/>
  <c r="O43" i="7"/>
  <c r="L43" i="7"/>
  <c r="K44" i="7"/>
  <c r="M43" i="6"/>
  <c r="O43" i="6"/>
  <c r="H44" i="6"/>
  <c r="N44" i="6" s="1"/>
  <c r="I44" i="6"/>
  <c r="J45" i="6" s="1"/>
  <c r="L43" i="6"/>
  <c r="K44" i="6"/>
  <c r="N43" i="6"/>
  <c r="N43" i="7"/>
  <c r="M44" i="7" l="1"/>
  <c r="O44" i="7"/>
  <c r="H45" i="7"/>
  <c r="K45" i="7"/>
  <c r="I45" i="7"/>
  <c r="J46" i="7" s="1"/>
  <c r="L44" i="7"/>
  <c r="H45" i="6"/>
  <c r="I45" i="6"/>
  <c r="J46" i="6" s="1"/>
  <c r="O44" i="6"/>
  <c r="M44" i="6"/>
  <c r="K45" i="6"/>
  <c r="L44" i="6"/>
  <c r="N44" i="7"/>
  <c r="N45" i="7" l="1"/>
  <c r="H46" i="7"/>
  <c r="M45" i="7"/>
  <c r="L45" i="7"/>
  <c r="K46" i="7"/>
  <c r="O45" i="7"/>
  <c r="I46" i="7"/>
  <c r="J47" i="7" s="1"/>
  <c r="H46" i="6"/>
  <c r="I46" i="6"/>
  <c r="J47" i="6" s="1"/>
  <c r="O45" i="6"/>
  <c r="M45" i="6"/>
  <c r="L45" i="6"/>
  <c r="K46" i="6"/>
  <c r="N45" i="6"/>
  <c r="H47" i="7" l="1"/>
  <c r="I47" i="7"/>
  <c r="J48" i="7" s="1"/>
  <c r="O46" i="7"/>
  <c r="L46" i="7"/>
  <c r="K47" i="7"/>
  <c r="M46" i="7"/>
  <c r="M46" i="6"/>
  <c r="I47" i="6"/>
  <c r="J48" i="6" s="1"/>
  <c r="O46" i="6"/>
  <c r="H47" i="6"/>
  <c r="N47" i="6" s="1"/>
  <c r="L46" i="6"/>
  <c r="K47" i="6"/>
  <c r="N46" i="7"/>
  <c r="N46" i="6"/>
  <c r="N47" i="7" l="1"/>
  <c r="M47" i="6"/>
  <c r="H48" i="6"/>
  <c r="O47" i="6"/>
  <c r="I48" i="6"/>
  <c r="J49" i="6" s="1"/>
  <c r="K48" i="6"/>
  <c r="L47" i="6"/>
  <c r="I48" i="7"/>
  <c r="J49" i="7" s="1"/>
  <c r="M47" i="7"/>
  <c r="H48" i="7"/>
  <c r="O47" i="7"/>
  <c r="L47" i="7"/>
  <c r="K48" i="7"/>
  <c r="N48" i="7" l="1"/>
  <c r="N48" i="6"/>
  <c r="M48" i="7"/>
  <c r="I49" i="7"/>
  <c r="J50" i="7" s="1"/>
  <c r="O48" i="7"/>
  <c r="H49" i="7"/>
  <c r="N49" i="7" s="1"/>
  <c r="L48" i="7"/>
  <c r="K49" i="7"/>
  <c r="H49" i="6"/>
  <c r="I49" i="6"/>
  <c r="J50" i="6" s="1"/>
  <c r="M48" i="6"/>
  <c r="O48" i="6"/>
  <c r="L48" i="6"/>
  <c r="K49" i="6"/>
  <c r="M49" i="7" l="1"/>
  <c r="L49" i="7"/>
  <c r="H50" i="7"/>
  <c r="I50" i="7"/>
  <c r="J51" i="7" s="1"/>
  <c r="K50" i="7"/>
  <c r="O49" i="7"/>
  <c r="H50" i="6"/>
  <c r="O49" i="6"/>
  <c r="I50" i="6"/>
  <c r="J51" i="6" s="1"/>
  <c r="M49" i="6"/>
  <c r="L49" i="6"/>
  <c r="K50" i="6"/>
  <c r="N49" i="6"/>
  <c r="N50" i="7" l="1"/>
  <c r="O50" i="6"/>
  <c r="M50" i="6"/>
  <c r="I51" i="6"/>
  <c r="J52" i="6" s="1"/>
  <c r="K51" i="6"/>
  <c r="H51" i="6"/>
  <c r="N51" i="6" s="1"/>
  <c r="L50" i="6"/>
  <c r="N50" i="6"/>
  <c r="H51" i="7"/>
  <c r="L50" i="7"/>
  <c r="K51" i="7"/>
  <c r="M50" i="7"/>
  <c r="I51" i="7"/>
  <c r="J52" i="7" s="1"/>
  <c r="O50" i="7"/>
  <c r="N51" i="7" l="1"/>
  <c r="M51" i="6"/>
  <c r="O51" i="6"/>
  <c r="H52" i="6"/>
  <c r="I52" i="6"/>
  <c r="J53" i="6" s="1"/>
  <c r="L51" i="6"/>
  <c r="K52" i="6"/>
  <c r="H52" i="7"/>
  <c r="M51" i="7"/>
  <c r="O51" i="7"/>
  <c r="L51" i="7"/>
  <c r="I52" i="7"/>
  <c r="J53" i="7" s="1"/>
  <c r="K52" i="7"/>
  <c r="H53" i="6" l="1"/>
  <c r="I53" i="6"/>
  <c r="J54" i="6" s="1"/>
  <c r="O52" i="6"/>
  <c r="M52" i="6"/>
  <c r="L52" i="6"/>
  <c r="K53" i="6"/>
  <c r="N52" i="6"/>
  <c r="O52" i="7"/>
  <c r="M52" i="7"/>
  <c r="L52" i="7"/>
  <c r="I53" i="7"/>
  <c r="J54" i="7" s="1"/>
  <c r="K53" i="7"/>
  <c r="H53" i="7"/>
  <c r="N53" i="6"/>
  <c r="N52" i="7"/>
  <c r="N53" i="7" l="1"/>
  <c r="L53" i="7"/>
  <c r="M53" i="7"/>
  <c r="O53" i="7"/>
  <c r="H54" i="7"/>
  <c r="I54" i="7"/>
  <c r="J55" i="7" s="1"/>
  <c r="K54" i="7"/>
  <c r="H54" i="6"/>
  <c r="I54" i="6"/>
  <c r="J55" i="6" s="1"/>
  <c r="O53" i="6"/>
  <c r="M53" i="6"/>
  <c r="L53" i="6"/>
  <c r="K54" i="6"/>
  <c r="N54" i="7" l="1"/>
  <c r="H55" i="7"/>
  <c r="O54" i="7"/>
  <c r="L54" i="7"/>
  <c r="I55" i="7"/>
  <c r="J56" i="7" s="1"/>
  <c r="M54" i="7"/>
  <c r="K55" i="7"/>
  <c r="M54" i="6"/>
  <c r="I55" i="6"/>
  <c r="J56" i="6" s="1"/>
  <c r="O54" i="6"/>
  <c r="H55" i="6"/>
  <c r="L54" i="6"/>
  <c r="K55" i="6"/>
  <c r="N54" i="6"/>
  <c r="M55" i="6" l="1"/>
  <c r="H56" i="6"/>
  <c r="N56" i="6" s="1"/>
  <c r="O55" i="6"/>
  <c r="K56" i="6"/>
  <c r="I56" i="6"/>
  <c r="J57" i="6" s="1"/>
  <c r="L55" i="6"/>
  <c r="H56" i="7"/>
  <c r="K56" i="7"/>
  <c r="M55" i="7"/>
  <c r="O55" i="7"/>
  <c r="L55" i="7"/>
  <c r="I56" i="7"/>
  <c r="J57" i="7" s="1"/>
  <c r="N55" i="6"/>
  <c r="N55" i="7"/>
  <c r="H57" i="7" l="1"/>
  <c r="I57" i="7"/>
  <c r="J58" i="7" s="1"/>
  <c r="L56" i="7"/>
  <c r="O56" i="7"/>
  <c r="K57" i="7"/>
  <c r="M56" i="7"/>
  <c r="N57" i="7"/>
  <c r="H57" i="6"/>
  <c r="I57" i="6"/>
  <c r="J58" i="6" s="1"/>
  <c r="M56" i="6"/>
  <c r="O56" i="6"/>
  <c r="L56" i="6"/>
  <c r="K57" i="6"/>
  <c r="N56" i="7"/>
  <c r="N57" i="6" l="1"/>
  <c r="H58" i="6"/>
  <c r="O57" i="6"/>
  <c r="I58" i="6"/>
  <c r="J59" i="6" s="1"/>
  <c r="M57" i="6"/>
  <c r="L57" i="6"/>
  <c r="K58" i="6"/>
  <c r="L57" i="7"/>
  <c r="M57" i="7"/>
  <c r="O57" i="7"/>
  <c r="K58" i="7"/>
  <c r="H58" i="7"/>
  <c r="I58" i="7"/>
  <c r="J59" i="7" s="1"/>
  <c r="H59" i="7" l="1"/>
  <c r="L58" i="7"/>
  <c r="I59" i="7"/>
  <c r="J60" i="7" s="1"/>
  <c r="M58" i="7"/>
  <c r="O58" i="7"/>
  <c r="K59" i="7"/>
  <c r="N59" i="7"/>
  <c r="O58" i="6"/>
  <c r="M58" i="6"/>
  <c r="I59" i="6"/>
  <c r="J60" i="6" s="1"/>
  <c r="H59" i="6"/>
  <c r="K59" i="6"/>
  <c r="L58" i="6"/>
  <c r="N58" i="7"/>
  <c r="N58" i="6"/>
  <c r="H60" i="7" l="1"/>
  <c r="M59" i="7"/>
  <c r="O59" i="7"/>
  <c r="L59" i="7"/>
  <c r="I60" i="7"/>
  <c r="J61" i="7" s="1"/>
  <c r="K60" i="7"/>
  <c r="M59" i="6"/>
  <c r="O59" i="6"/>
  <c r="H60" i="6"/>
  <c r="I60" i="6"/>
  <c r="J61" i="6" s="1"/>
  <c r="L59" i="6"/>
  <c r="K60" i="6"/>
  <c r="N59" i="6"/>
  <c r="O60" i="7" l="1"/>
  <c r="K61" i="7"/>
  <c r="M60" i="7"/>
  <c r="H61" i="7"/>
  <c r="I61" i="7"/>
  <c r="J62" i="7" s="1"/>
  <c r="L60" i="7"/>
  <c r="N60" i="6"/>
  <c r="H61" i="6"/>
  <c r="I61" i="6"/>
  <c r="J62" i="6" s="1"/>
  <c r="M60" i="6"/>
  <c r="O60" i="6"/>
  <c r="K61" i="6"/>
  <c r="L60" i="6"/>
  <c r="N60" i="7"/>
  <c r="N61" i="6" l="1"/>
  <c r="L61" i="7"/>
  <c r="K62" i="7"/>
  <c r="M61" i="7"/>
  <c r="I62" i="7"/>
  <c r="J63" i="7" s="1"/>
  <c r="H62" i="7"/>
  <c r="N62" i="7" s="1"/>
  <c r="O61" i="7"/>
  <c r="H62" i="6"/>
  <c r="I62" i="6"/>
  <c r="J63" i="6" s="1"/>
  <c r="O61" i="6"/>
  <c r="L61" i="6"/>
  <c r="K62" i="6"/>
  <c r="M61" i="6"/>
  <c r="N61" i="7"/>
  <c r="H63" i="7" l="1"/>
  <c r="O62" i="7"/>
  <c r="L62" i="7"/>
  <c r="M62" i="7"/>
  <c r="K63" i="7"/>
  <c r="I63" i="7"/>
  <c r="J64" i="7" s="1"/>
  <c r="M62" i="6"/>
  <c r="I63" i="6"/>
  <c r="J64" i="6" s="1"/>
  <c r="H63" i="6"/>
  <c r="O62" i="6"/>
  <c r="L62" i="6"/>
  <c r="K63" i="6"/>
  <c r="N62" i="6"/>
  <c r="N63" i="6" l="1"/>
  <c r="M63" i="6"/>
  <c r="H64" i="6"/>
  <c r="I64" i="6"/>
  <c r="J65" i="6" s="1"/>
  <c r="K64" i="6"/>
  <c r="L63" i="6"/>
  <c r="O63" i="6"/>
  <c r="H64" i="7"/>
  <c r="I64" i="7"/>
  <c r="J65" i="7" s="1"/>
  <c r="L63" i="7"/>
  <c r="K64" i="7"/>
  <c r="O63" i="7"/>
  <c r="M63" i="7"/>
  <c r="N63" i="7"/>
  <c r="N64" i="6" l="1"/>
  <c r="H65" i="6"/>
  <c r="I65" i="6"/>
  <c r="J66" i="6" s="1"/>
  <c r="M64" i="6"/>
  <c r="O64" i="6"/>
  <c r="L64" i="6"/>
  <c r="K65" i="6"/>
  <c r="O64" i="7"/>
  <c r="M64" i="7"/>
  <c r="H65" i="7"/>
  <c r="I65" i="7"/>
  <c r="J66" i="7" s="1"/>
  <c r="L64" i="7"/>
  <c r="K65" i="7"/>
  <c r="N64" i="7"/>
  <c r="N65" i="7" l="1"/>
  <c r="H66" i="6"/>
  <c r="O65" i="6"/>
  <c r="I66" i="6"/>
  <c r="N66" i="6" s="1"/>
  <c r="N68" i="6" s="1"/>
  <c r="M65" i="6"/>
  <c r="L65" i="6"/>
  <c r="K66" i="6"/>
  <c r="L65" i="7"/>
  <c r="H66" i="7"/>
  <c r="I66" i="7"/>
  <c r="O65" i="7"/>
  <c r="K66" i="7"/>
  <c r="M65" i="7"/>
  <c r="N65" i="6"/>
  <c r="N66" i="7" l="1"/>
  <c r="N68" i="7" s="1"/>
  <c r="O66" i="6"/>
  <c r="O68" i="6" s="1"/>
  <c r="E14" i="2" s="1"/>
  <c r="M66" i="6"/>
  <c r="M68" i="6" s="1"/>
  <c r="D14" i="2" s="1"/>
  <c r="L66" i="6"/>
  <c r="L66" i="7"/>
  <c r="O66" i="7"/>
  <c r="O68" i="7" s="1"/>
  <c r="E15" i="2" s="1"/>
  <c r="M66" i="7"/>
  <c r="M68" i="7" s="1"/>
  <c r="D15" i="2" s="1"/>
  <c r="D16" i="2" s="1"/>
  <c r="E16" i="2" l="1"/>
  <c r="D19" i="2"/>
</calcChain>
</file>

<file path=xl/comments1.xml><?xml version="1.0" encoding="utf-8"?>
<comments xmlns="http://schemas.openxmlformats.org/spreadsheetml/2006/main">
  <authors>
    <author>Andrew Briggs</author>
  </authors>
  <commentList>
    <comment ref="B3" authorId="0" shapeId="0">
      <text>
        <r>
          <rPr>
            <sz val="8"/>
            <color indexed="81"/>
            <rFont val="Tahoma"/>
          </rPr>
          <t xml:space="preserve">Note that this is the cell that is linked to the 'form' on the &lt;Analysis&gt; sheet where male (returns value 1) or female (returns value 2) is chosen
</t>
        </r>
      </text>
    </comment>
    <comment ref="B32" authorId="0" shapeId="0">
      <text>
        <r>
          <rPr>
            <sz val="8"/>
            <color indexed="81"/>
            <rFont val="Tahoma"/>
            <family val="2"/>
          </rPr>
          <t>Note that the cost of the primary procedure is excluded: since both arms have this procedure it is assumed to net out of the incremental analysis.  However, if the model was to be used to estimate lifetime costs of THR it would be important to include.</t>
        </r>
      </text>
    </comment>
    <comment ref="B34" authorId="0" shapeId="0">
      <text>
        <r>
          <rPr>
            <sz val="8"/>
            <color indexed="81"/>
            <rFont val="Tahoma"/>
            <family val="2"/>
          </rPr>
          <t>There are assumed to be no ongoing monitoring costs for successful THR.  However, this parameter is included in case users want to change this assumption.</t>
        </r>
      </text>
    </comment>
  </commentList>
</comments>
</file>

<file path=xl/comments2.xml><?xml version="1.0" encoding="utf-8"?>
<comments xmlns="http://schemas.openxmlformats.org/spreadsheetml/2006/main">
  <authors>
    <author>Andrew Briggs</author>
  </authors>
  <commentList>
    <comment ref="G1" authorId="0" shapeId="0">
      <text>
        <r>
          <rPr>
            <sz val="8"/>
            <color indexed="81"/>
            <rFont val="Tahoma"/>
            <family val="2"/>
          </rPr>
          <t>Taken from "Health Statistics Quarterly 09", published Spring 1999 by the Office of National Statistics (www.statistics.gov.uk)</t>
        </r>
      </text>
    </comment>
  </commentList>
</comments>
</file>

<file path=xl/sharedStrings.xml><?xml version="1.0" encoding="utf-8"?>
<sst xmlns="http://schemas.openxmlformats.org/spreadsheetml/2006/main" count="136" uniqueCount="109">
  <si>
    <t>Diagrammatic representation of the Markov Model</t>
  </si>
  <si>
    <t>States of the model in the represented by the ovals, transitions between states represented by the arrows</t>
  </si>
  <si>
    <r>
      <t xml:space="preserve">All transisition probability variables shown in </t>
    </r>
    <r>
      <rPr>
        <b/>
        <sz val="10"/>
        <color indexed="56"/>
        <rFont val="Arial"/>
        <family val="2"/>
      </rPr>
      <t>blue</t>
    </r>
  </si>
  <si>
    <r>
      <t xml:space="preserve">State cost variables shown in </t>
    </r>
    <r>
      <rPr>
        <b/>
        <sz val="10"/>
        <color indexed="10"/>
        <rFont val="Arial"/>
      </rPr>
      <t>red</t>
    </r>
  </si>
  <si>
    <r>
      <t xml:space="preserve">State utility variables shown in </t>
    </r>
    <r>
      <rPr>
        <b/>
        <sz val="10"/>
        <color indexed="17"/>
        <rFont val="Arial"/>
      </rPr>
      <t>green</t>
    </r>
  </si>
  <si>
    <t>age</t>
  </si>
  <si>
    <t>Average age of all patients at receipt of primary implant</t>
  </si>
  <si>
    <t>omrPTHR</t>
  </si>
  <si>
    <t>omrRTHR</t>
  </si>
  <si>
    <t>rrr</t>
  </si>
  <si>
    <t>cPrimary</t>
  </si>
  <si>
    <t>cRevision</t>
  </si>
  <si>
    <t>cSuccess</t>
  </si>
  <si>
    <t>Cost of one cycle in a 'success' state (primary or revision)</t>
  </si>
  <si>
    <t>Utility of Markov states per cycle</t>
  </si>
  <si>
    <t>cDR</t>
  </si>
  <si>
    <t>Cost discount rate</t>
  </si>
  <si>
    <t>oDR</t>
  </si>
  <si>
    <t>Outcome discount rate</t>
  </si>
  <si>
    <t>Cost</t>
  </si>
  <si>
    <t>QALYs</t>
  </si>
  <si>
    <t>Cycle</t>
  </si>
  <si>
    <t>Death risk</t>
  </si>
  <si>
    <t>PrimaryTHR</t>
  </si>
  <si>
    <t>SuccessP</t>
  </si>
  <si>
    <t>RevisionTHR</t>
  </si>
  <si>
    <t>SuccessR</t>
  </si>
  <si>
    <t>Death</t>
  </si>
  <si>
    <t>Life-years</t>
  </si>
  <si>
    <t>se</t>
  </si>
  <si>
    <t>Description</t>
  </si>
  <si>
    <t>male</t>
  </si>
  <si>
    <t>explanatory variables</t>
  </si>
  <si>
    <t>hazard ratio</t>
  </si>
  <si>
    <t>coefficient</t>
  </si>
  <si>
    <t>ageC</t>
  </si>
  <si>
    <t>uSuccessP</t>
  </si>
  <si>
    <t>uSuccessR</t>
  </si>
  <si>
    <t>uRevision</t>
  </si>
  <si>
    <t>Resource cost parameters</t>
  </si>
  <si>
    <t>35-44</t>
  </si>
  <si>
    <t>45-54</t>
  </si>
  <si>
    <t>55-64</t>
  </si>
  <si>
    <t>65-74</t>
  </si>
  <si>
    <t>75-84</t>
  </si>
  <si>
    <t>85 and over</t>
  </si>
  <si>
    <t>Males</t>
  </si>
  <si>
    <t>Females</t>
  </si>
  <si>
    <t>Cost of one cycle in the Revision THR state (national reference costs for revision hip or knee)</t>
  </si>
  <si>
    <t>Utility score for having had a successful Primary THR</t>
  </si>
  <si>
    <t>Utility score for having a successful Revision THR</t>
  </si>
  <si>
    <t>Utility score during the revision period</t>
  </si>
  <si>
    <t>Age</t>
  </si>
  <si>
    <t>Death Rates (per 1000 population per year) by age and sex</t>
  </si>
  <si>
    <t>Yearly transition probabilities by age and sex</t>
  </si>
  <si>
    <t>Index</t>
  </si>
  <si>
    <t>Model for standard prosthesis</t>
  </si>
  <si>
    <t>Revision risk</t>
  </si>
  <si>
    <t>Standard Prosthesis</t>
  </si>
  <si>
    <t>Sex indicator (0 for female, 1 for male)</t>
  </si>
  <si>
    <t>Parameters</t>
  </si>
  <si>
    <r>
      <t xml:space="preserve">See </t>
    </r>
    <r>
      <rPr>
        <b/>
        <i/>
        <sz val="10"/>
        <rFont val="Arial"/>
      </rPr>
      <t>&lt;Parameters&gt;</t>
    </r>
    <r>
      <rPr>
        <sz val="10"/>
        <rFont val="Arial"/>
      </rPr>
      <t xml:space="preserve"> page for definitions</t>
    </r>
  </si>
  <si>
    <t>Operative mortality rate following primary THR</t>
  </si>
  <si>
    <t>Operative mortality rate following revision THR</t>
  </si>
  <si>
    <t>NP1</t>
  </si>
  <si>
    <t>Relative risk of revision for new prosthesis 1 compared to standard</t>
  </si>
  <si>
    <t>Re-revision risk (assumed to be constant)</t>
  </si>
  <si>
    <t>rrNP1</t>
  </si>
  <si>
    <t>maleC</t>
  </si>
  <si>
    <t>cons</t>
  </si>
  <si>
    <t>Constant in survival analysis for baseline hazard</t>
  </si>
  <si>
    <t>Age coefficient in survival analysis for baseline hazard</t>
  </si>
  <si>
    <t>Male coefficient in survival analysis for baseline hazard</t>
  </si>
  <si>
    <t>cNP1</t>
  </si>
  <si>
    <t>Cost of new prosthesis 1</t>
  </si>
  <si>
    <t>lngamma</t>
  </si>
  <si>
    <t>Modelling the hazard function for prosthesis failure</t>
  </si>
  <si>
    <t>Check</t>
  </si>
  <si>
    <t>Cost of a primary THR procedure</t>
  </si>
  <si>
    <t>cStandard</t>
  </si>
  <si>
    <t>Cost of standard prosthesis</t>
  </si>
  <si>
    <t>Standard</t>
  </si>
  <si>
    <t>Step 1: Choose male or female</t>
  </si>
  <si>
    <t>Step 2: Enter age of patient</t>
  </si>
  <si>
    <t>Patient age</t>
  </si>
  <si>
    <t>(enter value between 40 and 90 years)</t>
  </si>
  <si>
    <t>Cost-effectiveness of Total Hip Replacement</t>
  </si>
  <si>
    <t>Prosthesis</t>
  </si>
  <si>
    <t>per QALY</t>
  </si>
  <si>
    <t>ICERs:</t>
  </si>
  <si>
    <t>NP1vStd</t>
  </si>
  <si>
    <t>lambda</t>
  </si>
  <si>
    <t>Lambda parameter survival analysis (depends on chosen mix of above coefficients)</t>
  </si>
  <si>
    <t>gamma</t>
  </si>
  <si>
    <t>STDcost</t>
  </si>
  <si>
    <t>STDlys</t>
  </si>
  <si>
    <t>STDqalys</t>
  </si>
  <si>
    <t>NP1cost</t>
  </si>
  <si>
    <t>NP1lys</t>
  </si>
  <si>
    <t>NP1qalys</t>
  </si>
  <si>
    <t>Ancilliary parameter in Weibull distribution</t>
  </si>
  <si>
    <r>
      <t xml:space="preserve">Revision rates for prostheses (see </t>
    </r>
    <r>
      <rPr>
        <b/>
        <i/>
        <sz val="10"/>
        <color indexed="18"/>
        <rFont val="Arial"/>
        <family val="2"/>
      </rPr>
      <t>&lt;Hazard function&gt;</t>
    </r>
    <r>
      <rPr>
        <i/>
        <sz val="10"/>
        <color indexed="18"/>
        <rFont val="Arial"/>
        <family val="2"/>
      </rPr>
      <t xml:space="preserve"> for details)</t>
    </r>
  </si>
  <si>
    <r>
      <t>Transition probability variables</t>
    </r>
    <r>
      <rPr>
        <sz val="10"/>
        <color indexed="18"/>
        <rFont val="Arial"/>
      </rPr>
      <t xml:space="preserve"> (see diagram on page </t>
    </r>
    <r>
      <rPr>
        <b/>
        <i/>
        <sz val="10"/>
        <color indexed="18"/>
        <rFont val="Arial"/>
      </rPr>
      <t>&lt;Model Figure&gt;</t>
    </r>
    <r>
      <rPr>
        <sz val="10"/>
        <color indexed="18"/>
        <rFont val="Arial"/>
      </rPr>
      <t xml:space="preserve"> for details)</t>
    </r>
  </si>
  <si>
    <t>Name</t>
  </si>
  <si>
    <t>Model for first new prosthesis</t>
  </si>
  <si>
    <t>First New Prosthesis</t>
  </si>
  <si>
    <t>difference</t>
  </si>
  <si>
    <t>Results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</si>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</sst>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81" formatCode="_-&quot;£&quot;* #,##0.00_-;\-&quot;£&quot;* #,##0.00_-;_-&quot;£&quot;* &quot;-&quot;??_-;_-@_-"/>
    <numFmt numFmtId="183" formatCode="&quot;£&quot;#,##0"/>
    <numFmt numFmtId="184" formatCode="0.000"/>
    <numFmt numFmtId="185" formatCode="0.0%"/>
    <numFmt numFmtId="189" formatCode="0.00000"/>
    <numFmt numFmtId="190" formatCode="0.0000"/>
    <numFmt numFmtId="192" formatCode="_-* #,##0_-;\-* #,##0_-;_-* &quot;-&quot;??_-;_-@_-"/>
    <numFmt numFmtId="195" formatCode="_-&quot;£&quot;* #,##0_-;\-&quot;£&quot;* #,##0_-;_-&quot;£&quot;* &quot;-&quot;??_-;_-@_-"/>
    <numFmt numFmtId="201" formatCode="_-* #,##0.0000_-;\-* #,##0.0000_-;_-* &quot;-&quot;??_-;_-@_-"/>
  </numFmts>
  <fonts count="31" x14ac:knownFonts="1">
    <font>
      <sz val="10"/>
      <name val="Arial"/>
    </font>
    <font>
      <b/>
      <sz val="10"/>
      <name val="Arial"/>
    </font>
    <font>
      <b/>
      <i/>
      <sz val="10"/>
      <name val="Arial"/>
    </font>
    <font>
      <sz val="10"/>
      <name val="Arial"/>
    </font>
    <font>
      <b/>
      <sz val="12"/>
      <color indexed="18"/>
      <name val="Arial"/>
      <family val="2"/>
    </font>
    <font>
      <i/>
      <sz val="10"/>
      <color indexed="18"/>
      <name val="Arial"/>
      <family val="2"/>
    </font>
    <font>
      <sz val="10"/>
      <color indexed="18"/>
      <name val="Arial"/>
    </font>
    <font>
      <i/>
      <sz val="10"/>
      <color indexed="18"/>
      <name val="Arial"/>
    </font>
    <font>
      <b/>
      <sz val="10"/>
      <color indexed="18"/>
      <name val="Arial"/>
    </font>
    <font>
      <b/>
      <sz val="10"/>
      <color indexed="10"/>
      <name val="Arial"/>
    </font>
    <font>
      <b/>
      <sz val="10"/>
      <color indexed="17"/>
      <name val="Arial"/>
    </font>
    <font>
      <b/>
      <sz val="12"/>
      <color indexed="32"/>
      <name val="Arial"/>
      <family val="2"/>
    </font>
    <font>
      <b/>
      <sz val="10"/>
      <color indexed="32"/>
      <name val="Arial"/>
      <family val="2"/>
    </font>
    <font>
      <sz val="10"/>
      <color indexed="9"/>
      <name val="Arial"/>
    </font>
    <font>
      <sz val="10"/>
      <color indexed="19"/>
      <name val="Arial"/>
      <family val="2"/>
    </font>
    <font>
      <b/>
      <sz val="10"/>
      <color indexed="56"/>
      <name val="Arial"/>
      <family val="2"/>
    </font>
    <font>
      <b/>
      <sz val="10"/>
      <color indexed="18"/>
      <name val="Arial"/>
      <family val="2"/>
    </font>
    <font>
      <sz val="10"/>
      <color indexed="8"/>
      <name val="Arial"/>
      <family val="2"/>
    </font>
    <font>
      <b/>
      <i/>
      <sz val="10"/>
      <color indexed="18"/>
      <name val="Arial"/>
    </font>
    <font>
      <sz val="10"/>
      <color indexed="10"/>
      <name val="Arial"/>
      <family val="2"/>
    </font>
    <font>
      <sz val="10"/>
      <color indexed="16"/>
      <name val="Arial"/>
      <family val="2"/>
    </font>
    <font>
      <b/>
      <sz val="10"/>
      <name val="Arial"/>
      <family val="2"/>
    </font>
    <font>
      <b/>
      <sz val="12"/>
      <name val="Arial"/>
      <family val="2"/>
    </font>
    <font>
      <b/>
      <sz val="10"/>
      <color indexed="9"/>
      <name val="Arial"/>
      <family val="2"/>
    </font>
    <font>
      <b/>
      <i/>
      <sz val="10"/>
      <color indexed="18"/>
      <name val="Arial"/>
      <family val="2"/>
    </font>
    <font>
      <sz val="10"/>
      <name val="Arial"/>
      <family val="2"/>
    </font>
    <font>
      <sz val="8"/>
      <name val="Tahoma"/>
      <family val="2"/>
    </font>
    <font>
      <sz val="8"/>
      <name val="Arial"/>
      <family val="2"/>
    </font>
    <font>
      <i/>
      <sz val="8"/>
      <name val="Arial"/>
      <family val="2"/>
    </font>
    <font>
      <sz val="8"/>
      <color indexed="81"/>
      <name val="Tahoma"/>
    </font>
    <font>
      <sz val="8"/>
      <color indexed="81"/>
      <name val="Tahoma"/>
      <family val="2"/>
    </font>
  </fonts>
  <fills count="10">
    <fill>
      <patternFill patternType="none"/>
    </fill>
    <fill>
      <patternFill patternType="gray125"/>
    </fill>
    <fill>
      <patternFill patternType="solid">
        <fgColor indexed="45"/>
        <bgColor indexed="64"/>
      </patternFill>
    </fill>
    <fill>
      <patternFill patternType="solid">
        <fgColor indexed="17"/>
        <bgColor indexed="64"/>
      </patternFill>
    </fill>
    <fill>
      <patternFill patternType="solid">
        <fgColor indexed="42"/>
        <bgColor indexed="64"/>
      </patternFill>
    </fill>
    <fill>
      <patternFill patternType="solid">
        <fgColor indexed="9"/>
        <bgColor indexed="64"/>
      </patternFill>
    </fill>
    <fill>
      <patternFill patternType="solid">
        <fgColor indexed="16"/>
        <bgColor indexed="64"/>
      </patternFill>
    </fill>
    <fill>
      <patternFill patternType="solid">
        <fgColor indexed="18"/>
        <bgColor indexed="64"/>
      </patternFill>
    </fill>
    <fill>
      <patternFill patternType="solid">
        <fgColor indexed="44"/>
        <bgColor indexed="64"/>
      </patternFill>
    </fill>
    <fill>
      <patternFill patternType="solid">
        <fgColor indexed="43"/>
        <bgColor indexed="64"/>
      </patternFill>
    </fill>
  </fills>
  <borders count="4">
    <border>
      <left/>
      <right/>
      <top/>
      <bottom/>
      <diagonal/>
    </border>
    <border>
      <left/>
      <right/>
      <top/>
      <bottom style="thin">
        <color indexed="64"/>
      </bottom>
      <diagonal/>
    </border>
    <border>
      <left style="thin">
        <color indexed="17"/>
      </left>
      <right style="thin">
        <color indexed="17"/>
      </right>
      <top style="thin">
        <color indexed="17"/>
      </top>
      <bottom style="thin">
        <color indexed="17"/>
      </bottom>
      <diagonal/>
    </border>
    <border>
      <left style="thin">
        <color indexed="22"/>
      </left>
      <right style="thin">
        <color indexed="22"/>
      </right>
      <top style="thin">
        <color indexed="22"/>
      </top>
      <bottom style="thin">
        <color indexed="22"/>
      </bottom>
      <diagonal/>
    </border>
  </borders>
  <cellStyleXfs count="5">
    <xf numFmtId="0" fontId="0" fillId="0" borderId="0"/>
    <xf numFmtId="43" fontId="3" fillId="0" borderId="0" applyFont="0" applyFill="0" applyBorder="0" applyAlignment="0" applyProtection="0"/>
    <xf numFmtId="181" fontId="3" fillId="0" borderId="0" applyFont="0" applyFill="0" applyBorder="0" applyAlignment="0" applyProtection="0"/>
    <xf numFmtId="2" fontId="3" fillId="0" borderId="0" applyFont="0" applyFill="0" applyBorder="0" applyAlignment="0" applyProtection="0"/>
    <xf numFmtId="9" fontId="3" fillId="0" borderId="0" applyFont="0" applyFill="0" applyBorder="0" applyAlignment="0" applyProtection="0"/>
  </cellStyleXfs>
  <cellXfs count="97">
    <xf numFmtId="0" fontId="0" fillId="0" borderId="0" xfId="0"/>
    <xf numFmtId="0" fontId="0" fillId="0" borderId="0" xfId="0" applyBorder="1"/>
    <xf numFmtId="0" fontId="4" fillId="0" borderId="0" xfId="0" applyFont="1"/>
    <xf numFmtId="0" fontId="5" fillId="0" borderId="0" xfId="0" applyFont="1"/>
    <xf numFmtId="0" fontId="7" fillId="0" borderId="0" xfId="0" applyFont="1"/>
    <xf numFmtId="0" fontId="3" fillId="0" borderId="0" xfId="0" applyFont="1"/>
    <xf numFmtId="0" fontId="11" fillId="0" borderId="0" xfId="0" applyFont="1"/>
    <xf numFmtId="0" fontId="12" fillId="0" borderId="0" xfId="0" applyFont="1"/>
    <xf numFmtId="183" fontId="0" fillId="0" borderId="0" xfId="0" applyNumberFormat="1"/>
    <xf numFmtId="0" fontId="14" fillId="0" borderId="0" xfId="0" applyFont="1"/>
    <xf numFmtId="2" fontId="0" fillId="0" borderId="0" xfId="0" applyNumberFormat="1"/>
    <xf numFmtId="0" fontId="0" fillId="0" borderId="0" xfId="0" applyFill="1"/>
    <xf numFmtId="0" fontId="13" fillId="0" borderId="0" xfId="0" applyFont="1" applyFill="1" applyBorder="1"/>
    <xf numFmtId="0" fontId="13" fillId="0" borderId="0" xfId="0" applyFont="1" applyFill="1" applyBorder="1" applyAlignment="1">
      <alignment horizontal="center"/>
    </xf>
    <xf numFmtId="0" fontId="8" fillId="0" borderId="0" xfId="0" applyFont="1"/>
    <xf numFmtId="0" fontId="14" fillId="0" borderId="0" xfId="0" applyFont="1" applyBorder="1" applyAlignment="1">
      <alignment horizontal="centerContinuous"/>
    </xf>
    <xf numFmtId="0" fontId="0" fillId="0" borderId="0" xfId="0" applyFill="1" applyBorder="1" applyAlignment="1">
      <alignment horizontal="centerContinuous"/>
    </xf>
    <xf numFmtId="0" fontId="0" fillId="0" borderId="0" xfId="0" applyBorder="1" applyAlignment="1">
      <alignment horizontal="centerContinuous"/>
    </xf>
    <xf numFmtId="0" fontId="1" fillId="0" borderId="0" xfId="0" applyFont="1"/>
    <xf numFmtId="0" fontId="16" fillId="0" borderId="0" xfId="0" applyFont="1"/>
    <xf numFmtId="0" fontId="17" fillId="0" borderId="0" xfId="0" applyFont="1"/>
    <xf numFmtId="0" fontId="1" fillId="0" borderId="1" xfId="0" applyFont="1" applyBorder="1" applyAlignment="1">
      <alignment horizontal="centerContinuous"/>
    </xf>
    <xf numFmtId="0" fontId="0" fillId="0" borderId="1" xfId="0" applyBorder="1" applyAlignment="1">
      <alignment horizontal="centerContinuous"/>
    </xf>
    <xf numFmtId="192" fontId="0" fillId="0" borderId="0" xfId="1" applyNumberFormat="1" applyFont="1"/>
    <xf numFmtId="10" fontId="0" fillId="0" borderId="0" xfId="4" applyNumberFormat="1" applyFont="1"/>
    <xf numFmtId="10" fontId="1" fillId="0" borderId="0" xfId="4" applyNumberFormat="1" applyFont="1"/>
    <xf numFmtId="1" fontId="0" fillId="0" borderId="0" xfId="0" applyNumberFormat="1"/>
    <xf numFmtId="192" fontId="0" fillId="0" borderId="0" xfId="0" applyNumberFormat="1"/>
    <xf numFmtId="195" fontId="0" fillId="0" borderId="0" xfId="2" applyNumberFormat="1" applyFont="1"/>
    <xf numFmtId="0" fontId="0" fillId="0" borderId="0" xfId="0" applyFill="1" applyBorder="1"/>
    <xf numFmtId="10" fontId="0" fillId="0" borderId="0" xfId="0" applyNumberFormat="1"/>
    <xf numFmtId="195" fontId="19" fillId="0" borderId="0" xfId="0" applyNumberFormat="1" applyFont="1" applyFill="1" applyBorder="1"/>
    <xf numFmtId="0" fontId="20" fillId="0" borderId="0" xfId="0" applyFont="1"/>
    <xf numFmtId="184" fontId="0" fillId="0" borderId="0" xfId="0" applyNumberFormat="1"/>
    <xf numFmtId="190" fontId="0" fillId="0" borderId="0" xfId="0" applyNumberFormat="1"/>
    <xf numFmtId="0" fontId="22" fillId="0" borderId="0" xfId="0" applyFont="1"/>
    <xf numFmtId="0" fontId="21" fillId="0" borderId="0" xfId="0" applyFont="1"/>
    <xf numFmtId="190" fontId="22" fillId="0" borderId="0" xfId="0" applyNumberFormat="1" applyFont="1"/>
    <xf numFmtId="10" fontId="0" fillId="0" borderId="0" xfId="4" applyNumberFormat="1" applyFont="1" applyBorder="1"/>
    <xf numFmtId="1" fontId="17" fillId="0" borderId="0" xfId="1" applyNumberFormat="1" applyFont="1"/>
    <xf numFmtId="201" fontId="0" fillId="0" borderId="0" xfId="1" applyNumberFormat="1" applyFont="1"/>
    <xf numFmtId="0" fontId="21" fillId="0" borderId="0" xfId="0" applyFont="1" applyAlignment="1">
      <alignment horizontal="center"/>
    </xf>
    <xf numFmtId="0" fontId="21" fillId="0" borderId="0" xfId="0" quotePrefix="1" applyFont="1" applyAlignment="1">
      <alignment horizontal="center"/>
    </xf>
    <xf numFmtId="0" fontId="0" fillId="0" borderId="0" xfId="0" applyAlignment="1">
      <alignment horizontal="right"/>
    </xf>
    <xf numFmtId="190" fontId="21" fillId="0" borderId="0" xfId="0" applyNumberFormat="1" applyFont="1"/>
    <xf numFmtId="0" fontId="25" fillId="0" borderId="0" xfId="0" applyFont="1"/>
    <xf numFmtId="185" fontId="0" fillId="0" borderId="0" xfId="4" applyNumberFormat="1" applyFont="1"/>
    <xf numFmtId="0" fontId="20" fillId="0" borderId="0" xfId="0" applyFont="1" applyFill="1" applyBorder="1"/>
    <xf numFmtId="0" fontId="20" fillId="0" borderId="0" xfId="0" applyFont="1" applyFill="1" applyBorder="1" applyAlignment="1">
      <alignment horizontal="center"/>
    </xf>
    <xf numFmtId="0" fontId="20" fillId="0" borderId="0" xfId="0" applyFont="1" applyFill="1"/>
    <xf numFmtId="0" fontId="20" fillId="0" borderId="0" xfId="0" applyFont="1" applyBorder="1" applyAlignment="1">
      <alignment horizontal="centerContinuous"/>
    </xf>
    <xf numFmtId="0" fontId="20" fillId="0" borderId="0" xfId="0" applyFont="1" applyFill="1" applyBorder="1" applyAlignment="1">
      <alignment horizontal="centerContinuous"/>
    </xf>
    <xf numFmtId="0" fontId="20" fillId="0" borderId="0" xfId="0" applyFont="1" applyBorder="1"/>
    <xf numFmtId="189" fontId="0" fillId="0" borderId="0" xfId="0" applyNumberFormat="1"/>
    <xf numFmtId="0" fontId="21" fillId="0" borderId="0" xfId="0" applyFont="1" applyAlignment="1">
      <alignment horizontal="left"/>
    </xf>
    <xf numFmtId="0" fontId="21" fillId="0" borderId="0" xfId="0" applyFont="1" applyAlignment="1">
      <alignment horizontal="right"/>
    </xf>
    <xf numFmtId="10" fontId="1" fillId="0" borderId="0" xfId="4" applyNumberFormat="1" applyFont="1" applyAlignment="1">
      <alignment horizontal="center"/>
    </xf>
    <xf numFmtId="190" fontId="21" fillId="0" borderId="0" xfId="0" applyNumberFormat="1" applyFont="1" applyAlignment="1">
      <alignment horizontal="center"/>
    </xf>
    <xf numFmtId="195" fontId="25" fillId="0" borderId="0" xfId="2" applyNumberFormat="1" applyFont="1"/>
    <xf numFmtId="0" fontId="25" fillId="0" borderId="0" xfId="0" applyFont="1" applyFill="1" applyBorder="1"/>
    <xf numFmtId="0" fontId="25" fillId="0" borderId="0" xfId="0" applyFont="1" applyFill="1" applyBorder="1" applyAlignment="1">
      <alignment horizontal="center"/>
    </xf>
    <xf numFmtId="0" fontId="25" fillId="0" borderId="0" xfId="0" applyFont="1" applyBorder="1" applyAlignment="1">
      <alignment horizontal="centerContinuous"/>
    </xf>
    <xf numFmtId="0" fontId="25" fillId="0" borderId="0" xfId="0" applyFont="1" applyFill="1" applyBorder="1" applyAlignment="1">
      <alignment horizontal="centerContinuous"/>
    </xf>
    <xf numFmtId="0" fontId="0" fillId="2" borderId="0" xfId="0" applyFill="1" applyBorder="1"/>
    <xf numFmtId="0" fontId="23" fillId="3" borderId="0" xfId="0" applyFont="1" applyFill="1" applyBorder="1"/>
    <xf numFmtId="0" fontId="0" fillId="3" borderId="0" xfId="0" applyFill="1" applyBorder="1"/>
    <xf numFmtId="0" fontId="0" fillId="4" borderId="0" xfId="0" applyFill="1" applyBorder="1"/>
    <xf numFmtId="0" fontId="0" fillId="5" borderId="2" xfId="0" applyFill="1" applyBorder="1"/>
    <xf numFmtId="0" fontId="27" fillId="4" borderId="0" xfId="0" applyFont="1" applyFill="1" applyBorder="1"/>
    <xf numFmtId="0" fontId="28" fillId="4" borderId="0" xfId="0" applyFont="1" applyFill="1" applyBorder="1"/>
    <xf numFmtId="0" fontId="23" fillId="6" borderId="0" xfId="0" applyFont="1" applyFill="1" applyBorder="1"/>
    <xf numFmtId="0" fontId="23" fillId="7" borderId="0" xfId="0" applyFont="1" applyFill="1" applyBorder="1"/>
    <xf numFmtId="0" fontId="0" fillId="7" borderId="0" xfId="0" applyFill="1" applyBorder="1"/>
    <xf numFmtId="0" fontId="0" fillId="8" borderId="0" xfId="0" applyFill="1" applyBorder="1"/>
    <xf numFmtId="195" fontId="0" fillId="8" borderId="0" xfId="2" applyNumberFormat="1" applyFont="1" applyFill="1" applyBorder="1" applyAlignment="1">
      <alignment horizontal="right"/>
    </xf>
    <xf numFmtId="2" fontId="0" fillId="8" borderId="0" xfId="0" applyNumberFormat="1" applyFill="1" applyBorder="1" applyAlignment="1">
      <alignment horizontal="right"/>
    </xf>
    <xf numFmtId="2" fontId="0" fillId="8" borderId="0" xfId="0" applyNumberFormat="1" applyFill="1" applyBorder="1"/>
    <xf numFmtId="0" fontId="0" fillId="8" borderId="0" xfId="0" applyFill="1" applyBorder="1" applyAlignment="1">
      <alignment horizontal="right"/>
    </xf>
    <xf numFmtId="195" fontId="0" fillId="8" borderId="0" xfId="2" applyNumberFormat="1" applyFont="1" applyFill="1" applyBorder="1"/>
    <xf numFmtId="195" fontId="0" fillId="9" borderId="3" xfId="2" applyNumberFormat="1" applyFont="1" applyFill="1" applyBorder="1" applyAlignment="1">
      <alignment horizontal="right"/>
    </xf>
    <xf numFmtId="2" fontId="0" fillId="9" borderId="3" xfId="0" applyNumberFormat="1" applyFill="1" applyBorder="1" applyAlignment="1">
      <alignment horizontal="right"/>
    </xf>
    <xf numFmtId="195" fontId="0" fillId="9" borderId="3" xfId="0" applyNumberFormat="1" applyFill="1" applyBorder="1" applyAlignment="1">
      <alignment horizontal="right"/>
    </xf>
    <xf numFmtId="43" fontId="0" fillId="9" borderId="3" xfId="0" applyNumberFormat="1" applyFill="1" applyBorder="1" applyAlignment="1">
      <alignment horizontal="right"/>
    </xf>
    <xf numFmtId="192" fontId="0" fillId="9" borderId="3" xfId="1" applyNumberFormat="1" applyFont="1" applyFill="1" applyBorder="1"/>
    <xf numFmtId="195" fontId="0" fillId="9" borderId="3" xfId="2" applyNumberFormat="1" applyFont="1" applyFill="1" applyBorder="1"/>
    <xf numFmtId="192" fontId="0" fillId="9" borderId="3" xfId="0" applyNumberFormat="1" applyFill="1" applyBorder="1"/>
    <xf numFmtId="1" fontId="0" fillId="9" borderId="3" xfId="0" applyNumberFormat="1" applyFill="1" applyBorder="1"/>
    <xf numFmtId="10" fontId="0" fillId="9" borderId="3" xfId="4" applyNumberFormat="1" applyFont="1" applyFill="1" applyBorder="1"/>
    <xf numFmtId="2" fontId="25" fillId="9" borderId="3" xfId="0" applyNumberFormat="1" applyFont="1" applyFill="1" applyBorder="1" applyAlignment="1">
      <alignment horizontal="right"/>
    </xf>
    <xf numFmtId="43" fontId="25" fillId="0" borderId="0" xfId="4" applyNumberFormat="1" applyFont="1"/>
    <xf numFmtId="0" fontId="25" fillId="0" borderId="0" xfId="0" applyFont="1" applyBorder="1"/>
    <xf numFmtId="190" fontId="25" fillId="0" borderId="0" xfId="0" applyNumberFormat="1" applyFont="1"/>
    <xf numFmtId="10" fontId="25" fillId="0" borderId="0" xfId="4" applyNumberFormat="1" applyFont="1"/>
    <xf numFmtId="0" fontId="12" fillId="0" borderId="0" xfId="0" applyFont="1" applyAlignment="1">
      <alignment horizontal="center"/>
    </xf>
    <xf numFmtId="195" fontId="25" fillId="9" borderId="3" xfId="2" applyNumberFormat="1" applyFont="1" applyFill="1" applyBorder="1" applyAlignment="1">
      <alignment horizontal="right"/>
    </xf>
    <xf numFmtId="192" fontId="25" fillId="0" borderId="0" xfId="1" applyNumberFormat="1" applyFont="1"/>
    <xf numFmtId="201" fontId="25" fillId="0" borderId="0" xfId="1" applyNumberFormat="1" applyFont="1"/>
  </cellXfs>
  <cellStyles count="5">
    <cellStyle name="Fixed" xfId="3"/>
    <cellStyle name="一般" xfId="0" builtinId="0"/>
    <cellStyle name="千分位" xfId="1" builtinId="3"/>
    <cellStyle name="百分比" xfId="4" builtinId="5"/>
    <cellStyle name="貨幣" xfId="2" builtin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Parameters!$B$3" lockText="1" noThreeD="1"/>
</file>

<file path=xl/ctrlProps/ctrlProp3.xml><?xml version="1.0" encoding="utf-8"?>
<formControlPr xmlns="http://schemas.microsoft.com/office/spreadsheetml/2009/9/main" objectType="Radio" checked="Checked" lockText="1" noThreeD="1"/>
</file>

<file path=xl/drawings/drawing1.xml><?xml version="1.0" encoding="utf-8"?>
<xdr:wsDr xmlns:xdr="http://schemas.openxmlformats.org/drawingml/2006/spreadsheetDrawing" xmlns:a="http://schemas.openxmlformats.org/drawingml/2006/main">
  <xdr:twoCellAnchor>
    <xdr:from>
      <xdr:col>2</xdr:col>
      <xdr:colOff>0</xdr:colOff>
      <xdr:row>3</xdr:row>
      <xdr:rowOff>7620</xdr:rowOff>
    </xdr:from>
    <xdr:to>
      <xdr:col>3</xdr:col>
      <xdr:colOff>0</xdr:colOff>
      <xdr:row>4</xdr:row>
      <xdr:rowOff>0</xdr:rowOff>
    </xdr:to>
    <xdr:sp macro="" textlink="">
      <xdr:nvSpPr>
        <xdr:cNvPr id="1075" name="Text 51">
          <a:extLst>
            <a:ext uri="{FF2B5EF4-FFF2-40B4-BE49-F238E27FC236}">
              <a16:creationId xmlns:a16="http://schemas.microsoft.com/office/drawing/2014/main" id="{83C465EB-058C-DEEE-48B1-42F110CF3E44}"/>
            </a:ext>
          </a:extLst>
        </xdr:cNvPr>
        <xdr:cNvSpPr txBox="1">
          <a:spLocks noChangeArrowheads="1"/>
        </xdr:cNvSpPr>
      </xdr:nvSpPr>
      <xdr:spPr bwMode="auto">
        <a:xfrm>
          <a:off x="876300" y="541020"/>
          <a:ext cx="6096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rgbClr val="FF0000"/>
              </a:solidFill>
              <a:latin typeface="Arial"/>
              <a:cs typeface="Arial"/>
            </a:rPr>
            <a:t>cPrimary</a:t>
          </a:r>
        </a:p>
      </xdr:txBody>
    </xdr:sp>
    <xdr:clientData/>
  </xdr:twoCellAnchor>
  <xdr:twoCellAnchor>
    <xdr:from>
      <xdr:col>2</xdr:col>
      <xdr:colOff>7620</xdr:colOff>
      <xdr:row>4</xdr:row>
      <xdr:rowOff>7620</xdr:rowOff>
    </xdr:from>
    <xdr:to>
      <xdr:col>4</xdr:col>
      <xdr:colOff>594360</xdr:colOff>
      <xdr:row>7</xdr:row>
      <xdr:rowOff>7620</xdr:rowOff>
    </xdr:to>
    <xdr:sp macro="" textlink="">
      <xdr:nvSpPr>
        <xdr:cNvPr id="1084" name="Rectangle 60">
          <a:extLst>
            <a:ext uri="{FF2B5EF4-FFF2-40B4-BE49-F238E27FC236}">
              <a16:creationId xmlns:a16="http://schemas.microsoft.com/office/drawing/2014/main" id="{79F04E4A-235F-2C0A-7BEE-088A2AFF84E4}"/>
            </a:ext>
          </a:extLst>
        </xdr:cNvPr>
        <xdr:cNvSpPr>
          <a:spLocks noChangeArrowheads="1"/>
        </xdr:cNvSpPr>
      </xdr:nvSpPr>
      <xdr:spPr bwMode="auto">
        <a:xfrm>
          <a:off x="883920" y="708660"/>
          <a:ext cx="1805940" cy="502920"/>
        </a:xfrm>
        <a:prstGeom prst="roundRect">
          <a:avLst>
            <a:gd name="adj" fmla="val 16667"/>
          </a:avLst>
        </a:prstGeom>
        <a:solidFill>
          <a:srgbClr xmlns:mc="http://schemas.openxmlformats.org/markup-compatibility/2006" xmlns:a14="http://schemas.microsoft.com/office/drawing/2010/main" val="FFFFC0" mc:Ignorable="a14" a14:legacySpreadsheetColorIndex="26"/>
        </a:solidFill>
        <a:ln w="24765">
          <a:solidFill>
            <a:srgbClr xmlns:mc="http://schemas.openxmlformats.org/markup-compatibility/2006" xmlns:a14="http://schemas.microsoft.com/office/drawing/2010/main" val="808000" mc:Ignorable="a14" a14:legacySpreadsheetColorIndex="19"/>
          </a:solidFill>
          <a:round/>
          <a:headEnd/>
          <a:tailEnd/>
        </a:ln>
      </xdr:spPr>
    </xdr:sp>
    <xdr:clientData/>
  </xdr:twoCellAnchor>
  <xdr:twoCellAnchor>
    <xdr:from>
      <xdr:col>5</xdr:col>
      <xdr:colOff>190500</xdr:colOff>
      <xdr:row>21</xdr:row>
      <xdr:rowOff>160020</xdr:rowOff>
    </xdr:from>
    <xdr:to>
      <xdr:col>6</xdr:col>
      <xdr:colOff>114300</xdr:colOff>
      <xdr:row>22</xdr:row>
      <xdr:rowOff>144780</xdr:rowOff>
    </xdr:to>
    <xdr:sp macro="" textlink="">
      <xdr:nvSpPr>
        <xdr:cNvPr id="1074" name="Text 50">
          <a:extLst>
            <a:ext uri="{FF2B5EF4-FFF2-40B4-BE49-F238E27FC236}">
              <a16:creationId xmlns:a16="http://schemas.microsoft.com/office/drawing/2014/main" id="{7CDE7EC3-199F-8AC9-7E2A-DF2C4115B129}"/>
            </a:ext>
          </a:extLst>
        </xdr:cNvPr>
        <xdr:cNvSpPr txBox="1">
          <a:spLocks noChangeArrowheads="1"/>
        </xdr:cNvSpPr>
      </xdr:nvSpPr>
      <xdr:spPr bwMode="auto">
        <a:xfrm>
          <a:off x="2895600" y="3710940"/>
          <a:ext cx="5334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RRR</a:t>
          </a:r>
        </a:p>
      </xdr:txBody>
    </xdr:sp>
    <xdr:clientData/>
  </xdr:twoCellAnchor>
  <xdr:twoCellAnchor>
    <xdr:from>
      <xdr:col>2</xdr:col>
      <xdr:colOff>0</xdr:colOff>
      <xdr:row>10</xdr:row>
      <xdr:rowOff>0</xdr:rowOff>
    </xdr:from>
    <xdr:to>
      <xdr:col>3</xdr:col>
      <xdr:colOff>0</xdr:colOff>
      <xdr:row>10</xdr:row>
      <xdr:rowOff>160020</xdr:rowOff>
    </xdr:to>
    <xdr:sp macro="" textlink="">
      <xdr:nvSpPr>
        <xdr:cNvPr id="1079" name="Text 55">
          <a:extLst>
            <a:ext uri="{FF2B5EF4-FFF2-40B4-BE49-F238E27FC236}">
              <a16:creationId xmlns:a16="http://schemas.microsoft.com/office/drawing/2014/main" id="{F4FF53F6-4532-45B4-48E1-599B12615D88}"/>
            </a:ext>
          </a:extLst>
        </xdr:cNvPr>
        <xdr:cNvSpPr txBox="1">
          <a:spLocks noChangeArrowheads="1"/>
        </xdr:cNvSpPr>
      </xdr:nvSpPr>
      <xdr:spPr bwMode="auto">
        <a:xfrm>
          <a:off x="876300" y="1706880"/>
          <a:ext cx="6096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rgbClr val="FF0000"/>
              </a:solidFill>
              <a:latin typeface="Arial"/>
              <a:cs typeface="Arial"/>
            </a:rPr>
            <a:t>cSuccess</a:t>
          </a:r>
        </a:p>
      </xdr:txBody>
    </xdr:sp>
    <xdr:clientData/>
  </xdr:twoCellAnchor>
  <xdr:twoCellAnchor>
    <xdr:from>
      <xdr:col>2</xdr:col>
      <xdr:colOff>0</xdr:colOff>
      <xdr:row>14</xdr:row>
      <xdr:rowOff>0</xdr:rowOff>
    </xdr:from>
    <xdr:to>
      <xdr:col>3</xdr:col>
      <xdr:colOff>0</xdr:colOff>
      <xdr:row>14</xdr:row>
      <xdr:rowOff>160020</xdr:rowOff>
    </xdr:to>
    <xdr:sp macro="" textlink="">
      <xdr:nvSpPr>
        <xdr:cNvPr id="1077" name="Text 53">
          <a:extLst>
            <a:ext uri="{FF2B5EF4-FFF2-40B4-BE49-F238E27FC236}">
              <a16:creationId xmlns:a16="http://schemas.microsoft.com/office/drawing/2014/main" id="{C138F832-4A69-3B25-5C8E-C03CE33D5E72}"/>
            </a:ext>
          </a:extLst>
        </xdr:cNvPr>
        <xdr:cNvSpPr txBox="1">
          <a:spLocks noChangeArrowheads="1"/>
        </xdr:cNvSpPr>
      </xdr:nvSpPr>
      <xdr:spPr bwMode="auto">
        <a:xfrm>
          <a:off x="876300" y="2377440"/>
          <a:ext cx="6096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rgbClr val="008000"/>
              </a:solidFill>
              <a:latin typeface="Arial"/>
              <a:cs typeface="Arial"/>
            </a:rPr>
            <a:t>uSuccessP</a:t>
          </a:r>
        </a:p>
      </xdr:txBody>
    </xdr:sp>
    <xdr:clientData/>
  </xdr:twoCellAnchor>
  <xdr:twoCellAnchor>
    <xdr:from>
      <xdr:col>8</xdr:col>
      <xdr:colOff>304800</xdr:colOff>
      <xdr:row>16</xdr:row>
      <xdr:rowOff>0</xdr:rowOff>
    </xdr:from>
    <xdr:to>
      <xdr:col>9</xdr:col>
      <xdr:colOff>114300</xdr:colOff>
      <xdr:row>16</xdr:row>
      <xdr:rowOff>160020</xdr:rowOff>
    </xdr:to>
    <xdr:sp macro="" textlink="">
      <xdr:nvSpPr>
        <xdr:cNvPr id="1073" name="Text 49">
          <a:extLst>
            <a:ext uri="{FF2B5EF4-FFF2-40B4-BE49-F238E27FC236}">
              <a16:creationId xmlns:a16="http://schemas.microsoft.com/office/drawing/2014/main" id="{CC0B80C1-395C-3AD5-1C3A-5C7C470226DC}"/>
            </a:ext>
          </a:extLst>
        </xdr:cNvPr>
        <xdr:cNvSpPr txBox="1">
          <a:spLocks noChangeArrowheads="1"/>
        </xdr:cNvSpPr>
      </xdr:nvSpPr>
      <xdr:spPr bwMode="auto">
        <a:xfrm>
          <a:off x="4838700" y="2712720"/>
          <a:ext cx="4191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mr[age]</a:t>
          </a:r>
        </a:p>
      </xdr:txBody>
    </xdr:sp>
    <xdr:clientData/>
  </xdr:twoCellAnchor>
  <xdr:twoCellAnchor>
    <xdr:from>
      <xdr:col>4</xdr:col>
      <xdr:colOff>556260</xdr:colOff>
      <xdr:row>18</xdr:row>
      <xdr:rowOff>106680</xdr:rowOff>
    </xdr:from>
    <xdr:to>
      <xdr:col>6</xdr:col>
      <xdr:colOff>518160</xdr:colOff>
      <xdr:row>19</xdr:row>
      <xdr:rowOff>99060</xdr:rowOff>
    </xdr:to>
    <xdr:sp macro="" textlink="">
      <xdr:nvSpPr>
        <xdr:cNvPr id="1072" name="Text 48">
          <a:extLst>
            <a:ext uri="{FF2B5EF4-FFF2-40B4-BE49-F238E27FC236}">
              <a16:creationId xmlns:a16="http://schemas.microsoft.com/office/drawing/2014/main" id="{2EA91889-9F14-1DEB-9B87-B9DDDF63E7C4}"/>
            </a:ext>
          </a:extLst>
        </xdr:cNvPr>
        <xdr:cNvSpPr txBox="1">
          <a:spLocks noChangeArrowheads="1"/>
        </xdr:cNvSpPr>
      </xdr:nvSpPr>
      <xdr:spPr bwMode="auto">
        <a:xfrm>
          <a:off x="2651760" y="3154680"/>
          <a:ext cx="11811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1- (omrRTHR + mr[age])</a:t>
          </a:r>
        </a:p>
      </xdr:txBody>
    </xdr:sp>
    <xdr:clientData/>
  </xdr:twoCellAnchor>
  <xdr:twoCellAnchor>
    <xdr:from>
      <xdr:col>5</xdr:col>
      <xdr:colOff>441960</xdr:colOff>
      <xdr:row>7</xdr:row>
      <xdr:rowOff>121920</xdr:rowOff>
    </xdr:from>
    <xdr:to>
      <xdr:col>6</xdr:col>
      <xdr:colOff>419100</xdr:colOff>
      <xdr:row>8</xdr:row>
      <xdr:rowOff>106680</xdr:rowOff>
    </xdr:to>
    <xdr:sp macro="" textlink="">
      <xdr:nvSpPr>
        <xdr:cNvPr id="1064" name="Text 40">
          <a:extLst>
            <a:ext uri="{FF2B5EF4-FFF2-40B4-BE49-F238E27FC236}">
              <a16:creationId xmlns:a16="http://schemas.microsoft.com/office/drawing/2014/main" id="{7E641308-5ABF-6E1A-DDA5-CAE30BC9130F}"/>
            </a:ext>
          </a:extLst>
        </xdr:cNvPr>
        <xdr:cNvSpPr txBox="1">
          <a:spLocks noChangeArrowheads="1"/>
        </xdr:cNvSpPr>
      </xdr:nvSpPr>
      <xdr:spPr bwMode="auto">
        <a:xfrm>
          <a:off x="3147060" y="1325880"/>
          <a:ext cx="586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omrPTHR </a:t>
          </a:r>
        </a:p>
      </xdr:txBody>
    </xdr:sp>
    <xdr:clientData/>
  </xdr:twoCellAnchor>
  <xdr:twoCellAnchor>
    <xdr:from>
      <xdr:col>3</xdr:col>
      <xdr:colOff>365760</xdr:colOff>
      <xdr:row>8</xdr:row>
      <xdr:rowOff>106680</xdr:rowOff>
    </xdr:from>
    <xdr:to>
      <xdr:col>4</xdr:col>
      <xdr:colOff>441960</xdr:colOff>
      <xdr:row>9</xdr:row>
      <xdr:rowOff>99060</xdr:rowOff>
    </xdr:to>
    <xdr:sp macro="" textlink="">
      <xdr:nvSpPr>
        <xdr:cNvPr id="1065" name="Text 41">
          <a:extLst>
            <a:ext uri="{FF2B5EF4-FFF2-40B4-BE49-F238E27FC236}">
              <a16:creationId xmlns:a16="http://schemas.microsoft.com/office/drawing/2014/main" id="{BEC1C7A6-27C4-5814-CE9C-A702B58E90FF}"/>
            </a:ext>
          </a:extLst>
        </xdr:cNvPr>
        <xdr:cNvSpPr txBox="1">
          <a:spLocks noChangeArrowheads="1"/>
        </xdr:cNvSpPr>
      </xdr:nvSpPr>
      <xdr:spPr bwMode="auto">
        <a:xfrm>
          <a:off x="1851660" y="1478280"/>
          <a:ext cx="6858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1- (omrPTHR)</a:t>
          </a:r>
        </a:p>
        <a:p>
          <a:pPr algn="ctr" rtl="0">
            <a:defRPr sz="1000"/>
          </a:pPr>
          <a:endParaRPr lang="zh-TW" altLang="en-US" sz="800" b="0" i="0" u="none" strike="noStrike" baseline="0">
            <a:solidFill>
              <a:srgbClr val="3333CC"/>
            </a:solidFill>
            <a:latin typeface="Arial"/>
            <a:cs typeface="Arial"/>
          </a:endParaRPr>
        </a:p>
      </xdr:txBody>
    </xdr:sp>
    <xdr:clientData/>
  </xdr:twoCellAnchor>
  <xdr:twoCellAnchor>
    <xdr:from>
      <xdr:col>2</xdr:col>
      <xdr:colOff>0</xdr:colOff>
      <xdr:row>15</xdr:row>
      <xdr:rowOff>68580</xdr:rowOff>
    </xdr:from>
    <xdr:to>
      <xdr:col>3</xdr:col>
      <xdr:colOff>304800</xdr:colOff>
      <xdr:row>16</xdr:row>
      <xdr:rowOff>45720</xdr:rowOff>
    </xdr:to>
    <xdr:sp macro="" textlink="">
      <xdr:nvSpPr>
        <xdr:cNvPr id="1068" name="Text 44">
          <a:extLst>
            <a:ext uri="{FF2B5EF4-FFF2-40B4-BE49-F238E27FC236}">
              <a16:creationId xmlns:a16="http://schemas.microsoft.com/office/drawing/2014/main" id="{47BCA9DF-3755-340C-9FD5-B6D012E8C0CC}"/>
            </a:ext>
          </a:extLst>
        </xdr:cNvPr>
        <xdr:cNvSpPr txBox="1">
          <a:spLocks noChangeArrowheads="1"/>
        </xdr:cNvSpPr>
      </xdr:nvSpPr>
      <xdr:spPr bwMode="auto">
        <a:xfrm>
          <a:off x="876300" y="2613660"/>
          <a:ext cx="91440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RR[age,sex,time]</a:t>
          </a:r>
        </a:p>
      </xdr:txBody>
    </xdr:sp>
    <xdr:clientData/>
  </xdr:twoCellAnchor>
  <xdr:twoCellAnchor>
    <xdr:from>
      <xdr:col>4</xdr:col>
      <xdr:colOff>152400</xdr:colOff>
      <xdr:row>15</xdr:row>
      <xdr:rowOff>0</xdr:rowOff>
    </xdr:from>
    <xdr:to>
      <xdr:col>6</xdr:col>
      <xdr:colOff>121920</xdr:colOff>
      <xdr:row>15</xdr:row>
      <xdr:rowOff>144780</xdr:rowOff>
    </xdr:to>
    <xdr:sp macro="" textlink="">
      <xdr:nvSpPr>
        <xdr:cNvPr id="1067" name="Text 43">
          <a:extLst>
            <a:ext uri="{FF2B5EF4-FFF2-40B4-BE49-F238E27FC236}">
              <a16:creationId xmlns:a16="http://schemas.microsoft.com/office/drawing/2014/main" id="{8C2C0B50-DEF2-6B5C-C6B7-DCFDDBDFEF60}"/>
            </a:ext>
          </a:extLst>
        </xdr:cNvPr>
        <xdr:cNvSpPr txBox="1">
          <a:spLocks noChangeArrowheads="1"/>
        </xdr:cNvSpPr>
      </xdr:nvSpPr>
      <xdr:spPr bwMode="auto">
        <a:xfrm>
          <a:off x="2247900" y="2545080"/>
          <a:ext cx="11887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omrRTHR + mr[age]</a:t>
          </a:r>
        </a:p>
      </xdr:txBody>
    </xdr:sp>
    <xdr:clientData/>
  </xdr:twoCellAnchor>
  <xdr:twoCellAnchor>
    <xdr:from>
      <xdr:col>2</xdr:col>
      <xdr:colOff>289560</xdr:colOff>
      <xdr:row>4</xdr:row>
      <xdr:rowOff>137160</xdr:rowOff>
    </xdr:from>
    <xdr:to>
      <xdr:col>4</xdr:col>
      <xdr:colOff>266700</xdr:colOff>
      <xdr:row>6</xdr:row>
      <xdr:rowOff>38100</xdr:rowOff>
    </xdr:to>
    <xdr:sp macro="" textlink="">
      <xdr:nvSpPr>
        <xdr:cNvPr id="1028" name="Text 4">
          <a:extLst>
            <a:ext uri="{FF2B5EF4-FFF2-40B4-BE49-F238E27FC236}">
              <a16:creationId xmlns:a16="http://schemas.microsoft.com/office/drawing/2014/main" id="{EF730288-C55B-5ACF-DA7C-D88E255FADF9}"/>
            </a:ext>
          </a:extLst>
        </xdr:cNvPr>
        <xdr:cNvSpPr txBox="1">
          <a:spLocks noChangeArrowheads="1"/>
        </xdr:cNvSpPr>
      </xdr:nvSpPr>
      <xdr:spPr bwMode="auto">
        <a:xfrm>
          <a:off x="1165860" y="838200"/>
          <a:ext cx="1196340" cy="236220"/>
        </a:xfrm>
        <a:prstGeom prst="rect">
          <a:avLst/>
        </a:prstGeom>
        <a:solidFill>
          <a:srgbClr xmlns:mc="http://schemas.openxmlformats.org/markup-compatibility/2006" xmlns:a14="http://schemas.microsoft.com/office/drawing/2010/main" val="FFFFC0" mc:Ignorable="a14" a14:legacySpreadsheetColorIndex="26"/>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ctr" rtl="0">
            <a:defRPr sz="1000"/>
          </a:pPr>
          <a:r>
            <a:rPr lang="zh-TW" altLang="en-US" sz="1200" b="1" i="0" u="none" strike="noStrike" baseline="0">
              <a:solidFill>
                <a:srgbClr val="000080"/>
              </a:solidFill>
              <a:latin typeface="Arial Rounded MT Bold"/>
            </a:rPr>
            <a:t>Primary THR</a:t>
          </a:r>
        </a:p>
      </xdr:txBody>
    </xdr:sp>
    <xdr:clientData/>
  </xdr:twoCellAnchor>
  <xdr:twoCellAnchor>
    <xdr:from>
      <xdr:col>7</xdr:col>
      <xdr:colOff>7620</xdr:colOff>
      <xdr:row>11</xdr:row>
      <xdr:rowOff>0</xdr:rowOff>
    </xdr:from>
    <xdr:to>
      <xdr:col>10</xdr:col>
      <xdr:colOff>7620</xdr:colOff>
      <xdr:row>14</xdr:row>
      <xdr:rowOff>0</xdr:rowOff>
    </xdr:to>
    <xdr:sp macro="" textlink="">
      <xdr:nvSpPr>
        <xdr:cNvPr id="1041" name="Oval 17">
          <a:extLst>
            <a:ext uri="{FF2B5EF4-FFF2-40B4-BE49-F238E27FC236}">
              <a16:creationId xmlns:a16="http://schemas.microsoft.com/office/drawing/2014/main" id="{2CC66AB4-7613-E5D0-118A-EAEE8E11B244}"/>
            </a:ext>
          </a:extLst>
        </xdr:cNvPr>
        <xdr:cNvSpPr>
          <a:spLocks noChangeArrowheads="1"/>
        </xdr:cNvSpPr>
      </xdr:nvSpPr>
      <xdr:spPr bwMode="auto">
        <a:xfrm>
          <a:off x="3931920" y="1874520"/>
          <a:ext cx="1828800" cy="502920"/>
        </a:xfrm>
        <a:prstGeom prst="ellipse">
          <a:avLst/>
        </a:prstGeom>
        <a:pattFill prst="pct25">
          <a:fgClr>
            <a:srgbClr xmlns:mc="http://schemas.openxmlformats.org/markup-compatibility/2006" xmlns:a14="http://schemas.microsoft.com/office/drawing/2010/main" val="FFFFC0" mc:Ignorable="a14" a14:legacySpreadsheetColorIndex="26"/>
          </a:fgClr>
          <a:bgClr>
            <a:srgbClr xmlns:mc="http://schemas.openxmlformats.org/markup-compatibility/2006" xmlns:a14="http://schemas.microsoft.com/office/drawing/2010/main" val="FFFFC0" mc:Ignorable="a14" a14:legacySpreadsheetColorIndex="26"/>
          </a:bgClr>
        </a:pattFill>
        <a:ln w="24765">
          <a:solidFill>
            <a:srgbClr xmlns:mc="http://schemas.openxmlformats.org/markup-compatibility/2006" xmlns:a14="http://schemas.microsoft.com/office/drawing/2010/main" val="808000" mc:Ignorable="a14" a14:legacySpreadsheetColorIndex="19"/>
          </a:solidFill>
          <a:round/>
          <a:headEnd/>
          <a:tailEnd/>
        </a:ln>
      </xdr:spPr>
    </xdr:sp>
    <xdr:clientData/>
  </xdr:twoCellAnchor>
  <xdr:twoCellAnchor>
    <xdr:from>
      <xdr:col>7</xdr:col>
      <xdr:colOff>0</xdr:colOff>
      <xdr:row>17</xdr:row>
      <xdr:rowOff>160020</xdr:rowOff>
    </xdr:from>
    <xdr:to>
      <xdr:col>10</xdr:col>
      <xdr:colOff>0</xdr:colOff>
      <xdr:row>20</xdr:row>
      <xdr:rowOff>160020</xdr:rowOff>
    </xdr:to>
    <xdr:sp macro="" textlink="">
      <xdr:nvSpPr>
        <xdr:cNvPr id="1042" name="Oval 18">
          <a:extLst>
            <a:ext uri="{FF2B5EF4-FFF2-40B4-BE49-F238E27FC236}">
              <a16:creationId xmlns:a16="http://schemas.microsoft.com/office/drawing/2014/main" id="{EAF2C381-69AF-1DDB-B303-719C363E109B}"/>
            </a:ext>
          </a:extLst>
        </xdr:cNvPr>
        <xdr:cNvSpPr>
          <a:spLocks noChangeArrowheads="1"/>
        </xdr:cNvSpPr>
      </xdr:nvSpPr>
      <xdr:spPr bwMode="auto">
        <a:xfrm>
          <a:off x="3924300" y="3040380"/>
          <a:ext cx="1828800" cy="502920"/>
        </a:xfrm>
        <a:prstGeom prst="ellipse">
          <a:avLst/>
        </a:prstGeom>
        <a:pattFill prst="pct25">
          <a:fgClr>
            <a:srgbClr xmlns:mc="http://schemas.openxmlformats.org/markup-compatibility/2006" xmlns:a14="http://schemas.microsoft.com/office/drawing/2010/main" val="FFFFC0" mc:Ignorable="a14" a14:legacySpreadsheetColorIndex="26"/>
          </a:fgClr>
          <a:bgClr>
            <a:srgbClr xmlns:mc="http://schemas.openxmlformats.org/markup-compatibility/2006" xmlns:a14="http://schemas.microsoft.com/office/drawing/2010/main" val="FFFFC0" mc:Ignorable="a14" a14:legacySpreadsheetColorIndex="26"/>
          </a:bgClr>
        </a:pattFill>
        <a:ln w="24765">
          <a:solidFill>
            <a:srgbClr xmlns:mc="http://schemas.openxmlformats.org/markup-compatibility/2006" xmlns:a14="http://schemas.microsoft.com/office/drawing/2010/main" val="808000" mc:Ignorable="a14" a14:legacySpreadsheetColorIndex="19"/>
          </a:solidFill>
          <a:round/>
          <a:headEnd/>
          <a:tailEnd/>
        </a:ln>
      </xdr:spPr>
    </xdr:sp>
    <xdr:clientData/>
  </xdr:twoCellAnchor>
  <xdr:twoCellAnchor>
    <xdr:from>
      <xdr:col>2</xdr:col>
      <xdr:colOff>0</xdr:colOff>
      <xdr:row>17</xdr:row>
      <xdr:rowOff>160020</xdr:rowOff>
    </xdr:from>
    <xdr:to>
      <xdr:col>5</xdr:col>
      <xdr:colOff>0</xdr:colOff>
      <xdr:row>20</xdr:row>
      <xdr:rowOff>160020</xdr:rowOff>
    </xdr:to>
    <xdr:sp macro="" textlink="">
      <xdr:nvSpPr>
        <xdr:cNvPr id="1043" name="Oval 19">
          <a:extLst>
            <a:ext uri="{FF2B5EF4-FFF2-40B4-BE49-F238E27FC236}">
              <a16:creationId xmlns:a16="http://schemas.microsoft.com/office/drawing/2014/main" id="{14B92F40-8674-B246-6688-92BC452F8BD9}"/>
            </a:ext>
          </a:extLst>
        </xdr:cNvPr>
        <xdr:cNvSpPr>
          <a:spLocks noChangeArrowheads="1"/>
        </xdr:cNvSpPr>
      </xdr:nvSpPr>
      <xdr:spPr bwMode="auto">
        <a:xfrm>
          <a:off x="876300" y="3040380"/>
          <a:ext cx="1828800" cy="502920"/>
        </a:xfrm>
        <a:prstGeom prst="ellipse">
          <a:avLst/>
        </a:prstGeom>
        <a:pattFill prst="pct25">
          <a:fgClr>
            <a:srgbClr xmlns:mc="http://schemas.openxmlformats.org/markup-compatibility/2006" xmlns:a14="http://schemas.microsoft.com/office/drawing/2010/main" val="FFFFC0" mc:Ignorable="a14" a14:legacySpreadsheetColorIndex="26"/>
          </a:fgClr>
          <a:bgClr>
            <a:srgbClr xmlns:mc="http://schemas.openxmlformats.org/markup-compatibility/2006" xmlns:a14="http://schemas.microsoft.com/office/drawing/2010/main" val="FFFFC0" mc:Ignorable="a14" a14:legacySpreadsheetColorIndex="26"/>
          </a:bgClr>
        </a:pattFill>
        <a:ln w="24765">
          <a:solidFill>
            <a:srgbClr xmlns:mc="http://schemas.openxmlformats.org/markup-compatibility/2006" xmlns:a14="http://schemas.microsoft.com/office/drawing/2010/main" val="808000" mc:Ignorable="a14" a14:legacySpreadsheetColorIndex="19"/>
          </a:solidFill>
          <a:round/>
          <a:headEnd/>
          <a:tailEnd/>
        </a:ln>
      </xdr:spPr>
    </xdr:sp>
    <xdr:clientData/>
  </xdr:twoCellAnchor>
  <xdr:twoCellAnchor>
    <xdr:from>
      <xdr:col>2</xdr:col>
      <xdr:colOff>0</xdr:colOff>
      <xdr:row>11</xdr:row>
      <xdr:rowOff>0</xdr:rowOff>
    </xdr:from>
    <xdr:to>
      <xdr:col>5</xdr:col>
      <xdr:colOff>0</xdr:colOff>
      <xdr:row>14</xdr:row>
      <xdr:rowOff>0</xdr:rowOff>
    </xdr:to>
    <xdr:sp macro="" textlink="">
      <xdr:nvSpPr>
        <xdr:cNvPr id="1044" name="Oval 20">
          <a:extLst>
            <a:ext uri="{FF2B5EF4-FFF2-40B4-BE49-F238E27FC236}">
              <a16:creationId xmlns:a16="http://schemas.microsoft.com/office/drawing/2014/main" id="{0343DA9A-A850-518D-DE32-569CDF5DE61A}"/>
            </a:ext>
          </a:extLst>
        </xdr:cNvPr>
        <xdr:cNvSpPr>
          <a:spLocks noChangeArrowheads="1"/>
        </xdr:cNvSpPr>
      </xdr:nvSpPr>
      <xdr:spPr bwMode="auto">
        <a:xfrm>
          <a:off x="876300" y="1874520"/>
          <a:ext cx="1828800" cy="502920"/>
        </a:xfrm>
        <a:prstGeom prst="ellipse">
          <a:avLst/>
        </a:prstGeom>
        <a:pattFill prst="pct25">
          <a:fgClr>
            <a:srgbClr xmlns:mc="http://schemas.openxmlformats.org/markup-compatibility/2006" xmlns:a14="http://schemas.microsoft.com/office/drawing/2010/main" val="FFFFC0" mc:Ignorable="a14" a14:legacySpreadsheetColorIndex="26"/>
          </a:fgClr>
          <a:bgClr>
            <a:srgbClr xmlns:mc="http://schemas.openxmlformats.org/markup-compatibility/2006" xmlns:a14="http://schemas.microsoft.com/office/drawing/2010/main" val="FFFFC0" mc:Ignorable="a14" a14:legacySpreadsheetColorIndex="26"/>
          </a:bgClr>
        </a:pattFill>
        <a:ln w="24765">
          <a:solidFill>
            <a:srgbClr xmlns:mc="http://schemas.openxmlformats.org/markup-compatibility/2006" xmlns:a14="http://schemas.microsoft.com/office/drawing/2010/main" val="808000" mc:Ignorable="a14" a14:legacySpreadsheetColorIndex="19"/>
          </a:solidFill>
          <a:round/>
          <a:headEnd/>
          <a:tailEnd/>
        </a:ln>
      </xdr:spPr>
    </xdr:sp>
    <xdr:clientData/>
  </xdr:twoCellAnchor>
  <xdr:twoCellAnchor>
    <xdr:from>
      <xdr:col>3</xdr:col>
      <xdr:colOff>289560</xdr:colOff>
      <xdr:row>7</xdr:row>
      <xdr:rowOff>7620</xdr:rowOff>
    </xdr:from>
    <xdr:to>
      <xdr:col>3</xdr:col>
      <xdr:colOff>289560</xdr:colOff>
      <xdr:row>11</xdr:row>
      <xdr:rowOff>0</xdr:rowOff>
    </xdr:to>
    <xdr:sp macro="" textlink="">
      <xdr:nvSpPr>
        <xdr:cNvPr id="1048" name="Line 24">
          <a:extLst>
            <a:ext uri="{FF2B5EF4-FFF2-40B4-BE49-F238E27FC236}">
              <a16:creationId xmlns:a16="http://schemas.microsoft.com/office/drawing/2014/main" id="{339FDE82-A837-48F3-C46F-90D1B45AC07B}"/>
            </a:ext>
          </a:extLst>
        </xdr:cNvPr>
        <xdr:cNvSpPr>
          <a:spLocks noChangeShapeType="1"/>
        </xdr:cNvSpPr>
      </xdr:nvSpPr>
      <xdr:spPr bwMode="auto">
        <a:xfrm flipH="1">
          <a:off x="1775460" y="1211580"/>
          <a:ext cx="0" cy="662940"/>
        </a:xfrm>
        <a:prstGeom prst="line">
          <a:avLst/>
        </a:prstGeom>
        <a:noFill/>
        <a:ln w="24765">
          <a:solidFill>
            <a:srgbClr xmlns:mc="http://schemas.openxmlformats.org/markup-compatibility/2006" xmlns:a14="http://schemas.microsoft.com/office/drawing/2010/main" val="808000" mc:Ignorable="a14" a14:legacySpreadsheetColorIndex="19"/>
          </a:solidFill>
          <a:prstDash val="lgDash"/>
          <a:round/>
          <a:headEnd/>
          <a:tailEnd type="arrow"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99060</xdr:rowOff>
    </xdr:from>
    <xdr:to>
      <xdr:col>6</xdr:col>
      <xdr:colOff>594360</xdr:colOff>
      <xdr:row>19</xdr:row>
      <xdr:rowOff>99060</xdr:rowOff>
    </xdr:to>
    <xdr:sp macro="" textlink="">
      <xdr:nvSpPr>
        <xdr:cNvPr id="1049" name="Line 25">
          <a:extLst>
            <a:ext uri="{FF2B5EF4-FFF2-40B4-BE49-F238E27FC236}">
              <a16:creationId xmlns:a16="http://schemas.microsoft.com/office/drawing/2014/main" id="{9E360252-4E2F-EBDF-0434-21A0F741E63E}"/>
            </a:ext>
          </a:extLst>
        </xdr:cNvPr>
        <xdr:cNvSpPr>
          <a:spLocks noChangeShapeType="1"/>
        </xdr:cNvSpPr>
      </xdr:nvSpPr>
      <xdr:spPr bwMode="auto">
        <a:xfrm>
          <a:off x="2705100" y="3314700"/>
          <a:ext cx="1203960" cy="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4</xdr:col>
      <xdr:colOff>502920</xdr:colOff>
      <xdr:row>13</xdr:row>
      <xdr:rowOff>76200</xdr:rowOff>
    </xdr:from>
    <xdr:to>
      <xdr:col>7</xdr:col>
      <xdr:colOff>144780</xdr:colOff>
      <xdr:row>18</xdr:row>
      <xdr:rowOff>129540</xdr:rowOff>
    </xdr:to>
    <xdr:sp macro="" textlink="">
      <xdr:nvSpPr>
        <xdr:cNvPr id="1050" name="Line 26">
          <a:extLst>
            <a:ext uri="{FF2B5EF4-FFF2-40B4-BE49-F238E27FC236}">
              <a16:creationId xmlns:a16="http://schemas.microsoft.com/office/drawing/2014/main" id="{04D3CCC4-6586-9DB9-FDAF-7726F3A0004F}"/>
            </a:ext>
          </a:extLst>
        </xdr:cNvPr>
        <xdr:cNvSpPr>
          <a:spLocks noChangeShapeType="1"/>
        </xdr:cNvSpPr>
      </xdr:nvSpPr>
      <xdr:spPr bwMode="auto">
        <a:xfrm flipV="1">
          <a:off x="2598420" y="2286000"/>
          <a:ext cx="1470660" cy="89154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4</xdr:col>
      <xdr:colOff>556260</xdr:colOff>
      <xdr:row>6</xdr:row>
      <xdr:rowOff>144780</xdr:rowOff>
    </xdr:from>
    <xdr:to>
      <xdr:col>7</xdr:col>
      <xdr:colOff>152400</xdr:colOff>
      <xdr:row>11</xdr:row>
      <xdr:rowOff>99060</xdr:rowOff>
    </xdr:to>
    <xdr:sp macro="" textlink="">
      <xdr:nvSpPr>
        <xdr:cNvPr id="1051" name="Line 27">
          <a:extLst>
            <a:ext uri="{FF2B5EF4-FFF2-40B4-BE49-F238E27FC236}">
              <a16:creationId xmlns:a16="http://schemas.microsoft.com/office/drawing/2014/main" id="{9CF539D5-663A-0086-510A-3865F7764DC0}"/>
            </a:ext>
          </a:extLst>
        </xdr:cNvPr>
        <xdr:cNvSpPr>
          <a:spLocks noChangeShapeType="1"/>
        </xdr:cNvSpPr>
      </xdr:nvSpPr>
      <xdr:spPr bwMode="auto">
        <a:xfrm>
          <a:off x="2651760" y="1181100"/>
          <a:ext cx="1424940" cy="792480"/>
        </a:xfrm>
        <a:prstGeom prst="line">
          <a:avLst/>
        </a:prstGeom>
        <a:noFill/>
        <a:ln w="24765">
          <a:solidFill>
            <a:srgbClr xmlns:mc="http://schemas.openxmlformats.org/markup-compatibility/2006" xmlns:a14="http://schemas.microsoft.com/office/drawing/2010/main" val="808000" mc:Ignorable="a14" a14:legacySpreadsheetColorIndex="19"/>
          </a:solidFill>
          <a:prstDash val="lgDash"/>
          <a:round/>
          <a:headEnd/>
          <a:tailEnd type="arrow" w="med" len="med"/>
        </a:ln>
        <a:extLst>
          <a:ext uri="{909E8E84-426E-40DD-AFC4-6F175D3DCCD1}">
            <a14:hiddenFill xmlns:a14="http://schemas.microsoft.com/office/drawing/2010/main">
              <a:noFill/>
            </a14:hiddenFill>
          </a:ext>
        </a:extLst>
      </xdr:spPr>
    </xdr:sp>
    <xdr:clientData/>
  </xdr:twoCellAnchor>
  <xdr:twoCellAnchor>
    <xdr:from>
      <xdr:col>5</xdr:col>
      <xdr:colOff>0</xdr:colOff>
      <xdr:row>12</xdr:row>
      <xdr:rowOff>76200</xdr:rowOff>
    </xdr:from>
    <xdr:to>
      <xdr:col>6</xdr:col>
      <xdr:colOff>601980</xdr:colOff>
      <xdr:row>12</xdr:row>
      <xdr:rowOff>76200</xdr:rowOff>
    </xdr:to>
    <xdr:sp macro="" textlink="">
      <xdr:nvSpPr>
        <xdr:cNvPr id="1052" name="Line 28">
          <a:extLst>
            <a:ext uri="{FF2B5EF4-FFF2-40B4-BE49-F238E27FC236}">
              <a16:creationId xmlns:a16="http://schemas.microsoft.com/office/drawing/2014/main" id="{AFD54570-D0AE-55B4-133B-B2A6113B9F18}"/>
            </a:ext>
          </a:extLst>
        </xdr:cNvPr>
        <xdr:cNvSpPr>
          <a:spLocks noChangeShapeType="1"/>
        </xdr:cNvSpPr>
      </xdr:nvSpPr>
      <xdr:spPr bwMode="auto">
        <a:xfrm>
          <a:off x="2705100" y="2118360"/>
          <a:ext cx="1211580" cy="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8</xdr:col>
      <xdr:colOff>312420</xdr:colOff>
      <xdr:row>14</xdr:row>
      <xdr:rowOff>0</xdr:rowOff>
    </xdr:from>
    <xdr:to>
      <xdr:col>8</xdr:col>
      <xdr:colOff>312420</xdr:colOff>
      <xdr:row>17</xdr:row>
      <xdr:rowOff>144780</xdr:rowOff>
    </xdr:to>
    <xdr:sp macro="" textlink="">
      <xdr:nvSpPr>
        <xdr:cNvPr id="1053" name="Line 29">
          <a:extLst>
            <a:ext uri="{FF2B5EF4-FFF2-40B4-BE49-F238E27FC236}">
              <a16:creationId xmlns:a16="http://schemas.microsoft.com/office/drawing/2014/main" id="{98EC7DF3-8E02-00E9-A825-579A73320A29}"/>
            </a:ext>
          </a:extLst>
        </xdr:cNvPr>
        <xdr:cNvSpPr>
          <a:spLocks noChangeShapeType="1"/>
        </xdr:cNvSpPr>
      </xdr:nvSpPr>
      <xdr:spPr bwMode="auto">
        <a:xfrm flipV="1">
          <a:off x="4846320" y="2377440"/>
          <a:ext cx="0" cy="64770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3</xdr:col>
      <xdr:colOff>289560</xdr:colOff>
      <xdr:row>14</xdr:row>
      <xdr:rowOff>22860</xdr:rowOff>
    </xdr:from>
    <xdr:to>
      <xdr:col>3</xdr:col>
      <xdr:colOff>289560</xdr:colOff>
      <xdr:row>17</xdr:row>
      <xdr:rowOff>144780</xdr:rowOff>
    </xdr:to>
    <xdr:sp macro="" textlink="">
      <xdr:nvSpPr>
        <xdr:cNvPr id="1054" name="Line 30">
          <a:extLst>
            <a:ext uri="{FF2B5EF4-FFF2-40B4-BE49-F238E27FC236}">
              <a16:creationId xmlns:a16="http://schemas.microsoft.com/office/drawing/2014/main" id="{DB9CA564-52CD-C63D-07A6-F9341B00A192}"/>
            </a:ext>
          </a:extLst>
        </xdr:cNvPr>
        <xdr:cNvSpPr>
          <a:spLocks noChangeShapeType="1"/>
        </xdr:cNvSpPr>
      </xdr:nvSpPr>
      <xdr:spPr bwMode="auto">
        <a:xfrm>
          <a:off x="1775460" y="2400300"/>
          <a:ext cx="0" cy="62484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2</xdr:col>
      <xdr:colOff>342900</xdr:colOff>
      <xdr:row>18</xdr:row>
      <xdr:rowOff>121920</xdr:rowOff>
    </xdr:from>
    <xdr:to>
      <xdr:col>4</xdr:col>
      <xdr:colOff>327660</xdr:colOff>
      <xdr:row>20</xdr:row>
      <xdr:rowOff>22860</xdr:rowOff>
    </xdr:to>
    <xdr:sp macro="" textlink="">
      <xdr:nvSpPr>
        <xdr:cNvPr id="1055" name="Text 31">
          <a:extLst>
            <a:ext uri="{FF2B5EF4-FFF2-40B4-BE49-F238E27FC236}">
              <a16:creationId xmlns:a16="http://schemas.microsoft.com/office/drawing/2014/main" id="{D31147B5-21D5-BC2A-7CA2-DAD9E88F4D26}"/>
            </a:ext>
          </a:extLst>
        </xdr:cNvPr>
        <xdr:cNvSpPr txBox="1">
          <a:spLocks noChangeArrowheads="1"/>
        </xdr:cNvSpPr>
      </xdr:nvSpPr>
      <xdr:spPr bwMode="auto">
        <a:xfrm>
          <a:off x="1219200" y="3169920"/>
          <a:ext cx="1203960" cy="236220"/>
        </a:xfrm>
        <a:prstGeom prst="rect">
          <a:avLst/>
        </a:prstGeom>
        <a:solidFill>
          <a:srgbClr xmlns:mc="http://schemas.openxmlformats.org/markup-compatibility/2006" xmlns:a14="http://schemas.microsoft.com/office/drawing/2010/main" val="FFFFC0" mc:Ignorable="a14" a14:legacySpreadsheetColorIndex="26"/>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ctr" rtl="0">
            <a:defRPr sz="1000"/>
          </a:pPr>
          <a:r>
            <a:rPr lang="zh-TW" altLang="en-US" sz="1200" b="1" i="0" u="none" strike="noStrike" baseline="0">
              <a:solidFill>
                <a:srgbClr val="000080"/>
              </a:solidFill>
              <a:latin typeface="Arial Rounded MT Bold"/>
            </a:rPr>
            <a:t>Revision THR</a:t>
          </a:r>
        </a:p>
      </xdr:txBody>
    </xdr:sp>
    <xdr:clientData/>
  </xdr:twoCellAnchor>
  <xdr:twoCellAnchor>
    <xdr:from>
      <xdr:col>2</xdr:col>
      <xdr:colOff>419100</xdr:colOff>
      <xdr:row>11</xdr:row>
      <xdr:rowOff>60960</xdr:rowOff>
    </xdr:from>
    <xdr:to>
      <xdr:col>4</xdr:col>
      <xdr:colOff>160020</xdr:colOff>
      <xdr:row>13</xdr:row>
      <xdr:rowOff>121920</xdr:rowOff>
    </xdr:to>
    <xdr:sp macro="" textlink="">
      <xdr:nvSpPr>
        <xdr:cNvPr id="1056" name="Text 32">
          <a:extLst>
            <a:ext uri="{FF2B5EF4-FFF2-40B4-BE49-F238E27FC236}">
              <a16:creationId xmlns:a16="http://schemas.microsoft.com/office/drawing/2014/main" id="{41F068CA-0C66-A1D6-AEA9-297AFF59D855}"/>
            </a:ext>
          </a:extLst>
        </xdr:cNvPr>
        <xdr:cNvSpPr txBox="1">
          <a:spLocks noChangeArrowheads="1"/>
        </xdr:cNvSpPr>
      </xdr:nvSpPr>
      <xdr:spPr bwMode="auto">
        <a:xfrm>
          <a:off x="1295400" y="1935480"/>
          <a:ext cx="960120" cy="396240"/>
        </a:xfrm>
        <a:prstGeom prst="rect">
          <a:avLst/>
        </a:prstGeom>
        <a:solidFill>
          <a:srgbClr xmlns:mc="http://schemas.openxmlformats.org/markup-compatibility/2006" xmlns:a14="http://schemas.microsoft.com/office/drawing/2010/main" val="FFFFC0" mc:Ignorable="a14" a14:legacySpreadsheetColorIndex="26"/>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ctr" rtl="0">
            <a:defRPr sz="1000"/>
          </a:pPr>
          <a:r>
            <a:rPr lang="zh-TW" altLang="en-US" sz="1200" b="1" i="0" u="none" strike="noStrike" baseline="0">
              <a:solidFill>
                <a:srgbClr val="000080"/>
              </a:solidFill>
              <a:latin typeface="Arial Rounded MT Bold"/>
            </a:rPr>
            <a:t>Successful Primary</a:t>
          </a:r>
        </a:p>
      </xdr:txBody>
    </xdr:sp>
    <xdr:clientData/>
  </xdr:twoCellAnchor>
  <xdr:twoCellAnchor>
    <xdr:from>
      <xdr:col>7</xdr:col>
      <xdr:colOff>327660</xdr:colOff>
      <xdr:row>11</xdr:row>
      <xdr:rowOff>129540</xdr:rowOff>
    </xdr:from>
    <xdr:to>
      <xdr:col>9</xdr:col>
      <xdr:colOff>304800</xdr:colOff>
      <xdr:row>13</xdr:row>
      <xdr:rowOff>30480</xdr:rowOff>
    </xdr:to>
    <xdr:sp macro="" textlink="">
      <xdr:nvSpPr>
        <xdr:cNvPr id="1058" name="Text 34">
          <a:extLst>
            <a:ext uri="{FF2B5EF4-FFF2-40B4-BE49-F238E27FC236}">
              <a16:creationId xmlns:a16="http://schemas.microsoft.com/office/drawing/2014/main" id="{57336099-3C62-D54C-8F17-DFED152B18A7}"/>
            </a:ext>
          </a:extLst>
        </xdr:cNvPr>
        <xdr:cNvSpPr txBox="1">
          <a:spLocks noChangeArrowheads="1"/>
        </xdr:cNvSpPr>
      </xdr:nvSpPr>
      <xdr:spPr bwMode="auto">
        <a:xfrm>
          <a:off x="4251960" y="2004060"/>
          <a:ext cx="1196340" cy="236220"/>
        </a:xfrm>
        <a:prstGeom prst="rect">
          <a:avLst/>
        </a:prstGeom>
        <a:solidFill>
          <a:srgbClr xmlns:mc="http://schemas.openxmlformats.org/markup-compatibility/2006" xmlns:a14="http://schemas.microsoft.com/office/drawing/2010/main" val="FFFFC0" mc:Ignorable="a14" a14:legacySpreadsheetColorIndex="26"/>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ctr" rtl="0">
            <a:defRPr sz="1000"/>
          </a:pPr>
          <a:r>
            <a:rPr lang="zh-TW" altLang="en-US" sz="1200" b="1" i="0" u="none" strike="noStrike" baseline="0">
              <a:solidFill>
                <a:srgbClr val="000080"/>
              </a:solidFill>
              <a:latin typeface="Arial Rounded MT Bold"/>
            </a:rPr>
            <a:t>Death</a:t>
          </a:r>
        </a:p>
      </xdr:txBody>
    </xdr:sp>
    <xdr:clientData/>
  </xdr:twoCellAnchor>
  <xdr:twoCellAnchor>
    <xdr:from>
      <xdr:col>1</xdr:col>
      <xdr:colOff>0</xdr:colOff>
      <xdr:row>11</xdr:row>
      <xdr:rowOff>76200</xdr:rowOff>
    </xdr:from>
    <xdr:to>
      <xdr:col>2</xdr:col>
      <xdr:colOff>0</xdr:colOff>
      <xdr:row>13</xdr:row>
      <xdr:rowOff>76200</xdr:rowOff>
    </xdr:to>
    <xdr:sp macro="" textlink="">
      <xdr:nvSpPr>
        <xdr:cNvPr id="1060" name="Oval 36">
          <a:extLst>
            <a:ext uri="{FF2B5EF4-FFF2-40B4-BE49-F238E27FC236}">
              <a16:creationId xmlns:a16="http://schemas.microsoft.com/office/drawing/2014/main" id="{40B5E8E7-25DF-D475-9B45-37F65C261E6F}"/>
            </a:ext>
          </a:extLst>
        </xdr:cNvPr>
        <xdr:cNvSpPr>
          <a:spLocks noChangeArrowheads="1"/>
        </xdr:cNvSpPr>
      </xdr:nvSpPr>
      <xdr:spPr bwMode="auto">
        <a:xfrm>
          <a:off x="266700" y="1950720"/>
          <a:ext cx="609600" cy="335280"/>
        </a:xfrm>
        <a:prstGeom prst="ellipse">
          <a:avLst/>
        </a:prstGeom>
        <a:noFill/>
        <a:ln w="24765">
          <a:solidFill>
            <a:srgbClr xmlns:mc="http://schemas.openxmlformats.org/markup-compatibility/2006" xmlns:a14="http://schemas.microsoft.com/office/drawing/2010/main" val="808000" mc:Ignorable="a14" a14:legacySpreadsheetColorIndex="19"/>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xdr:col>
      <xdr:colOff>571500</xdr:colOff>
      <xdr:row>12</xdr:row>
      <xdr:rowOff>0</xdr:rowOff>
    </xdr:from>
    <xdr:to>
      <xdr:col>2</xdr:col>
      <xdr:colOff>0</xdr:colOff>
      <xdr:row>12</xdr:row>
      <xdr:rowOff>38100</xdr:rowOff>
    </xdr:to>
    <xdr:sp macro="" textlink="">
      <xdr:nvSpPr>
        <xdr:cNvPr id="1061" name="Line 37">
          <a:extLst>
            <a:ext uri="{FF2B5EF4-FFF2-40B4-BE49-F238E27FC236}">
              <a16:creationId xmlns:a16="http://schemas.microsoft.com/office/drawing/2014/main" id="{25305D0B-E500-A771-CBE1-2592F2BB0F76}"/>
            </a:ext>
          </a:extLst>
        </xdr:cNvPr>
        <xdr:cNvSpPr>
          <a:spLocks noChangeShapeType="1"/>
        </xdr:cNvSpPr>
      </xdr:nvSpPr>
      <xdr:spPr bwMode="auto">
        <a:xfrm>
          <a:off x="838200" y="2042160"/>
          <a:ext cx="38100" cy="3810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10</xdr:col>
      <xdr:colOff>7620</xdr:colOff>
      <xdr:row>18</xdr:row>
      <xdr:rowOff>160020</xdr:rowOff>
    </xdr:from>
    <xdr:to>
      <xdr:col>10</xdr:col>
      <xdr:colOff>60960</xdr:colOff>
      <xdr:row>19</xdr:row>
      <xdr:rowOff>45720</xdr:rowOff>
    </xdr:to>
    <xdr:sp macro="" textlink="">
      <xdr:nvSpPr>
        <xdr:cNvPr id="1062" name="Line 38">
          <a:extLst>
            <a:ext uri="{FF2B5EF4-FFF2-40B4-BE49-F238E27FC236}">
              <a16:creationId xmlns:a16="http://schemas.microsoft.com/office/drawing/2014/main" id="{121E36FA-65D6-F847-9C54-C5A0C1D35D0E}"/>
            </a:ext>
          </a:extLst>
        </xdr:cNvPr>
        <xdr:cNvSpPr>
          <a:spLocks noChangeShapeType="1"/>
        </xdr:cNvSpPr>
      </xdr:nvSpPr>
      <xdr:spPr bwMode="auto">
        <a:xfrm flipH="1">
          <a:off x="5760720" y="3208020"/>
          <a:ext cx="53340" cy="5334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10</xdr:col>
      <xdr:colOff>7620</xdr:colOff>
      <xdr:row>18</xdr:row>
      <xdr:rowOff>76200</xdr:rowOff>
    </xdr:from>
    <xdr:to>
      <xdr:col>11</xdr:col>
      <xdr:colOff>7620</xdr:colOff>
      <xdr:row>20</xdr:row>
      <xdr:rowOff>76200</xdr:rowOff>
    </xdr:to>
    <xdr:sp macro="" textlink="">
      <xdr:nvSpPr>
        <xdr:cNvPr id="1063" name="Oval 39">
          <a:extLst>
            <a:ext uri="{FF2B5EF4-FFF2-40B4-BE49-F238E27FC236}">
              <a16:creationId xmlns:a16="http://schemas.microsoft.com/office/drawing/2014/main" id="{A15BFD8B-703C-7778-3FB7-1586E680C7A9}"/>
            </a:ext>
          </a:extLst>
        </xdr:cNvPr>
        <xdr:cNvSpPr>
          <a:spLocks noChangeArrowheads="1"/>
        </xdr:cNvSpPr>
      </xdr:nvSpPr>
      <xdr:spPr bwMode="auto">
        <a:xfrm>
          <a:off x="5760720" y="3124200"/>
          <a:ext cx="609600" cy="335280"/>
        </a:xfrm>
        <a:prstGeom prst="ellipse">
          <a:avLst/>
        </a:prstGeom>
        <a:noFill/>
        <a:ln w="24765">
          <a:solidFill>
            <a:srgbClr xmlns:mc="http://schemas.openxmlformats.org/markup-compatibility/2006" xmlns:a14="http://schemas.microsoft.com/office/drawing/2010/main" val="808000" mc:Ignorable="a14" a14:legacySpreadsheetColorIndex="19"/>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5</xdr:col>
      <xdr:colOff>144780</xdr:colOff>
      <xdr:row>11</xdr:row>
      <xdr:rowOff>45720</xdr:rowOff>
    </xdr:from>
    <xdr:to>
      <xdr:col>6</xdr:col>
      <xdr:colOff>297180</xdr:colOff>
      <xdr:row>12</xdr:row>
      <xdr:rowOff>38100</xdr:rowOff>
    </xdr:to>
    <xdr:sp macro="" textlink="">
      <xdr:nvSpPr>
        <xdr:cNvPr id="1066" name="Text 42">
          <a:extLst>
            <a:ext uri="{FF2B5EF4-FFF2-40B4-BE49-F238E27FC236}">
              <a16:creationId xmlns:a16="http://schemas.microsoft.com/office/drawing/2014/main" id="{84ABE26B-3B60-F2FA-98E1-C2DE1FDDF9CE}"/>
            </a:ext>
          </a:extLst>
        </xdr:cNvPr>
        <xdr:cNvSpPr txBox="1">
          <a:spLocks noChangeArrowheads="1"/>
        </xdr:cNvSpPr>
      </xdr:nvSpPr>
      <xdr:spPr bwMode="auto">
        <a:xfrm>
          <a:off x="2849880" y="1920240"/>
          <a:ext cx="7620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zh-TW" altLang="en-US" sz="800" b="0" i="0" u="none" strike="noStrike" baseline="0">
              <a:solidFill>
                <a:srgbClr val="3333CC"/>
              </a:solidFill>
              <a:latin typeface="Arial"/>
              <a:cs typeface="Arial"/>
            </a:rPr>
            <a:t>mr[age]</a:t>
          </a:r>
        </a:p>
      </xdr:txBody>
    </xdr:sp>
    <xdr:clientData/>
  </xdr:twoCellAnchor>
  <xdr:twoCellAnchor>
    <xdr:from>
      <xdr:col>3</xdr:col>
      <xdr:colOff>304800</xdr:colOff>
      <xdr:row>21</xdr:row>
      <xdr:rowOff>0</xdr:rowOff>
    </xdr:from>
    <xdr:to>
      <xdr:col>3</xdr:col>
      <xdr:colOff>304800</xdr:colOff>
      <xdr:row>23</xdr:row>
      <xdr:rowOff>0</xdr:rowOff>
    </xdr:to>
    <xdr:sp macro="" textlink="">
      <xdr:nvSpPr>
        <xdr:cNvPr id="1069" name="Line 45">
          <a:extLst>
            <a:ext uri="{FF2B5EF4-FFF2-40B4-BE49-F238E27FC236}">
              <a16:creationId xmlns:a16="http://schemas.microsoft.com/office/drawing/2014/main" id="{D24F161E-3DBC-C02C-E62C-A3E4DC7C8DAA}"/>
            </a:ext>
          </a:extLst>
        </xdr:cNvPr>
        <xdr:cNvSpPr>
          <a:spLocks noChangeShapeType="1"/>
        </xdr:cNvSpPr>
      </xdr:nvSpPr>
      <xdr:spPr bwMode="auto">
        <a:xfrm flipH="1" flipV="1">
          <a:off x="1790700" y="3550920"/>
          <a:ext cx="0" cy="33528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23</xdr:row>
      <xdr:rowOff>0</xdr:rowOff>
    </xdr:from>
    <xdr:to>
      <xdr:col>8</xdr:col>
      <xdr:colOff>304800</xdr:colOff>
      <xdr:row>23</xdr:row>
      <xdr:rowOff>0</xdr:rowOff>
    </xdr:to>
    <xdr:sp macro="" textlink="">
      <xdr:nvSpPr>
        <xdr:cNvPr id="1070" name="Line 46">
          <a:extLst>
            <a:ext uri="{FF2B5EF4-FFF2-40B4-BE49-F238E27FC236}">
              <a16:creationId xmlns:a16="http://schemas.microsoft.com/office/drawing/2014/main" id="{26C17E88-FB51-2CD0-E3E2-C52FE0D6F5D4}"/>
            </a:ext>
          </a:extLst>
        </xdr:cNvPr>
        <xdr:cNvSpPr>
          <a:spLocks noChangeShapeType="1"/>
        </xdr:cNvSpPr>
      </xdr:nvSpPr>
      <xdr:spPr bwMode="auto">
        <a:xfrm flipV="1">
          <a:off x="1790700" y="3886200"/>
          <a:ext cx="3048000" cy="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304800</xdr:colOff>
      <xdr:row>21</xdr:row>
      <xdr:rowOff>0</xdr:rowOff>
    </xdr:from>
    <xdr:to>
      <xdr:col>8</xdr:col>
      <xdr:colOff>304800</xdr:colOff>
      <xdr:row>23</xdr:row>
      <xdr:rowOff>0</xdr:rowOff>
    </xdr:to>
    <xdr:sp macro="" textlink="">
      <xdr:nvSpPr>
        <xdr:cNvPr id="1071" name="Line 47">
          <a:extLst>
            <a:ext uri="{FF2B5EF4-FFF2-40B4-BE49-F238E27FC236}">
              <a16:creationId xmlns:a16="http://schemas.microsoft.com/office/drawing/2014/main" id="{3EAEA87B-2A9C-283C-DE47-30126380036D}"/>
            </a:ext>
          </a:extLst>
        </xdr:cNvPr>
        <xdr:cNvSpPr>
          <a:spLocks noChangeShapeType="1"/>
        </xdr:cNvSpPr>
      </xdr:nvSpPr>
      <xdr:spPr bwMode="auto">
        <a:xfrm flipV="1">
          <a:off x="4838700" y="3550920"/>
          <a:ext cx="0" cy="335280"/>
        </a:xfrm>
        <a:prstGeom prst="line">
          <a:avLst/>
        </a:prstGeom>
        <a:noFill/>
        <a:ln w="24765">
          <a:solidFill>
            <a:srgbClr xmlns:mc="http://schemas.openxmlformats.org/markup-compatibility/2006" xmlns:a14="http://schemas.microsoft.com/office/drawing/2010/main" val="808000" mc:Ignorable="a14" a14:legacySpreadsheetColorIndex="1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601980</xdr:colOff>
      <xdr:row>21</xdr:row>
      <xdr:rowOff>0</xdr:rowOff>
    </xdr:from>
    <xdr:to>
      <xdr:col>3</xdr:col>
      <xdr:colOff>0</xdr:colOff>
      <xdr:row>22</xdr:row>
      <xdr:rowOff>0</xdr:rowOff>
    </xdr:to>
    <xdr:sp macro="" textlink="">
      <xdr:nvSpPr>
        <xdr:cNvPr id="1080" name="Text 56">
          <a:extLst>
            <a:ext uri="{FF2B5EF4-FFF2-40B4-BE49-F238E27FC236}">
              <a16:creationId xmlns:a16="http://schemas.microsoft.com/office/drawing/2014/main" id="{59C3E834-5474-7E8F-717B-45999A493859}"/>
            </a:ext>
          </a:extLst>
        </xdr:cNvPr>
        <xdr:cNvSpPr txBox="1">
          <a:spLocks noChangeArrowheads="1"/>
        </xdr:cNvSpPr>
      </xdr:nvSpPr>
      <xdr:spPr bwMode="auto">
        <a:xfrm>
          <a:off x="868680" y="3550920"/>
          <a:ext cx="61722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rgbClr val="008000"/>
              </a:solidFill>
              <a:latin typeface="Arial"/>
              <a:cs typeface="Arial"/>
            </a:rPr>
            <a:t>uRevision</a:t>
          </a:r>
        </a:p>
      </xdr:txBody>
    </xdr:sp>
    <xdr:clientData/>
  </xdr:twoCellAnchor>
  <xdr:twoCellAnchor>
    <xdr:from>
      <xdr:col>2</xdr:col>
      <xdr:colOff>0</xdr:colOff>
      <xdr:row>17</xdr:row>
      <xdr:rowOff>0</xdr:rowOff>
    </xdr:from>
    <xdr:to>
      <xdr:col>3</xdr:col>
      <xdr:colOff>0</xdr:colOff>
      <xdr:row>17</xdr:row>
      <xdr:rowOff>160020</xdr:rowOff>
    </xdr:to>
    <xdr:sp macro="" textlink="">
      <xdr:nvSpPr>
        <xdr:cNvPr id="1081" name="Text 57">
          <a:extLst>
            <a:ext uri="{FF2B5EF4-FFF2-40B4-BE49-F238E27FC236}">
              <a16:creationId xmlns:a16="http://schemas.microsoft.com/office/drawing/2014/main" id="{D4A866C5-8CB4-2221-CC42-09E559BFD830}"/>
            </a:ext>
          </a:extLst>
        </xdr:cNvPr>
        <xdr:cNvSpPr txBox="1">
          <a:spLocks noChangeArrowheads="1"/>
        </xdr:cNvSpPr>
      </xdr:nvSpPr>
      <xdr:spPr bwMode="auto">
        <a:xfrm>
          <a:off x="876300" y="2880360"/>
          <a:ext cx="6096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zh-TW" altLang="en-US" sz="800" b="0" i="0" u="none" strike="noStrike" baseline="0">
              <a:solidFill>
                <a:srgbClr val="FF0000"/>
              </a:solidFill>
              <a:latin typeface="Arial"/>
              <a:cs typeface="Arial"/>
            </a:rPr>
            <a:t>cRevision</a:t>
          </a:r>
        </a:p>
      </xdr:txBody>
    </xdr:sp>
    <xdr:clientData/>
  </xdr:twoCellAnchor>
  <xdr:twoCellAnchor>
    <xdr:from>
      <xdr:col>9</xdr:col>
      <xdr:colOff>0</xdr:colOff>
      <xdr:row>17</xdr:row>
      <xdr:rowOff>0</xdr:rowOff>
    </xdr:from>
    <xdr:to>
      <xdr:col>10</xdr:col>
      <xdr:colOff>0</xdr:colOff>
      <xdr:row>17</xdr:row>
      <xdr:rowOff>160020</xdr:rowOff>
    </xdr:to>
    <xdr:sp macro="" textlink="">
      <xdr:nvSpPr>
        <xdr:cNvPr id="1082" name="Text 58">
          <a:extLst>
            <a:ext uri="{FF2B5EF4-FFF2-40B4-BE49-F238E27FC236}">
              <a16:creationId xmlns:a16="http://schemas.microsoft.com/office/drawing/2014/main" id="{1010EA9B-04D1-DFBF-6989-E40EEB835B4A}"/>
            </a:ext>
          </a:extLst>
        </xdr:cNvPr>
        <xdr:cNvSpPr txBox="1">
          <a:spLocks noChangeArrowheads="1"/>
        </xdr:cNvSpPr>
      </xdr:nvSpPr>
      <xdr:spPr bwMode="auto">
        <a:xfrm>
          <a:off x="5143500" y="2880360"/>
          <a:ext cx="6096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zh-TW" altLang="en-US" sz="800" b="0" i="0" u="none" strike="noStrike" baseline="0">
              <a:solidFill>
                <a:srgbClr val="FF0000"/>
              </a:solidFill>
              <a:latin typeface="Arial"/>
              <a:cs typeface="Arial"/>
            </a:rPr>
            <a:t>cSuccess</a:t>
          </a:r>
        </a:p>
      </xdr:txBody>
    </xdr:sp>
    <xdr:clientData/>
  </xdr:twoCellAnchor>
  <xdr:twoCellAnchor>
    <xdr:from>
      <xdr:col>9</xdr:col>
      <xdr:colOff>0</xdr:colOff>
      <xdr:row>21</xdr:row>
      <xdr:rowOff>0</xdr:rowOff>
    </xdr:from>
    <xdr:to>
      <xdr:col>10</xdr:col>
      <xdr:colOff>0</xdr:colOff>
      <xdr:row>21</xdr:row>
      <xdr:rowOff>160020</xdr:rowOff>
    </xdr:to>
    <xdr:sp macro="" textlink="">
      <xdr:nvSpPr>
        <xdr:cNvPr id="1083" name="Text 59">
          <a:extLst>
            <a:ext uri="{FF2B5EF4-FFF2-40B4-BE49-F238E27FC236}">
              <a16:creationId xmlns:a16="http://schemas.microsoft.com/office/drawing/2014/main" id="{25132598-2E11-CD5B-8CC8-78BE9B74CEF1}"/>
            </a:ext>
          </a:extLst>
        </xdr:cNvPr>
        <xdr:cNvSpPr txBox="1">
          <a:spLocks noChangeArrowheads="1"/>
        </xdr:cNvSpPr>
      </xdr:nvSpPr>
      <xdr:spPr bwMode="auto">
        <a:xfrm>
          <a:off x="5143500" y="3550920"/>
          <a:ext cx="6096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zh-TW" altLang="en-US" sz="800" b="0" i="0" u="none" strike="noStrike" baseline="0">
              <a:solidFill>
                <a:srgbClr val="008000"/>
              </a:solidFill>
              <a:latin typeface="Arial"/>
              <a:cs typeface="Arial"/>
            </a:rPr>
            <a:t>uSuccessR</a:t>
          </a:r>
        </a:p>
      </xdr:txBody>
    </xdr:sp>
    <xdr:clientData/>
  </xdr:twoCellAnchor>
  <xdr:twoCellAnchor>
    <xdr:from>
      <xdr:col>7</xdr:col>
      <xdr:colOff>449580</xdr:colOff>
      <xdr:row>18</xdr:row>
      <xdr:rowOff>38100</xdr:rowOff>
    </xdr:from>
    <xdr:to>
      <xdr:col>9</xdr:col>
      <xdr:colOff>144780</xdr:colOff>
      <xdr:row>20</xdr:row>
      <xdr:rowOff>91440</xdr:rowOff>
    </xdr:to>
    <xdr:sp macro="" textlink="">
      <xdr:nvSpPr>
        <xdr:cNvPr id="1057" name="Text 33">
          <a:extLst>
            <a:ext uri="{FF2B5EF4-FFF2-40B4-BE49-F238E27FC236}">
              <a16:creationId xmlns:a16="http://schemas.microsoft.com/office/drawing/2014/main" id="{8B2CF25A-991F-88AE-C699-432670AFD3CC}"/>
            </a:ext>
          </a:extLst>
        </xdr:cNvPr>
        <xdr:cNvSpPr txBox="1">
          <a:spLocks noChangeArrowheads="1"/>
        </xdr:cNvSpPr>
      </xdr:nvSpPr>
      <xdr:spPr bwMode="auto">
        <a:xfrm>
          <a:off x="4373880" y="3086100"/>
          <a:ext cx="914400" cy="388620"/>
        </a:xfrm>
        <a:prstGeom prst="rect">
          <a:avLst/>
        </a:prstGeom>
        <a:solidFill>
          <a:srgbClr xmlns:mc="http://schemas.openxmlformats.org/markup-compatibility/2006" xmlns:a14="http://schemas.microsoft.com/office/drawing/2010/main" val="FFFFC0" mc:Ignorable="a14" a14:legacySpreadsheetColorIndex="26"/>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ctr" rtl="0">
            <a:defRPr sz="1000"/>
          </a:pPr>
          <a:r>
            <a:rPr lang="zh-TW" altLang="en-US" sz="1200" b="1" i="0" u="none" strike="noStrike" baseline="0">
              <a:solidFill>
                <a:srgbClr val="000080"/>
              </a:solidFill>
              <a:latin typeface="Arial Rounded MT Bold"/>
            </a:rPr>
            <a:t>Successful Revision</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4</xdr:row>
          <xdr:rowOff>30480</xdr:rowOff>
        </xdr:from>
        <xdr:to>
          <xdr:col>4</xdr:col>
          <xdr:colOff>350520</xdr:colOff>
          <xdr:row>7</xdr:row>
          <xdr:rowOff>91440</xdr:rowOff>
        </xdr:to>
        <xdr:sp macro="" textlink="">
          <xdr:nvSpPr>
            <xdr:cNvPr id="27649" name="Group Box 1" hidden="1">
              <a:extLst>
                <a:ext uri="{63B3BB69-23CF-44E3-9099-C40C66FF867C}">
                  <a14:compatExt spid="_x0000_s27649"/>
                </a:ext>
                <a:ext uri="{FF2B5EF4-FFF2-40B4-BE49-F238E27FC236}">
                  <a16:creationId xmlns:a16="http://schemas.microsoft.com/office/drawing/2014/main" id="{C42DEC33-6EE6-30D4-D79C-C96940E1AEA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4</xdr:row>
          <xdr:rowOff>68580</xdr:rowOff>
        </xdr:from>
        <xdr:to>
          <xdr:col>3</xdr:col>
          <xdr:colOff>388620</xdr:colOff>
          <xdr:row>5</xdr:row>
          <xdr:rowOff>121920</xdr:rowOff>
        </xdr:to>
        <xdr:sp macro="" textlink="">
          <xdr:nvSpPr>
            <xdr:cNvPr id="27650" name="Option Button 2" hidden="1">
              <a:extLst>
                <a:ext uri="{63B3BB69-23CF-44E3-9099-C40C66FF867C}">
                  <a14:compatExt spid="_x0000_s27650"/>
                </a:ext>
                <a:ext uri="{FF2B5EF4-FFF2-40B4-BE49-F238E27FC236}">
                  <a16:creationId xmlns:a16="http://schemas.microsoft.com/office/drawing/2014/main" id="{D665C240-EC6E-B3EB-4AC9-2847EC6845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zh-TW" altLang="en-US" sz="800" b="0" i="0" u="none" strike="noStrike" baseline="0">
                  <a:solidFill>
                    <a:srgbClr val="000000"/>
                  </a:solidFill>
                  <a:latin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5</xdr:row>
          <xdr:rowOff>144780</xdr:rowOff>
        </xdr:from>
        <xdr:to>
          <xdr:col>3</xdr:col>
          <xdr:colOff>388620</xdr:colOff>
          <xdr:row>7</xdr:row>
          <xdr:rowOff>30480</xdr:rowOff>
        </xdr:to>
        <xdr:sp macro="" textlink="">
          <xdr:nvSpPr>
            <xdr:cNvPr id="27651" name="Option Button 3" hidden="1">
              <a:extLst>
                <a:ext uri="{63B3BB69-23CF-44E3-9099-C40C66FF867C}">
                  <a14:compatExt spid="_x0000_s27651"/>
                </a:ext>
                <a:ext uri="{FF2B5EF4-FFF2-40B4-BE49-F238E27FC236}">
                  <a16:creationId xmlns:a16="http://schemas.microsoft.com/office/drawing/2014/main" id="{2377F4B9-D063-1F49-D0F8-14D884705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zh-TW" altLang="en-US" sz="800" b="0" i="0" u="none" strike="noStrike" baseline="0">
                  <a:solidFill>
                    <a:srgbClr val="000000"/>
                  </a:solidFill>
                  <a:latin typeface="Tahoma"/>
                  <a:cs typeface="Tahoma"/>
                </a:rPr>
                <a:t>Female</a:t>
              </a:r>
            </a:p>
          </xdr:txBody>
        </xdr:sp>
        <xdr:clientData/>
      </xdr:twoCellAnchor>
    </mc:Choice>
    <mc:Fallback/>
  </mc:AlternateContent>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5"/>
  <sheetViews>
    <sheetView showGridLines="0" topLeftCell="A3" zoomScale="140" zoomScaleNormal="140" workbookViewId="0">
      <selection activeCell="K10" sqref="K10"/>
    </sheetView>
  </sheetViews>
  <sheetFormatPr defaultRowHeight="13.2" x14ac:dyDescent="0.25"/>
  <cols>
    <col min="1" max="1" width="3.88671875" customWidth="1"/>
    <col min="12" max="12" width="4.33203125" customWidth="1"/>
  </cols>
  <sheetData>
    <row r="1" spans="1:7" ht="15.6" x14ac:dyDescent="0.3">
      <c r="A1" s="2" t="s">
        <v>0</v>
      </c>
    </row>
    <row r="2" spans="1:7" x14ac:dyDescent="0.25">
      <c r="A2" s="4" t="s">
        <v>1</v>
      </c>
    </row>
    <row r="4" spans="1:7" x14ac:dyDescent="0.25">
      <c r="G4" t="s">
        <v>2</v>
      </c>
    </row>
    <row r="5" spans="1:7" x14ac:dyDescent="0.25">
      <c r="G5" t="s">
        <v>3</v>
      </c>
    </row>
    <row r="6" spans="1:7" x14ac:dyDescent="0.25">
      <c r="G6" t="s">
        <v>4</v>
      </c>
    </row>
    <row r="7" spans="1:7" x14ac:dyDescent="0.25">
      <c r="G7" s="5" t="s">
        <v>61</v>
      </c>
    </row>
    <row r="35" spans="2:3" x14ac:dyDescent="0.25">
      <c r="B35" s="26"/>
    </row>
    <row r="36" spans="2:3" x14ac:dyDescent="0.25">
      <c r="B36" s="26"/>
      <c r="C36" s="10"/>
    </row>
    <row r="37" spans="2:3" x14ac:dyDescent="0.25">
      <c r="B37" s="26"/>
      <c r="C37" s="10"/>
    </row>
    <row r="38" spans="2:3" x14ac:dyDescent="0.25">
      <c r="B38" s="26"/>
      <c r="C38" s="10"/>
    </row>
    <row r="39" spans="2:3" x14ac:dyDescent="0.25">
      <c r="B39" s="26"/>
      <c r="C39" s="10"/>
    </row>
    <row r="40" spans="2:3" x14ac:dyDescent="0.25">
      <c r="B40" s="26"/>
      <c r="C40" s="10"/>
    </row>
    <row r="41" spans="2:3" x14ac:dyDescent="0.25">
      <c r="B41" s="26"/>
      <c r="C41" s="10"/>
    </row>
    <row r="42" spans="2:3" x14ac:dyDescent="0.25">
      <c r="B42" s="26"/>
      <c r="C42" s="10"/>
    </row>
    <row r="43" spans="2:3" x14ac:dyDescent="0.25">
      <c r="B43" s="26"/>
      <c r="C43" s="10"/>
    </row>
    <row r="44" spans="2:3" x14ac:dyDescent="0.25">
      <c r="B44" s="26"/>
      <c r="C44" s="10"/>
    </row>
    <row r="45" spans="2:3" x14ac:dyDescent="0.25">
      <c r="B45" s="26"/>
      <c r="C45" s="10"/>
    </row>
  </sheetData>
  <phoneticPr fontId="19" type="noConversion"/>
  <pageMargins left="0.75" right="0.75" top="1" bottom="1" header="0.5" footer="0.5"/>
  <pageSetup paperSize="9" orientation="landscape" horizontalDpi="4294967295" verticalDpi="4294967295"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20"/>
  <sheetViews>
    <sheetView showGridLines="0" showRowColHeaders="0" zoomScale="120" zoomScaleNormal="120" workbookViewId="0">
      <selection activeCell="Q15" sqref="Q15"/>
    </sheetView>
  </sheetViews>
  <sheetFormatPr defaultRowHeight="13.2" x14ac:dyDescent="0.25"/>
  <cols>
    <col min="1" max="1" width="5.88671875" customWidth="1"/>
    <col min="2" max="2" width="4.6640625" customWidth="1"/>
    <col min="6" max="6" width="4" customWidth="1"/>
    <col min="7" max="7" width="5" customWidth="1"/>
    <col min="8" max="8" width="5.33203125" customWidth="1"/>
    <col min="12" max="12" width="5.109375" customWidth="1"/>
  </cols>
  <sheetData>
    <row r="1" spans="1:12" ht="15.6" x14ac:dyDescent="0.3">
      <c r="A1" s="35" t="s">
        <v>86</v>
      </c>
    </row>
    <row r="4" spans="1:12" x14ac:dyDescent="0.25">
      <c r="B4" s="70" t="s">
        <v>82</v>
      </c>
      <c r="C4" s="70"/>
      <c r="D4" s="70"/>
      <c r="E4" s="70"/>
      <c r="F4" s="70"/>
      <c r="H4" s="64" t="s">
        <v>83</v>
      </c>
      <c r="I4" s="65"/>
      <c r="J4" s="65"/>
      <c r="K4" s="65"/>
      <c r="L4" s="65"/>
    </row>
    <row r="5" spans="1:12" x14ac:dyDescent="0.25">
      <c r="B5" s="63"/>
      <c r="C5" s="63"/>
      <c r="D5" s="63"/>
      <c r="E5" s="63"/>
      <c r="F5" s="63"/>
      <c r="H5" s="66"/>
      <c r="I5" s="66"/>
      <c r="J5" s="66"/>
      <c r="K5" s="66"/>
      <c r="L5" s="66"/>
    </row>
    <row r="6" spans="1:12" x14ac:dyDescent="0.25">
      <c r="B6" s="63"/>
      <c r="C6" s="63"/>
      <c r="D6" s="63"/>
      <c r="E6" s="63"/>
      <c r="F6" s="63"/>
      <c r="H6" s="66"/>
      <c r="I6" s="67">
        <v>60</v>
      </c>
      <c r="J6" s="68" t="s">
        <v>84</v>
      </c>
      <c r="K6" s="68"/>
      <c r="L6" s="66"/>
    </row>
    <row r="7" spans="1:12" x14ac:dyDescent="0.25">
      <c r="B7" s="63"/>
      <c r="C7" s="63"/>
      <c r="D7" s="63"/>
      <c r="E7" s="63"/>
      <c r="F7" s="63"/>
      <c r="H7" s="66"/>
      <c r="I7" s="69" t="s">
        <v>85</v>
      </c>
      <c r="J7" s="66"/>
      <c r="K7" s="66"/>
      <c r="L7" s="66"/>
    </row>
    <row r="8" spans="1:12" x14ac:dyDescent="0.25">
      <c r="B8" s="63"/>
      <c r="C8" s="63"/>
      <c r="D8" s="63"/>
      <c r="E8" s="63"/>
      <c r="F8" s="63"/>
      <c r="H8" s="66"/>
      <c r="I8" s="66"/>
      <c r="J8" s="66"/>
      <c r="K8" s="66"/>
      <c r="L8" s="66"/>
    </row>
    <row r="10" spans="1:12" x14ac:dyDescent="0.25">
      <c r="B10" s="71" t="s">
        <v>107</v>
      </c>
      <c r="C10" s="72"/>
      <c r="D10" s="72"/>
      <c r="E10" s="72"/>
      <c r="F10" s="72"/>
    </row>
    <row r="11" spans="1:12" x14ac:dyDescent="0.25">
      <c r="B11" s="73"/>
      <c r="C11" s="73"/>
      <c r="D11" s="73"/>
      <c r="E11" s="73"/>
      <c r="F11" s="73"/>
    </row>
    <row r="12" spans="1:12" x14ac:dyDescent="0.25">
      <c r="B12" s="73"/>
      <c r="C12" s="77" t="s">
        <v>87</v>
      </c>
      <c r="D12" s="77" t="s">
        <v>19</v>
      </c>
      <c r="E12" s="77" t="s">
        <v>20</v>
      </c>
      <c r="F12" s="73"/>
    </row>
    <row r="13" spans="1:12" x14ac:dyDescent="0.25">
      <c r="B13" s="73"/>
      <c r="C13" s="73"/>
      <c r="D13" s="73"/>
      <c r="E13" s="73"/>
      <c r="F13" s="73"/>
    </row>
    <row r="14" spans="1:12" x14ac:dyDescent="0.25">
      <c r="B14" s="73"/>
      <c r="C14" s="73" t="s">
        <v>81</v>
      </c>
      <c r="D14" s="79">
        <f>STDcost</f>
        <v>512.43465834364304</v>
      </c>
      <c r="E14" s="80">
        <f>STDqalys</f>
        <v>14.653189614825321</v>
      </c>
      <c r="F14" s="76"/>
    </row>
    <row r="15" spans="1:12" x14ac:dyDescent="0.25">
      <c r="B15" s="73"/>
      <c r="C15" s="73" t="s">
        <v>64</v>
      </c>
      <c r="D15" s="79">
        <f>NP1cost</f>
        <v>610.31181775758273</v>
      </c>
      <c r="E15" s="80">
        <f>NP1qalys</f>
        <v>14.697709857306155</v>
      </c>
      <c r="F15" s="76"/>
    </row>
    <row r="16" spans="1:12" x14ac:dyDescent="0.25">
      <c r="B16" s="73"/>
      <c r="C16" s="73" t="s">
        <v>106</v>
      </c>
      <c r="D16" s="79">
        <f>D15-D14</f>
        <v>97.877159413939694</v>
      </c>
      <c r="E16" s="80">
        <f>E15-E14</f>
        <v>4.4520242480833971E-2</v>
      </c>
      <c r="F16" s="76"/>
    </row>
    <row r="17" spans="2:6" x14ac:dyDescent="0.25">
      <c r="B17" s="73"/>
      <c r="C17" s="73"/>
      <c r="D17" s="74"/>
      <c r="E17" s="75"/>
      <c r="F17" s="76"/>
    </row>
    <row r="18" spans="2:6" x14ac:dyDescent="0.25">
      <c r="B18" s="73"/>
      <c r="C18" s="73" t="s">
        <v>89</v>
      </c>
      <c r="D18" s="74"/>
      <c r="E18" s="75"/>
      <c r="F18" s="76"/>
    </row>
    <row r="19" spans="2:6" x14ac:dyDescent="0.25">
      <c r="B19" s="73"/>
      <c r="C19" s="73" t="s">
        <v>90</v>
      </c>
      <c r="D19" s="79">
        <f>D16/E16</f>
        <v>2198.486664938448</v>
      </c>
      <c r="E19" s="77" t="s">
        <v>88</v>
      </c>
      <c r="F19" s="73"/>
    </row>
    <row r="20" spans="2:6" x14ac:dyDescent="0.25">
      <c r="B20" s="73"/>
      <c r="C20" s="73"/>
      <c r="D20" s="78"/>
      <c r="E20" s="73"/>
      <c r="F20" s="73"/>
    </row>
  </sheetData>
  <phoneticPr fontId="0" type="noConversion"/>
  <conditionalFormatting sqref="I6">
    <cfRule type="cellIs" priority="1" stopIfTrue="1" operator="between">
      <formula>40</formula>
      <formula>90</formula>
    </cfRule>
  </conditionalFormatting>
  <dataValidations count="1">
    <dataValidation type="whole" allowBlank="1" showInputMessage="1" showErrorMessage="1" sqref="I6">
      <formula1>40</formula1>
      <formula2>90</formula2>
    </dataValidation>
  </dataValidations>
  <pageMargins left="0.75" right="0.75" top="1" bottom="1" header="0.5" footer="0.5"/>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649" r:id="rId4" name="Group Box 1">
              <controlPr defaultSize="0" autoFill="0" autoPict="0">
                <anchor moveWithCells="1">
                  <from>
                    <xdr:col>1</xdr:col>
                    <xdr:colOff>381000</xdr:colOff>
                    <xdr:row>4</xdr:row>
                    <xdr:rowOff>30480</xdr:rowOff>
                  </from>
                  <to>
                    <xdr:col>4</xdr:col>
                    <xdr:colOff>350520</xdr:colOff>
                    <xdr:row>7</xdr:row>
                    <xdr:rowOff>91440</xdr:rowOff>
                  </to>
                </anchor>
              </controlPr>
            </control>
          </mc:Choice>
        </mc:AlternateContent>
        <mc:AlternateContent xmlns:mc="http://schemas.openxmlformats.org/markup-compatibility/2006">
          <mc:Choice Requires="x14">
            <control shapeId="27650" r:id="rId5" name="Option Button 2">
              <controlPr defaultSize="0" autoFill="0" autoLine="0" autoPict="0">
                <anchor moveWithCells="1">
                  <from>
                    <xdr:col>1</xdr:col>
                    <xdr:colOff>502920</xdr:colOff>
                    <xdr:row>4</xdr:row>
                    <xdr:rowOff>68580</xdr:rowOff>
                  </from>
                  <to>
                    <xdr:col>3</xdr:col>
                    <xdr:colOff>388620</xdr:colOff>
                    <xdr:row>5</xdr:row>
                    <xdr:rowOff>121920</xdr:rowOff>
                  </to>
                </anchor>
              </controlPr>
            </control>
          </mc:Choice>
        </mc:AlternateContent>
        <mc:AlternateContent xmlns:mc="http://schemas.openxmlformats.org/markup-compatibility/2006">
          <mc:Choice Requires="x14">
            <control shapeId="27651" r:id="rId6" name="Option Button 3">
              <controlPr defaultSize="0" autoFill="0" autoLine="0" autoPict="0">
                <anchor moveWithCells="1">
                  <from>
                    <xdr:col>1</xdr:col>
                    <xdr:colOff>502920</xdr:colOff>
                    <xdr:row>5</xdr:row>
                    <xdr:rowOff>144780</xdr:rowOff>
                  </from>
                  <to>
                    <xdr:col>3</xdr:col>
                    <xdr:colOff>388620</xdr:colOff>
                    <xdr:row>7</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M43"/>
  <sheetViews>
    <sheetView showGridLines="0" zoomScale="150" zoomScaleNormal="150" workbookViewId="0">
      <pane ySplit="6" topLeftCell="A20" activePane="bottomLeft" state="frozen"/>
      <selection pane="bottomLeft" activeCell="B25" sqref="B25"/>
    </sheetView>
  </sheetViews>
  <sheetFormatPr defaultRowHeight="13.2" x14ac:dyDescent="0.25"/>
  <cols>
    <col min="1" max="1" width="14.109375" customWidth="1"/>
    <col min="2" max="2" width="11" customWidth="1"/>
    <col min="3" max="3" width="9.5546875" customWidth="1"/>
    <col min="5" max="5" width="10.88671875" customWidth="1"/>
    <col min="7" max="7" width="9.33203125" customWidth="1"/>
    <col min="8" max="8" width="11.44140625" bestFit="1" customWidth="1"/>
    <col min="10" max="10" width="2.33203125" customWidth="1"/>
    <col min="12" max="12" width="9.6640625" customWidth="1"/>
    <col min="13" max="13" width="10.44140625" bestFit="1" customWidth="1"/>
  </cols>
  <sheetData>
    <row r="1" spans="1:13" ht="15.6" x14ac:dyDescent="0.3">
      <c r="A1" s="6" t="s">
        <v>60</v>
      </c>
    </row>
    <row r="2" spans="1:13" s="45" customFormat="1" hidden="1" x14ac:dyDescent="0.25">
      <c r="A2" s="7"/>
      <c r="C2"/>
      <c r="D2"/>
      <c r="E2"/>
      <c r="F2"/>
      <c r="G2"/>
    </row>
    <row r="3" spans="1:13" s="45" customFormat="1" hidden="1" x14ac:dyDescent="0.25">
      <c r="A3" s="7"/>
      <c r="B3" s="39">
        <v>2</v>
      </c>
      <c r="C3"/>
      <c r="D3"/>
      <c r="E3"/>
      <c r="F3"/>
      <c r="G3"/>
    </row>
    <row r="4" spans="1:13" s="45" customFormat="1" hidden="1" x14ac:dyDescent="0.25">
      <c r="A4" s="7"/>
      <c r="C4"/>
      <c r="D4"/>
      <c r="E4"/>
      <c r="F4"/>
      <c r="G4"/>
    </row>
    <row r="5" spans="1:13" ht="15.6" hidden="1" x14ac:dyDescent="0.3">
      <c r="A5" s="6"/>
    </row>
    <row r="6" spans="1:13" x14ac:dyDescent="0.25">
      <c r="A6" s="7" t="s">
        <v>103</v>
      </c>
      <c r="B6" s="93" t="s">
        <v>108</v>
      </c>
      <c r="C6" s="19" t="s">
        <v>30</v>
      </c>
    </row>
    <row r="7" spans="1:13" x14ac:dyDescent="0.25">
      <c r="H7" s="12"/>
      <c r="I7" s="12"/>
      <c r="J7" s="12"/>
      <c r="K7" s="11"/>
    </row>
    <row r="8" spans="1:13" x14ac:dyDescent="0.25">
      <c r="A8" t="s">
        <v>5</v>
      </c>
      <c r="B8" s="39">
        <f>Analysis!$I$6</f>
        <v>60</v>
      </c>
      <c r="C8" s="20" t="s">
        <v>6</v>
      </c>
      <c r="D8" s="12"/>
      <c r="E8" s="12"/>
      <c r="F8" s="12"/>
      <c r="G8" s="13"/>
      <c r="H8" s="12"/>
      <c r="I8" s="12"/>
      <c r="J8" s="12"/>
      <c r="K8" s="11"/>
    </row>
    <row r="9" spans="1:13" x14ac:dyDescent="0.25">
      <c r="A9" t="s">
        <v>31</v>
      </c>
      <c r="B9" s="39">
        <f>IF(B3=2,0,1)</f>
        <v>0</v>
      </c>
      <c r="C9" s="20" t="s">
        <v>59</v>
      </c>
      <c r="D9" s="12"/>
      <c r="E9" s="12"/>
      <c r="F9" s="12"/>
      <c r="G9" s="13"/>
    </row>
    <row r="10" spans="1:13" x14ac:dyDescent="0.25">
      <c r="B10" s="39"/>
      <c r="C10" s="20"/>
      <c r="D10" s="12"/>
      <c r="E10" s="12"/>
      <c r="F10" s="12"/>
      <c r="G10" s="13"/>
    </row>
    <row r="11" spans="1:13" x14ac:dyDescent="0.25">
      <c r="A11" s="20" t="s">
        <v>15</v>
      </c>
      <c r="B11" s="46">
        <v>0.06</v>
      </c>
      <c r="C11" s="20" t="s">
        <v>16</v>
      </c>
      <c r="H11" s="12"/>
      <c r="I11" s="12"/>
      <c r="J11" s="12"/>
      <c r="K11" s="11"/>
    </row>
    <row r="12" spans="1:13" x14ac:dyDescent="0.25">
      <c r="A12" s="20" t="s">
        <v>17</v>
      </c>
      <c r="B12" s="46">
        <v>1.4999999999999999E-2</v>
      </c>
      <c r="C12" s="20" t="s">
        <v>18</v>
      </c>
      <c r="I12" s="12"/>
      <c r="J12" s="12"/>
      <c r="K12" s="11"/>
    </row>
    <row r="13" spans="1:13" x14ac:dyDescent="0.25">
      <c r="C13" s="9"/>
      <c r="D13" s="12"/>
      <c r="E13" s="12"/>
      <c r="F13" s="12"/>
      <c r="G13" s="13"/>
      <c r="I13" s="12"/>
      <c r="J13" s="12"/>
      <c r="K13" s="11"/>
    </row>
    <row r="14" spans="1:13" x14ac:dyDescent="0.25">
      <c r="A14" s="14" t="s">
        <v>102</v>
      </c>
      <c r="C14" s="9"/>
      <c r="D14" s="12"/>
      <c r="E14" s="12"/>
      <c r="F14" s="12"/>
      <c r="G14" s="13"/>
      <c r="I14" s="47"/>
      <c r="J14" s="47"/>
      <c r="K14" s="49"/>
      <c r="L14" s="32"/>
      <c r="M14" s="32"/>
    </row>
    <row r="15" spans="1:13" hidden="1" x14ac:dyDescent="0.25">
      <c r="A15" s="14"/>
      <c r="C15" s="9"/>
      <c r="D15" s="12"/>
      <c r="E15" s="12"/>
      <c r="F15" s="12"/>
      <c r="G15" s="13"/>
      <c r="I15" s="47"/>
      <c r="J15" s="47"/>
      <c r="K15" s="49"/>
      <c r="L15" s="32"/>
      <c r="M15" s="32"/>
    </row>
    <row r="16" spans="1:13" s="45" customFormat="1" x14ac:dyDescent="0.25">
      <c r="A16" s="92" t="s">
        <v>7</v>
      </c>
      <c r="B16" s="88">
        <v>0.02</v>
      </c>
      <c r="C16" s="45" t="s">
        <v>62</v>
      </c>
      <c r="D16" s="59"/>
      <c r="E16" s="59"/>
      <c r="F16" s="59"/>
      <c r="G16" s="60"/>
      <c r="I16" s="61"/>
      <c r="J16" s="61"/>
      <c r="K16" s="62"/>
      <c r="L16" s="61"/>
      <c r="M16" s="61"/>
    </row>
    <row r="17" spans="1:13" s="45" customFormat="1" x14ac:dyDescent="0.25">
      <c r="A17" s="92" t="s">
        <v>8</v>
      </c>
      <c r="B17" s="88">
        <v>0.02</v>
      </c>
      <c r="C17" s="45" t="s">
        <v>63</v>
      </c>
      <c r="D17" s="59"/>
      <c r="E17" s="59"/>
      <c r="F17" s="59"/>
      <c r="G17" s="60"/>
      <c r="H17" s="61"/>
      <c r="I17" s="61"/>
      <c r="J17" s="61"/>
      <c r="K17" s="61"/>
      <c r="L17" s="61"/>
      <c r="M17" s="61"/>
    </row>
    <row r="18" spans="1:13" s="45" customFormat="1" x14ac:dyDescent="0.25">
      <c r="A18" s="45" t="s">
        <v>9</v>
      </c>
      <c r="B18" s="88">
        <v>0.04</v>
      </c>
      <c r="C18" s="45" t="s">
        <v>66</v>
      </c>
      <c r="D18" s="59"/>
      <c r="E18" s="59"/>
      <c r="F18" s="59"/>
      <c r="G18" s="60"/>
      <c r="H18" s="61"/>
      <c r="I18" s="61"/>
      <c r="J18" s="61"/>
      <c r="K18" s="61"/>
      <c r="L18" s="61"/>
      <c r="M18" s="61"/>
    </row>
    <row r="19" spans="1:13" x14ac:dyDescent="0.25">
      <c r="H19" s="12"/>
      <c r="I19" s="12"/>
      <c r="J19" s="12"/>
      <c r="K19" s="29"/>
      <c r="L19" s="1"/>
      <c r="M19" s="1"/>
    </row>
    <row r="20" spans="1:13" x14ac:dyDescent="0.25">
      <c r="A20" s="3" t="s">
        <v>101</v>
      </c>
      <c r="C20" s="9"/>
      <c r="D20" s="12"/>
      <c r="E20" s="12"/>
      <c r="F20" s="12"/>
      <c r="G20" s="13"/>
      <c r="H20" s="47"/>
      <c r="I20" s="47"/>
      <c r="J20" s="47"/>
      <c r="K20" s="47"/>
      <c r="L20" s="52"/>
      <c r="M20" s="52"/>
    </row>
    <row r="21" spans="1:13" x14ac:dyDescent="0.25">
      <c r="A21" s="3"/>
      <c r="C21" s="9"/>
      <c r="D21" s="12"/>
      <c r="E21" s="12"/>
      <c r="F21" s="12"/>
      <c r="G21" s="13"/>
      <c r="H21" s="47"/>
      <c r="I21" s="47"/>
      <c r="J21" s="47"/>
      <c r="K21" s="47"/>
      <c r="L21" s="52"/>
      <c r="M21" s="52"/>
    </row>
    <row r="22" spans="1:13" s="45" customFormat="1" x14ac:dyDescent="0.25">
      <c r="A22" s="45" t="s">
        <v>69</v>
      </c>
      <c r="B22" s="88">
        <f>'Hazard function'!C7</f>
        <v>-5.4909350000000003</v>
      </c>
      <c r="C22" s="45" t="s">
        <v>70</v>
      </c>
      <c r="D22" s="59"/>
      <c r="E22" s="59"/>
      <c r="F22" s="59"/>
      <c r="G22" s="60"/>
      <c r="H22" s="59"/>
      <c r="I22" s="59"/>
      <c r="J22" s="59"/>
      <c r="K22" s="59"/>
      <c r="L22" s="90"/>
      <c r="M22" s="90"/>
    </row>
    <row r="23" spans="1:13" s="45" customFormat="1" x14ac:dyDescent="0.25">
      <c r="A23" s="91" t="s">
        <v>35</v>
      </c>
      <c r="B23" s="88">
        <f>'Hazard function'!C8</f>
        <v>-3.6702199999999997E-2</v>
      </c>
      <c r="C23" s="45" t="s">
        <v>71</v>
      </c>
      <c r="D23" s="59"/>
      <c r="E23" s="59"/>
      <c r="F23" s="59"/>
      <c r="G23" s="60"/>
      <c r="H23" s="59"/>
      <c r="I23" s="59"/>
      <c r="J23" s="59"/>
      <c r="K23" s="59"/>
      <c r="L23" s="90"/>
      <c r="M23" s="90"/>
    </row>
    <row r="24" spans="1:13" s="45" customFormat="1" x14ac:dyDescent="0.25">
      <c r="A24" s="91" t="s">
        <v>68</v>
      </c>
      <c r="B24" s="88">
        <f>'Hazard function'!C9</f>
        <v>0.768536</v>
      </c>
      <c r="C24" s="45" t="s">
        <v>72</v>
      </c>
      <c r="D24" s="59"/>
      <c r="E24" s="59"/>
      <c r="F24" s="59"/>
      <c r="G24" s="60"/>
      <c r="H24" s="59"/>
      <c r="I24" s="59"/>
      <c r="J24" s="59"/>
      <c r="K24" s="59"/>
      <c r="L24" s="90"/>
      <c r="M24" s="90"/>
    </row>
    <row r="25" spans="1:13" s="45" customFormat="1" x14ac:dyDescent="0.25">
      <c r="A25" s="91" t="s">
        <v>91</v>
      </c>
      <c r="B25" s="88">
        <f>EXP(cons+ageC*age+maleC*male)</f>
        <v>4.5597754184620288E-4</v>
      </c>
      <c r="C25" s="45" t="s">
        <v>92</v>
      </c>
      <c r="D25" s="59"/>
      <c r="E25" s="59"/>
      <c r="F25" s="59"/>
      <c r="G25" s="60"/>
      <c r="H25" s="61"/>
      <c r="I25" s="61"/>
      <c r="J25" s="61"/>
      <c r="K25" s="62"/>
      <c r="L25" s="61"/>
      <c r="M25" s="61"/>
    </row>
    <row r="26" spans="1:13" s="45" customFormat="1" x14ac:dyDescent="0.25">
      <c r="A26" s="91" t="s">
        <v>93</v>
      </c>
      <c r="B26" s="88">
        <f>EXP('Hazard function'!C6)</f>
        <v>1.4536778596632325</v>
      </c>
      <c r="C26" s="45" t="s">
        <v>100</v>
      </c>
      <c r="D26" s="59"/>
      <c r="E26" s="59"/>
      <c r="F26" s="59"/>
      <c r="G26" s="60"/>
      <c r="H26" s="61"/>
      <c r="I26" s="61"/>
      <c r="J26" s="61"/>
      <c r="K26" s="62"/>
      <c r="L26" s="61"/>
      <c r="M26" s="61"/>
    </row>
    <row r="27" spans="1:13" s="45" customFormat="1" x14ac:dyDescent="0.25">
      <c r="A27" s="45" t="s">
        <v>67</v>
      </c>
      <c r="B27" s="88">
        <f>EXP('Hazard function'!C10)</f>
        <v>0.26067678779517234</v>
      </c>
      <c r="C27" s="45" t="s">
        <v>65</v>
      </c>
      <c r="D27" s="59"/>
      <c r="E27" s="59"/>
      <c r="F27" s="59"/>
      <c r="G27" s="60"/>
    </row>
    <row r="28" spans="1:13" s="32" customFormat="1" hidden="1" x14ac:dyDescent="0.25">
      <c r="B28" s="28"/>
      <c r="D28" s="47"/>
      <c r="E28" s="47"/>
      <c r="F28" s="47"/>
      <c r="G28" s="48"/>
      <c r="H28" s="12"/>
      <c r="I28" s="12"/>
      <c r="J28" s="12"/>
      <c r="K28" s="29"/>
      <c r="L28" s="1"/>
      <c r="M28" s="1"/>
    </row>
    <row r="29" spans="1:13" x14ac:dyDescent="0.25">
      <c r="B29" s="8"/>
      <c r="D29" s="31"/>
      <c r="E29" s="31"/>
      <c r="F29" s="12"/>
      <c r="G29" s="13"/>
    </row>
    <row r="30" spans="1:13" x14ac:dyDescent="0.25">
      <c r="A30" s="14" t="s">
        <v>39</v>
      </c>
      <c r="B30" s="8"/>
      <c r="D30" s="31"/>
      <c r="E30" s="31"/>
      <c r="F30" s="12"/>
      <c r="G30" s="13"/>
      <c r="H30" s="50"/>
      <c r="I30" s="50"/>
      <c r="J30" s="50"/>
      <c r="K30" s="51"/>
      <c r="L30" s="50"/>
      <c r="M30" s="50"/>
    </row>
    <row r="31" spans="1:13" hidden="1" x14ac:dyDescent="0.25">
      <c r="H31" s="50"/>
      <c r="I31" s="50"/>
      <c r="J31" s="50"/>
      <c r="K31" s="51"/>
      <c r="L31" s="50"/>
      <c r="M31" s="50"/>
    </row>
    <row r="32" spans="1:13" s="45" customFormat="1" x14ac:dyDescent="0.25">
      <c r="A32" s="45" t="s">
        <v>10</v>
      </c>
      <c r="B32" s="89">
        <v>0</v>
      </c>
      <c r="C32" s="45" t="s">
        <v>78</v>
      </c>
      <c r="D32" s="59"/>
      <c r="E32" s="59"/>
      <c r="F32" s="59"/>
      <c r="G32" s="60"/>
    </row>
    <row r="33" spans="1:13" s="45" customFormat="1" x14ac:dyDescent="0.25">
      <c r="A33" s="45" t="s">
        <v>11</v>
      </c>
      <c r="B33" s="94">
        <v>5294</v>
      </c>
      <c r="C33" s="45" t="s">
        <v>48</v>
      </c>
      <c r="D33" s="59"/>
      <c r="E33" s="59"/>
      <c r="F33" s="59"/>
      <c r="G33" s="60"/>
      <c r="H33" s="61"/>
      <c r="I33" s="61"/>
      <c r="J33" s="61"/>
      <c r="K33" s="62"/>
      <c r="L33" s="61"/>
      <c r="M33" s="61"/>
    </row>
    <row r="34" spans="1:13" s="45" customFormat="1" x14ac:dyDescent="0.25">
      <c r="A34" s="45" t="s">
        <v>12</v>
      </c>
      <c r="B34" s="89">
        <v>0</v>
      </c>
      <c r="C34" s="45" t="s">
        <v>13</v>
      </c>
      <c r="D34" s="59"/>
      <c r="E34" s="59"/>
      <c r="F34" s="59"/>
      <c r="G34" s="60"/>
      <c r="H34" s="61"/>
      <c r="I34" s="61"/>
      <c r="J34" s="61"/>
      <c r="K34" s="62"/>
      <c r="L34" s="61"/>
      <c r="M34" s="61"/>
    </row>
    <row r="35" spans="1:13" s="45" customFormat="1" x14ac:dyDescent="0.25">
      <c r="A35" s="45" t="s">
        <v>79</v>
      </c>
      <c r="B35" s="58">
        <v>394</v>
      </c>
      <c r="C35" s="45" t="s">
        <v>80</v>
      </c>
      <c r="D35" s="59"/>
      <c r="E35" s="59"/>
      <c r="F35" s="59"/>
      <c r="G35" s="60"/>
      <c r="H35" s="61"/>
      <c r="I35" s="61"/>
      <c r="J35" s="61"/>
      <c r="K35" s="62"/>
      <c r="L35" s="61"/>
      <c r="M35" s="61"/>
    </row>
    <row r="36" spans="1:13" s="45" customFormat="1" x14ac:dyDescent="0.25">
      <c r="A36" s="45" t="s">
        <v>73</v>
      </c>
      <c r="B36" s="58">
        <v>579</v>
      </c>
      <c r="C36" s="45" t="s">
        <v>74</v>
      </c>
      <c r="D36" s="59"/>
      <c r="E36" s="59"/>
      <c r="F36" s="59"/>
      <c r="G36" s="60"/>
      <c r="H36" s="15"/>
      <c r="I36" s="15"/>
      <c r="J36" s="15"/>
      <c r="K36" s="16"/>
      <c r="L36" s="17"/>
      <c r="M36" s="17"/>
    </row>
    <row r="37" spans="1:13" s="45" customFormat="1" x14ac:dyDescent="0.25">
      <c r="B37" s="58"/>
      <c r="D37" s="59"/>
      <c r="E37" s="59"/>
      <c r="F37" s="59"/>
      <c r="G37" s="60"/>
      <c r="H37"/>
      <c r="I37"/>
      <c r="J37"/>
      <c r="K37"/>
      <c r="L37"/>
      <c r="M37"/>
    </row>
    <row r="38" spans="1:13" x14ac:dyDescent="0.25">
      <c r="A38" s="20"/>
      <c r="B38" s="28"/>
      <c r="C38" s="9"/>
      <c r="D38" s="12"/>
      <c r="E38" s="12"/>
      <c r="F38" s="12"/>
      <c r="G38" s="13"/>
    </row>
    <row r="39" spans="1:13" x14ac:dyDescent="0.25">
      <c r="A39" s="19" t="s">
        <v>14</v>
      </c>
      <c r="H39" s="32"/>
      <c r="I39" s="32"/>
      <c r="J39" s="32"/>
      <c r="K39" s="32"/>
      <c r="L39" s="32"/>
      <c r="M39" s="32"/>
    </row>
    <row r="40" spans="1:13" hidden="1" x14ac:dyDescent="0.25">
      <c r="H40" s="32"/>
      <c r="I40" s="32"/>
      <c r="J40" s="32"/>
      <c r="K40" s="32"/>
      <c r="L40" s="32"/>
      <c r="M40" s="32"/>
    </row>
    <row r="41" spans="1:13" s="45" customFormat="1" x14ac:dyDescent="0.25">
      <c r="A41" s="45" t="s">
        <v>36</v>
      </c>
      <c r="B41" s="88">
        <v>0.85</v>
      </c>
      <c r="C41" s="45" t="s">
        <v>49</v>
      </c>
    </row>
    <row r="42" spans="1:13" s="45" customFormat="1" x14ac:dyDescent="0.25">
      <c r="A42" s="45" t="s">
        <v>37</v>
      </c>
      <c r="B42" s="88">
        <v>0.75</v>
      </c>
      <c r="C42" s="45" t="s">
        <v>50</v>
      </c>
    </row>
    <row r="43" spans="1:13" s="45" customFormat="1" x14ac:dyDescent="0.25">
      <c r="A43" s="45" t="s">
        <v>38</v>
      </c>
      <c r="B43" s="88">
        <v>0.3</v>
      </c>
      <c r="C43" s="45" t="s">
        <v>51</v>
      </c>
    </row>
  </sheetData>
  <phoneticPr fontId="19" type="noConversion"/>
  <pageMargins left="0.74803149606299213" right="0.74803149606299213" top="0.54" bottom="0.56000000000000005" header="0.51181102362204722" footer="0.51181102362204722"/>
  <pageSetup paperSize="9" scale="66"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T59"/>
  <sheetViews>
    <sheetView workbookViewId="0">
      <selection activeCell="D15" sqref="D15"/>
    </sheetView>
  </sheetViews>
  <sheetFormatPr defaultRowHeight="13.2" x14ac:dyDescent="0.25"/>
  <cols>
    <col min="1" max="1" width="6.88671875" customWidth="1"/>
    <col min="2" max="2" width="12.44140625" customWidth="1"/>
  </cols>
  <sheetData>
    <row r="1" spans="1:20" ht="15.6" x14ac:dyDescent="0.3">
      <c r="A1" s="35" t="s">
        <v>53</v>
      </c>
      <c r="G1" s="41"/>
    </row>
    <row r="2" spans="1:20" ht="15.6" x14ac:dyDescent="0.3">
      <c r="A2" s="35"/>
    </row>
    <row r="3" spans="1:20" x14ac:dyDescent="0.25">
      <c r="B3" s="54" t="s">
        <v>52</v>
      </c>
      <c r="C3" s="55" t="s">
        <v>46</v>
      </c>
      <c r="D3" s="55" t="s">
        <v>47</v>
      </c>
    </row>
    <row r="4" spans="1:20" x14ac:dyDescent="0.25">
      <c r="B4" s="54" t="s">
        <v>40</v>
      </c>
      <c r="C4">
        <v>1.51</v>
      </c>
      <c r="D4">
        <v>0.99</v>
      </c>
      <c r="E4" s="42"/>
      <c r="F4" s="42"/>
      <c r="H4" s="41"/>
      <c r="I4" s="41"/>
      <c r="J4" s="41"/>
      <c r="K4" s="41"/>
      <c r="L4" s="41"/>
      <c r="M4" s="41"/>
      <c r="N4" s="41"/>
      <c r="O4" s="41"/>
    </row>
    <row r="5" spans="1:20" x14ac:dyDescent="0.25">
      <c r="B5" s="54" t="s">
        <v>41</v>
      </c>
      <c r="C5">
        <v>3.93</v>
      </c>
      <c r="D5">
        <v>2.6</v>
      </c>
    </row>
    <row r="6" spans="1:20" x14ac:dyDescent="0.25">
      <c r="B6" s="54" t="s">
        <v>42</v>
      </c>
      <c r="C6">
        <v>10.9</v>
      </c>
      <c r="D6">
        <v>6.7</v>
      </c>
      <c r="E6" s="42"/>
      <c r="F6" s="42"/>
      <c r="G6" s="41"/>
      <c r="H6" s="41"/>
      <c r="I6" s="41"/>
      <c r="J6" s="41"/>
      <c r="K6" s="41"/>
      <c r="L6" s="41"/>
      <c r="M6" s="41"/>
      <c r="N6" s="41"/>
      <c r="O6" s="41"/>
    </row>
    <row r="7" spans="1:20" x14ac:dyDescent="0.25">
      <c r="B7" s="54" t="s">
        <v>43</v>
      </c>
      <c r="C7">
        <v>31.6</v>
      </c>
      <c r="D7">
        <v>19.3</v>
      </c>
      <c r="P7" s="12"/>
      <c r="Q7" s="12"/>
      <c r="R7" s="12"/>
      <c r="S7" s="12"/>
      <c r="T7" s="12"/>
    </row>
    <row r="8" spans="1:20" x14ac:dyDescent="0.25">
      <c r="B8" s="54" t="s">
        <v>44</v>
      </c>
      <c r="C8">
        <v>80.099999999999994</v>
      </c>
      <c r="D8">
        <v>53.5</v>
      </c>
      <c r="P8" s="12"/>
      <c r="Q8" s="12"/>
      <c r="R8" s="12"/>
      <c r="S8" s="12"/>
      <c r="T8" s="12"/>
    </row>
    <row r="9" spans="1:20" x14ac:dyDescent="0.25">
      <c r="B9" s="54" t="s">
        <v>45</v>
      </c>
      <c r="C9">
        <v>187.9</v>
      </c>
      <c r="D9">
        <v>154.80000000000001</v>
      </c>
      <c r="P9" s="12"/>
      <c r="Q9" s="12"/>
      <c r="R9" s="12"/>
      <c r="S9" s="12"/>
      <c r="T9" s="12"/>
    </row>
    <row r="10" spans="1:20" x14ac:dyDescent="0.25">
      <c r="P10" s="12"/>
      <c r="Q10" s="12"/>
      <c r="R10" s="12"/>
      <c r="S10" s="12"/>
      <c r="T10" s="12"/>
    </row>
    <row r="11" spans="1:20" x14ac:dyDescent="0.25">
      <c r="P11" s="12"/>
      <c r="Q11" s="12"/>
      <c r="R11" s="12"/>
      <c r="S11" s="12"/>
      <c r="T11" s="12"/>
    </row>
    <row r="12" spans="1:20" ht="15.6" x14ac:dyDescent="0.3">
      <c r="A12" s="35" t="s">
        <v>54</v>
      </c>
      <c r="P12" s="12"/>
      <c r="Q12" s="11"/>
    </row>
    <row r="13" spans="1:20" x14ac:dyDescent="0.25">
      <c r="P13" s="12"/>
      <c r="Q13" s="11"/>
    </row>
    <row r="14" spans="1:20" x14ac:dyDescent="0.25">
      <c r="B14" s="54" t="s">
        <v>52</v>
      </c>
      <c r="C14" s="55" t="s">
        <v>55</v>
      </c>
      <c r="D14" s="55" t="s">
        <v>46</v>
      </c>
      <c r="E14" s="55" t="s">
        <v>47</v>
      </c>
      <c r="P14" s="12"/>
      <c r="Q14" s="11"/>
    </row>
    <row r="15" spans="1:20" x14ac:dyDescent="0.25">
      <c r="B15" s="54" t="s">
        <v>40</v>
      </c>
      <c r="C15">
        <v>35</v>
      </c>
      <c r="D15">
        <f t="shared" ref="D15:E20" si="0">C4/1000</f>
        <v>1.5100000000000001E-3</v>
      </c>
      <c r="E15">
        <f t="shared" si="0"/>
        <v>9.8999999999999999E-4</v>
      </c>
      <c r="P15" s="12"/>
      <c r="Q15" s="11"/>
    </row>
    <row r="16" spans="1:20" x14ac:dyDescent="0.25">
      <c r="B16" s="54" t="s">
        <v>41</v>
      </c>
      <c r="C16">
        <v>45</v>
      </c>
      <c r="D16">
        <f t="shared" si="0"/>
        <v>3.9300000000000003E-3</v>
      </c>
      <c r="E16">
        <f t="shared" si="0"/>
        <v>2.5999999999999999E-3</v>
      </c>
      <c r="P16" s="12"/>
      <c r="Q16" s="11"/>
    </row>
    <row r="17" spans="1:17" x14ac:dyDescent="0.25">
      <c r="B17" s="54" t="s">
        <v>42</v>
      </c>
      <c r="C17">
        <v>55</v>
      </c>
      <c r="D17">
        <f t="shared" si="0"/>
        <v>1.09E-2</v>
      </c>
      <c r="E17">
        <f t="shared" si="0"/>
        <v>6.7000000000000002E-3</v>
      </c>
      <c r="P17" s="12"/>
      <c r="Q17" s="11"/>
    </row>
    <row r="18" spans="1:17" x14ac:dyDescent="0.25">
      <c r="B18" s="54" t="s">
        <v>43</v>
      </c>
      <c r="C18">
        <v>65</v>
      </c>
      <c r="D18">
        <f t="shared" si="0"/>
        <v>3.1600000000000003E-2</v>
      </c>
      <c r="E18">
        <f t="shared" si="0"/>
        <v>1.9300000000000001E-2</v>
      </c>
    </row>
    <row r="19" spans="1:17" x14ac:dyDescent="0.25">
      <c r="B19" s="54" t="s">
        <v>44</v>
      </c>
      <c r="C19">
        <v>75</v>
      </c>
      <c r="D19">
        <f t="shared" si="0"/>
        <v>8.0099999999999991E-2</v>
      </c>
      <c r="E19">
        <f t="shared" si="0"/>
        <v>5.3499999999999999E-2</v>
      </c>
    </row>
    <row r="20" spans="1:17" x14ac:dyDescent="0.25">
      <c r="B20" s="54" t="s">
        <v>45</v>
      </c>
      <c r="C20">
        <v>85</v>
      </c>
      <c r="D20">
        <f t="shared" si="0"/>
        <v>0.18790000000000001</v>
      </c>
      <c r="E20">
        <f t="shared" si="0"/>
        <v>0.15480000000000002</v>
      </c>
    </row>
    <row r="26" spans="1:17" ht="15.6" x14ac:dyDescent="0.3">
      <c r="A26" s="35"/>
    </row>
    <row r="31" spans="1:17" x14ac:dyDescent="0.25">
      <c r="B31" s="33"/>
      <c r="C31" s="33"/>
      <c r="D31" s="33"/>
      <c r="E31" s="33"/>
      <c r="F31" s="33"/>
      <c r="G31" s="33"/>
      <c r="H31" s="33"/>
      <c r="I31" s="33"/>
      <c r="J31" s="33"/>
      <c r="K31" s="33"/>
      <c r="L31" s="33"/>
      <c r="M31" s="33"/>
      <c r="N31" s="33"/>
      <c r="O31" s="33"/>
    </row>
    <row r="32" spans="1:17" x14ac:dyDescent="0.25">
      <c r="B32" s="33"/>
      <c r="C32" s="33"/>
      <c r="D32" s="33"/>
      <c r="E32" s="33"/>
      <c r="F32" s="33"/>
      <c r="G32" s="33"/>
      <c r="H32" s="33"/>
      <c r="I32" s="33"/>
      <c r="J32" s="33"/>
      <c r="K32" s="33"/>
      <c r="L32" s="33"/>
      <c r="M32" s="33"/>
      <c r="N32" s="33"/>
      <c r="O32" s="33"/>
    </row>
    <row r="33" spans="2:15" x14ac:dyDescent="0.25">
      <c r="B33" s="33"/>
      <c r="C33" s="33"/>
      <c r="D33" s="33"/>
      <c r="E33" s="33"/>
      <c r="F33" s="33"/>
      <c r="G33" s="33"/>
      <c r="H33" s="33"/>
      <c r="I33" s="33"/>
      <c r="J33" s="33"/>
      <c r="K33" s="33"/>
      <c r="L33" s="33"/>
      <c r="M33" s="33"/>
      <c r="N33" s="33"/>
      <c r="O33" s="33"/>
    </row>
    <row r="34" spans="2:15" x14ac:dyDescent="0.25">
      <c r="B34" s="33"/>
      <c r="C34" s="33"/>
      <c r="D34" s="33"/>
      <c r="E34" s="33"/>
      <c r="F34" s="33"/>
      <c r="G34" s="33"/>
      <c r="H34" s="33"/>
      <c r="I34" s="33"/>
      <c r="J34" s="33"/>
      <c r="K34" s="33"/>
      <c r="L34" s="33"/>
      <c r="M34" s="33"/>
      <c r="N34" s="33"/>
      <c r="O34" s="33"/>
    </row>
    <row r="35" spans="2:15" x14ac:dyDescent="0.25">
      <c r="B35" s="33"/>
      <c r="C35" s="33"/>
      <c r="D35" s="33"/>
      <c r="E35" s="33"/>
      <c r="F35" s="33"/>
      <c r="G35" s="33"/>
      <c r="H35" s="33"/>
      <c r="I35" s="33"/>
      <c r="J35" s="33"/>
      <c r="K35" s="33"/>
      <c r="L35" s="33"/>
      <c r="M35" s="33"/>
      <c r="N35" s="33"/>
      <c r="O35" s="33"/>
    </row>
    <row r="36" spans="2:15" x14ac:dyDescent="0.25">
      <c r="B36" s="33"/>
      <c r="C36" s="33"/>
      <c r="D36" s="33"/>
      <c r="E36" s="33"/>
      <c r="F36" s="33"/>
      <c r="G36" s="33"/>
      <c r="H36" s="33"/>
      <c r="I36" s="33"/>
      <c r="J36" s="33"/>
      <c r="K36" s="33"/>
      <c r="L36" s="33"/>
      <c r="M36" s="33"/>
      <c r="N36" s="33"/>
      <c r="O36" s="33"/>
    </row>
    <row r="37" spans="2:15" x14ac:dyDescent="0.25">
      <c r="B37" s="33"/>
      <c r="C37" s="33"/>
      <c r="D37" s="33"/>
      <c r="E37" s="33"/>
      <c r="F37" s="33"/>
      <c r="G37" s="33"/>
      <c r="H37" s="33"/>
      <c r="I37" s="33"/>
      <c r="J37" s="53"/>
      <c r="K37" s="53"/>
      <c r="L37" s="53"/>
      <c r="M37" s="53"/>
      <c r="N37" s="53"/>
      <c r="O37" s="53"/>
    </row>
    <row r="38" spans="2:15" x14ac:dyDescent="0.25">
      <c r="B38" s="33"/>
      <c r="C38" s="33"/>
      <c r="D38" s="33"/>
      <c r="E38" s="33"/>
      <c r="F38" s="33"/>
      <c r="G38" s="33"/>
      <c r="H38" s="33"/>
      <c r="I38" s="33"/>
      <c r="J38" s="33"/>
      <c r="K38" s="33"/>
      <c r="L38" s="33"/>
      <c r="M38" s="33"/>
      <c r="N38" s="33"/>
      <c r="O38" s="33"/>
    </row>
    <row r="39" spans="2:15" x14ac:dyDescent="0.25">
      <c r="B39" s="33"/>
      <c r="C39" s="33"/>
      <c r="D39" s="33"/>
      <c r="E39" s="33"/>
      <c r="F39" s="33"/>
      <c r="G39" s="33"/>
      <c r="H39" s="33"/>
      <c r="I39" s="33"/>
      <c r="J39" s="33"/>
      <c r="K39" s="33"/>
      <c r="L39" s="33"/>
      <c r="M39" s="33"/>
      <c r="N39" s="33"/>
      <c r="O39" s="33"/>
    </row>
    <row r="40" spans="2:15" x14ac:dyDescent="0.25">
      <c r="B40" s="33"/>
      <c r="C40" s="33"/>
      <c r="D40" s="33"/>
      <c r="E40" s="33"/>
      <c r="F40" s="33"/>
      <c r="G40" s="33"/>
      <c r="H40" s="33"/>
      <c r="I40" s="33"/>
      <c r="J40" s="33"/>
      <c r="K40" s="33"/>
      <c r="L40" s="33"/>
      <c r="M40" s="33"/>
      <c r="N40" s="33"/>
      <c r="O40" s="33"/>
    </row>
    <row r="41" spans="2:15" x14ac:dyDescent="0.25">
      <c r="B41" s="33"/>
      <c r="C41" s="33"/>
      <c r="D41" s="33"/>
      <c r="E41" s="33"/>
      <c r="F41" s="33"/>
      <c r="G41" s="33"/>
      <c r="H41" s="33"/>
      <c r="I41" s="33"/>
      <c r="J41" s="33"/>
      <c r="K41" s="33"/>
      <c r="L41" s="33"/>
      <c r="M41" s="33"/>
      <c r="N41" s="33"/>
      <c r="O41" s="33"/>
    </row>
    <row r="42" spans="2:15" x14ac:dyDescent="0.25">
      <c r="B42" s="33"/>
      <c r="C42" s="33"/>
      <c r="D42" s="33"/>
      <c r="E42" s="33"/>
      <c r="F42" s="33"/>
      <c r="G42" s="33"/>
      <c r="H42" s="33"/>
      <c r="I42" s="33"/>
      <c r="J42" s="33"/>
      <c r="K42" s="33"/>
      <c r="L42" s="33"/>
      <c r="M42" s="33"/>
      <c r="N42" s="33"/>
      <c r="O42" s="33"/>
    </row>
    <row r="43" spans="2:15" x14ac:dyDescent="0.25">
      <c r="B43" s="33"/>
      <c r="C43" s="33"/>
      <c r="D43" s="33"/>
      <c r="E43" s="33"/>
      <c r="F43" s="33"/>
      <c r="G43" s="33"/>
      <c r="H43" s="33"/>
      <c r="I43" s="33"/>
      <c r="J43" s="33"/>
      <c r="K43" s="33"/>
      <c r="L43" s="33"/>
      <c r="M43" s="33"/>
      <c r="N43" s="33"/>
      <c r="O43" s="33"/>
    </row>
    <row r="44" spans="2:15" x14ac:dyDescent="0.25">
      <c r="B44" s="33"/>
      <c r="C44" s="33"/>
      <c r="D44" s="33"/>
      <c r="E44" s="33"/>
      <c r="F44" s="33"/>
      <c r="G44" s="33"/>
      <c r="H44" s="33"/>
      <c r="I44" s="33"/>
      <c r="J44" s="33"/>
      <c r="K44" s="33"/>
      <c r="L44" s="33"/>
      <c r="M44" s="33"/>
      <c r="N44" s="33"/>
      <c r="O44" s="33"/>
    </row>
    <row r="45" spans="2:15" x14ac:dyDescent="0.25">
      <c r="B45" s="33"/>
      <c r="C45" s="33"/>
      <c r="D45" s="33"/>
      <c r="E45" s="33"/>
      <c r="F45" s="33"/>
      <c r="G45" s="33"/>
      <c r="H45" s="33"/>
      <c r="I45" s="33"/>
      <c r="J45" s="33"/>
      <c r="K45" s="33"/>
      <c r="L45" s="33"/>
      <c r="M45" s="33"/>
      <c r="N45" s="33"/>
      <c r="O45" s="33"/>
    </row>
    <row r="46" spans="2:15" x14ac:dyDescent="0.25">
      <c r="B46" s="33"/>
      <c r="C46" s="33"/>
      <c r="D46" s="33"/>
      <c r="E46" s="33"/>
      <c r="F46" s="33"/>
      <c r="G46" s="33"/>
      <c r="H46" s="33"/>
      <c r="I46" s="33"/>
      <c r="J46" s="53"/>
      <c r="K46" s="53"/>
      <c r="L46" s="53"/>
      <c r="M46" s="53"/>
      <c r="N46" s="53"/>
      <c r="O46" s="53"/>
    </row>
    <row r="49" spans="1:15" x14ac:dyDescent="0.25">
      <c r="A49" s="36"/>
    </row>
    <row r="51" spans="1:15" x14ac:dyDescent="0.25">
      <c r="A51" s="36"/>
    </row>
    <row r="52" spans="1:15" x14ac:dyDescent="0.25">
      <c r="A52" s="43"/>
      <c r="B52" s="34"/>
      <c r="C52" s="34"/>
      <c r="D52" s="34"/>
      <c r="E52" s="34"/>
      <c r="F52" s="34"/>
      <c r="G52" s="34"/>
      <c r="H52" s="34"/>
      <c r="I52" s="34"/>
      <c r="J52" s="34"/>
      <c r="K52" s="34"/>
      <c r="L52" s="34"/>
      <c r="M52" s="34"/>
      <c r="N52" s="34"/>
      <c r="O52" s="34"/>
    </row>
    <row r="53" spans="1:15" x14ac:dyDescent="0.25">
      <c r="A53" s="43"/>
      <c r="B53" s="34"/>
      <c r="C53" s="34"/>
      <c r="D53" s="34"/>
      <c r="E53" s="34"/>
      <c r="F53" s="34"/>
      <c r="G53" s="34"/>
      <c r="H53" s="34"/>
      <c r="I53" s="34"/>
      <c r="J53" s="34"/>
      <c r="K53" s="34"/>
      <c r="L53" s="34"/>
      <c r="M53" s="34"/>
      <c r="N53" s="34"/>
      <c r="O53" s="34"/>
    </row>
    <row r="54" spans="1:15" x14ac:dyDescent="0.25">
      <c r="A54" s="43"/>
      <c r="B54" s="34"/>
      <c r="C54" s="34"/>
      <c r="D54" s="34"/>
      <c r="E54" s="34"/>
      <c r="F54" s="34"/>
      <c r="G54" s="34"/>
      <c r="H54" s="34"/>
      <c r="I54" s="34"/>
      <c r="J54" s="34"/>
      <c r="K54" s="34"/>
      <c r="L54" s="34"/>
      <c r="M54" s="34"/>
      <c r="N54" s="34"/>
      <c r="O54" s="34"/>
    </row>
    <row r="56" spans="1:15" x14ac:dyDescent="0.25">
      <c r="A56" s="36"/>
    </row>
    <row r="57" spans="1:15" x14ac:dyDescent="0.25">
      <c r="A57" s="43"/>
      <c r="B57" s="34"/>
      <c r="C57" s="34"/>
      <c r="D57" s="34"/>
      <c r="E57" s="34"/>
      <c r="F57" s="34"/>
      <c r="G57" s="34"/>
      <c r="H57" s="34"/>
      <c r="I57" s="34"/>
      <c r="J57" s="34"/>
      <c r="K57" s="34"/>
      <c r="L57" s="34"/>
      <c r="M57" s="34"/>
      <c r="N57" s="34"/>
      <c r="O57" s="34"/>
    </row>
    <row r="58" spans="1:15" x14ac:dyDescent="0.25">
      <c r="A58" s="43"/>
      <c r="B58" s="34"/>
      <c r="C58" s="34"/>
      <c r="D58" s="34"/>
      <c r="E58" s="34"/>
      <c r="F58" s="34"/>
      <c r="G58" s="34"/>
      <c r="H58" s="34"/>
      <c r="I58" s="34"/>
      <c r="J58" s="34"/>
      <c r="K58" s="34"/>
      <c r="L58" s="34"/>
      <c r="M58" s="34"/>
      <c r="N58" s="34"/>
      <c r="O58" s="34"/>
    </row>
    <row r="59" spans="1:15" x14ac:dyDescent="0.25">
      <c r="A59" s="43"/>
      <c r="B59" s="34"/>
      <c r="C59" s="34"/>
      <c r="D59" s="34"/>
      <c r="E59" s="34"/>
      <c r="F59" s="34"/>
      <c r="G59" s="34"/>
      <c r="H59" s="34"/>
      <c r="I59" s="34"/>
      <c r="J59" s="34"/>
      <c r="K59" s="34"/>
      <c r="L59" s="34"/>
      <c r="M59" s="34"/>
      <c r="N59" s="34"/>
      <c r="O59" s="34"/>
    </row>
  </sheetData>
  <phoneticPr fontId="0" type="noConversion"/>
  <pageMargins left="0.75" right="0.75" top="1" bottom="1" header="0.5" footer="0.5"/>
  <pageSetup scale="65"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0"/>
  <sheetViews>
    <sheetView showGridLines="0" zoomScale="140" zoomScaleNormal="140" workbookViewId="0">
      <selection activeCell="C10" sqref="C10"/>
    </sheetView>
  </sheetViews>
  <sheetFormatPr defaultRowHeight="13.2" x14ac:dyDescent="0.25"/>
  <cols>
    <col min="2" max="2" width="20.44140625" customWidth="1"/>
    <col min="3" max="3" width="10.5546875" style="34" customWidth="1"/>
    <col min="4" max="7" width="10.5546875" customWidth="1"/>
    <col min="8" max="8" width="10.33203125" customWidth="1"/>
    <col min="9" max="9" width="9.5546875" bestFit="1" customWidth="1"/>
    <col min="11" max="11" width="10.88671875" customWidth="1"/>
  </cols>
  <sheetData>
    <row r="1" spans="1:10" s="35" customFormat="1" ht="15.6" x14ac:dyDescent="0.3">
      <c r="A1" s="35" t="s">
        <v>76</v>
      </c>
      <c r="C1" s="37"/>
      <c r="F1" s="45"/>
      <c r="G1" s="45"/>
    </row>
    <row r="4" spans="1:10" s="36" customFormat="1" x14ac:dyDescent="0.25">
      <c r="B4" s="36" t="s">
        <v>32</v>
      </c>
      <c r="C4" s="57" t="s">
        <v>34</v>
      </c>
      <c r="D4" s="41" t="s">
        <v>29</v>
      </c>
      <c r="E4" s="41" t="s">
        <v>33</v>
      </c>
      <c r="F4" s="44"/>
    </row>
    <row r="5" spans="1:10" x14ac:dyDescent="0.25">
      <c r="D5" s="33"/>
      <c r="E5" s="33"/>
      <c r="F5" s="34"/>
      <c r="G5" s="33"/>
      <c r="H5" s="33"/>
      <c r="I5" s="33"/>
      <c r="J5" s="33"/>
    </row>
    <row r="6" spans="1:10" x14ac:dyDescent="0.25">
      <c r="B6" s="43" t="s">
        <v>75</v>
      </c>
      <c r="C6" s="10">
        <v>0.37409680000000001</v>
      </c>
      <c r="D6" s="10">
        <v>4.7450100000000002E-2</v>
      </c>
      <c r="E6" s="33">
        <f>EXP(C6)</f>
        <v>1.4536778596632325</v>
      </c>
      <c r="I6" s="33"/>
      <c r="J6" s="33"/>
    </row>
    <row r="7" spans="1:10" x14ac:dyDescent="0.25">
      <c r="B7" s="43" t="s">
        <v>69</v>
      </c>
      <c r="C7" s="10">
        <v>-5.4909350000000003</v>
      </c>
      <c r="D7" s="10">
        <v>0.20789199999999999</v>
      </c>
      <c r="E7" s="33">
        <f>EXP(C7)</f>
        <v>4.1239864437225739E-3</v>
      </c>
      <c r="I7" s="33"/>
      <c r="J7" s="33"/>
    </row>
    <row r="8" spans="1:10" x14ac:dyDescent="0.25">
      <c r="B8" s="43" t="s">
        <v>5</v>
      </c>
      <c r="C8" s="10">
        <v>-3.6702199999999997E-2</v>
      </c>
      <c r="D8" s="10">
        <v>5.2112E-3</v>
      </c>
      <c r="E8" s="33">
        <f>EXP(C8)</f>
        <v>0.96396316083813449</v>
      </c>
      <c r="I8" s="33"/>
      <c r="J8" s="33"/>
    </row>
    <row r="9" spans="1:10" x14ac:dyDescent="0.25">
      <c r="B9" s="43" t="s">
        <v>31</v>
      </c>
      <c r="C9" s="10">
        <v>0.768536</v>
      </c>
      <c r="D9" s="10">
        <v>0.109066</v>
      </c>
      <c r="E9" s="33">
        <f>EXP(C9)</f>
        <v>2.1566066693694932</v>
      </c>
      <c r="I9" s="33"/>
      <c r="J9" s="33"/>
    </row>
    <row r="10" spans="1:10" x14ac:dyDescent="0.25">
      <c r="B10" s="43" t="s">
        <v>64</v>
      </c>
      <c r="C10" s="10">
        <v>-1.3444739999999999</v>
      </c>
      <c r="D10" s="10">
        <v>0.38258150000000002</v>
      </c>
      <c r="E10" s="33">
        <f>EXP(C10)</f>
        <v>0.26067678779517234</v>
      </c>
      <c r="I10" s="33"/>
      <c r="J10" s="33"/>
    </row>
  </sheetData>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9"/>
  <sheetViews>
    <sheetView topLeftCell="A5" zoomScale="110" zoomScaleNormal="110" workbookViewId="0">
      <selection activeCell="C7" sqref="C7"/>
    </sheetView>
  </sheetViews>
  <sheetFormatPr defaultRowHeight="13.2" x14ac:dyDescent="0.25"/>
  <cols>
    <col min="2" max="2" width="4.6640625" customWidth="1"/>
    <col min="3" max="3" width="8.88671875" style="24" customWidth="1"/>
    <col min="4" max="4" width="4.6640625" style="24" customWidth="1"/>
    <col min="5" max="5" width="8.88671875" style="24" customWidth="1"/>
    <col min="7" max="15" width="12.6640625" customWidth="1"/>
    <col min="16" max="17" width="4.6640625" customWidth="1"/>
  </cols>
  <sheetData>
    <row r="1" spans="1:17" ht="15.6" x14ac:dyDescent="0.3">
      <c r="A1" s="6" t="s">
        <v>56</v>
      </c>
      <c r="B1" s="6"/>
    </row>
    <row r="2" spans="1:17" ht="15.6" x14ac:dyDescent="0.3">
      <c r="A2" s="6"/>
      <c r="B2" s="6"/>
    </row>
    <row r="3" spans="1:17" x14ac:dyDescent="0.25">
      <c r="D3" s="38"/>
      <c r="G3" s="21" t="s">
        <v>58</v>
      </c>
      <c r="H3" s="21"/>
      <c r="I3" s="22"/>
      <c r="J3" s="22"/>
      <c r="K3" s="21"/>
      <c r="L3" s="21"/>
      <c r="M3" s="22"/>
      <c r="N3" s="22"/>
      <c r="O3" s="22"/>
    </row>
    <row r="4" spans="1:17" x14ac:dyDescent="0.25">
      <c r="A4" s="18" t="s">
        <v>21</v>
      </c>
      <c r="B4" s="18"/>
      <c r="C4" s="56" t="s">
        <v>57</v>
      </c>
      <c r="D4" s="25"/>
      <c r="E4" s="25" t="s">
        <v>22</v>
      </c>
      <c r="G4" s="18" t="s">
        <v>23</v>
      </c>
      <c r="H4" s="18" t="s">
        <v>24</v>
      </c>
      <c r="I4" s="18" t="s">
        <v>25</v>
      </c>
      <c r="J4" s="18" t="s">
        <v>26</v>
      </c>
      <c r="K4" s="18" t="s">
        <v>27</v>
      </c>
      <c r="L4" s="18" t="s">
        <v>77</v>
      </c>
      <c r="M4" s="18" t="s">
        <v>19</v>
      </c>
      <c r="N4" s="18" t="s">
        <v>28</v>
      </c>
      <c r="O4" s="18" t="s">
        <v>20</v>
      </c>
    </row>
    <row r="5" spans="1:17" x14ac:dyDescent="0.25">
      <c r="C5"/>
      <c r="D5"/>
      <c r="E5" s="30"/>
    </row>
    <row r="6" spans="1:17" x14ac:dyDescent="0.25">
      <c r="A6">
        <v>0</v>
      </c>
      <c r="G6" s="23">
        <v>1000</v>
      </c>
      <c r="H6" s="23"/>
      <c r="I6" s="23"/>
      <c r="J6" s="23"/>
      <c r="K6" s="23"/>
      <c r="L6" s="83">
        <f>SUM(G6:K6)</f>
        <v>1000</v>
      </c>
      <c r="M6" s="84">
        <f>(cStandard+cPrimary)*G6</f>
        <v>394000</v>
      </c>
      <c r="N6" s="27"/>
      <c r="O6" s="26"/>
      <c r="P6" s="27"/>
      <c r="Q6" s="27"/>
    </row>
    <row r="7" spans="1:17" x14ac:dyDescent="0.25">
      <c r="A7">
        <v>1</v>
      </c>
      <c r="C7" s="87">
        <f>1-EXP(lambda*(A6^gamma-A7^gamma))</f>
        <v>4.5587359988585874E-4</v>
      </c>
      <c r="E7" s="87">
        <f>IF(male=0,VLOOKUP(cycle+age,lifetable,3,1),IF(male=1,VLOOKUP(cycle+age,lifetable,2,1),"error"))</f>
        <v>6.7000000000000002E-3</v>
      </c>
      <c r="G7" s="95"/>
      <c r="H7" s="83">
        <f>G6*(1-omrPTHR)+H6*(1-standardRR-mr)</f>
        <v>980</v>
      </c>
      <c r="I7" s="83">
        <f>H6*standardRR+J6*rrr</f>
        <v>0</v>
      </c>
      <c r="J7" s="83">
        <f>I6*(1-mr-omrRTHR)+J6*(1-mr-rrr)</f>
        <v>0</v>
      </c>
      <c r="K7" s="83">
        <f>H6*mr+(I6+J6)*mr+G6*omrPTHR+I6*omrRTHR+K6</f>
        <v>20</v>
      </c>
      <c r="L7" s="83">
        <f t="shared" ref="L7:L66" si="0">SUM(G7:K7)</f>
        <v>1000</v>
      </c>
      <c r="M7" s="84">
        <f>(cPrimary*G7+cSuccess*H7+cRevision*I7+cSuccess*J7)/(1+cDR)^cycle</f>
        <v>0</v>
      </c>
      <c r="N7" s="85">
        <f>(J7+I7+H7)</f>
        <v>980</v>
      </c>
      <c r="O7" s="86">
        <f>(uSuccessP*H7+uRevision*Standard!I7+uSuccessR*Standard!J7)/(1+oDR)^cycle</f>
        <v>820.68965517241384</v>
      </c>
      <c r="P7" s="27"/>
      <c r="Q7" s="27"/>
    </row>
    <row r="8" spans="1:17" x14ac:dyDescent="0.25">
      <c r="A8">
        <v>2</v>
      </c>
      <c r="C8" s="87">
        <f t="shared" ref="C8:C66" si="1">1-EXP(lambda*(A7^gamma-A8^gamma))</f>
        <v>7.9265538125916635E-4</v>
      </c>
      <c r="E8" s="87">
        <f t="shared" ref="E8:E66" si="2">IF(male=0,VLOOKUP(cycle+age,lifetable,3,1),IF(male=1,VLOOKUP(cycle+age,lifetable,2,1),"error"))</f>
        <v>6.7000000000000002E-3</v>
      </c>
      <c r="G8" s="96"/>
      <c r="H8" s="83">
        <f t="shared" ref="H8:H66" si="3">G7*(1-omrPTHR)+H7*(1-standardRR-mr)</f>
        <v>972.65719772636601</v>
      </c>
      <c r="I8" s="83">
        <f t="shared" ref="I8:I66" si="4">H7*standardRR+J7*rrr</f>
        <v>0.77680227363398302</v>
      </c>
      <c r="J8" s="83">
        <f>I7*(1-mr-omrRTHR)+J7*(1-mr-rrr)</f>
        <v>0</v>
      </c>
      <c r="K8" s="83">
        <f t="shared" ref="K8:K66" si="5">H7*mr+(I7+J7)*mr+G7*omrPTHR+I7*omrRTHR+K7</f>
        <v>26.565999999999999</v>
      </c>
      <c r="L8" s="83">
        <f t="shared" si="0"/>
        <v>1000</v>
      </c>
      <c r="M8" s="84">
        <f t="shared" ref="M8:M63" si="6">(cPrimary*G8+cSuccess*H8+cRevision*I8+cSuccess*J8)/(1+cDR)^cycle</f>
        <v>3660.0135605360497</v>
      </c>
      <c r="N8" s="85">
        <f t="shared" ref="N8:N23" si="7">(J8+I8+H8)</f>
        <v>973.43399999999997</v>
      </c>
      <c r="O8" s="86">
        <f>(uSuccessP*H8+uRevision*Standard!I8+uSuccessR*Standard!J8)/(1+oDR)^cycle</f>
        <v>802.72916959839017</v>
      </c>
      <c r="P8" s="27"/>
      <c r="Q8" s="27"/>
    </row>
    <row r="9" spans="1:17" x14ac:dyDescent="0.25">
      <c r="A9">
        <v>3</v>
      </c>
      <c r="C9" s="87">
        <f t="shared" si="1"/>
        <v>1.0023202487118299E-3</v>
      </c>
      <c r="E9" s="87">
        <f t="shared" si="2"/>
        <v>6.7000000000000002E-3</v>
      </c>
      <c r="G9" s="95"/>
      <c r="H9" s="83">
        <f t="shared" si="3"/>
        <v>965.16548049726282</v>
      </c>
      <c r="I9" s="83">
        <f t="shared" si="4"/>
        <v>0.97491400433644271</v>
      </c>
      <c r="J9" s="83">
        <f t="shared" ref="J9:J66" si="8">I8*(1-mr-omrRTHR)+J8*(1-mr-rrr)</f>
        <v>0.75606165292795557</v>
      </c>
      <c r="K9" s="83">
        <f t="shared" si="5"/>
        <v>33.103543845472679</v>
      </c>
      <c r="L9" s="83">
        <f t="shared" si="0"/>
        <v>1000</v>
      </c>
      <c r="M9" s="84">
        <f t="shared" si="6"/>
        <v>4333.438626313271</v>
      </c>
      <c r="N9" s="85">
        <f t="shared" si="7"/>
        <v>966.89645615452719</v>
      </c>
      <c r="O9" s="86">
        <f>(uSuccessP*H9+uRevision*Standard!I9+uSuccessR*Standard!J9)/(1+oDR)^cycle</f>
        <v>785.3755021601844</v>
      </c>
      <c r="P9" s="27"/>
      <c r="Q9" s="27"/>
    </row>
    <row r="10" spans="1:17" x14ac:dyDescent="0.25">
      <c r="A10">
        <v>4</v>
      </c>
      <c r="C10" s="87">
        <f t="shared" si="1"/>
        <v>1.1684809383689654E-3</v>
      </c>
      <c r="E10" s="87">
        <f t="shared" si="2"/>
        <v>6.7000000000000002E-3</v>
      </c>
      <c r="G10" s="95"/>
      <c r="H10" s="83">
        <f t="shared" si="3"/>
        <v>957.57109431159836</v>
      </c>
      <c r="I10" s="83">
        <f t="shared" si="4"/>
        <v>1.1580199324498932</v>
      </c>
      <c r="J10" s="83">
        <f t="shared" si="8"/>
        <v>1.6696373741568795</v>
      </c>
      <c r="K10" s="83">
        <f t="shared" si="5"/>
        <v>39.60124838179474</v>
      </c>
      <c r="L10" s="83">
        <f t="shared" si="0"/>
        <v>999.99999999999989</v>
      </c>
      <c r="M10" s="84">
        <f t="shared" si="6"/>
        <v>4855.975765601087</v>
      </c>
      <c r="N10" s="85">
        <f t="shared" si="7"/>
        <v>960.3987516182051</v>
      </c>
      <c r="O10" s="86">
        <f>(uSuccessP*H10+uRevision*Standard!I10+uSuccessR*Standard!J10)/(1+oDR)^cycle</f>
        <v>768.38427671175577</v>
      </c>
      <c r="P10" s="27"/>
      <c r="Q10" s="27"/>
    </row>
    <row r="11" spans="1:17" x14ac:dyDescent="0.25">
      <c r="A11">
        <v>5</v>
      </c>
      <c r="C11" s="87">
        <f t="shared" si="1"/>
        <v>1.309944799567142E-3</v>
      </c>
      <c r="E11" s="87">
        <f t="shared" si="2"/>
        <v>1.9300000000000001E-2</v>
      </c>
      <c r="G11" s="95"/>
      <c r="H11" s="83">
        <f t="shared" si="3"/>
        <v>937.83560691617527</v>
      </c>
      <c r="I11" s="83">
        <f t="shared" si="4"/>
        <v>1.3211507701755707</v>
      </c>
      <c r="J11" s="83">
        <f t="shared" si="8"/>
        <v>2.6831376269739886</v>
      </c>
      <c r="K11" s="83">
        <f t="shared" si="5"/>
        <v>58.160104686675098</v>
      </c>
      <c r="L11" s="83">
        <f t="shared" si="0"/>
        <v>1000</v>
      </c>
      <c r="M11" s="84">
        <f t="shared" si="6"/>
        <v>5226.4523219268867</v>
      </c>
      <c r="N11" s="85">
        <f t="shared" si="7"/>
        <v>941.83989531332486</v>
      </c>
      <c r="O11" s="86">
        <f>(uSuccessP*H11+uRevision*Standard!I11+uSuccessR*Standard!J11)/(1+oDR)^cycle</f>
        <v>742.20814701324616</v>
      </c>
      <c r="P11" s="27"/>
      <c r="Q11" s="27"/>
    </row>
    <row r="12" spans="1:17" x14ac:dyDescent="0.25">
      <c r="A12">
        <v>6</v>
      </c>
      <c r="C12" s="87">
        <f t="shared" si="1"/>
        <v>1.4349523261396602E-3</v>
      </c>
      <c r="E12" s="87">
        <f t="shared" si="2"/>
        <v>1.9300000000000001E-2</v>
      </c>
      <c r="G12" s="95"/>
      <c r="H12" s="83">
        <f t="shared" si="3"/>
        <v>918.38963031701212</v>
      </c>
      <c r="I12" s="83">
        <f t="shared" si="4"/>
        <v>1.4530748907599254</v>
      </c>
      <c r="J12" s="83">
        <f t="shared" si="8"/>
        <v>3.7932571106021018</v>
      </c>
      <c r="K12" s="83">
        <f t="shared" si="5"/>
        <v>76.364037681625774</v>
      </c>
      <c r="L12" s="83">
        <f t="shared" si="0"/>
        <v>999.99999999999989</v>
      </c>
      <c r="M12" s="84">
        <f t="shared" si="6"/>
        <v>5422.964276772298</v>
      </c>
      <c r="N12" s="85">
        <f t="shared" si="7"/>
        <v>923.63596231837414</v>
      </c>
      <c r="O12" s="86">
        <f>(uSuccessP*H12+uRevision*Standard!I12+uSuccessR*Standard!J12)/(1+oDR)^cycle</f>
        <v>716.92064592641054</v>
      </c>
      <c r="P12" s="27"/>
      <c r="Q12" s="27"/>
    </row>
    <row r="13" spans="1:17" x14ac:dyDescent="0.25">
      <c r="A13">
        <v>7</v>
      </c>
      <c r="C13" s="87">
        <f t="shared" si="1"/>
        <v>1.5479957647099862E-3</v>
      </c>
      <c r="E13" s="87">
        <f t="shared" si="2"/>
        <v>1.9300000000000001E-2</v>
      </c>
      <c r="G13" s="95"/>
      <c r="H13" s="83">
        <f t="shared" si="3"/>
        <v>899.2430471938095</v>
      </c>
      <c r="I13" s="83">
        <f t="shared" si="4"/>
        <v>1.5733935425083887</v>
      </c>
      <c r="J13" s="83">
        <f t="shared" si="8"/>
        <v>4.9642860114964575</v>
      </c>
      <c r="K13" s="83">
        <f t="shared" si="5"/>
        <v>94.219273252185587</v>
      </c>
      <c r="L13" s="83">
        <f t="shared" si="0"/>
        <v>1000</v>
      </c>
      <c r="M13" s="84">
        <f t="shared" si="6"/>
        <v>5539.6234308472158</v>
      </c>
      <c r="N13" s="85">
        <f t="shared" si="7"/>
        <v>905.78072674781436</v>
      </c>
      <c r="O13" s="86">
        <f>(uSuccessP*H13+uRevision*Standard!I13+uSuccessR*Standard!J13)/(1+oDR)^cycle</f>
        <v>692.48578224922642</v>
      </c>
      <c r="P13" s="27"/>
      <c r="Q13" s="27"/>
    </row>
    <row r="14" spans="1:17" x14ac:dyDescent="0.25">
      <c r="A14">
        <v>8</v>
      </c>
      <c r="C14" s="87">
        <f t="shared" si="1"/>
        <v>1.6518431162551028E-3</v>
      </c>
      <c r="E14" s="87">
        <f t="shared" si="2"/>
        <v>1.9300000000000001E-2</v>
      </c>
      <c r="G14" s="23"/>
      <c r="H14" s="83">
        <f t="shared" si="3"/>
        <v>880.40224794562164</v>
      </c>
      <c r="I14" s="83">
        <f t="shared" si="4"/>
        <v>1.6839798778072153</v>
      </c>
      <c r="J14" s="83">
        <f>I13*(1-mr-omrRTHR)+J13*(1-mr-rrr)</f>
        <v>6.1814630273025273</v>
      </c>
      <c r="K14" s="83">
        <f t="shared" si="5"/>
        <v>111.73230914926857</v>
      </c>
      <c r="L14" s="83">
        <f t="shared" si="0"/>
        <v>1000</v>
      </c>
      <c r="M14" s="84">
        <f t="shared" si="6"/>
        <v>5593.3746858122431</v>
      </c>
      <c r="N14" s="85">
        <f t="shared" si="7"/>
        <v>888.26769085073136</v>
      </c>
      <c r="O14" s="86">
        <f>(uSuccessP*H14+uRevision*Standard!I14+uSuccessR*Standard!J14)/(1+oDR)^cycle</f>
        <v>668.87542000157657</v>
      </c>
      <c r="P14" s="27"/>
      <c r="Q14" s="27"/>
    </row>
    <row r="15" spans="1:17" x14ac:dyDescent="0.25">
      <c r="A15">
        <v>9</v>
      </c>
      <c r="C15" s="87">
        <f t="shared" si="1"/>
        <v>1.7483419148011103E-3</v>
      </c>
      <c r="E15" s="87">
        <f t="shared" si="2"/>
        <v>1.9300000000000001E-2</v>
      </c>
      <c r="G15" s="23"/>
      <c r="H15" s="83">
        <f t="shared" si="3"/>
        <v>861.8712404083027</v>
      </c>
      <c r="I15" s="83">
        <f t="shared" si="4"/>
        <v>1.7865026730605511</v>
      </c>
      <c r="J15" s="83">
        <f t="shared" si="8"/>
        <v>7.4327017383928791</v>
      </c>
      <c r="K15" s="83">
        <f t="shared" si="5"/>
        <v>128.90955518024384</v>
      </c>
      <c r="L15" s="83">
        <f t="shared" si="0"/>
        <v>1000</v>
      </c>
      <c r="M15" s="84">
        <f t="shared" si="6"/>
        <v>5598.0248234435003</v>
      </c>
      <c r="N15" s="85">
        <f t="shared" si="7"/>
        <v>871.09044481975616</v>
      </c>
      <c r="O15" s="86">
        <f>(uSuccessP*H15+uRevision*Standard!I15+uSuccessR*Standard!J15)/(1+oDR)^cycle</f>
        <v>646.06218993486425</v>
      </c>
      <c r="P15" s="27"/>
      <c r="Q15" s="27"/>
    </row>
    <row r="16" spans="1:17" x14ac:dyDescent="0.25">
      <c r="A16">
        <v>10</v>
      </c>
      <c r="C16" s="87">
        <f t="shared" si="1"/>
        <v>1.8387973086411158E-3</v>
      </c>
      <c r="E16" s="87">
        <f t="shared" si="2"/>
        <v>1.9300000000000001E-2</v>
      </c>
      <c r="G16" s="23"/>
      <c r="H16" s="83">
        <f t="shared" si="3"/>
        <v>843.65231895116449</v>
      </c>
      <c r="I16" s="83">
        <f t="shared" si="4"/>
        <v>1.8821145867936822</v>
      </c>
      <c r="J16" s="83">
        <f t="shared" si="8"/>
        <v>8.7082356433154526</v>
      </c>
      <c r="K16" s="83">
        <f t="shared" si="5"/>
        <v>145.75733081872636</v>
      </c>
      <c r="L16" s="83">
        <f t="shared" si="0"/>
        <v>1000</v>
      </c>
      <c r="M16" s="84">
        <f t="shared" si="6"/>
        <v>5563.797882824214</v>
      </c>
      <c r="N16" s="85">
        <f t="shared" si="7"/>
        <v>854.24266918127364</v>
      </c>
      <c r="O16" s="86">
        <f>(uSuccessP*H16+uRevision*Standard!I16+uSuccessR*Standard!J16)/(1+oDR)^cycle</f>
        <v>624.01965239035974</v>
      </c>
      <c r="P16" s="27"/>
      <c r="Q16" s="27"/>
    </row>
    <row r="17" spans="1:17" x14ac:dyDescent="0.25">
      <c r="A17">
        <v>11</v>
      </c>
      <c r="C17" s="87">
        <f t="shared" si="1"/>
        <v>1.9241713306532571E-3</v>
      </c>
      <c r="E17" s="87">
        <f t="shared" si="2"/>
        <v>1.9300000000000001E-2</v>
      </c>
      <c r="G17" s="23"/>
      <c r="H17" s="83">
        <f t="shared" si="3"/>
        <v>825.74649759024203</v>
      </c>
      <c r="I17" s="83">
        <f t="shared" si="4"/>
        <v>1.9716610308975864</v>
      </c>
      <c r="J17" s="83">
        <f t="shared" si="8"/>
        <v>9.9999847531995378</v>
      </c>
      <c r="K17" s="83">
        <f t="shared" si="5"/>
        <v>162.28185662566082</v>
      </c>
      <c r="L17" s="83">
        <f t="shared" si="0"/>
        <v>1000</v>
      </c>
      <c r="M17" s="84">
        <f t="shared" si="6"/>
        <v>5498.5942288891783</v>
      </c>
      <c r="N17" s="85">
        <f t="shared" si="7"/>
        <v>837.71814337433921</v>
      </c>
      <c r="O17" s="86">
        <f>(uSuccessP*H17+uRevision*Standard!I17+uSuccessR*Standard!J17)/(1+oDR)^cycle</f>
        <v>602.72222953283153</v>
      </c>
      <c r="P17" s="27"/>
      <c r="Q17" s="27"/>
    </row>
    <row r="18" spans="1:17" x14ac:dyDescent="0.25">
      <c r="A18">
        <v>12</v>
      </c>
      <c r="C18" s="87">
        <f t="shared" si="1"/>
        <v>2.0051969719669938E-3</v>
      </c>
      <c r="E18" s="87">
        <f t="shared" si="2"/>
        <v>1.9300000000000001E-2</v>
      </c>
      <c r="G18" s="23"/>
      <c r="H18" s="83">
        <f t="shared" si="3"/>
        <v>808.15380581017007</v>
      </c>
      <c r="I18" s="83">
        <f t="shared" si="4"/>
        <v>2.0557837667082852</v>
      </c>
      <c r="J18" s="83">
        <f>I17*(1-mr-omrRTHR)+J17*(1-mr-rrr)</f>
        <v>11.301160409718117</v>
      </c>
      <c r="K18" s="83">
        <f t="shared" si="5"/>
        <v>178.48925001340353</v>
      </c>
      <c r="L18" s="83">
        <f t="shared" si="0"/>
        <v>1000</v>
      </c>
      <c r="M18" s="84">
        <f t="shared" si="6"/>
        <v>5408.676246721453</v>
      </c>
      <c r="N18" s="85">
        <f t="shared" si="7"/>
        <v>821.51074998659647</v>
      </c>
      <c r="O18" s="86">
        <f>(uSuccessP*H18+uRevision*Standard!I18+uSuccessR*Standard!J18)/(1+oDR)^cycle</f>
        <v>582.14516723605914</v>
      </c>
      <c r="P18" s="27"/>
      <c r="Q18" s="27"/>
    </row>
    <row r="19" spans="1:17" x14ac:dyDescent="0.25">
      <c r="A19">
        <v>13</v>
      </c>
      <c r="C19" s="87">
        <f t="shared" si="1"/>
        <v>2.0824477370303685E-3</v>
      </c>
      <c r="E19" s="87">
        <f t="shared" si="2"/>
        <v>1.9300000000000001E-2</v>
      </c>
      <c r="G19" s="23"/>
      <c r="H19" s="83">
        <f t="shared" si="3"/>
        <v>790.87349929395191</v>
      </c>
      <c r="I19" s="83">
        <f t="shared" si="4"/>
        <v>2.1349844804705933</v>
      </c>
      <c r="J19" s="83">
        <f t="shared" si="8"/>
        <v>12.605993062098483</v>
      </c>
      <c r="K19" s="83">
        <f t="shared" si="5"/>
        <v>194.38552316347901</v>
      </c>
      <c r="L19" s="83">
        <f t="shared" si="0"/>
        <v>1000</v>
      </c>
      <c r="M19" s="84">
        <f t="shared" si="6"/>
        <v>5299.1036083132585</v>
      </c>
      <c r="N19" s="85">
        <f t="shared" si="7"/>
        <v>805.61447683652102</v>
      </c>
      <c r="O19" s="86">
        <f>(uSuccessP*H19+uRevision*Standard!I19+uSuccessR*Standard!J19)/(1+oDR)^cycle</f>
        <v>562.26450525096789</v>
      </c>
      <c r="P19" s="27"/>
      <c r="Q19" s="27"/>
    </row>
    <row r="20" spans="1:17" x14ac:dyDescent="0.25">
      <c r="A20">
        <v>14</v>
      </c>
      <c r="C20" s="87">
        <f t="shared" si="1"/>
        <v>2.1563822245680431E-3</v>
      </c>
      <c r="E20" s="87">
        <f t="shared" si="2"/>
        <v>1.9300000000000001E-2</v>
      </c>
      <c r="G20" s="23"/>
      <c r="H20" s="83">
        <f t="shared" si="3"/>
        <v>773.90421520181928</v>
      </c>
      <c r="I20" s="83">
        <f t="shared" si="4"/>
        <v>2.2096652782433441</v>
      </c>
      <c r="J20" s="83">
        <f t="shared" si="8"/>
        <v>13.909537263904141</v>
      </c>
      <c r="K20" s="83">
        <f t="shared" si="5"/>
        <v>209.97658225603328</v>
      </c>
      <c r="L20" s="83">
        <f t="shared" si="0"/>
        <v>1000</v>
      </c>
      <c r="M20" s="84">
        <f t="shared" si="6"/>
        <v>5174.0225201723997</v>
      </c>
      <c r="N20" s="85">
        <f t="shared" si="7"/>
        <v>790.02341774396677</v>
      </c>
      <c r="O20" s="86">
        <f>(uSuccessP*H20+uRevision*Standard!I20+uSuccessR*Standard!J20)/(1+oDR)^cycle</f>
        <v>543.0570516413095</v>
      </c>
      <c r="P20" s="27"/>
      <c r="Q20" s="27"/>
    </row>
    <row r="21" spans="1:17" x14ac:dyDescent="0.25">
      <c r="A21">
        <v>15</v>
      </c>
      <c r="C21" s="87">
        <f t="shared" si="1"/>
        <v>2.2273738841613877E-3</v>
      </c>
      <c r="E21" s="87">
        <f t="shared" si="2"/>
        <v>5.3499999999999999E-2</v>
      </c>
      <c r="G21" s="23"/>
      <c r="H21" s="83">
        <f t="shared" si="3"/>
        <v>730.77656565073903</v>
      </c>
      <c r="I21" s="83">
        <f t="shared" si="4"/>
        <v>2.2801555283391126</v>
      </c>
      <c r="J21" s="83">
        <f t="shared" si="8"/>
        <v>14.656250410021562</v>
      </c>
      <c r="K21" s="83">
        <f t="shared" si="5"/>
        <v>252.28702841090038</v>
      </c>
      <c r="L21" s="83">
        <f t="shared" si="0"/>
        <v>1000.0000000000001</v>
      </c>
      <c r="M21" s="84">
        <f t="shared" si="6"/>
        <v>5036.866370190045</v>
      </c>
      <c r="N21" s="85">
        <f t="shared" si="7"/>
        <v>747.71297158909965</v>
      </c>
      <c r="O21" s="86">
        <f>(uSuccessP*H21+uRevision*Standard!I21+uSuccessR*Standard!J21)/(1+oDR)^cycle</f>
        <v>506.17507912960684</v>
      </c>
      <c r="P21" s="27"/>
      <c r="Q21" s="27"/>
    </row>
    <row r="22" spans="1:17" x14ac:dyDescent="0.25">
      <c r="A22">
        <v>16</v>
      </c>
      <c r="C22" s="87">
        <f t="shared" si="1"/>
        <v>2.295731557633518E-3</v>
      </c>
      <c r="E22" s="87">
        <f t="shared" si="2"/>
        <v>5.3499999999999999E-2</v>
      </c>
      <c r="G22" s="23"/>
      <c r="H22" s="83">
        <f t="shared" si="3"/>
        <v>690.00235256508108</v>
      </c>
      <c r="I22" s="83">
        <f t="shared" si="4"/>
        <v>2.2639168397443066</v>
      </c>
      <c r="J22" s="83">
        <f>I21*(1-mr-omrRTHR)+J21*(1-mr-rrr)</f>
        <v>15.398455093690732</v>
      </c>
      <c r="K22" s="83">
        <f t="shared" si="5"/>
        <v>292.33527550148398</v>
      </c>
      <c r="L22" s="83">
        <f t="shared" si="0"/>
        <v>1000</v>
      </c>
      <c r="M22" s="84">
        <f t="shared" si="6"/>
        <v>4717.9198934770038</v>
      </c>
      <c r="N22" s="85">
        <f t="shared" si="7"/>
        <v>707.66472449851608</v>
      </c>
      <c r="O22" s="86">
        <f>(uSuccessP*H22+uRevision*Standard!I22+uSuccessR*Standard!J22)/(1+oDR)^cycle</f>
        <v>471.81783682194714</v>
      </c>
      <c r="P22" s="27"/>
      <c r="Q22" s="27"/>
    </row>
    <row r="23" spans="1:17" x14ac:dyDescent="0.25">
      <c r="A23">
        <v>17</v>
      </c>
      <c r="C23" s="87">
        <f t="shared" si="1"/>
        <v>2.361714067431353E-3</v>
      </c>
      <c r="E23" s="87">
        <f t="shared" si="2"/>
        <v>5.3499999999999999E-2</v>
      </c>
      <c r="G23" s="23"/>
      <c r="H23" s="83">
        <f t="shared" si="3"/>
        <v>651.45763844023554</v>
      </c>
      <c r="I23" s="83">
        <f t="shared" si="4"/>
        <v>2.2455264663613095</v>
      </c>
      <c r="J23" s="83">
        <f t="shared" si="8"/>
        <v>16.056218494453748</v>
      </c>
      <c r="K23" s="83">
        <f t="shared" si="5"/>
        <v>330.24061659894949</v>
      </c>
      <c r="L23" s="83">
        <f t="shared" si="0"/>
        <v>1000.0000000000001</v>
      </c>
      <c r="M23" s="84">
        <f t="shared" si="6"/>
        <v>4414.7122905252882</v>
      </c>
      <c r="N23" s="85">
        <f t="shared" si="7"/>
        <v>669.75938340105063</v>
      </c>
      <c r="O23" s="86">
        <f>(uSuccessP*H23+uRevision*Standard!I23+uSuccessR*Standard!J23)/(1+oDR)^cycle</f>
        <v>439.7871686565507</v>
      </c>
      <c r="P23" s="27"/>
      <c r="Q23" s="27"/>
    </row>
    <row r="24" spans="1:17" x14ac:dyDescent="0.25">
      <c r="A24">
        <v>18</v>
      </c>
      <c r="C24" s="87">
        <f t="shared" si="1"/>
        <v>2.425540832006079E-3</v>
      </c>
      <c r="E24" s="87">
        <f t="shared" si="2"/>
        <v>5.3499999999999999E-2</v>
      </c>
      <c r="G24" s="23"/>
      <c r="H24" s="83">
        <f t="shared" si="3"/>
        <v>615.02451768132391</v>
      </c>
      <c r="I24" s="83">
        <f t="shared" si="4"/>
        <v>2.2223858421371943</v>
      </c>
      <c r="J24" s="83">
        <f t="shared" si="8"/>
        <v>16.635442336306077</v>
      </c>
      <c r="K24" s="83">
        <f t="shared" si="5"/>
        <v>366.1176541402329</v>
      </c>
      <c r="L24" s="83">
        <f t="shared" si="0"/>
        <v>1000</v>
      </c>
      <c r="M24" s="84">
        <f t="shared" si="6"/>
        <v>4121.9035363292169</v>
      </c>
      <c r="N24" s="85">
        <f t="shared" ref="N24:N39" si="9">(J24+I24+H24)</f>
        <v>633.88234585976716</v>
      </c>
      <c r="O24" s="86">
        <f>(uSuccessP*H24+uRevision*Standard!I24+uSuccessR*Standard!J24)/(1+oDR)^cycle</f>
        <v>409.92693323031659</v>
      </c>
      <c r="P24" s="27"/>
      <c r="Q24" s="27"/>
    </row>
    <row r="25" spans="1:17" x14ac:dyDescent="0.25">
      <c r="A25">
        <v>19</v>
      </c>
      <c r="C25" s="87">
        <f t="shared" si="1"/>
        <v>2.4873997543983783E-3</v>
      </c>
      <c r="E25" s="87">
        <f t="shared" si="2"/>
        <v>5.3499999999999999E-2</v>
      </c>
      <c r="G25" s="23"/>
      <c r="H25" s="83">
        <f t="shared" si="3"/>
        <v>580.59089415114363</v>
      </c>
      <c r="I25" s="83">
        <f t="shared" si="4"/>
        <v>2.1952295276817493</v>
      </c>
      <c r="J25" s="83">
        <f t="shared" si="8"/>
        <v>17.13906896060157</v>
      </c>
      <c r="K25" s="83">
        <f t="shared" si="5"/>
        <v>400.07480736057317</v>
      </c>
      <c r="L25" s="83">
        <f t="shared" si="0"/>
        <v>1000</v>
      </c>
      <c r="M25" s="84">
        <f t="shared" si="6"/>
        <v>3841.0718641143972</v>
      </c>
      <c r="N25" s="85">
        <f t="shared" si="9"/>
        <v>599.925192639427</v>
      </c>
      <c r="O25" s="86">
        <f>(uSuccessP*H25+uRevision*Standard!I25+uSuccessR*Standard!J25)/(1+oDR)^cycle</f>
        <v>382.09039210874522</v>
      </c>
      <c r="P25" s="27"/>
      <c r="Q25" s="27"/>
    </row>
    <row r="26" spans="1:17" x14ac:dyDescent="0.25">
      <c r="A26">
        <v>20</v>
      </c>
      <c r="C26" s="87">
        <f t="shared" si="1"/>
        <v>2.5474531933036282E-3</v>
      </c>
      <c r="E26" s="87">
        <f t="shared" si="2"/>
        <v>5.3499999999999999E-2</v>
      </c>
      <c r="G26" s="23"/>
      <c r="H26" s="83">
        <f t="shared" si="3"/>
        <v>548.05025318674916</v>
      </c>
      <c r="I26" s="83">
        <f t="shared" si="4"/>
        <v>2.1645908857324025</v>
      </c>
      <c r="J26" s="83">
        <f t="shared" si="8"/>
        <v>17.570446170182464</v>
      </c>
      <c r="K26" s="83">
        <f t="shared" si="5"/>
        <v>432.21470975733615</v>
      </c>
      <c r="L26" s="83">
        <f t="shared" si="0"/>
        <v>1000.0000000000002</v>
      </c>
      <c r="M26" s="84">
        <f t="shared" si="6"/>
        <v>3573.0776726935896</v>
      </c>
      <c r="N26" s="85">
        <f t="shared" si="9"/>
        <v>567.78529024266402</v>
      </c>
      <c r="O26" s="86">
        <f>(uSuccessP*H26+uRevision*Standard!I26+uSuccessR*Standard!J26)/(1+oDR)^cycle</f>
        <v>356.14073138485799</v>
      </c>
      <c r="P26" s="27"/>
      <c r="Q26" s="27"/>
    </row>
    <row r="27" spans="1:17" x14ac:dyDescent="0.25">
      <c r="A27">
        <v>21</v>
      </c>
      <c r="C27" s="87">
        <f t="shared" si="1"/>
        <v>2.6058425566612975E-3</v>
      </c>
      <c r="E27" s="87">
        <f t="shared" si="2"/>
        <v>5.3499999999999999E-2</v>
      </c>
      <c r="G27" s="23"/>
      <c r="H27" s="83">
        <f t="shared" si="3"/>
        <v>517.301431968315</v>
      </c>
      <c r="I27" s="83">
        <f t="shared" si="4"/>
        <v>2.1309505197503285</v>
      </c>
      <c r="J27" s="83">
        <f t="shared" si="8"/>
        <v>17.933102908901475</v>
      </c>
      <c r="K27" s="83">
        <f t="shared" si="5"/>
        <v>462.63451460303332</v>
      </c>
      <c r="L27" s="83">
        <f t="shared" si="0"/>
        <v>1000</v>
      </c>
      <c r="M27" s="84">
        <f t="shared" si="6"/>
        <v>3318.4412404426357</v>
      </c>
      <c r="N27" s="85">
        <f t="shared" si="9"/>
        <v>537.36548539696685</v>
      </c>
      <c r="O27" s="86">
        <f>(uSuccessP*H27+uRevision*Standard!I27+uSuccessR*Standard!J27)/(1+oDR)^cycle</f>
        <v>331.95035279781411</v>
      </c>
      <c r="P27" s="27"/>
      <c r="Q27" s="27"/>
    </row>
    <row r="28" spans="1:17" x14ac:dyDescent="0.25">
      <c r="A28">
        <v>22</v>
      </c>
      <c r="C28" s="87">
        <f t="shared" si="1"/>
        <v>2.6626918868932758E-3</v>
      </c>
      <c r="E28" s="87">
        <f t="shared" si="2"/>
        <v>5.3499999999999999E-2</v>
      </c>
      <c r="G28" s="23"/>
      <c r="H28" s="83">
        <f t="shared" si="3"/>
        <v>488.24839103202987</v>
      </c>
      <c r="I28" s="83">
        <f t="shared" si="4"/>
        <v>2.0947384423363653</v>
      </c>
      <c r="J28" s="83">
        <f t="shared" si="8"/>
        <v>18.230683443467864</v>
      </c>
      <c r="K28" s="83">
        <f t="shared" si="5"/>
        <v>491.42618708216605</v>
      </c>
      <c r="L28" s="83">
        <f t="shared" si="0"/>
        <v>1000.0000000000002</v>
      </c>
      <c r="M28" s="84">
        <f t="shared" si="6"/>
        <v>3077.405346954466</v>
      </c>
      <c r="N28" s="85">
        <f t="shared" si="9"/>
        <v>508.57381291783412</v>
      </c>
      <c r="O28" s="86">
        <f>(uSuccessP*H28+uRevision*Standard!I28+uSuccessR*Standard!J28)/(1+oDR)^cycle</f>
        <v>309.4002579945431</v>
      </c>
      <c r="P28" s="27"/>
      <c r="Q28" s="27"/>
    </row>
    <row r="29" spans="1:17" x14ac:dyDescent="0.25">
      <c r="A29">
        <v>23</v>
      </c>
      <c r="C29" s="87">
        <f t="shared" si="1"/>
        <v>2.7181106954937695E-3</v>
      </c>
      <c r="E29" s="87">
        <f t="shared" si="2"/>
        <v>5.3499999999999999E-2</v>
      </c>
      <c r="G29" s="23"/>
      <c r="H29" s="83">
        <f t="shared" si="3"/>
        <v>460.79998893809449</v>
      </c>
      <c r="I29" s="83">
        <f t="shared" si="4"/>
        <v>2.0563405114604993</v>
      </c>
      <c r="J29" s="83">
        <f t="shared" si="8"/>
        <v>18.46688970832826</v>
      </c>
      <c r="K29" s="83">
        <f t="shared" si="5"/>
        <v>518.67678084211695</v>
      </c>
      <c r="L29" s="83">
        <f t="shared" si="0"/>
        <v>1000.0000000000002</v>
      </c>
      <c r="M29" s="84">
        <f t="shared" si="6"/>
        <v>2849.9947986614061</v>
      </c>
      <c r="N29" s="85">
        <f t="shared" si="9"/>
        <v>481.32321915788327</v>
      </c>
      <c r="O29" s="86">
        <f>(uSuccessP*H29+uRevision*Standard!I29+uSuccessR*Standard!J29)/(1+oDR)^cycle</f>
        <v>288.37947186424606</v>
      </c>
      <c r="P29" s="27"/>
      <c r="Q29" s="27"/>
    </row>
    <row r="30" spans="1:17" x14ac:dyDescent="0.25">
      <c r="A30">
        <v>24</v>
      </c>
      <c r="C30" s="87">
        <f t="shared" si="1"/>
        <v>2.7721962303374204E-3</v>
      </c>
      <c r="E30" s="87">
        <f t="shared" si="2"/>
        <v>5.3499999999999999E-2</v>
      </c>
      <c r="G30" s="23"/>
      <c r="H30" s="83">
        <f t="shared" si="3"/>
        <v>434.86976153763271</v>
      </c>
      <c r="I30" s="83">
        <f t="shared" si="4"/>
        <v>2.016103580606841</v>
      </c>
      <c r="J30" s="83">
        <f t="shared" si="8"/>
        <v>18.645435004467721</v>
      </c>
      <c r="K30" s="83">
        <f t="shared" si="5"/>
        <v>544.46869987729292</v>
      </c>
      <c r="L30" s="83">
        <f t="shared" si="0"/>
        <v>1000.0000000000002</v>
      </c>
      <c r="M30" s="84">
        <f t="shared" si="6"/>
        <v>2636.0643728226637</v>
      </c>
      <c r="N30" s="85">
        <f t="shared" si="9"/>
        <v>455.53130012270725</v>
      </c>
      <c r="O30" s="86">
        <f>(uSuccessP*H30+uRevision*Standard!I30+uSuccessR*Standard!J30)/(1+oDR)^cycle</f>
        <v>268.78450425433573</v>
      </c>
      <c r="P30" s="27"/>
      <c r="Q30" s="27"/>
    </row>
    <row r="31" spans="1:17" x14ac:dyDescent="0.25">
      <c r="A31">
        <v>25</v>
      </c>
      <c r="C31" s="87">
        <f t="shared" si="1"/>
        <v>2.8250353084126045E-3</v>
      </c>
      <c r="E31" s="87">
        <f t="shared" si="2"/>
        <v>0.15480000000000002</v>
      </c>
      <c r="G31" s="23"/>
      <c r="H31" s="83">
        <f t="shared" si="3"/>
        <v>366.32340002070237</v>
      </c>
      <c r="I31" s="83">
        <f t="shared" si="4"/>
        <v>1.974339831083491</v>
      </c>
      <c r="J31" s="83">
        <f t="shared" si="8"/>
        <v>16.676992940314172</v>
      </c>
      <c r="K31" s="83">
        <f t="shared" si="5"/>
        <v>615.02526720790013</v>
      </c>
      <c r="L31" s="83">
        <f t="shared" si="0"/>
        <v>1000.0000000000002</v>
      </c>
      <c r="M31" s="84">
        <f t="shared" si="6"/>
        <v>2435.3378161354999</v>
      </c>
      <c r="N31" s="85">
        <f t="shared" si="9"/>
        <v>384.97473279210004</v>
      </c>
      <c r="O31" s="86">
        <f>(uSuccessP*H31+uRevision*Standard!I31+uSuccessR*Standard!J31)/(1+oDR)^cycle</f>
        <v>223.63001870021876</v>
      </c>
      <c r="P31" s="27"/>
      <c r="Q31" s="27"/>
    </row>
    <row r="32" spans="1:17" x14ac:dyDescent="0.25">
      <c r="A32">
        <v>26</v>
      </c>
      <c r="C32" s="87">
        <f t="shared" si="1"/>
        <v>2.8767058115199973E-3</v>
      </c>
      <c r="E32" s="87">
        <f t="shared" si="2"/>
        <v>0.15480000000000002</v>
      </c>
      <c r="G32" s="23"/>
      <c r="H32" s="83">
        <f t="shared" si="3"/>
        <v>308.56273304376231</v>
      </c>
      <c r="I32" s="83">
        <f t="shared" si="4"/>
        <v>1.7208843713478861</v>
      </c>
      <c r="J32" s="83">
        <f t="shared" si="8"/>
        <v>15.057539944151065</v>
      </c>
      <c r="K32" s="83">
        <f t="shared" si="5"/>
        <v>674.65884264073884</v>
      </c>
      <c r="L32" s="83">
        <f t="shared" si="0"/>
        <v>1000.0000000000001</v>
      </c>
      <c r="M32" s="84">
        <f t="shared" si="6"/>
        <v>2002.548903038941</v>
      </c>
      <c r="N32" s="85">
        <f t="shared" si="9"/>
        <v>325.34115735926127</v>
      </c>
      <c r="O32" s="86">
        <f>(uSuccessP*H32+uRevision*Standard!I32+uSuccessR*Standard!J32)/(1+oDR)^cycle</f>
        <v>186.11120316046524</v>
      </c>
      <c r="P32" s="27"/>
      <c r="Q32" s="27"/>
    </row>
    <row r="33" spans="1:17" x14ac:dyDescent="0.25">
      <c r="A33">
        <v>27</v>
      </c>
      <c r="C33" s="87">
        <f t="shared" si="1"/>
        <v>2.9272779176283681E-3</v>
      </c>
      <c r="E33" s="87">
        <f t="shared" si="2"/>
        <v>0.15480000000000002</v>
      </c>
      <c r="G33" s="23"/>
      <c r="H33" s="83">
        <f t="shared" si="3"/>
        <v>259.89397309394582</v>
      </c>
      <c r="I33" s="83">
        <f t="shared" si="4"/>
        <v>1.5055504724081052</v>
      </c>
      <c r="J33" s="83">
        <f t="shared" si="8"/>
        <v>13.544404946266713</v>
      </c>
      <c r="K33" s="83">
        <f t="shared" si="5"/>
        <v>725.05607148737943</v>
      </c>
      <c r="L33" s="83">
        <f t="shared" si="0"/>
        <v>1000</v>
      </c>
      <c r="M33" s="84">
        <f t="shared" si="6"/>
        <v>1652.8022458225576</v>
      </c>
      <c r="N33" s="85">
        <f t="shared" si="9"/>
        <v>274.94392851262063</v>
      </c>
      <c r="O33" s="86">
        <f>(uSuccessP*H33+uRevision*Standard!I33+uSuccessR*Standard!J33)/(1+oDR)^cycle</f>
        <v>154.8834750464226</v>
      </c>
      <c r="P33" s="27"/>
      <c r="Q33" s="27"/>
    </row>
    <row r="34" spans="1:17" x14ac:dyDescent="0.25">
      <c r="A34">
        <v>28</v>
      </c>
      <c r="C34" s="87">
        <f t="shared" si="1"/>
        <v>2.9768151227684836E-3</v>
      </c>
      <c r="E34" s="87">
        <f t="shared" si="2"/>
        <v>0.15480000000000002</v>
      </c>
      <c r="G34" s="23"/>
      <c r="H34" s="83">
        <f t="shared" si="3"/>
        <v>218.88872974958056</v>
      </c>
      <c r="I34" s="83">
        <f t="shared" si="4"/>
        <v>1.3154325072731119</v>
      </c>
      <c r="J34" s="83">
        <f t="shared" si="8"/>
        <v>12.148335112565125</v>
      </c>
      <c r="K34" s="83">
        <f t="shared" si="5"/>
        <v>767.64750263058124</v>
      </c>
      <c r="L34" s="83">
        <f t="shared" si="0"/>
        <v>1000</v>
      </c>
      <c r="M34" s="84">
        <f t="shared" si="6"/>
        <v>1362.348693512844</v>
      </c>
      <c r="N34" s="85">
        <f t="shared" si="9"/>
        <v>232.35249736941881</v>
      </c>
      <c r="O34" s="86">
        <f>(uSuccessP*H34+uRevision*Standard!I34+uSuccessR*Standard!J34)/(1+oDR)^cycle</f>
        <v>128.89430693742838</v>
      </c>
      <c r="P34" s="27"/>
      <c r="Q34" s="27"/>
    </row>
    <row r="35" spans="1:17" x14ac:dyDescent="0.25">
      <c r="A35">
        <v>29</v>
      </c>
      <c r="C35" s="87">
        <f t="shared" si="1"/>
        <v>3.0253750953738168E-3</v>
      </c>
      <c r="E35" s="87">
        <f t="shared" si="2"/>
        <v>0.15480000000000002</v>
      </c>
      <c r="G35" s="23"/>
      <c r="H35" s="83">
        <f t="shared" si="3"/>
        <v>184.34253387270309</v>
      </c>
      <c r="I35" s="83">
        <f t="shared" si="4"/>
        <v>1.1481539161449958</v>
      </c>
      <c r="J35" s="83">
        <f t="shared" si="8"/>
        <v>10.867334337639209</v>
      </c>
      <c r="K35" s="83">
        <f t="shared" si="5"/>
        <v>803.6419778735127</v>
      </c>
      <c r="L35" s="83">
        <f t="shared" si="0"/>
        <v>1000</v>
      </c>
      <c r="M35" s="84">
        <f t="shared" si="6"/>
        <v>1121.796177276585</v>
      </c>
      <c r="N35" s="85">
        <f t="shared" si="9"/>
        <v>196.3580221264873</v>
      </c>
      <c r="O35" s="86">
        <f>(uSuccessP*H35+uRevision*Standard!I35+uSuccessR*Standard!J35)/(1+oDR)^cycle</f>
        <v>107.26505910107261</v>
      </c>
      <c r="P35" s="27"/>
      <c r="Q35" s="27"/>
    </row>
    <row r="36" spans="1:17" x14ac:dyDescent="0.25">
      <c r="A36">
        <v>30</v>
      </c>
      <c r="C36" s="87">
        <f t="shared" si="1"/>
        <v>3.0730103954259569E-3</v>
      </c>
      <c r="E36" s="87">
        <f t="shared" si="2"/>
        <v>0.15480000000000002</v>
      </c>
      <c r="G36" s="23"/>
      <c r="H36" s="83">
        <f t="shared" si="3"/>
        <v>155.23982310629867</v>
      </c>
      <c r="I36" s="83">
        <f t="shared" si="4"/>
        <v>1.0011798964155465</v>
      </c>
      <c r="J36" s="83">
        <f t="shared" si="8"/>
        <v>9.6978342202699412</v>
      </c>
      <c r="K36" s="83">
        <f t="shared" si="5"/>
        <v>834.06116277701585</v>
      </c>
      <c r="L36" s="83">
        <f t="shared" si="0"/>
        <v>1000</v>
      </c>
      <c r="M36" s="84">
        <f t="shared" si="6"/>
        <v>922.82658962205221</v>
      </c>
      <c r="N36" s="85">
        <f t="shared" si="9"/>
        <v>165.93883722298415</v>
      </c>
      <c r="O36" s="86">
        <f>(uSuccessP*H36+uRevision*Standard!I36+uSuccessR*Standard!J36)/(1+oDR)^cycle</f>
        <v>89.264503155612545</v>
      </c>
      <c r="P36" s="27"/>
      <c r="Q36" s="27"/>
    </row>
    <row r="37" spans="1:17" x14ac:dyDescent="0.25">
      <c r="A37">
        <v>31</v>
      </c>
      <c r="C37" s="87">
        <f t="shared" si="1"/>
        <v>3.1197690836320957E-3</v>
      </c>
      <c r="E37" s="87">
        <f t="shared" si="2"/>
        <v>0.15480000000000002</v>
      </c>
      <c r="G37" s="23"/>
      <c r="H37" s="83">
        <f t="shared" si="3"/>
        <v>130.72438608876809</v>
      </c>
      <c r="I37" s="83">
        <f t="shared" si="4"/>
        <v>0.87222576948634367</v>
      </c>
      <c r="J37" s="83">
        <f t="shared" si="8"/>
        <v>8.6348697646834651</v>
      </c>
      <c r="K37" s="83">
        <f t="shared" si="5"/>
        <v>859.76851837706215</v>
      </c>
      <c r="L37" s="83">
        <f t="shared" si="0"/>
        <v>1000</v>
      </c>
      <c r="M37" s="84">
        <f t="shared" si="6"/>
        <v>758.45711071669371</v>
      </c>
      <c r="N37" s="85">
        <f t="shared" si="9"/>
        <v>140.23148162293791</v>
      </c>
      <c r="O37" s="86">
        <f>(uSuccessP*H37+uRevision*Standard!I37+uSuccessR*Standard!J37)/(1+oDR)^cycle</f>
        <v>74.28401220552314</v>
      </c>
      <c r="P37" s="27"/>
      <c r="Q37" s="27"/>
    </row>
    <row r="38" spans="1:17" x14ac:dyDescent="0.25">
      <c r="A38">
        <v>32</v>
      </c>
      <c r="C38" s="87">
        <f t="shared" si="1"/>
        <v>3.1656952404857108E-3</v>
      </c>
      <c r="E38" s="87">
        <f t="shared" si="2"/>
        <v>0.15480000000000002</v>
      </c>
      <c r="G38" s="23"/>
      <c r="H38" s="83">
        <f t="shared" si="3"/>
        <v>110.07441755537015</v>
      </c>
      <c r="I38" s="83">
        <f t="shared" si="4"/>
        <v>0.75922835744396822</v>
      </c>
      <c r="J38" s="83">
        <f t="shared" si="8"/>
        <v>7.6725578395032565</v>
      </c>
      <c r="K38" s="83">
        <f t="shared" si="5"/>
        <v>881.49379624768267</v>
      </c>
      <c r="L38" s="83">
        <f t="shared" si="0"/>
        <v>1000</v>
      </c>
      <c r="M38" s="84">
        <f t="shared" si="6"/>
        <v>622.82877540729123</v>
      </c>
      <c r="N38" s="85">
        <f t="shared" si="9"/>
        <v>118.50620375231738</v>
      </c>
      <c r="O38" s="86">
        <f>(uSuccessP*H38+uRevision*Standard!I38+uSuccessR*Standard!J38)/(1+oDR)^cycle</f>
        <v>61.817014475277986</v>
      </c>
      <c r="P38" s="27"/>
      <c r="Q38" s="27"/>
    </row>
    <row r="39" spans="1:17" x14ac:dyDescent="0.25">
      <c r="A39">
        <v>33</v>
      </c>
      <c r="C39" s="87">
        <f t="shared" si="1"/>
        <v>3.2108294109639557E-3</v>
      </c>
      <c r="E39" s="87">
        <f t="shared" si="2"/>
        <v>0.15480000000000002</v>
      </c>
      <c r="G39" s="23"/>
      <c r="H39" s="83">
        <f t="shared" si="3"/>
        <v>92.681467540517332</v>
      </c>
      <c r="I39" s="83">
        <f t="shared" si="4"/>
        <v>0.66033249086163992</v>
      </c>
      <c r="J39" s="83">
        <f t="shared" si="8"/>
        <v>6.8044588129307844</v>
      </c>
      <c r="K39" s="83">
        <f t="shared" si="5"/>
        <v>899.85374115569027</v>
      </c>
      <c r="L39" s="83">
        <f t="shared" si="0"/>
        <v>1000</v>
      </c>
      <c r="M39" s="84">
        <f t="shared" si="6"/>
        <v>511.03782956089213</v>
      </c>
      <c r="N39" s="85">
        <f t="shared" si="9"/>
        <v>100.14625884430976</v>
      </c>
      <c r="O39" s="86">
        <f>(uSuccessP*H39+uRevision*Standard!I39+uSuccessR*Standard!J39)/(1+oDR)^cycle</f>
        <v>51.441885611153843</v>
      </c>
      <c r="P39" s="27"/>
      <c r="Q39" s="27"/>
    </row>
    <row r="40" spans="1:17" x14ac:dyDescent="0.25">
      <c r="A40">
        <v>34</v>
      </c>
      <c r="C40" s="87">
        <f t="shared" si="1"/>
        <v>3.2552089874650081E-3</v>
      </c>
      <c r="E40" s="87">
        <f t="shared" si="2"/>
        <v>0.15480000000000002</v>
      </c>
      <c r="G40" s="23"/>
      <c r="H40" s="83">
        <f t="shared" si="3"/>
        <v>78.03267881913591</v>
      </c>
      <c r="I40" s="83">
        <f t="shared" si="4"/>
        <v>0.57387589862656974</v>
      </c>
      <c r="J40" s="83">
        <f t="shared" si="8"/>
        <v>6.0238566076308926</v>
      </c>
      <c r="K40" s="83">
        <f t="shared" si="5"/>
        <v>915.36958867460669</v>
      </c>
      <c r="L40" s="83">
        <f t="shared" si="0"/>
        <v>1000</v>
      </c>
      <c r="M40" s="84">
        <f t="shared" si="6"/>
        <v>418.9888866451318</v>
      </c>
      <c r="N40" s="85">
        <f t="shared" ref="N40:N55" si="10">(J40+I40+H40)</f>
        <v>84.630411325393368</v>
      </c>
      <c r="O40" s="86">
        <f>(uSuccessP*H40+uRevision*Standard!I40+uSuccessR*Standard!J40)/(1+oDR)^cycle</f>
        <v>42.807707954557713</v>
      </c>
      <c r="P40" s="27"/>
      <c r="Q40" s="27"/>
    </row>
    <row r="41" spans="1:17" x14ac:dyDescent="0.25">
      <c r="A41">
        <v>35</v>
      </c>
      <c r="C41" s="87">
        <f t="shared" si="1"/>
        <v>3.2988685411393659E-3</v>
      </c>
      <c r="E41" s="87">
        <f t="shared" si="2"/>
        <v>0.15480000000000002</v>
      </c>
      <c r="G41" s="23"/>
      <c r="H41" s="83">
        <f t="shared" si="3"/>
        <v>65.695800588596384</v>
      </c>
      <c r="I41" s="83">
        <f t="shared" si="4"/>
        <v>0.49837381364251526</v>
      </c>
      <c r="J41" s="83">
        <f t="shared" si="8"/>
        <v>5.3239717320110396</v>
      </c>
      <c r="K41" s="83">
        <f t="shared" si="5"/>
        <v>928.48185386575017</v>
      </c>
      <c r="L41" s="83">
        <f t="shared" si="0"/>
        <v>1000.0000000000001</v>
      </c>
      <c r="M41" s="84">
        <f t="shared" si="6"/>
        <v>343.26843304220858</v>
      </c>
      <c r="N41" s="85">
        <f t="shared" si="10"/>
        <v>71.518146134249946</v>
      </c>
      <c r="O41" s="86">
        <f>(uSuccessP*H41+uRevision*Standard!I41+uSuccessR*Standard!J41)/(1+oDR)^cycle</f>
        <v>35.622416372640792</v>
      </c>
      <c r="P41" s="27"/>
      <c r="Q41" s="27"/>
    </row>
    <row r="42" spans="1:17" x14ac:dyDescent="0.25">
      <c r="A42">
        <v>36</v>
      </c>
      <c r="C42" s="87">
        <f t="shared" si="1"/>
        <v>3.3418401098594952E-3</v>
      </c>
      <c r="E42" s="87">
        <f t="shared" si="2"/>
        <v>0.15480000000000002</v>
      </c>
      <c r="G42" s="23"/>
      <c r="H42" s="83">
        <f t="shared" si="3"/>
        <v>55.306545796025361</v>
      </c>
      <c r="I42" s="83">
        <f t="shared" si="4"/>
        <v>0.43250373073674397</v>
      </c>
      <c r="J42" s="83">
        <f t="shared" si="8"/>
        <v>4.6981201096330922</v>
      </c>
      <c r="K42" s="83">
        <f t="shared" si="5"/>
        <v>939.56283036360492</v>
      </c>
      <c r="L42" s="83">
        <f t="shared" si="0"/>
        <v>1000.0000000000001</v>
      </c>
      <c r="M42" s="84">
        <f t="shared" si="6"/>
        <v>281.0364464683517</v>
      </c>
      <c r="N42" s="85">
        <f t="shared" si="10"/>
        <v>60.437169636395197</v>
      </c>
      <c r="O42" s="86">
        <f>(uSuccessP*H42+uRevision*Standard!I42+uSuccessR*Standard!J42)/(1+oDR)^cycle</f>
        <v>29.642930842532195</v>
      </c>
      <c r="P42" s="27"/>
      <c r="Q42" s="27"/>
    </row>
    <row r="43" spans="1:17" x14ac:dyDescent="0.25">
      <c r="A43">
        <v>37</v>
      </c>
      <c r="C43" s="87">
        <f t="shared" si="1"/>
        <v>3.3841534495534509E-3</v>
      </c>
      <c r="E43" s="87">
        <f t="shared" si="2"/>
        <v>0.15480000000000002</v>
      </c>
      <c r="G43" s="23"/>
      <c r="H43" s="83">
        <f t="shared" si="3"/>
        <v>46.557926669062127</v>
      </c>
      <c r="I43" s="83">
        <f t="shared" si="4"/>
        <v>0.37509064212382881</v>
      </c>
      <c r="J43" s="83">
        <f t="shared" si="8"/>
        <v>4.1398283908805267</v>
      </c>
      <c r="K43" s="83">
        <f t="shared" si="5"/>
        <v>948.92715429793361</v>
      </c>
      <c r="L43" s="83">
        <f t="shared" si="0"/>
        <v>1000.0000000000001</v>
      </c>
      <c r="M43" s="84">
        <f t="shared" si="6"/>
        <v>229.93397725703386</v>
      </c>
      <c r="N43" s="85">
        <f t="shared" si="10"/>
        <v>51.072845702066481</v>
      </c>
      <c r="O43" s="86">
        <f>(uSuccessP*H43+uRevision*Standard!I43+uSuccessR*Standard!J43)/(1+oDR)^cycle</f>
        <v>24.666942928358868</v>
      </c>
      <c r="P43" s="27"/>
      <c r="Q43" s="27"/>
    </row>
    <row r="44" spans="1:17" x14ac:dyDescent="0.25">
      <c r="A44">
        <v>38</v>
      </c>
      <c r="C44" s="87">
        <f t="shared" si="1"/>
        <v>3.4258362544402621E-3</v>
      </c>
      <c r="E44" s="87">
        <f t="shared" si="2"/>
        <v>0.15480000000000002</v>
      </c>
      <c r="G44" s="23"/>
      <c r="H44" s="83">
        <f t="shared" si="3"/>
        <v>39.191259787576861</v>
      </c>
      <c r="I44" s="83">
        <f t="shared" si="4"/>
        <v>0.32509296874966526</v>
      </c>
      <c r="J44" s="83">
        <f t="shared" si="8"/>
        <v>3.6429146182175831</v>
      </c>
      <c r="K44" s="83">
        <f t="shared" si="5"/>
        <v>956.84073262545598</v>
      </c>
      <c r="L44" s="83">
        <f t="shared" si="0"/>
        <v>1000.0000000000001</v>
      </c>
      <c r="M44" s="84">
        <f t="shared" si="6"/>
        <v>188.00466835706101</v>
      </c>
      <c r="N44" s="85">
        <f t="shared" si="10"/>
        <v>43.159267374544108</v>
      </c>
      <c r="O44" s="86">
        <f>(uSuccessP*H44+uRevision*Standard!I44+uSuccessR*Standard!J44)/(1+oDR)^cycle</f>
        <v>20.526079035390421</v>
      </c>
      <c r="P44" s="27"/>
      <c r="Q44" s="27"/>
    </row>
    <row r="45" spans="1:17" x14ac:dyDescent="0.25">
      <c r="A45">
        <v>39</v>
      </c>
      <c r="C45" s="87">
        <f t="shared" si="1"/>
        <v>3.4669143507320976E-3</v>
      </c>
      <c r="E45" s="87">
        <f t="shared" si="2"/>
        <v>0.15480000000000002</v>
      </c>
      <c r="G45" s="23"/>
      <c r="H45" s="83">
        <f t="shared" si="3"/>
        <v>32.988580031479138</v>
      </c>
      <c r="I45" s="83">
        <f t="shared" si="4"/>
        <v>0.28158932570952333</v>
      </c>
      <c r="J45" s="83">
        <f t="shared" si="8"/>
        <v>3.2015415684010211</v>
      </c>
      <c r="K45" s="83">
        <f t="shared" si="5"/>
        <v>963.5282890744104</v>
      </c>
      <c r="L45" s="83">
        <f t="shared" si="0"/>
        <v>1000.0000000000001</v>
      </c>
      <c r="M45" s="84">
        <f t="shared" si="6"/>
        <v>153.62835471318866</v>
      </c>
      <c r="N45" s="85">
        <f t="shared" si="10"/>
        <v>36.471710925589683</v>
      </c>
      <c r="O45" s="86">
        <f>(uSuccessP*H45+uRevision*Standard!I45+uSuccessR*Standard!J45)/(1+oDR)^cycle</f>
        <v>17.080209739170844</v>
      </c>
      <c r="P45" s="27"/>
      <c r="Q45" s="27"/>
    </row>
    <row r="46" spans="1:17" x14ac:dyDescent="0.25">
      <c r="A46">
        <v>40</v>
      </c>
      <c r="C46" s="87">
        <f t="shared" si="1"/>
        <v>3.5074118676067245E-3</v>
      </c>
      <c r="E46" s="87">
        <f t="shared" si="2"/>
        <v>0.15480000000000002</v>
      </c>
      <c r="G46" s="23"/>
      <c r="H46" s="83">
        <f t="shared" si="3"/>
        <v>27.766243305508262</v>
      </c>
      <c r="I46" s="83">
        <f t="shared" si="4"/>
        <v>0.24376619983394499</v>
      </c>
      <c r="J46" s="83">
        <f t="shared" si="8"/>
        <v>2.8102487824520006</v>
      </c>
      <c r="K46" s="83">
        <f t="shared" si="5"/>
        <v>969.1797417122059</v>
      </c>
      <c r="L46" s="83">
        <f t="shared" si="0"/>
        <v>1000.0000000000001</v>
      </c>
      <c r="M46" s="84">
        <f t="shared" si="6"/>
        <v>125.46506425797442</v>
      </c>
      <c r="N46" s="85">
        <f t="shared" si="10"/>
        <v>30.820258287794207</v>
      </c>
      <c r="O46" s="86">
        <f>(uSuccessP*H46+uRevision*Standard!I46+uSuccessR*Standard!J46)/(1+oDR)^cycle</f>
        <v>14.212713130838159</v>
      </c>
      <c r="P46" s="27"/>
      <c r="Q46" s="27"/>
    </row>
    <row r="47" spans="1:17" x14ac:dyDescent="0.25">
      <c r="A47">
        <v>41</v>
      </c>
      <c r="C47" s="87">
        <f t="shared" si="1"/>
        <v>3.5473513886211672E-3</v>
      </c>
      <c r="E47" s="87">
        <f t="shared" si="2"/>
        <v>0.15480000000000002</v>
      </c>
      <c r="G47" s="23"/>
      <c r="H47" s="83">
        <f t="shared" si="3"/>
        <v>23.369532220068994</v>
      </c>
      <c r="I47" s="83">
        <f t="shared" si="4"/>
        <v>0.21090657304466795</v>
      </c>
      <c r="J47" s="83">
        <f t="shared" si="8"/>
        <v>2.4639681877333217</v>
      </c>
      <c r="K47" s="83">
        <f t="shared" si="5"/>
        <v>973.95559301915307</v>
      </c>
      <c r="L47" s="83">
        <f t="shared" si="0"/>
        <v>1000</v>
      </c>
      <c r="M47" s="84">
        <f t="shared" si="6"/>
        <v>102.40792727073836</v>
      </c>
      <c r="N47" s="85">
        <f t="shared" si="10"/>
        <v>26.044406980846983</v>
      </c>
      <c r="O47" s="86">
        <f>(uSuccessP*H47+uRevision*Standard!I47+uSuccessR*Standard!J47)/(1+oDR)^cycle</f>
        <v>11.8265322931081</v>
      </c>
      <c r="P47" s="27"/>
      <c r="Q47" s="27"/>
    </row>
    <row r="48" spans="1:17" x14ac:dyDescent="0.25">
      <c r="A48">
        <v>42</v>
      </c>
      <c r="C48" s="87">
        <f t="shared" si="1"/>
        <v>3.5867540862291047E-3</v>
      </c>
      <c r="E48" s="87">
        <f t="shared" si="2"/>
        <v>0.15480000000000002</v>
      </c>
      <c r="G48" s="23"/>
      <c r="H48" s="83">
        <f t="shared" si="3"/>
        <v>19.668107867218716</v>
      </c>
      <c r="I48" s="83">
        <f t="shared" si="4"/>
        <v>0.18237949269292805</v>
      </c>
      <c r="J48" s="83">
        <f t="shared" si="8"/>
        <v>2.1580272888393304</v>
      </c>
      <c r="K48" s="83">
        <f t="shared" si="5"/>
        <v>977.99148535124903</v>
      </c>
      <c r="L48" s="83">
        <f t="shared" si="0"/>
        <v>1000</v>
      </c>
      <c r="M48" s="84">
        <f t="shared" si="6"/>
        <v>83.543679553279546</v>
      </c>
      <c r="N48" s="85">
        <f t="shared" si="10"/>
        <v>22.008514648750975</v>
      </c>
      <c r="O48" s="86">
        <f>(uSuccessP*H48+uRevision*Standard!I48+uSuccessR*Standard!J48)/(1+oDR)^cycle</f>
        <v>9.8408938073433454</v>
      </c>
      <c r="P48" s="27"/>
      <c r="Q48" s="27"/>
    </row>
    <row r="49" spans="1:17" x14ac:dyDescent="0.25">
      <c r="A49">
        <v>43</v>
      </c>
      <c r="C49" s="87">
        <f t="shared" si="1"/>
        <v>3.6256398416483204E-3</v>
      </c>
      <c r="E49" s="87">
        <f t="shared" si="2"/>
        <v>0.15480000000000002</v>
      </c>
      <c r="G49" s="23"/>
      <c r="H49" s="83">
        <f t="shared" si="3"/>
        <v>16.552175293880033</v>
      </c>
      <c r="I49" s="83">
        <f t="shared" si="4"/>
        <v>0.15763056704679818</v>
      </c>
      <c r="J49" s="83">
        <f t="shared" si="8"/>
        <v>1.8881431303436327</v>
      </c>
      <c r="K49" s="83">
        <f t="shared" si="5"/>
        <v>981.40205100872959</v>
      </c>
      <c r="L49" s="83">
        <f t="shared" si="0"/>
        <v>1000</v>
      </c>
      <c r="M49" s="84">
        <f t="shared" si="6"/>
        <v>68.119612441855011</v>
      </c>
      <c r="N49" s="85">
        <f t="shared" si="10"/>
        <v>18.597948991270464</v>
      </c>
      <c r="O49" s="86">
        <f>(uSuccessP*H49+uRevision*Standard!I49+uSuccessR*Standard!J49)/(1+oDR)^cycle</f>
        <v>8.1885764923972477</v>
      </c>
      <c r="P49" s="27"/>
      <c r="Q49" s="27"/>
    </row>
    <row r="50" spans="1:17" x14ac:dyDescent="0.25">
      <c r="A50">
        <v>44</v>
      </c>
      <c r="C50" s="87">
        <f t="shared" si="1"/>
        <v>3.6640273519783495E-3</v>
      </c>
      <c r="E50" s="87">
        <f t="shared" si="2"/>
        <v>0.15480000000000002</v>
      </c>
      <c r="G50" s="23"/>
      <c r="H50" s="83">
        <f t="shared" si="3"/>
        <v>13.929250935375887</v>
      </c>
      <c r="I50" s="83">
        <f t="shared" si="4"/>
        <v>0.13617334822526203</v>
      </c>
      <c r="J50" s="83">
        <f t="shared" si="8"/>
        <v>1.6504095924797106</v>
      </c>
      <c r="K50" s="83">
        <f t="shared" si="5"/>
        <v>984.28416612391914</v>
      </c>
      <c r="L50" s="83">
        <f t="shared" si="0"/>
        <v>1000</v>
      </c>
      <c r="M50" s="84">
        <f t="shared" si="6"/>
        <v>55.515976253494493</v>
      </c>
      <c r="N50" s="85">
        <f t="shared" si="10"/>
        <v>15.715833876080859</v>
      </c>
      <c r="O50" s="86">
        <f>(uSuccessP*H50+uRevision*Standard!I50+uSuccessR*Standard!J50)/(1+oDR)^cycle</f>
        <v>6.8136381413464555</v>
      </c>
      <c r="P50" s="27"/>
      <c r="Q50" s="27"/>
    </row>
    <row r="51" spans="1:17" x14ac:dyDescent="0.25">
      <c r="A51">
        <v>45</v>
      </c>
      <c r="C51" s="87">
        <f t="shared" si="1"/>
        <v>3.701934226185033E-3</v>
      </c>
      <c r="E51" s="87">
        <f t="shared" si="2"/>
        <v>0.15480000000000002</v>
      </c>
      <c r="G51" s="23"/>
      <c r="H51" s="83">
        <f t="shared" si="3"/>
        <v>11.72143771979691</v>
      </c>
      <c r="I51" s="83">
        <f t="shared" si="4"/>
        <v>0.1175815544819763</v>
      </c>
      <c r="J51" s="83">
        <f t="shared" si="8"/>
        <v>1.4412800508201491</v>
      </c>
      <c r="K51" s="83">
        <f t="shared" si="5"/>
        <v>986.71970067490099</v>
      </c>
      <c r="L51" s="83">
        <f t="shared" si="0"/>
        <v>1000</v>
      </c>
      <c r="M51" s="84">
        <f t="shared" si="6"/>
        <v>45.222982126499154</v>
      </c>
      <c r="N51" s="85">
        <f t="shared" si="10"/>
        <v>13.280299325099035</v>
      </c>
      <c r="O51" s="86">
        <f>(uSuccessP*H51+uRevision*Standard!I51+uSuccessR*Standard!J51)/(1+oDR)^cycle</f>
        <v>5.6695234780366786</v>
      </c>
      <c r="P51" s="27"/>
      <c r="Q51" s="27"/>
    </row>
    <row r="52" spans="1:17" x14ac:dyDescent="0.25">
      <c r="A52">
        <v>46</v>
      </c>
      <c r="C52" s="87">
        <f t="shared" si="1"/>
        <v>3.7393770713346486E-3</v>
      </c>
      <c r="E52" s="87">
        <f t="shared" si="2"/>
        <v>0.15480000000000002</v>
      </c>
      <c r="G52" s="23"/>
      <c r="H52" s="83">
        <f t="shared" si="3"/>
        <v>9.8631282853198616</v>
      </c>
      <c r="I52" s="83">
        <f t="shared" si="4"/>
        <v>0.10148207748529162</v>
      </c>
      <c r="J52" s="83">
        <f t="shared" si="8"/>
        <v>1.2575469956789109</v>
      </c>
      <c r="K52" s="83">
        <f t="shared" si="5"/>
        <v>988.77784264151592</v>
      </c>
      <c r="L52" s="83">
        <f t="shared" si="0"/>
        <v>1000</v>
      </c>
      <c r="M52" s="84">
        <f t="shared" si="6"/>
        <v>36.821670218408435</v>
      </c>
      <c r="N52" s="85">
        <f t="shared" si="10"/>
        <v>11.222157358484065</v>
      </c>
      <c r="O52" s="86">
        <f>(uSuccessP*H52+uRevision*Standard!I52+uSuccessR*Standard!J52)/(1+oDR)^cycle</f>
        <v>4.7174894221772217</v>
      </c>
      <c r="P52" s="27"/>
      <c r="Q52" s="27"/>
    </row>
    <row r="53" spans="1:17" x14ac:dyDescent="0.25">
      <c r="A53">
        <v>47</v>
      </c>
      <c r="C53" s="87">
        <f t="shared" si="1"/>
        <v>3.7763715702551215E-3</v>
      </c>
      <c r="E53" s="87">
        <f t="shared" si="2"/>
        <v>0.15480000000000002</v>
      </c>
      <c r="G53" s="23"/>
      <c r="H53" s="83">
        <f t="shared" si="3"/>
        <v>8.2990691895018855</v>
      </c>
      <c r="I53" s="83">
        <f t="shared" si="4"/>
        <v>8.7548717077617508E-2</v>
      </c>
      <c r="J53" s="83">
        <f t="shared" si="8"/>
        <v>1.0963198512615218</v>
      </c>
      <c r="K53" s="83">
        <f t="shared" si="5"/>
        <v>990.517062242159</v>
      </c>
      <c r="L53" s="83">
        <f t="shared" si="0"/>
        <v>1000</v>
      </c>
      <c r="M53" s="84">
        <f t="shared" si="6"/>
        <v>29.96802041733142</v>
      </c>
      <c r="N53" s="85">
        <f t="shared" si="10"/>
        <v>9.4829377578410252</v>
      </c>
      <c r="O53" s="86">
        <f>(uSuccessP*H53+uRevision*Standard!I53+uSuccessR*Standard!J53)/(1+oDR)^cycle</f>
        <v>3.925294463031701</v>
      </c>
      <c r="P53" s="27"/>
      <c r="Q53" s="27"/>
    </row>
    <row r="54" spans="1:17" x14ac:dyDescent="0.25">
      <c r="A54">
        <v>48</v>
      </c>
      <c r="C54" s="87">
        <f t="shared" si="1"/>
        <v>3.8129325516462753E-3</v>
      </c>
      <c r="E54" s="87">
        <f t="shared" si="2"/>
        <v>0.15480000000000002</v>
      </c>
      <c r="G54" s="23"/>
      <c r="H54" s="83">
        <f t="shared" si="3"/>
        <v>6.9827294879059769</v>
      </c>
      <c r="I54" s="83">
        <f t="shared" si="4"/>
        <v>7.5496585111477277E-2</v>
      </c>
      <c r="J54" s="83">
        <f t="shared" si="8"/>
        <v>0.95500194556822715</v>
      </c>
      <c r="K54" s="83">
        <f t="shared" si="5"/>
        <v>991.98677198141434</v>
      </c>
      <c r="L54" s="83">
        <f t="shared" si="0"/>
        <v>1000</v>
      </c>
      <c r="M54" s="84">
        <f t="shared" si="6"/>
        <v>24.379776063937232</v>
      </c>
      <c r="N54" s="85">
        <f t="shared" si="10"/>
        <v>8.0132280185856821</v>
      </c>
      <c r="O54" s="86">
        <f>(uSuccessP*H54+uRevision*Standard!I54+uSuccessR*Standard!J54)/(1+oDR)^cycle</f>
        <v>3.266107858514899</v>
      </c>
      <c r="P54" s="27"/>
      <c r="Q54" s="27"/>
    </row>
    <row r="55" spans="1:17" x14ac:dyDescent="0.25">
      <c r="A55">
        <v>49</v>
      </c>
      <c r="C55" s="87">
        <f t="shared" si="1"/>
        <v>3.8490740535132018E-3</v>
      </c>
      <c r="E55" s="87">
        <f t="shared" si="2"/>
        <v>0.15480000000000002</v>
      </c>
      <c r="G55" s="23"/>
      <c r="H55" s="83">
        <f t="shared" si="3"/>
        <v>5.8749259202835313</v>
      </c>
      <c r="I55" s="83">
        <f t="shared" si="4"/>
        <v>6.5077120717329504E-2</v>
      </c>
      <c r="J55" s="83">
        <f t="shared" si="8"/>
        <v>0.83126734860552742</v>
      </c>
      <c r="K55" s="83">
        <f t="shared" si="5"/>
        <v>993.22872961039366</v>
      </c>
      <c r="L55" s="83">
        <f t="shared" si="0"/>
        <v>1000</v>
      </c>
      <c r="M55" s="84">
        <f t="shared" si="6"/>
        <v>19.82553285115543</v>
      </c>
      <c r="N55" s="85">
        <f t="shared" si="10"/>
        <v>6.7712703896063884</v>
      </c>
      <c r="O55" s="86">
        <f>(uSuccessP*H55+uRevision*Standard!I55+uSuccessR*Standard!J55)/(1+oDR)^cycle</f>
        <v>2.7176017992541524</v>
      </c>
      <c r="P55" s="27"/>
      <c r="Q55" s="27"/>
    </row>
    <row r="56" spans="1:17" x14ac:dyDescent="0.25">
      <c r="A56">
        <v>50</v>
      </c>
      <c r="C56" s="87">
        <f t="shared" si="1"/>
        <v>3.8848093806849171E-3</v>
      </c>
      <c r="E56" s="87">
        <f t="shared" si="2"/>
        <v>0.15480000000000002</v>
      </c>
      <c r="G56" s="23"/>
      <c r="H56" s="83">
        <f t="shared" si="3"/>
        <v>4.9426644204976942</v>
      </c>
      <c r="I56" s="83">
        <f t="shared" si="4"/>
        <v>5.6073661270167524E-2</v>
      </c>
      <c r="J56" s="83">
        <f t="shared" si="8"/>
        <v>0.72303810911311084</v>
      </c>
      <c r="K56" s="83">
        <f t="shared" si="5"/>
        <v>994.27822380911903</v>
      </c>
      <c r="L56" s="83">
        <f t="shared" si="0"/>
        <v>1000</v>
      </c>
      <c r="M56" s="84">
        <f t="shared" si="6"/>
        <v>16.115715337264952</v>
      </c>
      <c r="N56" s="85">
        <f t="shared" ref="N56:N63" si="11">(J56+I56+H56)</f>
        <v>5.7217761908809726</v>
      </c>
      <c r="O56" s="86">
        <f>(uSuccessP*H56+uRevision*Standard!I56+uSuccessR*Standard!J56)/(1+oDR)^cycle</f>
        <v>2.2611958561358159</v>
      </c>
      <c r="P56" s="27"/>
      <c r="Q56" s="27"/>
    </row>
    <row r="57" spans="1:17" x14ac:dyDescent="0.25">
      <c r="A57">
        <v>51</v>
      </c>
      <c r="C57" s="87">
        <f t="shared" si="1"/>
        <v>3.9201511570746694E-3</v>
      </c>
      <c r="E57" s="87">
        <f t="shared" si="2"/>
        <v>0.15480000000000002</v>
      </c>
      <c r="G57" s="23"/>
      <c r="H57" s="83">
        <f t="shared" si="3"/>
        <v>4.1581639765576046</v>
      </c>
      <c r="I57" s="83">
        <f t="shared" si="4"/>
        <v>4.8297516011570271E-2</v>
      </c>
      <c r="J57" s="83">
        <f t="shared" si="8"/>
        <v>0.62846227073801897</v>
      </c>
      <c r="K57" s="83">
        <f t="shared" si="5"/>
        <v>995.16507623669281</v>
      </c>
      <c r="L57" s="83">
        <f t="shared" si="0"/>
        <v>1000</v>
      </c>
      <c r="M57" s="84">
        <f t="shared" si="6"/>
        <v>13.095123650470052</v>
      </c>
      <c r="N57" s="85">
        <f t="shared" si="11"/>
        <v>4.8349237633071942</v>
      </c>
      <c r="O57" s="86">
        <f>(uSuccessP*H57+uRevision*Standard!I57+uSuccessR*Standard!J57)/(1+oDR)^cycle</f>
        <v>1.8814281733689937</v>
      </c>
      <c r="P57" s="27"/>
      <c r="Q57" s="27"/>
    </row>
    <row r="58" spans="1:17" x14ac:dyDescent="0.25">
      <c r="A58">
        <v>52</v>
      </c>
      <c r="C58" s="87">
        <f t="shared" si="1"/>
        <v>3.9551113732601006E-3</v>
      </c>
      <c r="E58" s="87">
        <f t="shared" si="2"/>
        <v>0.15480000000000002</v>
      </c>
      <c r="G58" s="23"/>
      <c r="H58" s="83">
        <f t="shared" si="3"/>
        <v>3.4980341913509236</v>
      </c>
      <c r="I58" s="83">
        <f t="shared" si="4"/>
        <v>4.1584492465084194E-2</v>
      </c>
      <c r="J58" s="83">
        <f t="shared" si="8"/>
        <v>0.54589293061100064</v>
      </c>
      <c r="K58" s="83">
        <f t="shared" si="5"/>
        <v>995.91448838557301</v>
      </c>
      <c r="L58" s="83">
        <f t="shared" si="0"/>
        <v>1000</v>
      </c>
      <c r="M58" s="84">
        <f t="shared" si="6"/>
        <v>10.6367842048546</v>
      </c>
      <c r="N58" s="85">
        <f t="shared" si="11"/>
        <v>4.0855116144270083</v>
      </c>
      <c r="O58" s="86">
        <f>(uSuccessP*H58+uRevision*Standard!I58+uSuccessR*Standard!J58)/(1+oDR)^cycle</f>
        <v>1.5654321506143591</v>
      </c>
      <c r="P58" s="27"/>
      <c r="Q58" s="27"/>
    </row>
    <row r="59" spans="1:17" x14ac:dyDescent="0.25">
      <c r="A59">
        <v>53</v>
      </c>
      <c r="C59" s="87">
        <f t="shared" si="1"/>
        <v>3.9897014298826416E-3</v>
      </c>
      <c r="E59" s="87">
        <f t="shared" si="2"/>
        <v>0.15480000000000002</v>
      </c>
      <c r="G59" s="23"/>
      <c r="H59" s="83">
        <f t="shared" si="3"/>
        <v>2.9425823865147893</v>
      </c>
      <c r="I59" s="83">
        <f t="shared" si="4"/>
        <v>3.5791829239451178E-2</v>
      </c>
      <c r="J59" s="83">
        <f t="shared" si="8"/>
        <v>0.47386851091016513</v>
      </c>
      <c r="K59" s="83">
        <f t="shared" si="5"/>
        <v>996.54775727333561</v>
      </c>
      <c r="L59" s="83">
        <f t="shared" si="0"/>
        <v>1000</v>
      </c>
      <c r="M59" s="84">
        <f t="shared" si="6"/>
        <v>8.6368817322835607</v>
      </c>
      <c r="N59" s="85">
        <f t="shared" si="11"/>
        <v>3.4522427266644056</v>
      </c>
      <c r="O59" s="86">
        <f>(uSuccessP*H59+uRevision*Standard!I59+uSuccessR*Standard!J59)/(1+oDR)^cycle</f>
        <v>1.3025009216554113</v>
      </c>
      <c r="P59" s="27"/>
      <c r="Q59" s="27"/>
    </row>
    <row r="60" spans="1:17" x14ac:dyDescent="0.25">
      <c r="A60">
        <v>54</v>
      </c>
      <c r="C60" s="87">
        <f t="shared" si="1"/>
        <v>4.0239321773068992E-3</v>
      </c>
      <c r="E60" s="87">
        <f t="shared" si="2"/>
        <v>0.15480000000000002</v>
      </c>
      <c r="G60" s="23"/>
      <c r="H60" s="83">
        <f t="shared" si="3"/>
        <v>2.4752298811328264</v>
      </c>
      <c r="I60" s="83">
        <f t="shared" si="4"/>
        <v>3.0795492385879995E-2</v>
      </c>
      <c r="J60" s="83">
        <f t="shared" si="8"/>
        <v>0.41109434247326004</v>
      </c>
      <c r="K60" s="83">
        <f t="shared" si="5"/>
        <v>997.08288028400807</v>
      </c>
      <c r="L60" s="83">
        <f t="shared" si="0"/>
        <v>1000</v>
      </c>
      <c r="M60" s="84">
        <f t="shared" si="6"/>
        <v>7.0105867070489056</v>
      </c>
      <c r="N60" s="85">
        <f t="shared" si="11"/>
        <v>2.9171197159919666</v>
      </c>
      <c r="O60" s="86">
        <f>(uSuccessP*H60+uRevision*Standard!I60+uSuccessR*Standard!J60)/(1+oDR)^cycle</f>
        <v>1.0837249036595995</v>
      </c>
      <c r="P60" s="27"/>
      <c r="Q60" s="27"/>
    </row>
    <row r="61" spans="1:17" x14ac:dyDescent="0.25">
      <c r="A61">
        <v>55</v>
      </c>
      <c r="C61" s="87">
        <f t="shared" si="1"/>
        <v>4.0578139519237277E-3</v>
      </c>
      <c r="E61" s="87">
        <f t="shared" si="2"/>
        <v>0.15480000000000002</v>
      </c>
      <c r="G61" s="23"/>
      <c r="H61" s="83">
        <f t="shared" si="3"/>
        <v>2.0820202731875854</v>
      </c>
      <c r="I61" s="83">
        <f t="shared" si="4"/>
        <v>2.6487796044809695E-2</v>
      </c>
      <c r="J61" s="83">
        <f t="shared" si="8"/>
        <v>0.3564256048762971</v>
      </c>
      <c r="K61" s="83">
        <f t="shared" si="5"/>
        <v>997.53506632589131</v>
      </c>
      <c r="L61" s="83">
        <f t="shared" si="0"/>
        <v>1000</v>
      </c>
      <c r="M61" s="84">
        <f t="shared" si="6"/>
        <v>5.6886232386763504</v>
      </c>
      <c r="N61" s="85">
        <f t="shared" si="11"/>
        <v>2.4649336741086922</v>
      </c>
      <c r="O61" s="86">
        <f>(uSuccessP*H61+uRevision*Standard!I61+uSuccessR*Standard!J61)/(1+oDR)^cycle</f>
        <v>0.90169016037865601</v>
      </c>
      <c r="P61" s="27"/>
      <c r="Q61" s="27"/>
    </row>
    <row r="62" spans="1:17" x14ac:dyDescent="0.25">
      <c r="A62">
        <v>56</v>
      </c>
      <c r="C62" s="87">
        <f t="shared" si="1"/>
        <v>4.0913566094415987E-3</v>
      </c>
      <c r="E62" s="87">
        <f t="shared" si="2"/>
        <v>0.15480000000000002</v>
      </c>
      <c r="G62" s="23"/>
      <c r="H62" s="83">
        <f t="shared" si="3"/>
        <v>1.7512052474924498</v>
      </c>
      <c r="I62" s="83">
        <f t="shared" si="4"/>
        <v>2.2775311600749314E-2</v>
      </c>
      <c r="J62" s="83">
        <f t="shared" si="8"/>
        <v>0.30885162634257135</v>
      </c>
      <c r="K62" s="83">
        <f t="shared" si="5"/>
        <v>997.91716781456421</v>
      </c>
      <c r="L62" s="83">
        <f t="shared" si="0"/>
        <v>1000</v>
      </c>
      <c r="M62" s="84">
        <f t="shared" si="6"/>
        <v>4.6144485665740174</v>
      </c>
      <c r="N62" s="85">
        <f t="shared" si="11"/>
        <v>2.0828321854357705</v>
      </c>
      <c r="O62" s="86">
        <f>(uSuccessP*H62+uRevision*Standard!I62+uSuccessR*Standard!J62)/(1+oDR)^cycle</f>
        <v>0.75022737799799544</v>
      </c>
      <c r="P62" s="27"/>
      <c r="Q62" s="27"/>
    </row>
    <row r="63" spans="1:17" x14ac:dyDescent="0.25">
      <c r="A63">
        <v>57</v>
      </c>
      <c r="C63" s="87">
        <f t="shared" si="1"/>
        <v>4.1245695554602557E-3</v>
      </c>
      <c r="E63" s="87">
        <f t="shared" si="2"/>
        <v>0.15480000000000002</v>
      </c>
      <c r="G63" s="23"/>
      <c r="H63" s="83">
        <f t="shared" si="3"/>
        <v>1.4728957073314488</v>
      </c>
      <c r="I63" s="83">
        <f t="shared" si="4"/>
        <v>1.9577032902872455E-2</v>
      </c>
      <c r="J63" s="83">
        <f t="shared" si="8"/>
        <v>0.26748151666397674</v>
      </c>
      <c r="K63" s="83">
        <f t="shared" si="5"/>
        <v>998.24004574310163</v>
      </c>
      <c r="L63" s="83">
        <f t="shared" si="0"/>
        <v>999.99999999999989</v>
      </c>
      <c r="M63" s="84">
        <f t="shared" si="6"/>
        <v>3.7419371400530386</v>
      </c>
      <c r="N63" s="85">
        <f t="shared" si="11"/>
        <v>1.759954256898298</v>
      </c>
      <c r="O63" s="86">
        <f>(uSuccessP*H63+uRevision*Standard!I63+uSuccessR*Standard!J63)/(1+oDR)^cycle</f>
        <v>0.62420296313295209</v>
      </c>
      <c r="P63" s="27"/>
      <c r="Q63" s="27"/>
    </row>
    <row r="64" spans="1:17" x14ac:dyDescent="0.25">
      <c r="A64">
        <v>58</v>
      </c>
      <c r="C64" s="87">
        <f t="shared" si="1"/>
        <v>4.1574617735983255E-3</v>
      </c>
      <c r="E64" s="87">
        <f t="shared" si="2"/>
        <v>0.15480000000000002</v>
      </c>
      <c r="G64" s="23"/>
      <c r="H64" s="83">
        <f t="shared" si="3"/>
        <v>1.2387679442368129</v>
      </c>
      <c r="I64" s="83">
        <f t="shared" si="4"/>
        <v>1.6822768266286637E-2</v>
      </c>
      <c r="J64" s="83">
        <f t="shared" si="8"/>
        <v>0.23153108476928438</v>
      </c>
      <c r="K64" s="83">
        <f t="shared" si="5"/>
        <v>998.51287820272751</v>
      </c>
      <c r="L64" s="83">
        <f t="shared" si="0"/>
        <v>999.99999999999989</v>
      </c>
      <c r="M64" s="84">
        <f>(cPrimary*G64+cSuccess*H64+cRevision*I64+cSuccess*J64)/(1+cDR)^cycle</f>
        <v>3.0334805463518855</v>
      </c>
      <c r="N64" s="85">
        <f>(J64+I64+H64)</f>
        <v>1.487121797272384</v>
      </c>
      <c r="O64" s="86">
        <f>(uSuccessP*H64+uRevision*Standard!I64+uSuccessR*Standard!J64)/(1+oDR)^cycle</f>
        <v>0.51934519643302579</v>
      </c>
      <c r="P64" s="27"/>
      <c r="Q64" s="27"/>
    </row>
    <row r="65" spans="1:17" x14ac:dyDescent="0.25">
      <c r="A65">
        <v>59</v>
      </c>
      <c r="C65" s="87">
        <f t="shared" si="1"/>
        <v>4.1900418514030369E-3</v>
      </c>
      <c r="E65" s="87">
        <f t="shared" si="2"/>
        <v>0.15480000000000002</v>
      </c>
      <c r="G65" s="23"/>
      <c r="H65" s="83">
        <f t="shared" si="3"/>
        <v>1.0418161769384255</v>
      </c>
      <c r="I65" s="83">
        <f t="shared" si="4"/>
        <v>1.4451732921300125E-2</v>
      </c>
      <c r="J65" s="83">
        <f t="shared" si="8"/>
        <v>0.2003109778295675</v>
      </c>
      <c r="K65" s="83">
        <f t="shared" si="5"/>
        <v>998.74342111231056</v>
      </c>
      <c r="L65" s="83">
        <f t="shared" si="0"/>
        <v>999.99999999999989</v>
      </c>
      <c r="M65" s="84">
        <f>(cPrimary*G65+cSuccess*H65+cRevision*I65+cSuccess*J65)/(1+cDR)^cycle</f>
        <v>2.458429809199326</v>
      </c>
      <c r="N65" s="85">
        <f>(J65+I65+H65)</f>
        <v>1.2565788876892932</v>
      </c>
      <c r="O65" s="86">
        <f>(uSuccessP*H65+uRevision*Standard!I65+uSuccessR*Standard!J65)/(1+oDR)^cycle</f>
        <v>0.4320995604674539</v>
      </c>
      <c r="P65" s="27"/>
      <c r="Q65" s="27"/>
    </row>
    <row r="66" spans="1:17" x14ac:dyDescent="0.25">
      <c r="A66">
        <v>60</v>
      </c>
      <c r="C66" s="87">
        <f t="shared" si="1"/>
        <v>4.2223180042564312E-3</v>
      </c>
      <c r="E66" s="87">
        <f t="shared" si="2"/>
        <v>0.15480000000000002</v>
      </c>
      <c r="G66" s="23"/>
      <c r="H66" s="83">
        <f t="shared" si="3"/>
        <v>0.87614415354734454</v>
      </c>
      <c r="I66" s="83">
        <f t="shared" si="4"/>
        <v>1.2411318314195419E-2</v>
      </c>
      <c r="J66" s="83">
        <f t="shared" si="8"/>
        <v>0.17321596935502459</v>
      </c>
      <c r="K66" s="83">
        <f t="shared" si="5"/>
        <v>998.93822855878329</v>
      </c>
      <c r="L66" s="83">
        <f t="shared" si="0"/>
        <v>999.99999999999989</v>
      </c>
      <c r="M66" s="84">
        <f>(cPrimary*G66+cSuccess*H66+cRevision*I66+cSuccess*J66)/(1+cDR)^cycle</f>
        <v>1.9918192954907228</v>
      </c>
      <c r="N66" s="85">
        <f>(J66+I66+H66)</f>
        <v>1.0617714412165646</v>
      </c>
      <c r="O66" s="86">
        <f>(uSuccessP*H66+uRevision*Standard!I66+uSuccessR*Standard!J66)/(1+oDR)^cycle</f>
        <v>0.35950834704495993</v>
      </c>
      <c r="P66" s="27"/>
      <c r="Q66" s="27"/>
    </row>
    <row r="67" spans="1:17" x14ac:dyDescent="0.25">
      <c r="M67" s="43" t="s">
        <v>94</v>
      </c>
      <c r="N67" s="43" t="s">
        <v>95</v>
      </c>
      <c r="O67" s="43" t="s">
        <v>96</v>
      </c>
    </row>
    <row r="68" spans="1:17" x14ac:dyDescent="0.25">
      <c r="I68" s="27"/>
      <c r="M68" s="81">
        <f>SUM(M6:M66)/1000</f>
        <v>512.43465834364304</v>
      </c>
      <c r="N68" s="82">
        <f>SUM(N6:N66)/1000</f>
        <v>20.90914140336028</v>
      </c>
      <c r="O68" s="80">
        <f>SUM(O6:O66)/1000</f>
        <v>14.653189614825321</v>
      </c>
    </row>
    <row r="69" spans="1:17" x14ac:dyDescent="0.25">
      <c r="I69" s="27"/>
    </row>
  </sheetData>
  <phoneticPr fontId="19" type="noConversion"/>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69"/>
  <sheetViews>
    <sheetView tabSelected="1" workbookViewId="0">
      <selection activeCell="C7" sqref="C7"/>
    </sheetView>
  </sheetViews>
  <sheetFormatPr defaultRowHeight="13.2" x14ac:dyDescent="0.25"/>
  <cols>
    <col min="2" max="2" width="4.6640625" customWidth="1"/>
    <col min="3" max="3" width="8.88671875" style="24" customWidth="1"/>
    <col min="4" max="4" width="4.6640625" style="24" customWidth="1"/>
    <col min="5" max="5" width="8.88671875" style="24" customWidth="1"/>
    <col min="7" max="15" width="12.6640625" customWidth="1"/>
    <col min="16" max="17" width="4.6640625" customWidth="1"/>
  </cols>
  <sheetData>
    <row r="1" spans="1:17" ht="15.6" x14ac:dyDescent="0.3">
      <c r="A1" s="6" t="s">
        <v>104</v>
      </c>
      <c r="B1" s="6"/>
    </row>
    <row r="2" spans="1:17" ht="15.6" x14ac:dyDescent="0.3">
      <c r="A2" s="6"/>
      <c r="B2" s="6"/>
    </row>
    <row r="3" spans="1:17" x14ac:dyDescent="0.25">
      <c r="D3" s="38"/>
      <c r="G3" s="21" t="s">
        <v>105</v>
      </c>
      <c r="H3" s="21"/>
      <c r="I3" s="22"/>
      <c r="J3" s="22"/>
      <c r="K3" s="21"/>
      <c r="L3" s="21"/>
      <c r="M3" s="22"/>
      <c r="N3" s="22"/>
      <c r="O3" s="22"/>
    </row>
    <row r="4" spans="1:17" x14ac:dyDescent="0.25">
      <c r="A4" s="18" t="s">
        <v>21</v>
      </c>
      <c r="B4" s="18"/>
      <c r="C4" s="56" t="s">
        <v>57</v>
      </c>
      <c r="D4" s="25"/>
      <c r="E4" s="25" t="s">
        <v>22</v>
      </c>
      <c r="G4" s="18" t="s">
        <v>23</v>
      </c>
      <c r="H4" s="18" t="s">
        <v>24</v>
      </c>
      <c r="I4" s="18" t="s">
        <v>25</v>
      </c>
      <c r="J4" s="18" t="s">
        <v>26</v>
      </c>
      <c r="K4" s="18" t="s">
        <v>27</v>
      </c>
      <c r="L4" s="18" t="s">
        <v>77</v>
      </c>
      <c r="M4" s="18" t="s">
        <v>19</v>
      </c>
      <c r="N4" s="18" t="s">
        <v>28</v>
      </c>
      <c r="O4" s="18" t="s">
        <v>20</v>
      </c>
    </row>
    <row r="5" spans="1:17" x14ac:dyDescent="0.25">
      <c r="C5"/>
      <c r="D5"/>
      <c r="E5" s="30"/>
    </row>
    <row r="6" spans="1:17" x14ac:dyDescent="0.25">
      <c r="A6">
        <v>0</v>
      </c>
      <c r="G6" s="23">
        <v>1000</v>
      </c>
      <c r="H6" s="23"/>
      <c r="I6" s="23"/>
      <c r="J6" s="23"/>
      <c r="K6" s="23"/>
      <c r="L6" s="83">
        <f t="shared" ref="L6:L37" si="0">SUM(G6:K6)</f>
        <v>1000</v>
      </c>
      <c r="M6" s="84">
        <f>(_cNP1+cPrimary)*G6</f>
        <v>579000</v>
      </c>
      <c r="N6" s="27"/>
      <c r="O6" s="26"/>
      <c r="P6" s="27"/>
      <c r="Q6" s="27"/>
    </row>
    <row r="7" spans="1:17" x14ac:dyDescent="0.25">
      <c r="A7">
        <v>1</v>
      </c>
      <c r="C7" s="87">
        <f>1-EXP(lambda*rrNP1*(A6^gamma-A7^gamma))</f>
        <v>1.1885569701708398E-4</v>
      </c>
      <c r="E7" s="87">
        <f t="shared" ref="E7:E38" si="1">IF(male=0,VLOOKUP(cycle+age,lifetable,3,1),IF(male=1,VLOOKUP(cycle+age,lifetable,2,1),"error"))</f>
        <v>6.7000000000000002E-3</v>
      </c>
      <c r="G7" s="23"/>
      <c r="H7" s="83">
        <f>G6*(1-omrPTHR)+H6*(1-np1RR-mr)</f>
        <v>980</v>
      </c>
      <c r="I7" s="83">
        <f>H6*np1RR+J6*rrr</f>
        <v>0</v>
      </c>
      <c r="J7" s="83">
        <f t="shared" ref="J7:J38" si="2">I6*(1-mr-omrRTHR)+J6*(1-mr-rrr)</f>
        <v>0</v>
      </c>
      <c r="K7" s="83">
        <f t="shared" ref="K7:K38" si="3">H6*mr+(I6+J6)*mr+G6*omrPTHR+I6*omrRTHR+K6</f>
        <v>20</v>
      </c>
      <c r="L7" s="83">
        <f t="shared" si="0"/>
        <v>1000</v>
      </c>
      <c r="M7" s="84">
        <f t="shared" ref="M7:M38" si="4">(cPrimary*G7+cSuccess*H7+cRevision*I7+cSuccess*J7)/(1+cDR)^cycle</f>
        <v>0</v>
      </c>
      <c r="N7" s="85">
        <f t="shared" ref="N7:N38" si="5">(J7+I7+H7)</f>
        <v>980</v>
      </c>
      <c r="O7" s="86">
        <f>(uSuccessP*H7+uRevision*'NP1'!I7+uSuccessR*'NP1'!J7)/(1+oDR)^cycle</f>
        <v>820.68965517241384</v>
      </c>
      <c r="P7" s="27"/>
      <c r="Q7" s="27"/>
    </row>
    <row r="8" spans="1:17" x14ac:dyDescent="0.25">
      <c r="A8">
        <v>2</v>
      </c>
      <c r="C8" s="87">
        <f t="shared" ref="C8:C66" si="6">1-EXP(lambda*rrNP1*(A7^gamma-A8^gamma))</f>
        <v>2.0668743107066234E-4</v>
      </c>
      <c r="E8" s="87">
        <f t="shared" si="1"/>
        <v>6.7000000000000002E-3</v>
      </c>
      <c r="G8" s="40"/>
      <c r="H8" s="83">
        <f t="shared" ref="H8:H66" si="7">G7*(1-omrPTHR)+H7*(1-np1RR-mr)</f>
        <v>973.23144631755076</v>
      </c>
      <c r="I8" s="83">
        <f t="shared" ref="I8:I66" si="8">H7*np1RR+J7*rrr</f>
        <v>0.2025536824492491</v>
      </c>
      <c r="J8" s="83">
        <f t="shared" si="2"/>
        <v>0</v>
      </c>
      <c r="K8" s="83">
        <f t="shared" si="3"/>
        <v>26.565999999999999</v>
      </c>
      <c r="L8" s="83">
        <f t="shared" si="0"/>
        <v>1000</v>
      </c>
      <c r="M8" s="84">
        <f t="shared" si="4"/>
        <v>954.36026600776495</v>
      </c>
      <c r="N8" s="85">
        <f t="shared" si="5"/>
        <v>973.43399999999997</v>
      </c>
      <c r="O8" s="86">
        <f>(uSuccessP*H8+uRevision*'NP1'!I8+uSuccessR*'NP1'!J8)/(1+oDR)^cycle</f>
        <v>803.03574022631278</v>
      </c>
      <c r="P8" s="27"/>
      <c r="Q8" s="27"/>
    </row>
    <row r="9" spans="1:17" x14ac:dyDescent="0.25">
      <c r="A9">
        <v>3</v>
      </c>
      <c r="C9" s="87">
        <f t="shared" si="6"/>
        <v>2.6137848896035099E-4</v>
      </c>
      <c r="E9" s="87">
        <f t="shared" si="1"/>
        <v>6.7000000000000002E-3</v>
      </c>
      <c r="G9" s="23"/>
      <c r="H9" s="83">
        <f t="shared" si="7"/>
        <v>966.45641386237594</v>
      </c>
      <c r="I9" s="83">
        <f t="shared" si="8"/>
        <v>0.25438176484717834</v>
      </c>
      <c r="J9" s="83">
        <f t="shared" si="2"/>
        <v>0.19714549912785415</v>
      </c>
      <c r="K9" s="83">
        <f t="shared" si="3"/>
        <v>33.092058873648988</v>
      </c>
      <c r="L9" s="83">
        <f t="shared" si="0"/>
        <v>999.99999999999989</v>
      </c>
      <c r="M9" s="84">
        <f t="shared" si="4"/>
        <v>1130.7128225825361</v>
      </c>
      <c r="N9" s="85">
        <f t="shared" si="5"/>
        <v>966.90794112635092</v>
      </c>
      <c r="O9" s="86">
        <f>(uSuccessP*H9+uRevision*'NP1'!I9+uSuccessR*'NP1'!J9)/(1+oDR)^cycle</f>
        <v>785.8172695182875</v>
      </c>
      <c r="P9" s="27"/>
      <c r="Q9" s="27"/>
    </row>
    <row r="10" spans="1:17" x14ac:dyDescent="0.25">
      <c r="A10">
        <v>4</v>
      </c>
      <c r="C10" s="87">
        <f t="shared" si="6"/>
        <v>3.0472751472521153E-4</v>
      </c>
      <c r="E10" s="87">
        <f t="shared" si="1"/>
        <v>6.7000000000000002E-3</v>
      </c>
      <c r="G10" s="23"/>
      <c r="H10" s="83">
        <f t="shared" si="7"/>
        <v>959.68665002841146</v>
      </c>
      <c r="I10" s="83">
        <f t="shared" si="8"/>
        <v>0.3023916810516365</v>
      </c>
      <c r="J10" s="83">
        <f t="shared" si="2"/>
        <v>0.43552857604434203</v>
      </c>
      <c r="K10" s="83">
        <f t="shared" si="3"/>
        <v>39.575429714492486</v>
      </c>
      <c r="L10" s="83">
        <f t="shared" si="0"/>
        <v>1000</v>
      </c>
      <c r="M10" s="84">
        <f t="shared" si="4"/>
        <v>1268.0322969912759</v>
      </c>
      <c r="N10" s="85">
        <f t="shared" si="5"/>
        <v>960.42457028550746</v>
      </c>
      <c r="O10" s="86">
        <f>(uSuccessP*H10+uRevision*'NP1'!I10+uSuccessR*'NP1'!J10)/(1+oDR)^cycle</f>
        <v>768.96461724156268</v>
      </c>
      <c r="P10" s="27"/>
      <c r="Q10" s="27"/>
    </row>
    <row r="11" spans="1:17" x14ac:dyDescent="0.25">
      <c r="A11">
        <v>5</v>
      </c>
      <c r="C11" s="87">
        <f t="shared" si="6"/>
        <v>3.416376814695532E-4</v>
      </c>
      <c r="E11" s="87">
        <f t="shared" si="1"/>
        <v>1.9300000000000001E-2</v>
      </c>
      <c r="G11" s="23"/>
      <c r="H11" s="83">
        <f t="shared" si="7"/>
        <v>940.83683256081019</v>
      </c>
      <c r="I11" s="83">
        <f t="shared" si="8"/>
        <v>0.34528626509476268</v>
      </c>
      <c r="J11" s="83">
        <f t="shared" si="2"/>
        <v>0.70020941947121962</v>
      </c>
      <c r="K11" s="83">
        <f t="shared" si="3"/>
        <v>58.117671754623814</v>
      </c>
      <c r="L11" s="83">
        <f t="shared" si="0"/>
        <v>1000</v>
      </c>
      <c r="M11" s="84">
        <f t="shared" si="4"/>
        <v>1365.9472050220011</v>
      </c>
      <c r="N11" s="85">
        <f t="shared" si="5"/>
        <v>941.88232824537613</v>
      </c>
      <c r="O11" s="86">
        <f>(uSuccessP*H11+uRevision*'NP1'!I11+uSuccessR*'NP1'!J11)/(1+oDR)^cycle</f>
        <v>742.92391582444918</v>
      </c>
      <c r="P11" s="27"/>
      <c r="Q11" s="27"/>
    </row>
    <row r="12" spans="1:17" x14ac:dyDescent="0.25">
      <c r="A12">
        <v>6</v>
      </c>
      <c r="C12" s="87">
        <f t="shared" si="6"/>
        <v>3.7425734652041243E-4</v>
      </c>
      <c r="E12" s="87">
        <f t="shared" si="1"/>
        <v>1.9300000000000001E-2</v>
      </c>
      <c r="G12" s="23"/>
      <c r="H12" s="83">
        <f t="shared" si="7"/>
        <v>922.32656659592374</v>
      </c>
      <c r="I12" s="83">
        <f t="shared" si="8"/>
        <v>0.38012347324172713</v>
      </c>
      <c r="J12" s="83">
        <f t="shared" si="2"/>
        <v>0.99040351577311481</v>
      </c>
      <c r="K12" s="83">
        <f t="shared" si="3"/>
        <v>76.302906415061472</v>
      </c>
      <c r="L12" s="83">
        <f t="shared" si="0"/>
        <v>1000</v>
      </c>
      <c r="M12" s="84">
        <f t="shared" si="4"/>
        <v>1418.6440280957806</v>
      </c>
      <c r="N12" s="85">
        <f t="shared" si="5"/>
        <v>923.69709358493856</v>
      </c>
      <c r="O12" s="86">
        <f>(uSuccessP*H12+uRevision*'NP1'!I12+uSuccessR*'NP1'!J12)/(1+oDR)^cycle</f>
        <v>717.76419240578798</v>
      </c>
      <c r="P12" s="27"/>
      <c r="Q12" s="27"/>
    </row>
    <row r="13" spans="1:17" x14ac:dyDescent="0.25">
      <c r="A13">
        <v>7</v>
      </c>
      <c r="C13" s="87">
        <f t="shared" si="6"/>
        <v>4.0375768278766433E-4</v>
      </c>
      <c r="E13" s="87">
        <f t="shared" si="1"/>
        <v>1.9300000000000001E-2</v>
      </c>
      <c r="G13" s="23"/>
      <c r="H13" s="83">
        <f t="shared" si="7"/>
        <v>904.15326742332013</v>
      </c>
      <c r="I13" s="83">
        <f t="shared" si="8"/>
        <v>0.41201257793319712</v>
      </c>
      <c r="J13" s="83">
        <f t="shared" si="2"/>
        <v>1.2968572080310963</v>
      </c>
      <c r="K13" s="83">
        <f t="shared" si="3"/>
        <v>94.137862790715616</v>
      </c>
      <c r="L13" s="83">
        <f t="shared" si="0"/>
        <v>1000</v>
      </c>
      <c r="M13" s="84">
        <f t="shared" si="4"/>
        <v>1450.6189766635159</v>
      </c>
      <c r="N13" s="85">
        <f t="shared" si="5"/>
        <v>905.86213720928447</v>
      </c>
      <c r="O13" s="86">
        <f>(uSuccessP*H13+uRevision*'NP1'!I13+uSuccessR*'NP1'!J13)/(1+oDR)^cycle</f>
        <v>693.45411691528568</v>
      </c>
      <c r="P13" s="27"/>
      <c r="Q13" s="27"/>
    </row>
    <row r="14" spans="1:17" x14ac:dyDescent="0.25">
      <c r="A14">
        <v>8</v>
      </c>
      <c r="C14" s="87">
        <f t="shared" si="6"/>
        <v>4.3086034210093604E-4</v>
      </c>
      <c r="E14" s="87">
        <f t="shared" si="1"/>
        <v>1.9300000000000001E-2</v>
      </c>
      <c r="G14" s="23"/>
      <c r="H14" s="83">
        <f t="shared" si="7"/>
        <v>886.31354557593636</v>
      </c>
      <c r="I14" s="83">
        <f t="shared" si="8"/>
        <v>0.44143807443493466</v>
      </c>
      <c r="J14" s="83">
        <f t="shared" si="2"/>
        <v>1.6157740592152747</v>
      </c>
      <c r="K14" s="83">
        <f t="shared" si="3"/>
        <v>111.62924229041347</v>
      </c>
      <c r="L14" s="83">
        <f t="shared" si="0"/>
        <v>1000</v>
      </c>
      <c r="M14" s="84">
        <f t="shared" si="4"/>
        <v>1466.2458758790071</v>
      </c>
      <c r="N14" s="85">
        <f t="shared" si="5"/>
        <v>888.37075770958654</v>
      </c>
      <c r="O14" s="86">
        <f>(uSuccessP*H14+uRevision*'NP1'!I14+uSuccessR*'NP1'!J14)/(1+oDR)^cycle</f>
        <v>669.96515084694374</v>
      </c>
      <c r="P14" s="27"/>
      <c r="Q14" s="27"/>
    </row>
    <row r="15" spans="1:17" x14ac:dyDescent="0.25">
      <c r="A15">
        <v>9</v>
      </c>
      <c r="C15" s="87">
        <f t="shared" si="6"/>
        <v>4.560470035290809E-4</v>
      </c>
      <c r="E15" s="87">
        <f t="shared" si="1"/>
        <v>1.9300000000000001E-2</v>
      </c>
      <c r="G15" s="23"/>
      <c r="H15" s="83">
        <f t="shared" si="7"/>
        <v>868.80349350967367</v>
      </c>
      <c r="I15" s="83">
        <f t="shared" si="8"/>
        <v>0.46883159901575222</v>
      </c>
      <c r="J15" s="83">
        <f t="shared" si="2"/>
        <v>1.9440482156134506</v>
      </c>
      <c r="K15" s="83">
        <f t="shared" si="3"/>
        <v>128.78362667569718</v>
      </c>
      <c r="L15" s="83">
        <f t="shared" si="0"/>
        <v>1000</v>
      </c>
      <c r="M15" s="84">
        <f t="shared" si="4"/>
        <v>1469.0887222735969</v>
      </c>
      <c r="N15" s="85">
        <f t="shared" si="5"/>
        <v>871.21637332430282</v>
      </c>
      <c r="O15" s="86">
        <f>(uSuccessP*H15+uRevision*'NP1'!I15+uSuccessR*'NP1'!J15)/(1+oDR)^cycle</f>
        <v>647.26967268491308</v>
      </c>
      <c r="P15" s="27"/>
      <c r="Q15" s="27"/>
    </row>
    <row r="16" spans="1:17" x14ac:dyDescent="0.25">
      <c r="A16">
        <v>10</v>
      </c>
      <c r="C16" s="87">
        <f t="shared" si="6"/>
        <v>4.7965794112503346E-4</v>
      </c>
      <c r="E16" s="87">
        <f t="shared" si="1"/>
        <v>1.9300000000000001E-2</v>
      </c>
      <c r="G16" s="23"/>
      <c r="H16" s="83">
        <f t="shared" si="7"/>
        <v>851.6188575899979</v>
      </c>
      <c r="I16" s="83">
        <f t="shared" si="8"/>
        <v>0.49449042356362444</v>
      </c>
      <c r="J16" s="83">
        <f t="shared" si="2"/>
        <v>2.2791726736020061</v>
      </c>
      <c r="K16" s="83">
        <f t="shared" si="3"/>
        <v>145.60747931283655</v>
      </c>
      <c r="L16" s="83">
        <f t="shared" si="0"/>
        <v>1000.0000000000001</v>
      </c>
      <c r="M16" s="84">
        <f t="shared" si="4"/>
        <v>1461.783884469588</v>
      </c>
      <c r="N16" s="85">
        <f t="shared" si="5"/>
        <v>854.39252068716348</v>
      </c>
      <c r="O16" s="86">
        <f>(uSuccessP*H16+uRevision*'NP1'!I16+uSuccessR*'NP1'!J16)/(1+oDR)^cycle</f>
        <v>625.34099614121055</v>
      </c>
      <c r="P16" s="27"/>
      <c r="Q16" s="27"/>
    </row>
    <row r="17" spans="1:17" x14ac:dyDescent="0.25">
      <c r="A17">
        <v>11</v>
      </c>
      <c r="C17" s="87">
        <f t="shared" si="6"/>
        <v>5.0194397499225829E-4</v>
      </c>
      <c r="E17" s="87">
        <f t="shared" si="1"/>
        <v>1.9300000000000001E-2</v>
      </c>
      <c r="G17" s="23"/>
      <c r="H17" s="83">
        <f t="shared" si="7"/>
        <v>834.75514868395385</v>
      </c>
      <c r="I17" s="83">
        <f t="shared" si="8"/>
        <v>0.5186318615011698</v>
      </c>
      <c r="J17" s="83">
        <f t="shared" si="2"/>
        <v>2.619074683974981</v>
      </c>
      <c r="K17" s="83">
        <f t="shared" si="3"/>
        <v>162.10714477057007</v>
      </c>
      <c r="L17" s="83">
        <f t="shared" si="0"/>
        <v>1000</v>
      </c>
      <c r="M17" s="84">
        <f t="shared" si="4"/>
        <v>1446.3673602506331</v>
      </c>
      <c r="N17" s="85">
        <f t="shared" si="5"/>
        <v>837.89285522942998</v>
      </c>
      <c r="O17" s="86">
        <f>(uSuccessP*H17+uRevision*'NP1'!I17+uSuccessR*'NP1'!J17)/(1+oDR)^cycle</f>
        <v>604.15332902568207</v>
      </c>
      <c r="P17" s="27"/>
      <c r="Q17" s="27"/>
    </row>
    <row r="18" spans="1:17" x14ac:dyDescent="0.25">
      <c r="A18">
        <v>12</v>
      </c>
      <c r="C18" s="87">
        <f t="shared" si="6"/>
        <v>5.2309621117774263E-4</v>
      </c>
      <c r="E18" s="87">
        <f t="shared" si="1"/>
        <v>1.9300000000000001E-2</v>
      </c>
      <c r="G18" s="23"/>
      <c r="H18" s="83">
        <f t="shared" si="7"/>
        <v>818.20771705881589</v>
      </c>
      <c r="I18" s="83">
        <f t="shared" si="8"/>
        <v>0.54142024289668877</v>
      </c>
      <c r="J18" s="83">
        <f t="shared" si="2"/>
        <v>2.9620131845594386</v>
      </c>
      <c r="K18" s="83">
        <f t="shared" si="3"/>
        <v>178.28884951372811</v>
      </c>
      <c r="L18" s="83">
        <f t="shared" si="0"/>
        <v>1000.0000000000001</v>
      </c>
      <c r="M18" s="84">
        <f t="shared" si="4"/>
        <v>1424.4527341211435</v>
      </c>
      <c r="N18" s="85">
        <f t="shared" si="5"/>
        <v>821.711150486272</v>
      </c>
      <c r="O18" s="86">
        <f>(uSuccessP*H18+uRevision*'NP1'!I18+uSuccessR*'NP1'!J18)/(1+oDR)^cycle</f>
        <v>583.68174064150594</v>
      </c>
      <c r="P18" s="27"/>
      <c r="Q18" s="27"/>
    </row>
    <row r="19" spans="1:17" x14ac:dyDescent="0.25">
      <c r="A19">
        <v>13</v>
      </c>
      <c r="C19" s="87">
        <f t="shared" si="6"/>
        <v>5.4326417530836668E-4</v>
      </c>
      <c r="E19" s="87">
        <f t="shared" si="1"/>
        <v>1.9300000000000001E-2</v>
      </c>
      <c r="G19" s="23"/>
      <c r="H19" s="83">
        <f t="shared" si="7"/>
        <v>801.97180517894185</v>
      </c>
      <c r="I19" s="83">
        <f t="shared" si="8"/>
        <v>0.56298346802127663</v>
      </c>
      <c r="J19" s="83">
        <f t="shared" si="2"/>
        <v>3.3065082300659125</v>
      </c>
      <c r="K19" s="83">
        <f t="shared" si="3"/>
        <v>194.1587031229711</v>
      </c>
      <c r="L19" s="83">
        <f t="shared" si="0"/>
        <v>1000.0000000000001</v>
      </c>
      <c r="M19" s="84">
        <f t="shared" si="4"/>
        <v>1397.3439873224174</v>
      </c>
      <c r="N19" s="85">
        <f t="shared" si="5"/>
        <v>805.84129687702909</v>
      </c>
      <c r="O19" s="86">
        <f>(uSuccessP*H19+uRevision*'NP1'!I19+uSuccessR*'NP1'!J19)/(1+oDR)^cycle</f>
        <v>563.90213210776596</v>
      </c>
      <c r="P19" s="27"/>
      <c r="Q19" s="27"/>
    </row>
    <row r="20" spans="1:17" x14ac:dyDescent="0.25">
      <c r="A20">
        <v>14</v>
      </c>
      <c r="C20" s="87">
        <f t="shared" si="6"/>
        <v>5.62567435304695E-4</v>
      </c>
      <c r="E20" s="87">
        <f t="shared" si="1"/>
        <v>1.9300000000000001E-2</v>
      </c>
      <c r="G20" s="23"/>
      <c r="H20" s="83">
        <f t="shared" si="7"/>
        <v>786.04258611736213</v>
      </c>
      <c r="I20" s="83">
        <f t="shared" si="8"/>
        <v>0.58342355082883035</v>
      </c>
      <c r="J20" s="83">
        <f t="shared" si="2"/>
        <v>3.6512905097510444</v>
      </c>
      <c r="K20" s="83">
        <f t="shared" si="3"/>
        <v>209.72269982205819</v>
      </c>
      <c r="L20" s="83">
        <f t="shared" si="0"/>
        <v>1000.0000000000001</v>
      </c>
      <c r="M20" s="84">
        <f t="shared" si="4"/>
        <v>1366.1103428240049</v>
      </c>
      <c r="N20" s="85">
        <f t="shared" si="5"/>
        <v>790.27730017794204</v>
      </c>
      <c r="O20" s="86">
        <f>(uSuccessP*H20+uRevision*'NP1'!I20+uSuccessR*'NP1'!J20)/(1+oDR)^cycle</f>
        <v>544.79120853714858</v>
      </c>
      <c r="P20" s="27"/>
      <c r="Q20" s="27"/>
    </row>
    <row r="21" spans="1:17" x14ac:dyDescent="0.25">
      <c r="A21">
        <v>15</v>
      </c>
      <c r="C21" s="87">
        <f t="shared" si="6"/>
        <v>5.8110335926397916E-4</v>
      </c>
      <c r="E21" s="87">
        <f t="shared" si="1"/>
        <v>5.3499999999999999E-2</v>
      </c>
      <c r="G21" s="23"/>
      <c r="H21" s="83">
        <f t="shared" si="7"/>
        <v>743.53253577276587</v>
      </c>
      <c r="I21" s="83">
        <f t="shared" si="8"/>
        <v>0.60282360770738652</v>
      </c>
      <c r="J21" s="83">
        <f t="shared" si="2"/>
        <v>3.850436766932233</v>
      </c>
      <c r="K21" s="83">
        <f t="shared" si="3"/>
        <v>252.01420385259468</v>
      </c>
      <c r="L21" s="83">
        <f t="shared" si="0"/>
        <v>1000.0000000000002</v>
      </c>
      <c r="M21" s="84">
        <f t="shared" si="4"/>
        <v>1331.638091823356</v>
      </c>
      <c r="N21" s="85">
        <f t="shared" si="5"/>
        <v>747.98579614740549</v>
      </c>
      <c r="O21" s="86">
        <f>(uSuccessP*H21+uRevision*'NP1'!I21+uSuccessR*'NP1'!J21)/(1+oDR)^cycle</f>
        <v>507.96275907705626</v>
      </c>
      <c r="P21" s="27"/>
      <c r="Q21" s="27"/>
    </row>
    <row r="22" spans="1:17" x14ac:dyDescent="0.25">
      <c r="A22">
        <v>16</v>
      </c>
      <c r="C22" s="87">
        <f t="shared" si="6"/>
        <v>5.9895247085905989E-4</v>
      </c>
      <c r="E22" s="87">
        <f t="shared" si="1"/>
        <v>5.3499999999999999E-2</v>
      </c>
      <c r="G22" s="23"/>
      <c r="H22" s="83">
        <f t="shared" si="7"/>
        <v>703.30820445945767</v>
      </c>
      <c r="I22" s="83">
        <f t="shared" si="8"/>
        <v>0.59935812014248979</v>
      </c>
      <c r="J22" s="83">
        <f t="shared" si="2"/>
        <v>4.0489370017649629</v>
      </c>
      <c r="K22" s="83">
        <f t="shared" si="3"/>
        <v>292.04350041863501</v>
      </c>
      <c r="L22" s="83">
        <f t="shared" si="0"/>
        <v>1000.0000000000002</v>
      </c>
      <c r="M22" s="84">
        <f t="shared" si="4"/>
        <v>1249.0404014383339</v>
      </c>
      <c r="N22" s="85">
        <f t="shared" si="5"/>
        <v>707.95649958136516</v>
      </c>
      <c r="O22" s="86">
        <f>(uSuccessP*H22+uRevision*'NP1'!I22+uSuccessR*'NP1'!J22)/(1+oDR)^cycle</f>
        <v>473.62910089004009</v>
      </c>
      <c r="P22" s="27"/>
      <c r="Q22" s="27"/>
    </row>
    <row r="23" spans="1:17" x14ac:dyDescent="0.25">
      <c r="A23">
        <v>17</v>
      </c>
      <c r="C23" s="87">
        <f t="shared" si="6"/>
        <v>6.1618225273118998E-4</v>
      </c>
      <c r="E23" s="87">
        <f t="shared" si="1"/>
        <v>5.3499999999999999E-2</v>
      </c>
      <c r="G23" s="23"/>
      <c r="H23" s="83">
        <f t="shared" si="7"/>
        <v>665.2478494870885</v>
      </c>
      <c r="I23" s="83">
        <f t="shared" si="8"/>
        <v>0.59532351385875548</v>
      </c>
      <c r="J23" s="83">
        <f t="shared" si="2"/>
        <v>4.2256666904119555</v>
      </c>
      <c r="K23" s="83">
        <f t="shared" si="3"/>
        <v>329.93116030864087</v>
      </c>
      <c r="L23" s="83">
        <f t="shared" si="0"/>
        <v>1000</v>
      </c>
      <c r="M23" s="84">
        <f t="shared" si="4"/>
        <v>1170.4079523630385</v>
      </c>
      <c r="N23" s="85">
        <f t="shared" si="5"/>
        <v>670.06883969135924</v>
      </c>
      <c r="O23" s="86">
        <f>(uSuccessP*H23+uRevision*'NP1'!I23+uSuccessR*'NP1'!J23)/(1+oDR)^cycle</f>
        <v>441.61455025498788</v>
      </c>
      <c r="P23" s="27"/>
      <c r="Q23" s="27"/>
    </row>
    <row r="24" spans="1:17" x14ac:dyDescent="0.25">
      <c r="A24">
        <v>18</v>
      </c>
      <c r="C24" s="87">
        <f t="shared" si="6"/>
        <v>6.3284991407686064E-4</v>
      </c>
      <c r="E24" s="87">
        <f t="shared" si="1"/>
        <v>5.3499999999999999E-2</v>
      </c>
      <c r="G24" s="23"/>
      <c r="H24" s="83">
        <f t="shared" si="7"/>
        <v>629.23608749514153</v>
      </c>
      <c r="I24" s="83">
        <f t="shared" si="8"/>
        <v>0.59002871200419849</v>
      </c>
      <c r="J24" s="83">
        <f t="shared" si="2"/>
        <v>4.3821340904485746</v>
      </c>
      <c r="K24" s="83">
        <f t="shared" si="3"/>
        <v>365.79174970240575</v>
      </c>
      <c r="L24" s="83">
        <f t="shared" si="0"/>
        <v>1000.0000000000002</v>
      </c>
      <c r="M24" s="84">
        <f t="shared" si="4"/>
        <v>1094.3380705697198</v>
      </c>
      <c r="N24" s="85">
        <f t="shared" si="5"/>
        <v>634.2082502975943</v>
      </c>
      <c r="O24" s="86">
        <f>(uSuccessP*H24+uRevision*'NP1'!I24+uSuccessR*'NP1'!J24)/(1+oDR)^cycle</f>
        <v>411.76283272929027</v>
      </c>
      <c r="P24" s="27"/>
      <c r="Q24" s="27"/>
    </row>
    <row r="25" spans="1:17" x14ac:dyDescent="0.25">
      <c r="A25">
        <v>19</v>
      </c>
      <c r="C25" s="87">
        <f t="shared" si="6"/>
        <v>6.4900444732896023E-4</v>
      </c>
      <c r="E25" s="87">
        <f t="shared" si="1"/>
        <v>5.3499999999999999E-2</v>
      </c>
      <c r="G25" s="23"/>
      <c r="H25" s="83">
        <f t="shared" si="7"/>
        <v>595.16357979494728</v>
      </c>
      <c r="I25" s="83">
        <f t="shared" si="8"/>
        <v>0.58366238282216454</v>
      </c>
      <c r="J25" s="83">
        <f t="shared" si="2"/>
        <v>4.5190661546635233</v>
      </c>
      <c r="K25" s="83">
        <f t="shared" si="3"/>
        <v>399.73369166756714</v>
      </c>
      <c r="L25" s="83">
        <f t="shared" si="0"/>
        <v>1000</v>
      </c>
      <c r="M25" s="84">
        <f t="shared" si="4"/>
        <v>1021.25501161954</v>
      </c>
      <c r="N25" s="85">
        <f t="shared" si="5"/>
        <v>600.26630833243291</v>
      </c>
      <c r="O25" s="86">
        <f>(uSuccessP*H25+uRevision*'NP1'!I25+uSuccessR*'NP1'!J25)/(1+oDR)^cycle</f>
        <v>383.9279211638592</v>
      </c>
      <c r="P25" s="27"/>
      <c r="Q25" s="27"/>
    </row>
    <row r="26" spans="1:17" x14ac:dyDescent="0.25">
      <c r="A26">
        <v>20</v>
      </c>
      <c r="C26" s="87">
        <f t="shared" si="6"/>
        <v>6.646881849140529E-4</v>
      </c>
      <c r="E26" s="87">
        <f t="shared" si="1"/>
        <v>5.3499999999999999E-2</v>
      </c>
      <c r="G26" s="23"/>
      <c r="H26" s="83">
        <f t="shared" si="7"/>
        <v>562.92673007633675</v>
      </c>
      <c r="I26" s="83">
        <f t="shared" si="8"/>
        <v>0.57636084576739455</v>
      </c>
      <c r="J26" s="83">
        <f t="shared" si="2"/>
        <v>4.6372966668872193</v>
      </c>
      <c r="K26" s="83">
        <f t="shared" si="3"/>
        <v>431.85961241100875</v>
      </c>
      <c r="L26" s="83">
        <f t="shared" si="0"/>
        <v>1000</v>
      </c>
      <c r="M26" s="84">
        <f t="shared" si="4"/>
        <v>951.39551912576155</v>
      </c>
      <c r="N26" s="85">
        <f t="shared" si="5"/>
        <v>568.14038758899142</v>
      </c>
      <c r="O26" s="86">
        <f>(uSuccessP*H26+uRevision*'NP1'!I26+uSuccessR*'NP1'!J26)/(1+oDR)^cycle</f>
        <v>357.97364896298103</v>
      </c>
      <c r="P26" s="27"/>
      <c r="Q26" s="27"/>
    </row>
    <row r="27" spans="1:17" x14ac:dyDescent="0.25">
      <c r="A27">
        <v>21</v>
      </c>
      <c r="C27" s="87">
        <f t="shared" si="6"/>
        <v>6.7993799688459422E-4</v>
      </c>
      <c r="E27" s="87">
        <f t="shared" si="1"/>
        <v>5.3499999999999999E-2</v>
      </c>
      <c r="G27" s="23"/>
      <c r="H27" s="83">
        <f t="shared" si="7"/>
        <v>532.42739474401185</v>
      </c>
      <c r="I27" s="83">
        <f t="shared" si="8"/>
        <v>0.56824713991638787</v>
      </c>
      <c r="J27" s="83">
        <f t="shared" si="2"/>
        <v>4.737707752136755</v>
      </c>
      <c r="K27" s="83">
        <f t="shared" si="3"/>
        <v>462.26665036393513</v>
      </c>
      <c r="L27" s="83">
        <f t="shared" si="0"/>
        <v>1000.0000000000001</v>
      </c>
      <c r="M27" s="84">
        <f t="shared" si="4"/>
        <v>884.90780352941022</v>
      </c>
      <c r="N27" s="85">
        <f t="shared" si="5"/>
        <v>537.73334963606499</v>
      </c>
      <c r="O27" s="86">
        <f>(uSuccessP*H27+uRevision*'NP1'!I27+uSuccessR*'NP1'!J27)/(1+oDR)^cycle</f>
        <v>333.77303426756168</v>
      </c>
      <c r="P27" s="27"/>
      <c r="Q27" s="27"/>
    </row>
    <row r="28" spans="1:17" x14ac:dyDescent="0.25">
      <c r="A28">
        <v>22</v>
      </c>
      <c r="C28" s="87">
        <f t="shared" si="6"/>
        <v>6.9478622565799508E-4</v>
      </c>
      <c r="E28" s="87">
        <f t="shared" si="1"/>
        <v>5.3499999999999999E-2</v>
      </c>
      <c r="G28" s="23"/>
      <c r="H28" s="83">
        <f t="shared" si="7"/>
        <v>503.57260590517609</v>
      </c>
      <c r="I28" s="83">
        <f t="shared" si="8"/>
        <v>0.55943153011658164</v>
      </c>
      <c r="J28" s="83">
        <f t="shared" si="2"/>
        <v>4.8212130524445014</v>
      </c>
      <c r="K28" s="83">
        <f t="shared" si="3"/>
        <v>491.04674951226292</v>
      </c>
      <c r="L28" s="83">
        <f t="shared" si="0"/>
        <v>1000</v>
      </c>
      <c r="M28" s="84">
        <f t="shared" si="4"/>
        <v>821.86756458028424</v>
      </c>
      <c r="N28" s="85">
        <f t="shared" si="5"/>
        <v>508.95325048773719</v>
      </c>
      <c r="O28" s="86">
        <f>(uSuccessP*H28+uRevision*'NP1'!I28+uSuccessR*'NP1'!J28)/(1+oDR)^cycle</f>
        <v>311.20766170280234</v>
      </c>
      <c r="P28" s="27"/>
      <c r="Q28" s="27"/>
    </row>
    <row r="29" spans="1:17" x14ac:dyDescent="0.25">
      <c r="A29">
        <v>23</v>
      </c>
      <c r="C29" s="87">
        <f t="shared" si="6"/>
        <v>7.09261425051122E-4</v>
      </c>
      <c r="E29" s="87">
        <f t="shared" si="1"/>
        <v>5.3499999999999999E-2</v>
      </c>
      <c r="G29" s="23"/>
      <c r="H29" s="83">
        <f t="shared" si="7"/>
        <v>476.27430686516817</v>
      </c>
      <c r="I29" s="83">
        <f t="shared" si="8"/>
        <v>0.55001314617879227</v>
      </c>
      <c r="J29" s="83">
        <f t="shared" si="2"/>
        <v>4.888742944693953</v>
      </c>
      <c r="K29" s="83">
        <f t="shared" si="3"/>
        <v>518.28693704395914</v>
      </c>
      <c r="L29" s="83">
        <f t="shared" si="0"/>
        <v>1000</v>
      </c>
      <c r="M29" s="84">
        <f t="shared" si="4"/>
        <v>762.29330554384921</v>
      </c>
      <c r="N29" s="85">
        <f t="shared" si="5"/>
        <v>481.71306295604091</v>
      </c>
      <c r="O29" s="86">
        <f>(uSuccessP*H29+uRevision*'NP1'!I29+uSuccessR*'NP1'!J29)/(1+oDR)^cycle</f>
        <v>290.16710520341354</v>
      </c>
      <c r="P29" s="27"/>
      <c r="Q29" s="27"/>
    </row>
    <row r="30" spans="1:17" x14ac:dyDescent="0.25">
      <c r="A30">
        <v>24</v>
      </c>
      <c r="C30" s="87">
        <f t="shared" si="6"/>
        <v>7.2338895141477177E-4</v>
      </c>
      <c r="E30" s="87">
        <f t="shared" si="1"/>
        <v>5.3499999999999999E-2</v>
      </c>
      <c r="G30" s="23"/>
      <c r="H30" s="83">
        <f t="shared" si="7"/>
        <v>450.44909987645269</v>
      </c>
      <c r="I30" s="83">
        <f t="shared" si="8"/>
        <v>0.54008128921674936</v>
      </c>
      <c r="J30" s="83">
        <f t="shared" si="2"/>
        <v>4.9412326592997191</v>
      </c>
      <c r="K30" s="83">
        <f t="shared" si="3"/>
        <v>544.06958617503096</v>
      </c>
      <c r="L30" s="83">
        <f t="shared" si="0"/>
        <v>1000.0000000000001</v>
      </c>
      <c r="M30" s="84">
        <f t="shared" si="4"/>
        <v>706.15868084708234</v>
      </c>
      <c r="N30" s="85">
        <f t="shared" si="5"/>
        <v>455.93041382496915</v>
      </c>
      <c r="O30" s="86">
        <f>(uSuccessP*H30+uRevision*'NP1'!I30+uSuccessR*'NP1'!J30)/(1+oDR)^cycle</f>
        <v>270.54838965607303</v>
      </c>
      <c r="P30" s="27"/>
      <c r="Q30" s="27"/>
    </row>
    <row r="31" spans="1:17" x14ac:dyDescent="0.25">
      <c r="A31">
        <v>25</v>
      </c>
      <c r="C31" s="87">
        <f t="shared" si="6"/>
        <v>7.3719144146722204E-4</v>
      </c>
      <c r="E31" s="87">
        <f t="shared" si="1"/>
        <v>0.15480000000000002</v>
      </c>
      <c r="G31" s="23"/>
      <c r="H31" s="83">
        <f t="shared" si="7"/>
        <v>380.38751199433227</v>
      </c>
      <c r="I31" s="83">
        <f t="shared" si="8"/>
        <v>0.52971652761752364</v>
      </c>
      <c r="J31" s="83">
        <f t="shared" si="2"/>
        <v>4.4243556171297946</v>
      </c>
      <c r="K31" s="83">
        <f t="shared" si="3"/>
        <v>614.65841586092051</v>
      </c>
      <c r="L31" s="83">
        <f t="shared" si="0"/>
        <v>1000.0000000000001</v>
      </c>
      <c r="M31" s="84">
        <f t="shared" si="4"/>
        <v>653.40255574491664</v>
      </c>
      <c r="N31" s="85">
        <f t="shared" si="5"/>
        <v>385.3415841390796</v>
      </c>
      <c r="O31" s="86">
        <f>(uSuccessP*H31+uRevision*'NP1'!I31+uSuccessR*'NP1'!J31)/(1+oDR)^cycle</f>
        <v>225.23699182815633</v>
      </c>
      <c r="P31" s="27"/>
      <c r="Q31" s="27"/>
    </row>
    <row r="32" spans="1:17" x14ac:dyDescent="0.25">
      <c r="A32">
        <v>26</v>
      </c>
      <c r="C32" s="87">
        <f t="shared" si="6"/>
        <v>7.5068920225673796E-4</v>
      </c>
      <c r="E32" s="87">
        <f t="shared" si="1"/>
        <v>0.15480000000000002</v>
      </c>
      <c r="G32" s="23"/>
      <c r="H32" s="83">
        <f t="shared" si="7"/>
        <v>321.21797233968215</v>
      </c>
      <c r="I32" s="83">
        <f t="shared" si="8"/>
        <v>0.46252702261264245</v>
      </c>
      <c r="J32" s="83">
        <f t="shared" si="2"/>
        <v>3.9996132215028908</v>
      </c>
      <c r="K32" s="83">
        <f t="shared" si="3"/>
        <v>674.31988741620239</v>
      </c>
      <c r="L32" s="83">
        <f t="shared" si="0"/>
        <v>1000</v>
      </c>
      <c r="M32" s="84">
        <f t="shared" si="4"/>
        <v>538.23080573004495</v>
      </c>
      <c r="N32" s="85">
        <f t="shared" si="5"/>
        <v>325.68011258379767</v>
      </c>
      <c r="O32" s="86">
        <f>(uSuccessP*H32+uRevision*'NP1'!I32+uSuccessR*'NP1'!J32)/(1+oDR)^cycle</f>
        <v>187.52764075808511</v>
      </c>
      <c r="P32" s="27"/>
      <c r="Q32" s="27"/>
    </row>
    <row r="33" spans="1:17" x14ac:dyDescent="0.25">
      <c r="A33">
        <v>27</v>
      </c>
      <c r="C33" s="87">
        <f t="shared" si="6"/>
        <v>7.6390053220509735E-4</v>
      </c>
      <c r="E33" s="87">
        <f t="shared" si="1"/>
        <v>0.15480000000000002</v>
      </c>
      <c r="G33" s="23"/>
      <c r="H33" s="83">
        <f t="shared" si="7"/>
        <v>271.24805164147523</v>
      </c>
      <c r="I33" s="83">
        <f t="shared" si="8"/>
        <v>0.4053631088842411</v>
      </c>
      <c r="J33" s="83">
        <f t="shared" si="2"/>
        <v>3.6021658650140798</v>
      </c>
      <c r="K33" s="83">
        <f t="shared" si="3"/>
        <v>724.74441938462655</v>
      </c>
      <c r="L33" s="83">
        <f t="shared" si="0"/>
        <v>1000</v>
      </c>
      <c r="M33" s="84">
        <f t="shared" si="4"/>
        <v>445.01002723997465</v>
      </c>
      <c r="N33" s="85">
        <f t="shared" si="5"/>
        <v>275.25558061537356</v>
      </c>
      <c r="O33" s="86">
        <f>(uSuccessP*H33+uRevision*'NP1'!I33+uSuccessR*'NP1'!J33)/(1+oDR)^cycle</f>
        <v>156.13061916210049</v>
      </c>
      <c r="P33" s="27"/>
      <c r="Q33" s="27"/>
    </row>
    <row r="34" spans="1:17" x14ac:dyDescent="0.25">
      <c r="A34">
        <v>28</v>
      </c>
      <c r="C34" s="87">
        <f t="shared" si="6"/>
        <v>7.7684198754024436E-4</v>
      </c>
      <c r="E34" s="87">
        <f t="shared" si="1"/>
        <v>0.15480000000000002</v>
      </c>
      <c r="G34" s="23"/>
      <c r="H34" s="83">
        <f t="shared" si="7"/>
        <v>229.04813637182127</v>
      </c>
      <c r="I34" s="83">
        <f t="shared" si="8"/>
        <v>0.35480351015414568</v>
      </c>
      <c r="J34" s="83">
        <f t="shared" si="2"/>
        <v>3.2349695919606125</v>
      </c>
      <c r="K34" s="83">
        <f t="shared" si="3"/>
        <v>767.36209052606409</v>
      </c>
      <c r="L34" s="83">
        <f t="shared" si="0"/>
        <v>1000.0000000000001</v>
      </c>
      <c r="M34" s="84">
        <f t="shared" si="4"/>
        <v>367.45792417300692</v>
      </c>
      <c r="N34" s="85">
        <f t="shared" si="5"/>
        <v>232.63790947393602</v>
      </c>
      <c r="O34" s="86">
        <f>(uSuccessP*H34+uRevision*'NP1'!I34+uSuccessR*'NP1'!J34)/(1+oDR)^cycle</f>
        <v>129.98991627607435</v>
      </c>
      <c r="P34" s="27"/>
      <c r="Q34" s="27"/>
    </row>
    <row r="35" spans="1:17" x14ac:dyDescent="0.25">
      <c r="A35">
        <v>29</v>
      </c>
      <c r="C35" s="87">
        <f t="shared" si="6"/>
        <v>7.895286050445538E-4</v>
      </c>
      <c r="E35" s="87">
        <f t="shared" si="1"/>
        <v>0.15480000000000002</v>
      </c>
      <c r="G35" s="23"/>
      <c r="H35" s="83">
        <f t="shared" si="7"/>
        <v>193.41064480586562</v>
      </c>
      <c r="I35" s="83">
        <f t="shared" si="8"/>
        <v>0.31023883927612328</v>
      </c>
      <c r="J35" s="83">
        <f t="shared" si="2"/>
        <v>2.8975813720258858</v>
      </c>
      <c r="K35" s="83">
        <f t="shared" si="3"/>
        <v>803.38153498283248</v>
      </c>
      <c r="L35" s="83">
        <f t="shared" si="0"/>
        <v>1000.0000000000001</v>
      </c>
      <c r="M35" s="84">
        <f t="shared" si="4"/>
        <v>303.11680258967067</v>
      </c>
      <c r="N35" s="85">
        <f t="shared" si="5"/>
        <v>196.61846501716764</v>
      </c>
      <c r="O35" s="86">
        <f>(uSuccessP*H35+uRevision*'NP1'!I35+uSuccessR*'NP1'!J35)/(1+oDR)^cycle</f>
        <v>108.22559401279631</v>
      </c>
      <c r="P35" s="27"/>
      <c r="Q35" s="27"/>
    </row>
    <row r="36" spans="1:17" x14ac:dyDescent="0.25">
      <c r="A36">
        <v>30</v>
      </c>
      <c r="C36" s="87">
        <f t="shared" si="6"/>
        <v>8.0197408955473559E-4</v>
      </c>
      <c r="E36" s="87">
        <f t="shared" si="1"/>
        <v>0.15480000000000002</v>
      </c>
      <c r="G36" s="23"/>
      <c r="H36" s="83">
        <f t="shared" si="7"/>
        <v>163.31556666413923</v>
      </c>
      <c r="I36" s="83">
        <f t="shared" si="8"/>
        <v>0.27101358065941389</v>
      </c>
      <c r="J36" s="83">
        <f t="shared" si="2"/>
        <v>2.5891416109258998</v>
      </c>
      <c r="K36" s="83">
        <f t="shared" si="3"/>
        <v>833.82427814427558</v>
      </c>
      <c r="L36" s="83">
        <f t="shared" si="0"/>
        <v>1000.0000000000001</v>
      </c>
      <c r="M36" s="84">
        <f t="shared" si="4"/>
        <v>249.80379577795952</v>
      </c>
      <c r="N36" s="85">
        <f t="shared" si="5"/>
        <v>166.17572185572453</v>
      </c>
      <c r="O36" s="86">
        <f>(uSuccessP*H36+uRevision*'NP1'!I36+uSuccessR*'NP1'!J36)/(1+oDR)^cycle</f>
        <v>90.105031143368052</v>
      </c>
      <c r="P36" s="27"/>
      <c r="Q36" s="27"/>
    </row>
    <row r="37" spans="1:17" x14ac:dyDescent="0.25">
      <c r="A37">
        <v>31</v>
      </c>
      <c r="C37" s="87">
        <f t="shared" si="6"/>
        <v>8.1419097279089581E-4</v>
      </c>
      <c r="E37" s="87">
        <f t="shared" si="1"/>
        <v>0.15480000000000002</v>
      </c>
      <c r="G37" s="23"/>
      <c r="H37" s="83">
        <f t="shared" si="7"/>
        <v>137.90134688443629</v>
      </c>
      <c r="I37" s="83">
        <f t="shared" si="8"/>
        <v>0.23653572453120791</v>
      </c>
      <c r="J37" s="83">
        <f t="shared" si="2"/>
        <v>2.3084172318776828</v>
      </c>
      <c r="K37" s="83">
        <f t="shared" si="3"/>
        <v>859.55370015915491</v>
      </c>
      <c r="L37" s="83">
        <f t="shared" si="0"/>
        <v>1000.0000000000001</v>
      </c>
      <c r="M37" s="84">
        <f t="shared" si="4"/>
        <v>205.68321698964502</v>
      </c>
      <c r="N37" s="85">
        <f t="shared" si="5"/>
        <v>140.44629984084517</v>
      </c>
      <c r="O37" s="86">
        <f>(uSuccessP*H37+uRevision*'NP1'!I37+uSuccessR*'NP1'!J37)/(1+oDR)^cycle</f>
        <v>75.018239033235446</v>
      </c>
      <c r="P37" s="27"/>
      <c r="Q37" s="27"/>
    </row>
    <row r="38" spans="1:17" x14ac:dyDescent="0.25">
      <c r="A38">
        <v>32</v>
      </c>
      <c r="C38" s="87">
        <f t="shared" si="6"/>
        <v>8.2619074868983677E-4</v>
      </c>
      <c r="E38" s="87">
        <f t="shared" si="1"/>
        <v>0.15480000000000002</v>
      </c>
      <c r="G38" s="23"/>
      <c r="H38" s="83">
        <f t="shared" si="7"/>
        <v>116.44028556969776</v>
      </c>
      <c r="I38" s="83">
        <f t="shared" si="8"/>
        <v>0.20626950630289662</v>
      </c>
      <c r="J38" s="83">
        <f t="shared" si="2"/>
        <v>2.0539268349910627</v>
      </c>
      <c r="K38" s="83">
        <f t="shared" si="3"/>
        <v>881.29951808900842</v>
      </c>
      <c r="L38" s="83">
        <f t="shared" ref="L38:L66" si="9">SUM(G38:K38)</f>
        <v>1000.0000000000001</v>
      </c>
      <c r="M38" s="84">
        <f t="shared" si="4"/>
        <v>169.2120463558698</v>
      </c>
      <c r="N38" s="85">
        <f t="shared" si="5"/>
        <v>118.70048191099173</v>
      </c>
      <c r="O38" s="86">
        <f>(uSuccessP*H38+uRevision*'NP1'!I38+uSuccessR*'NP1'!J38)/(1+oDR)^cycle</f>
        <v>62.457336980841731</v>
      </c>
      <c r="P38" s="27"/>
      <c r="Q38" s="27"/>
    </row>
    <row r="39" spans="1:17" x14ac:dyDescent="0.25">
      <c r="A39">
        <v>33</v>
      </c>
      <c r="C39" s="87">
        <f t="shared" si="6"/>
        <v>8.3798398935053253E-4</v>
      </c>
      <c r="E39" s="87">
        <f t="shared" ref="E39:E66" si="10">IF(male=0,VLOOKUP(cycle+age,lifetable,3,1),IF(male=1,VLOOKUP(cycle+age,lifetable,2,1),"error"))</f>
        <v>0.15480000000000002</v>
      </c>
      <c r="G39" s="23"/>
      <c r="H39" s="83">
        <f t="shared" si="7"/>
        <v>98.317754268485729</v>
      </c>
      <c r="I39" s="83">
        <f t="shared" si="8"/>
        <v>0.1797321684224531</v>
      </c>
      <c r="J39" s="83">
        <f t="shared" ref="J39:J66" si="11">I38*(1-mr-omrRTHR)+J38*(1-mr-rrr)</f>
        <v>1.8240354841359536</v>
      </c>
      <c r="K39" s="83">
        <f t="shared" ref="K39:K66" si="12">H38*mr+(I38+J38)*mr+G38*omrPTHR+I38*omrRTHR+K38</f>
        <v>899.678478078956</v>
      </c>
      <c r="L39" s="83">
        <f t="shared" si="9"/>
        <v>1000.0000000000001</v>
      </c>
      <c r="M39" s="84">
        <f t="shared" ref="M39:M66" si="13">(cPrimary*G39+cSuccess*H39+cRevision*I39+cSuccess*J39)/(1+cDR)^cycle</f>
        <v>139.09649839133621</v>
      </c>
      <c r="N39" s="85">
        <f t="shared" ref="N39:N66" si="14">(J39+I39+H39)</f>
        <v>100.32152192104414</v>
      </c>
      <c r="O39" s="86">
        <f>(uSuccessP*H39+uRevision*'NP1'!I39+uSuccessR*'NP1'!J39)/(1+oDR)^cycle</f>
        <v>51.999461463959172</v>
      </c>
      <c r="P39" s="27"/>
      <c r="Q39" s="27"/>
    </row>
    <row r="40" spans="1:17" x14ac:dyDescent="0.25">
      <c r="A40">
        <v>34</v>
      </c>
      <c r="C40" s="87">
        <f t="shared" si="6"/>
        <v>8.4958044487692952E-4</v>
      </c>
      <c r="E40" s="87">
        <f t="shared" si="10"/>
        <v>0.15480000000000002</v>
      </c>
      <c r="G40" s="23"/>
      <c r="H40" s="83">
        <f t="shared" si="7"/>
        <v>83.014637066313412</v>
      </c>
      <c r="I40" s="83">
        <f t="shared" si="8"/>
        <v>0.15649026077615891</v>
      </c>
      <c r="J40" s="83">
        <f t="shared" si="11"/>
        <v>1.617028357208478</v>
      </c>
      <c r="K40" s="83">
        <f t="shared" si="12"/>
        <v>915.21184431570214</v>
      </c>
      <c r="L40" s="83">
        <f t="shared" si="9"/>
        <v>1000.0000000000002</v>
      </c>
      <c r="M40" s="84">
        <f t="shared" si="13"/>
        <v>114.2541101487782</v>
      </c>
      <c r="N40" s="85">
        <f t="shared" si="14"/>
        <v>84.788155684298047</v>
      </c>
      <c r="O40" s="86">
        <f>(uSuccessP*H40+uRevision*'NP1'!I40+uSuccessR*'NP1'!J40)/(1+oDR)^cycle</f>
        <v>43.292535796347657</v>
      </c>
      <c r="P40" s="27"/>
      <c r="Q40" s="27"/>
    </row>
    <row r="41" spans="1:17" x14ac:dyDescent="0.25">
      <c r="A41">
        <v>35</v>
      </c>
      <c r="C41" s="87">
        <f t="shared" si="6"/>
        <v>8.6098912976584341E-4</v>
      </c>
      <c r="E41" s="87">
        <f t="shared" si="10"/>
        <v>0.15480000000000002</v>
      </c>
      <c r="G41" s="23"/>
      <c r="H41" s="83">
        <f t="shared" si="7"/>
        <v>70.092496548322544</v>
      </c>
      <c r="I41" s="83">
        <f t="shared" si="8"/>
        <v>0.13615583441389162</v>
      </c>
      <c r="J41" s="83">
        <f t="shared" si="11"/>
        <v>1.4311669964167526</v>
      </c>
      <c r="K41" s="83">
        <f t="shared" si="12"/>
        <v>928.34018062084704</v>
      </c>
      <c r="L41" s="83">
        <f t="shared" si="9"/>
        <v>1000.0000000000002</v>
      </c>
      <c r="M41" s="84">
        <f t="shared" si="13"/>
        <v>93.781010657867895</v>
      </c>
      <c r="N41" s="85">
        <f t="shared" si="14"/>
        <v>71.659819379153191</v>
      </c>
      <c r="O41" s="86">
        <f>(uSuccessP*H41+uRevision*'NP1'!I41+uSuccessR*'NP1'!J41)/(1+oDR)^cycle</f>
        <v>36.04342147115274</v>
      </c>
      <c r="P41" s="27"/>
      <c r="Q41" s="27"/>
    </row>
    <row r="42" spans="1:17" x14ac:dyDescent="0.25">
      <c r="A42">
        <v>36</v>
      </c>
      <c r="C42" s="87">
        <f t="shared" si="6"/>
        <v>8.7221839799012102E-4</v>
      </c>
      <c r="E42" s="87">
        <f t="shared" si="10"/>
        <v>0.15480000000000002</v>
      </c>
      <c r="G42" s="23"/>
      <c r="H42" s="83">
        <f t="shared" si="7"/>
        <v>59.181042117591701</v>
      </c>
      <c r="I42" s="83">
        <f t="shared" si="8"/>
        <v>0.11838264490717608</v>
      </c>
      <c r="J42" s="83">
        <f t="shared" si="11"/>
        <v>1.2647314600731123</v>
      </c>
      <c r="K42" s="83">
        <f t="shared" si="12"/>
        <v>939.4358437774282</v>
      </c>
      <c r="L42" s="83">
        <f t="shared" si="9"/>
        <v>1000.0000000000002</v>
      </c>
      <c r="M42" s="84">
        <f t="shared" si="13"/>
        <v>76.923817030582185</v>
      </c>
      <c r="N42" s="85">
        <f t="shared" si="14"/>
        <v>60.564156222571988</v>
      </c>
      <c r="O42" s="86">
        <f>(uSuccessP*H42+uRevision*'NP1'!I42+uSuccessR*'NP1'!J42)/(1+oDR)^cycle</f>
        <v>30.008052616677737</v>
      </c>
      <c r="P42" s="27"/>
      <c r="Q42" s="27"/>
    </row>
    <row r="43" spans="1:17" x14ac:dyDescent="0.25">
      <c r="A43">
        <v>37</v>
      </c>
      <c r="C43" s="87">
        <f t="shared" si="6"/>
        <v>8.8327600852844412E-4</v>
      </c>
      <c r="E43" s="87">
        <f t="shared" si="10"/>
        <v>0.15480000000000002</v>
      </c>
      <c r="G43" s="23"/>
      <c r="H43" s="83">
        <f t="shared" si="7"/>
        <v>49.967543603126323</v>
      </c>
      <c r="I43" s="83">
        <f t="shared" si="8"/>
        <v>0.10286245306510464</v>
      </c>
      <c r="J43" s="83">
        <f t="shared" si="11"/>
        <v>1.1160511302282716</v>
      </c>
      <c r="K43" s="83">
        <f t="shared" si="12"/>
        <v>948.81354281358051</v>
      </c>
      <c r="L43" s="83">
        <f t="shared" si="9"/>
        <v>1000.0000000000002</v>
      </c>
      <c r="M43" s="84">
        <f t="shared" si="13"/>
        <v>63.055619862322182</v>
      </c>
      <c r="N43" s="85">
        <f t="shared" si="14"/>
        <v>51.186457186419702</v>
      </c>
      <c r="O43" s="86">
        <f>(uSuccessP*H43+uRevision*'NP1'!I43+uSuccessR*'NP1'!J43)/(1+oDR)^cycle</f>
        <v>24.983221682574033</v>
      </c>
      <c r="P43" s="27"/>
      <c r="Q43" s="27"/>
    </row>
    <row r="44" spans="1:17" x14ac:dyDescent="0.25">
      <c r="A44">
        <v>38</v>
      </c>
      <c r="C44" s="87">
        <f t="shared" si="6"/>
        <v>8.9416918278795166E-4</v>
      </c>
      <c r="E44" s="87">
        <f t="shared" si="10"/>
        <v>0.15480000000000002</v>
      </c>
      <c r="G44" s="23"/>
      <c r="H44" s="83">
        <f t="shared" si="7"/>
        <v>42.187888415732836</v>
      </c>
      <c r="I44" s="83">
        <f t="shared" si="8"/>
        <v>8.9321482838659677E-2</v>
      </c>
      <c r="J44" s="83">
        <f t="shared" si="11"/>
        <v>0.98352646632912855</v>
      </c>
      <c r="K44" s="83">
        <f t="shared" si="12"/>
        <v>956.73926363509963</v>
      </c>
      <c r="L44" s="83">
        <f t="shared" si="9"/>
        <v>1000.0000000000002</v>
      </c>
      <c r="M44" s="84">
        <f t="shared" si="13"/>
        <v>51.655548942906563</v>
      </c>
      <c r="N44" s="85">
        <f t="shared" si="14"/>
        <v>43.260736364900623</v>
      </c>
      <c r="O44" s="86">
        <f>(uSuccessP*H44+uRevision*'NP1'!I44+uSuccessR*'NP1'!J44)/(1+oDR)^cycle</f>
        <v>20.799740010382223</v>
      </c>
      <c r="P44" s="27"/>
      <c r="Q44" s="27"/>
    </row>
    <row r="45" spans="1:17" x14ac:dyDescent="0.25">
      <c r="A45">
        <v>39</v>
      </c>
      <c r="C45" s="87">
        <f t="shared" si="6"/>
        <v>9.0490465510928431E-4</v>
      </c>
      <c r="E45" s="87">
        <f t="shared" si="10"/>
        <v>0.15480000000000002</v>
      </c>
      <c r="G45" s="23"/>
      <c r="H45" s="83">
        <f t="shared" si="7"/>
        <v>35.619027272360761</v>
      </c>
      <c r="I45" s="83">
        <f t="shared" si="8"/>
        <v>7.7517075269792846E-2</v>
      </c>
      <c r="J45" s="83">
        <f t="shared" si="11"/>
        <v>0.86564359832667614</v>
      </c>
      <c r="K45" s="83">
        <f t="shared" si="12"/>
        <v>963.43781205404298</v>
      </c>
      <c r="L45" s="83">
        <f t="shared" si="9"/>
        <v>1000.0000000000002</v>
      </c>
      <c r="M45" s="84">
        <f t="shared" si="13"/>
        <v>42.291449457005911</v>
      </c>
      <c r="N45" s="85">
        <f t="shared" si="14"/>
        <v>36.562187945957227</v>
      </c>
      <c r="O45" s="86">
        <f>(uSuccessP*H45+uRevision*'NP1'!I45+uSuccessR*'NP1'!J45)/(1+oDR)^cycle</f>
        <v>17.316743186153595</v>
      </c>
      <c r="P45" s="27"/>
      <c r="Q45" s="27"/>
    </row>
    <row r="46" spans="1:17" x14ac:dyDescent="0.25">
      <c r="A46">
        <v>40</v>
      </c>
      <c r="C46" s="87">
        <f t="shared" si="6"/>
        <v>9.1548871734425941E-4</v>
      </c>
      <c r="E46" s="87">
        <f t="shared" si="10"/>
        <v>0.15480000000000002</v>
      </c>
      <c r="G46" s="23"/>
      <c r="H46" s="83">
        <f t="shared" si="7"/>
        <v>30.07259303300869</v>
      </c>
      <c r="I46" s="83">
        <f t="shared" si="8"/>
        <v>6.7234561523690797E-2</v>
      </c>
      <c r="J46" s="83">
        <f t="shared" si="11"/>
        <v>0.76098331588527257</v>
      </c>
      <c r="K46" s="83">
        <f t="shared" si="12"/>
        <v>969.09918908958252</v>
      </c>
      <c r="L46" s="83">
        <f t="shared" si="9"/>
        <v>1000.0000000000002</v>
      </c>
      <c r="M46" s="84">
        <f t="shared" si="13"/>
        <v>34.605243006097545</v>
      </c>
      <c r="N46" s="85">
        <f t="shared" si="14"/>
        <v>30.900810910417654</v>
      </c>
      <c r="O46" s="86">
        <f>(uSuccessP*H46+uRevision*'NP1'!I46+uSuccessR*'NP1'!J46)/(1+oDR)^cycle</f>
        <v>14.416949579149119</v>
      </c>
      <c r="P46" s="27"/>
      <c r="Q46" s="27"/>
    </row>
    <row r="47" spans="1:17" x14ac:dyDescent="0.25">
      <c r="A47">
        <v>41</v>
      </c>
      <c r="C47" s="87">
        <f t="shared" si="6"/>
        <v>9.2592725833473555E-4</v>
      </c>
      <c r="E47" s="87">
        <f t="shared" si="10"/>
        <v>0.15480000000000002</v>
      </c>
      <c r="G47" s="23"/>
      <c r="H47" s="83">
        <f t="shared" si="7"/>
        <v>25.389510597880875</v>
      </c>
      <c r="I47" s="83">
        <f t="shared" si="8"/>
        <v>5.8284366253480907E-2</v>
      </c>
      <c r="J47" s="83">
        <f t="shared" si="11"/>
        <v>0.66822572612017095</v>
      </c>
      <c r="K47" s="83">
        <f t="shared" si="12"/>
        <v>973.88397930974565</v>
      </c>
      <c r="L47" s="83">
        <f t="shared" si="9"/>
        <v>1000.0000000000002</v>
      </c>
      <c r="M47" s="84">
        <f t="shared" si="13"/>
        <v>28.30059326336605</v>
      </c>
      <c r="N47" s="85">
        <f t="shared" si="14"/>
        <v>26.116020690254526</v>
      </c>
      <c r="O47" s="86">
        <f>(uSuccessP*H47+uRevision*'NP1'!I47+uSuccessR*'NP1'!J47)/(1+oDR)^cycle</f>
        <v>12.002712533819642</v>
      </c>
      <c r="P47" s="27"/>
      <c r="Q47" s="27"/>
    </row>
    <row r="48" spans="1:17" x14ac:dyDescent="0.25">
      <c r="A48">
        <v>42</v>
      </c>
      <c r="C48" s="87">
        <f t="shared" si="6"/>
        <v>9.3622579898622327E-4</v>
      </c>
      <c r="E48" s="87">
        <f t="shared" si="10"/>
        <v>0.15480000000000002</v>
      </c>
      <c r="G48" s="23"/>
      <c r="H48" s="83">
        <f t="shared" si="7"/>
        <v>21.435444042483542</v>
      </c>
      <c r="I48" s="83">
        <f t="shared" si="8"/>
        <v>5.0499343890177045E-2</v>
      </c>
      <c r="J48" s="83">
        <f t="shared" si="11"/>
        <v>0.58615161370433411</v>
      </c>
      <c r="K48" s="83">
        <f t="shared" si="12"/>
        <v>977.92790499992213</v>
      </c>
      <c r="L48" s="83">
        <f t="shared" si="9"/>
        <v>1000.0000000000002</v>
      </c>
      <c r="M48" s="84">
        <f t="shared" si="13"/>
        <v>23.132540513834911</v>
      </c>
      <c r="N48" s="85">
        <f t="shared" si="14"/>
        <v>22.072095000078054</v>
      </c>
      <c r="O48" s="86">
        <f>(uSuccessP*H48+uRevision*'NP1'!I48+uSuccessR*'NP1'!J48)/(1+oDR)^cycle</f>
        <v>9.9927333803585281</v>
      </c>
      <c r="P48" s="27"/>
      <c r="Q48" s="27"/>
    </row>
    <row r="49" spans="1:17" x14ac:dyDescent="0.25">
      <c r="A49">
        <v>43</v>
      </c>
      <c r="C49" s="87">
        <f t="shared" si="6"/>
        <v>9.4638952352144035E-4</v>
      </c>
      <c r="E49" s="87">
        <f t="shared" si="10"/>
        <v>0.15480000000000002</v>
      </c>
      <c r="G49" s="23"/>
      <c r="H49" s="83">
        <f t="shared" si="7"/>
        <v>18.096951025033253</v>
      </c>
      <c r="I49" s="83">
        <f t="shared" si="8"/>
        <v>4.3732344222009861E-2</v>
      </c>
      <c r="J49" s="83">
        <f t="shared" si="11"/>
        <v>0.5136413379329039</v>
      </c>
      <c r="K49" s="83">
        <f t="shared" si="12"/>
        <v>981.34567529281207</v>
      </c>
      <c r="L49" s="83">
        <f t="shared" si="9"/>
        <v>1000.0000000000002</v>
      </c>
      <c r="M49" s="84">
        <f t="shared" si="13"/>
        <v>18.898811286345744</v>
      </c>
      <c r="N49" s="85">
        <f t="shared" si="14"/>
        <v>18.654324707188167</v>
      </c>
      <c r="O49" s="86">
        <f>(uSuccessP*H49+uRevision*'NP1'!I49+uSuccessR*'NP1'!J49)/(1+oDR)^cycle</f>
        <v>8.3193246597164592</v>
      </c>
      <c r="P49" s="27"/>
      <c r="Q49" s="27"/>
    </row>
    <row r="50" spans="1:17" x14ac:dyDescent="0.25">
      <c r="A50">
        <v>44</v>
      </c>
      <c r="C50" s="87">
        <f t="shared" si="6"/>
        <v>9.5642330740963732E-4</v>
      </c>
      <c r="E50" s="87">
        <f t="shared" si="10"/>
        <v>0.15480000000000002</v>
      </c>
      <c r="G50" s="23"/>
      <c r="H50" s="83">
        <f t="shared" si="7"/>
        <v>15.278234660604712</v>
      </c>
      <c r="I50" s="83">
        <f t="shared" si="8"/>
        <v>3.7853999270708684E-2</v>
      </c>
      <c r="J50" s="83">
        <f t="shared" si="11"/>
        <v>0.44967193575557673</v>
      </c>
      <c r="K50" s="83">
        <f t="shared" si="12"/>
        <v>984.23423940436919</v>
      </c>
      <c r="L50" s="83">
        <f t="shared" si="9"/>
        <v>1000.0000000000002</v>
      </c>
      <c r="M50" s="84">
        <f t="shared" si="13"/>
        <v>15.432547939822218</v>
      </c>
      <c r="N50" s="85">
        <f t="shared" si="14"/>
        <v>15.765760595630997</v>
      </c>
      <c r="O50" s="86">
        <f>(uSuccessP*H50+uRevision*'NP1'!I50+uSuccessR*'NP1'!J50)/(1+oDR)^cycle</f>
        <v>6.9261314695466751</v>
      </c>
      <c r="P50" s="27"/>
      <c r="Q50" s="27"/>
    </row>
    <row r="51" spans="1:17" x14ac:dyDescent="0.25">
      <c r="A51">
        <v>45</v>
      </c>
      <c r="C51" s="87">
        <f t="shared" si="6"/>
        <v>9.66331742393578E-4</v>
      </c>
      <c r="E51" s="87">
        <f t="shared" si="10"/>
        <v>0.15480000000000002</v>
      </c>
      <c r="G51" s="23"/>
      <c r="H51" s="83">
        <f t="shared" si="7"/>
        <v>12.898400092022822</v>
      </c>
      <c r="I51" s="83">
        <f t="shared" si="8"/>
        <v>3.2750720550503182E-2</v>
      </c>
      <c r="J51" s="83">
        <f t="shared" si="11"/>
        <v>0.39331296286857914</v>
      </c>
      <c r="K51" s="83">
        <f t="shared" si="12"/>
        <v>986.6755362245583</v>
      </c>
      <c r="L51" s="83">
        <f t="shared" si="9"/>
        <v>1000.0000000000002</v>
      </c>
      <c r="M51" s="84">
        <f t="shared" si="13"/>
        <v>12.596238046099355</v>
      </c>
      <c r="N51" s="85">
        <f t="shared" si="14"/>
        <v>13.324463775441904</v>
      </c>
      <c r="O51" s="86">
        <f>(uSuccessP*H51+uRevision*'NP1'!I51+uSuccessR*'NP1'!J51)/(1+oDR)^cycle</f>
        <v>5.7662342505344677</v>
      </c>
      <c r="P51" s="27"/>
      <c r="Q51" s="27"/>
    </row>
    <row r="52" spans="1:17" x14ac:dyDescent="0.25">
      <c r="A52">
        <v>46</v>
      </c>
      <c r="C52" s="87">
        <f t="shared" si="6"/>
        <v>9.761191589737761E-4</v>
      </c>
      <c r="E52" s="87">
        <f t="shared" si="10"/>
        <v>0.15480000000000002</v>
      </c>
      <c r="G52" s="23"/>
      <c r="H52" s="83">
        <f t="shared" si="7"/>
        <v>10.889137382327755</v>
      </c>
      <c r="I52" s="83">
        <f t="shared" si="8"/>
        <v>2.8322893964675758E-2</v>
      </c>
      <c r="J52" s="83">
        <f t="shared" si="11"/>
        <v>0.34372149230005511</v>
      </c>
      <c r="K52" s="83">
        <f t="shared" si="12"/>
        <v>988.73881823140766</v>
      </c>
      <c r="L52" s="83">
        <f t="shared" si="9"/>
        <v>1000.0000000000001</v>
      </c>
      <c r="M52" s="84">
        <f t="shared" si="13"/>
        <v>10.276654627506955</v>
      </c>
      <c r="N52" s="85">
        <f t="shared" si="14"/>
        <v>11.261181768592486</v>
      </c>
      <c r="O52" s="86">
        <f>(uSuccessP*H52+uRevision*'NP1'!I52+uSuccessR*'NP1'!J52)/(1+oDR)^cycle</f>
        <v>4.8005691662544985</v>
      </c>
      <c r="P52" s="27"/>
      <c r="Q52" s="27"/>
    </row>
    <row r="53" spans="1:17" x14ac:dyDescent="0.25">
      <c r="A53">
        <v>47</v>
      </c>
      <c r="C53" s="87">
        <f t="shared" si="6"/>
        <v>9.8578964665785307E-4</v>
      </c>
      <c r="E53" s="87">
        <f t="shared" si="10"/>
        <v>0.15480000000000002</v>
      </c>
      <c r="G53" s="23"/>
      <c r="H53" s="83">
        <f t="shared" si="7"/>
        <v>9.1927645166508842</v>
      </c>
      <c r="I53" s="83">
        <f t="shared" si="8"/>
        <v>2.44832585845359E-2</v>
      </c>
      <c r="J53" s="83">
        <f t="shared" si="11"/>
        <v>0.30013659769965478</v>
      </c>
      <c r="K53" s="83">
        <f t="shared" si="12"/>
        <v>990.48261562706512</v>
      </c>
      <c r="L53" s="83">
        <f t="shared" si="9"/>
        <v>1000.0000000000002</v>
      </c>
      <c r="M53" s="84">
        <f t="shared" si="13"/>
        <v>8.3806458579363508</v>
      </c>
      <c r="N53" s="85">
        <f t="shared" si="14"/>
        <v>9.5173843729350747</v>
      </c>
      <c r="O53" s="86">
        <f>(uSuccessP*H53+uRevision*'NP1'!I53+uSuccessR*'NP1'!J53)/(1+oDR)^cycle</f>
        <v>3.9966129156792611</v>
      </c>
      <c r="P53" s="27"/>
      <c r="Q53" s="27"/>
    </row>
    <row r="54" spans="1:17" x14ac:dyDescent="0.25">
      <c r="A54">
        <v>48</v>
      </c>
      <c r="C54" s="87">
        <f t="shared" si="6"/>
        <v>9.953470722412483E-4</v>
      </c>
      <c r="E54" s="87">
        <f t="shared" si="10"/>
        <v>0.15480000000000002</v>
      </c>
      <c r="G54" s="23"/>
      <c r="H54" s="83">
        <f t="shared" si="7"/>
        <v>7.7605745782258753</v>
      </c>
      <c r="I54" s="83">
        <f t="shared" si="8"/>
        <v>2.1155455155437885E-2</v>
      </c>
      <c r="J54" s="83">
        <f t="shared" si="11"/>
        <v>0.26187357345172102</v>
      </c>
      <c r="K54" s="83">
        <f t="shared" si="12"/>
        <v>991.95639639316721</v>
      </c>
      <c r="L54" s="83">
        <f t="shared" si="9"/>
        <v>1000.0000000000002</v>
      </c>
      <c r="M54" s="84">
        <f t="shared" si="13"/>
        <v>6.8316369337589213</v>
      </c>
      <c r="N54" s="85">
        <f t="shared" si="14"/>
        <v>8.0436036068330345</v>
      </c>
      <c r="O54" s="86">
        <f>(uSuccessP*H54+uRevision*'NP1'!I54+uSuccessR*'NP1'!J54)/(1+oDR)^cycle</f>
        <v>3.3272877151111504</v>
      </c>
      <c r="P54" s="27"/>
      <c r="Q54" s="27"/>
    </row>
    <row r="55" spans="1:17" x14ac:dyDescent="0.25">
      <c r="A55">
        <v>49</v>
      </c>
      <c r="C55" s="87">
        <f t="shared" si="6"/>
        <v>1.0047950963462116E-3</v>
      </c>
      <c r="E55" s="87">
        <f t="shared" si="10"/>
        <v>0.15480000000000002</v>
      </c>
      <c r="G55" s="23"/>
      <c r="H55" s="83">
        <f t="shared" si="7"/>
        <v>6.5514398462354793</v>
      </c>
      <c r="I55" s="83">
        <f t="shared" si="8"/>
        <v>1.8272730219099267E-2</v>
      </c>
      <c r="J55" s="83">
        <f t="shared" si="11"/>
        <v>0.22831808293759309</v>
      </c>
      <c r="K55" s="83">
        <f t="shared" si="12"/>
        <v>993.20196934060812</v>
      </c>
      <c r="L55" s="83">
        <f t="shared" si="9"/>
        <v>1000.0000000000003</v>
      </c>
      <c r="M55" s="84">
        <f t="shared" si="13"/>
        <v>5.5667277415760719</v>
      </c>
      <c r="N55" s="85">
        <f t="shared" si="14"/>
        <v>6.7980306593921718</v>
      </c>
      <c r="O55" s="86">
        <f>(uSuccessP*H55+uRevision*'NP1'!I55+uSuccessR*'NP1'!J55)/(1+oDR)^cycle</f>
        <v>2.7700495948798727</v>
      </c>
      <c r="P55" s="27"/>
      <c r="Q55" s="27"/>
    </row>
    <row r="56" spans="1:17" x14ac:dyDescent="0.25">
      <c r="A56">
        <v>50</v>
      </c>
      <c r="C56" s="87">
        <f t="shared" si="6"/>
        <v>1.0141371884196948E-3</v>
      </c>
      <c r="E56" s="87">
        <f t="shared" si="10"/>
        <v>0.15480000000000002</v>
      </c>
      <c r="G56" s="23"/>
      <c r="H56" s="83">
        <f t="shared" si="7"/>
        <v>5.5306328992524652</v>
      </c>
      <c r="I56" s="83">
        <f t="shared" si="8"/>
        <v>1.5776782103265729E-2</v>
      </c>
      <c r="J56" s="83">
        <f t="shared" si="11"/>
        <v>0.19892037735815066</v>
      </c>
      <c r="K56" s="83">
        <f t="shared" si="12"/>
        <v>994.25466994128635</v>
      </c>
      <c r="L56" s="83">
        <f t="shared" si="9"/>
        <v>1000.0000000000002</v>
      </c>
      <c r="M56" s="84">
        <f t="shared" si="13"/>
        <v>4.5342879982327053</v>
      </c>
      <c r="N56" s="85">
        <f t="shared" si="14"/>
        <v>5.7453300587138818</v>
      </c>
      <c r="O56" s="86">
        <f>(uSuccessP*H56+uRevision*'NP1'!I56+uSuccessR*'NP1'!J56)/(1+oDR)^cycle</f>
        <v>2.3061293248182344</v>
      </c>
      <c r="P56" s="27"/>
      <c r="Q56" s="27"/>
    </row>
    <row r="57" spans="1:17" x14ac:dyDescent="0.25">
      <c r="A57">
        <v>51</v>
      </c>
      <c r="C57" s="87">
        <f t="shared" si="6"/>
        <v>1.0233766403596745E-3</v>
      </c>
      <c r="E57" s="87">
        <f t="shared" si="10"/>
        <v>0.15480000000000002</v>
      </c>
      <c r="G57" s="23"/>
      <c r="H57" s="83">
        <f t="shared" si="7"/>
        <v>4.6688310059326836</v>
      </c>
      <c r="I57" s="83">
        <f t="shared" si="8"/>
        <v>1.3616735609825702E-2</v>
      </c>
      <c r="J57" s="83">
        <f t="shared" si="11"/>
        <v>0.17318968844039775</v>
      </c>
      <c r="K57" s="83">
        <f t="shared" si="12"/>
        <v>995.14436257001728</v>
      </c>
      <c r="L57" s="83">
        <f t="shared" si="9"/>
        <v>1000.0000000000002</v>
      </c>
      <c r="M57" s="84">
        <f t="shared" si="13"/>
        <v>3.6919670254617074</v>
      </c>
      <c r="N57" s="85">
        <f t="shared" si="14"/>
        <v>4.8556374299829068</v>
      </c>
      <c r="O57" s="86">
        <f>(uSuccessP*H57+uRevision*'NP1'!I57+uSuccessR*'NP1'!J57)/(1+oDR)^cycle</f>
        <v>1.9199004187912214</v>
      </c>
      <c r="P57" s="27"/>
      <c r="Q57" s="27"/>
    </row>
    <row r="58" spans="1:17" x14ac:dyDescent="0.25">
      <c r="A58">
        <v>52</v>
      </c>
      <c r="C58" s="87">
        <f t="shared" si="6"/>
        <v>1.0325165789211166E-3</v>
      </c>
      <c r="E58" s="87">
        <f t="shared" si="10"/>
        <v>0.15480000000000002</v>
      </c>
      <c r="G58" s="23"/>
      <c r="H58" s="83">
        <f t="shared" si="7"/>
        <v>3.9412753207964975</v>
      </c>
      <c r="I58" s="83">
        <f t="shared" si="8"/>
        <v>1.174823295542236E-2</v>
      </c>
      <c r="J58" s="83">
        <f t="shared" si="11"/>
        <v>0.15068886735743642</v>
      </c>
      <c r="K58" s="83">
        <f t="shared" si="12"/>
        <v>995.89628757889079</v>
      </c>
      <c r="L58" s="83">
        <f t="shared" si="9"/>
        <v>1000.0000000000001</v>
      </c>
      <c r="M58" s="84">
        <f t="shared" si="13"/>
        <v>3.0050485488096919</v>
      </c>
      <c r="N58" s="85">
        <f t="shared" si="14"/>
        <v>4.1037124211093561</v>
      </c>
      <c r="O58" s="86">
        <f>(uSuccessP*H58+uRevision*'NP1'!I58+uSuccessR*'NP1'!J58)/(1+oDR)^cycle</f>
        <v>1.5983529451762217</v>
      </c>
      <c r="P58" s="27"/>
      <c r="Q58" s="27"/>
    </row>
    <row r="59" spans="1:17" x14ac:dyDescent="0.25">
      <c r="A59">
        <v>53</v>
      </c>
      <c r="C59" s="87">
        <f t="shared" si="6"/>
        <v>1.0415599770320361E-3</v>
      </c>
      <c r="E59" s="87">
        <f t="shared" si="10"/>
        <v>0.15480000000000002</v>
      </c>
      <c r="G59" s="23"/>
      <c r="H59" s="83">
        <f t="shared" si="7"/>
        <v>3.3270608265045936</v>
      </c>
      <c r="I59" s="83">
        <f t="shared" si="8"/>
        <v>1.0132629326903187E-2</v>
      </c>
      <c r="J59" s="83">
        <f t="shared" si="11"/>
        <v>0.13102931783102231</v>
      </c>
      <c r="K59" s="83">
        <f t="shared" si="12"/>
        <v>996.53177722633768</v>
      </c>
      <c r="L59" s="83">
        <f t="shared" si="9"/>
        <v>1000.0000000000002</v>
      </c>
      <c r="M59" s="84">
        <f t="shared" si="13"/>
        <v>2.4450921619023886</v>
      </c>
      <c r="N59" s="85">
        <f t="shared" si="14"/>
        <v>3.4682227736625189</v>
      </c>
      <c r="O59" s="86">
        <f>(uSuccessP*H59+uRevision*'NP1'!I59+uSuccessR*'NP1'!J59)/(1+oDR)^cycle</f>
        <v>1.33065543103757</v>
      </c>
      <c r="P59" s="27"/>
      <c r="Q59" s="27"/>
    </row>
    <row r="60" spans="1:17" x14ac:dyDescent="0.25">
      <c r="A60">
        <v>54</v>
      </c>
      <c r="C60" s="87">
        <f t="shared" si="6"/>
        <v>1.0505096641344469E-3</v>
      </c>
      <c r="E60" s="87">
        <f t="shared" si="10"/>
        <v>0.15480000000000002</v>
      </c>
      <c r="G60" s="23"/>
      <c r="H60" s="83">
        <f t="shared" si="7"/>
        <v>2.8085367010102762</v>
      </c>
      <c r="I60" s="83">
        <f t="shared" si="8"/>
        <v>8.7362822646471078E-3</v>
      </c>
      <c r="J60" s="83">
        <f t="shared" si="11"/>
        <v>0.11386625243809967</v>
      </c>
      <c r="K60" s="83">
        <f t="shared" si="12"/>
        <v>997.06886076428714</v>
      </c>
      <c r="L60" s="83">
        <f t="shared" si="9"/>
        <v>1000.0000000000001</v>
      </c>
      <c r="M60" s="84">
        <f t="shared" si="13"/>
        <v>1.9888126335542591</v>
      </c>
      <c r="N60" s="85">
        <f t="shared" si="14"/>
        <v>2.9311392357130228</v>
      </c>
      <c r="O60" s="86">
        <f>(uSuccessP*H60+uRevision*'NP1'!I60+uSuccessR*'NP1'!J60)/(1+oDR)^cycle</f>
        <v>1.1077901125945069</v>
      </c>
      <c r="P60" s="27"/>
      <c r="Q60" s="27"/>
    </row>
    <row r="61" spans="1:17" x14ac:dyDescent="0.25">
      <c r="A61">
        <v>55</v>
      </c>
      <c r="C61" s="87">
        <f t="shared" si="6"/>
        <v>1.0593683356502348E-3</v>
      </c>
      <c r="E61" s="87">
        <f t="shared" si="10"/>
        <v>0.15480000000000002</v>
      </c>
      <c r="G61" s="23"/>
      <c r="H61" s="83">
        <f t="shared" si="7"/>
        <v>2.3707999448433235</v>
      </c>
      <c r="I61" s="83">
        <f t="shared" si="8"/>
        <v>7.5299249480858445E-3</v>
      </c>
      <c r="J61" s="83">
        <f t="shared" si="11"/>
        <v>9.8894286587944635E-2</v>
      </c>
      <c r="K61" s="83">
        <f t="shared" si="12"/>
        <v>997.52277584362082</v>
      </c>
      <c r="L61" s="83">
        <f t="shared" si="9"/>
        <v>1000.0000000000002</v>
      </c>
      <c r="M61" s="84">
        <f t="shared" si="13"/>
        <v>1.6171562923810523</v>
      </c>
      <c r="N61" s="85">
        <f t="shared" si="14"/>
        <v>2.477224156379354</v>
      </c>
      <c r="O61" s="86">
        <f>(uSuccessP*H61+uRevision*'NP1'!I61+uSuccessR*'NP1'!J61)/(1+oDR)^cycle</f>
        <v>0.92224925319163797</v>
      </c>
      <c r="P61" s="27"/>
      <c r="Q61" s="27"/>
    </row>
    <row r="62" spans="1:17" x14ac:dyDescent="0.25">
      <c r="A62">
        <v>56</v>
      </c>
      <c r="C62" s="87">
        <f t="shared" si="6"/>
        <v>1.0681385616616579E-3</v>
      </c>
      <c r="E62" s="87">
        <f t="shared" si="10"/>
        <v>0.15480000000000002</v>
      </c>
      <c r="G62" s="23"/>
      <c r="H62" s="83">
        <f t="shared" si="7"/>
        <v>2.0012677705385045</v>
      </c>
      <c r="I62" s="83">
        <f t="shared" si="8"/>
        <v>6.4881143065902702E-3</v>
      </c>
      <c r="J62" s="83">
        <f t="shared" si="11"/>
        <v>8.5843373627773445E-2</v>
      </c>
      <c r="K62" s="83">
        <f t="shared" si="12"/>
        <v>997.90640074152725</v>
      </c>
      <c r="L62" s="83">
        <f t="shared" si="9"/>
        <v>1000.0000000000001</v>
      </c>
      <c r="M62" s="84">
        <f t="shared" si="13"/>
        <v>1.3145405115260353</v>
      </c>
      <c r="N62" s="85">
        <f t="shared" si="14"/>
        <v>2.0935992584728682</v>
      </c>
      <c r="O62" s="86">
        <f>(uSuccessP*H62+uRevision*'NP1'!I62+uSuccessR*'NP1'!J62)/(1+oDR)^cycle</f>
        <v>0.76778230539724601</v>
      </c>
      <c r="P62" s="27"/>
      <c r="Q62" s="27"/>
    </row>
    <row r="63" spans="1:17" x14ac:dyDescent="0.25">
      <c r="A63">
        <v>57</v>
      </c>
      <c r="C63" s="87">
        <f t="shared" si="6"/>
        <v>1.076822794882748E-3</v>
      </c>
      <c r="E63" s="87">
        <f t="shared" si="10"/>
        <v>0.15480000000000002</v>
      </c>
      <c r="G63" s="23"/>
      <c r="H63" s="83">
        <f t="shared" si="7"/>
        <v>1.6893165089051638</v>
      </c>
      <c r="I63" s="83">
        <f t="shared" si="8"/>
        <v>5.5887456990909761E-3</v>
      </c>
      <c r="J63" s="83">
        <f t="shared" si="11"/>
        <v>7.4475076370881452E-2</v>
      </c>
      <c r="K63" s="83">
        <f t="shared" si="12"/>
        <v>998.23061966902503</v>
      </c>
      <c r="L63" s="83">
        <f t="shared" si="9"/>
        <v>1000.0000000000001</v>
      </c>
      <c r="M63" s="84">
        <f t="shared" si="13"/>
        <v>1.0682280201241205</v>
      </c>
      <c r="N63" s="85">
        <f t="shared" si="14"/>
        <v>1.7693803309751361</v>
      </c>
      <c r="O63" s="86">
        <f>(uSuccessP*H63+uRevision*'NP1'!I63+uSuccessR*'NP1'!J63)/(1+oDR)^cycle</f>
        <v>0.63918540523120637</v>
      </c>
      <c r="P63" s="27"/>
      <c r="Q63" s="27"/>
    </row>
    <row r="64" spans="1:17" x14ac:dyDescent="0.25">
      <c r="A64">
        <v>58</v>
      </c>
      <c r="C64" s="87">
        <f t="shared" si="6"/>
        <v>1.0854233779941103E-3</v>
      </c>
      <c r="E64" s="87">
        <f t="shared" si="10"/>
        <v>0.15480000000000002</v>
      </c>
      <c r="G64" s="23"/>
      <c r="H64" s="83">
        <f t="shared" si="7"/>
        <v>1.4259766896950474</v>
      </c>
      <c r="I64" s="83">
        <f t="shared" si="8"/>
        <v>4.8126266864323185E-3</v>
      </c>
      <c r="J64" s="83">
        <f t="shared" si="11"/>
        <v>6.4579164444723614E-2</v>
      </c>
      <c r="K64" s="83">
        <f t="shared" si="12"/>
        <v>998.50463151917393</v>
      </c>
      <c r="L64" s="83">
        <f t="shared" si="9"/>
        <v>1000.0000000000001</v>
      </c>
      <c r="M64" s="84">
        <f t="shared" si="13"/>
        <v>0.86781255017363901</v>
      </c>
      <c r="N64" s="85">
        <f t="shared" si="14"/>
        <v>1.4953684808262033</v>
      </c>
      <c r="O64" s="86">
        <f>(uSuccessP*H64+uRevision*'NP1'!I64+uSuccessR*'NP1'!J64)/(1+oDR)^cycle</f>
        <v>0.53212611144196242</v>
      </c>
      <c r="P64" s="27"/>
      <c r="Q64" s="27"/>
    </row>
    <row r="65" spans="1:17" x14ac:dyDescent="0.25">
      <c r="A65">
        <v>59</v>
      </c>
      <c r="C65" s="87">
        <f t="shared" si="6"/>
        <v>1.093942550398519E-3</v>
      </c>
      <c r="E65" s="87">
        <f t="shared" si="10"/>
        <v>0.15480000000000002</v>
      </c>
      <c r="G65" s="23"/>
      <c r="H65" s="83">
        <f t="shared" si="7"/>
        <v>1.2036755615535202</v>
      </c>
      <c r="I65" s="83">
        <f t="shared" si="8"/>
        <v>4.1431031545227821E-3</v>
      </c>
      <c r="J65" s="83">
        <f t="shared" si="11"/>
        <v>5.5970522752535397E-2</v>
      </c>
      <c r="K65" s="83">
        <f t="shared" si="12"/>
        <v>998.73621081253953</v>
      </c>
      <c r="L65" s="83">
        <f t="shared" si="9"/>
        <v>1000.0000000000001</v>
      </c>
      <c r="M65" s="84">
        <f t="shared" si="13"/>
        <v>0.70479632810362269</v>
      </c>
      <c r="N65" s="85">
        <f t="shared" si="14"/>
        <v>1.2637891874605784</v>
      </c>
      <c r="O65" s="86">
        <f>(uSuccessP*H65+uRevision*'NP1'!I65+uSuccessR*'NP1'!J65)/(1+oDR)^cycle</f>
        <v>0.44299748915574888</v>
      </c>
      <c r="P65" s="27"/>
      <c r="Q65" s="27"/>
    </row>
    <row r="66" spans="1:17" x14ac:dyDescent="0.25">
      <c r="A66">
        <v>60</v>
      </c>
      <c r="C66" s="87">
        <f t="shared" si="6"/>
        <v>1.1023824544542649E-3</v>
      </c>
      <c r="E66" s="87">
        <f t="shared" si="10"/>
        <v>0.15480000000000002</v>
      </c>
      <c r="G66" s="23"/>
      <c r="H66" s="83">
        <f t="shared" si="7"/>
        <v>1.0160196738051233</v>
      </c>
      <c r="I66" s="83">
        <f t="shared" si="8"/>
        <v>3.5657317300134012E-3</v>
      </c>
      <c r="J66" s="83">
        <f t="shared" si="11"/>
        <v>4.8486353643453696E-2</v>
      </c>
      <c r="K66" s="83">
        <f t="shared" si="12"/>
        <v>998.93192824082155</v>
      </c>
      <c r="L66" s="83">
        <f t="shared" si="9"/>
        <v>1000.0000000000001</v>
      </c>
      <c r="M66" s="84">
        <f t="shared" si="13"/>
        <v>0.57224326075506227</v>
      </c>
      <c r="N66" s="85">
        <f t="shared" si="14"/>
        <v>1.0680717591785904</v>
      </c>
      <c r="O66" s="86">
        <f>(uSuccessP*H66+uRevision*'NP1'!I66+uSuccessR*'NP1'!J66)/(1+oDR)^cycle</f>
        <v>0.36879662503205707</v>
      </c>
      <c r="P66" s="27"/>
      <c r="Q66" s="27"/>
    </row>
    <row r="67" spans="1:17" x14ac:dyDescent="0.25">
      <c r="M67" s="43" t="s">
        <v>97</v>
      </c>
      <c r="N67" s="43" t="s">
        <v>98</v>
      </c>
      <c r="O67" s="43" t="s">
        <v>99</v>
      </c>
    </row>
    <row r="68" spans="1:17" x14ac:dyDescent="0.25">
      <c r="I68" s="27"/>
      <c r="M68" s="81">
        <f>SUM(M6:M66)/1000</f>
        <v>610.31181775758273</v>
      </c>
      <c r="N68" s="82">
        <f>SUM(N6:N66)/1000</f>
        <v>20.917790824807657</v>
      </c>
      <c r="O68" s="80">
        <f>SUM(O6:O66)/1000</f>
        <v>14.697709857306155</v>
      </c>
    </row>
    <row r="69" spans="1:17" x14ac:dyDescent="0.25">
      <c r="I69" s="27"/>
    </row>
  </sheetData>
  <phoneticPr fontId="0" type="noConversion"/>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39</vt:i4>
      </vt:variant>
    </vt:vector>
  </HeadingPairs>
  <TitlesOfParts>
    <vt:vector size="46" baseType="lpstr">
      <vt:lpstr>Model Figure</vt:lpstr>
      <vt:lpstr>Analysis</vt:lpstr>
      <vt:lpstr>Parameters</vt:lpstr>
      <vt:lpstr>Life tables</vt:lpstr>
      <vt:lpstr>Hazard function</vt:lpstr>
      <vt:lpstr>Standard</vt:lpstr>
      <vt:lpstr>NP1</vt:lpstr>
      <vt:lpstr>age</vt:lpstr>
      <vt:lpstr>ageC</vt:lpstr>
      <vt:lpstr>cDR</vt:lpstr>
      <vt:lpstr>cNP1</vt:lpstr>
      <vt:lpstr>cNP2</vt:lpstr>
      <vt:lpstr>cons</vt:lpstr>
      <vt:lpstr>cPrimary</vt:lpstr>
      <vt:lpstr>cRevision</vt:lpstr>
      <vt:lpstr>cStandard</vt:lpstr>
      <vt:lpstr>cSuccess</vt:lpstr>
      <vt:lpstr>NP1!cycle</vt:lpstr>
      <vt:lpstr>cycle</vt:lpstr>
      <vt:lpstr>gamma</vt:lpstr>
      <vt:lpstr>lambda</vt:lpstr>
      <vt:lpstr>lifetable</vt:lpstr>
      <vt:lpstr>lngam</vt:lpstr>
      <vt:lpstr>lnlam</vt:lpstr>
      <vt:lpstr>male</vt:lpstr>
      <vt:lpstr>maleC</vt:lpstr>
      <vt:lpstr>NP1!mr</vt:lpstr>
      <vt:lpstr>mr</vt:lpstr>
      <vt:lpstr>NP1cost</vt:lpstr>
      <vt:lpstr>NP1lys</vt:lpstr>
      <vt:lpstr>NP1qalys</vt:lpstr>
      <vt:lpstr>np1RR</vt:lpstr>
      <vt:lpstr>oDR</vt:lpstr>
      <vt:lpstr>omrPTHR</vt:lpstr>
      <vt:lpstr>omrRTHR</vt:lpstr>
      <vt:lpstr>Parameters!Print_Area</vt:lpstr>
      <vt:lpstr>rrNP1</vt:lpstr>
      <vt:lpstr>rrNP2</vt:lpstr>
      <vt:lpstr>rrr</vt:lpstr>
      <vt:lpstr>standardRR</vt:lpstr>
      <vt:lpstr>STDcost</vt:lpstr>
      <vt:lpstr>STDlys</vt:lpstr>
      <vt:lpstr>STDqalys</vt:lpstr>
      <vt:lpstr>uRevision</vt:lpstr>
      <vt:lpstr>uSuccessP</vt:lpstr>
      <vt:lpstr>uSuccessR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Authorized Customer</dc:creator>
  <cp:lastModifiedBy>LIN, Yi Ting</cp:lastModifiedBy>
  <cp:lastPrinted>2023-10-27T09:45:36Z</cp:lastPrinted>
  <dcterms:created xsi:type="dcterms:W3CDTF">1996-10-22T18:25:37Z</dcterms:created>
  <dcterms:modified xsi:type="dcterms:W3CDTF">2023-10-27T10:28:02Z</dcterms:modified>
</cp:coreProperties>
</file>