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evEfficiencyTable1" sheetId="2" r:id="rId5"/>
    <sheet name="RevEfficiencyTable2" sheetId="3" r:id="rId6"/>
  </sheets>
</workbook>
</file>

<file path=xl/sharedStrings.xml><?xml version="1.0" encoding="utf-8"?>
<sst xmlns="http://schemas.openxmlformats.org/spreadsheetml/2006/main" uniqueCount="341">
  <si>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</si>
  <si>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</si>
  <si>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</si>
  <si>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</si>
  <si>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</si>
  <si>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</si>
  <si>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RevEfficiencyTable1</t>
  </si>
  <si>
    <r>
      <rPr>
        <u val="single"/>
        <sz val="12"/>
        <color indexed="11"/>
        <rFont val="Calibri"/>
      </rPr>
      <t>RevEfficiencyTable1</t>
    </r>
  </si>
  <si>
    <t>RevEfficiencyTable2</t>
  </si>
  <si>
    <r>
      <rPr>
        <u val="single"/>
        <sz val="12"/>
        <color indexed="11"/>
        <rFont val="Calibri"/>
      </rPr>
      <t>RevEfficiencyTable2</t>
    </r>
  </si>
  <si>
    <t>SPF CPI</t>
  </si>
  <si>
    <t>SPF PCE</t>
  </si>
  <si>
    <t>SCE</t>
  </si>
  <si>
    <t>Test 1.  Revision efficiency of mean forecast</t>
  </si>
  <si>
    <t>Mean revision</t>
  </si>
  <si>
    <t xml:space="preserve">t-1 </t>
  </si>
  <si>
    <t>t-1- t-2</t>
  </si>
  <si>
    <t>t-1-t-3</t>
  </si>
  <si>
    <t>L.InfExp_Mean_rv</t>
  </si>
  <si>
    <t>0.482***</t>
  </si>
  <si>
    <t>0.406***</t>
  </si>
  <si>
    <t>0.400***</t>
  </si>
  <si>
    <t>0.569***</t>
  </si>
  <si>
    <t>0.473***</t>
  </si>
  <si>
    <t>0.456***</t>
  </si>
  <si>
    <t>0.986***</t>
  </si>
  <si>
    <t>0.844***</t>
  </si>
  <si>
    <t>0.861***</t>
  </si>
  <si>
    <t>(0.037)</t>
  </si>
  <si>
    <t>(0.040)</t>
  </si>
  <si>
    <t>(0.044)</t>
  </si>
  <si>
    <t>(0.050)</t>
  </si>
  <si>
    <t>(0.069)</t>
  </si>
  <si>
    <t>(0.080)</t>
  </si>
  <si>
    <t>(0.048)</t>
  </si>
  <si>
    <t>(0.111)</t>
  </si>
  <si>
    <t>(0.114)</t>
  </si>
  <si>
    <t>L2.InfExp_Mean_rv</t>
  </si>
  <si>
    <t>0.153***</t>
  </si>
  <si>
    <t>0.121**</t>
  </si>
  <si>
    <t>0.164**</t>
  </si>
  <si>
    <t>0.133*</t>
  </si>
  <si>
    <t>0.130</t>
  </si>
  <si>
    <t>0.119</t>
  </si>
  <si>
    <t>(0.036)</t>
  </si>
  <si>
    <t>(0.039)</t>
  </si>
  <si>
    <t>(0.051)</t>
  </si>
  <si>
    <t>(0.058)</t>
  </si>
  <si>
    <t>(0.115)</t>
  </si>
  <si>
    <t>(0.125)</t>
  </si>
  <si>
    <t>L3.InfExp_Mean_rv</t>
  </si>
  <si>
    <t>0.054</t>
  </si>
  <si>
    <t>0.080</t>
  </si>
  <si>
    <t>0.047</t>
  </si>
  <si>
    <t>0.250</t>
  </si>
  <si>
    <t>(0.045)</t>
  </si>
  <si>
    <t>(0.116)</t>
  </si>
  <si>
    <t>(0.157)</t>
  </si>
  <si>
    <t>SPFCPI_ct50</t>
  </si>
  <si>
    <t>0.393**</t>
  </si>
  <si>
    <t>0.370*</t>
  </si>
  <si>
    <t>0.354*</t>
  </si>
  <si>
    <t>L4.InfExp_Mean_rv</t>
  </si>
  <si>
    <t>-0.195</t>
  </si>
  <si>
    <t>(0.120)</t>
  </si>
  <si>
    <t>(0.142)</t>
  </si>
  <si>
    <t>(0.149)</t>
  </si>
  <si>
    <t>(0.156)</t>
  </si>
  <si>
    <t>SPFPCE_ct50</t>
  </si>
  <si>
    <t>0.380**</t>
  </si>
  <si>
    <t>0.341*</t>
  </si>
  <si>
    <t>0.340*</t>
  </si>
  <si>
    <t>L5.InfExp_Mean_rv</t>
  </si>
  <si>
    <t>0.091</t>
  </si>
  <si>
    <t>(0.134)</t>
  </si>
  <si>
    <t>(0.143)</t>
  </si>
  <si>
    <t>(0.141)</t>
  </si>
  <si>
    <t>L6.InfExp_Mean_rv</t>
  </si>
  <si>
    <t>-0.155</t>
  </si>
  <si>
    <t>Const</t>
  </si>
  <si>
    <t>-0.079*</t>
  </si>
  <si>
    <t>-0.858**</t>
  </si>
  <si>
    <t>-0.809**</t>
  </si>
  <si>
    <t>-0.773*</t>
  </si>
  <si>
    <t>-0.056</t>
  </si>
  <si>
    <t>-0.732**</t>
  </si>
  <si>
    <t>-0.654**</t>
  </si>
  <si>
    <t>-0.644*</t>
  </si>
  <si>
    <t>-0.032</t>
  </si>
  <si>
    <t>0.015</t>
  </si>
  <si>
    <t>0.025</t>
  </si>
  <si>
    <t>0.014</t>
  </si>
  <si>
    <t>(0.249)</t>
  </si>
  <si>
    <t>(0.290)</t>
  </si>
  <si>
    <t>(0.307)</t>
  </si>
  <si>
    <t>(0.033)</t>
  </si>
  <si>
    <t>(0.222)</t>
  </si>
  <si>
    <t>(0.244)</t>
  </si>
  <si>
    <t>(0.263)</t>
  </si>
  <si>
    <t>(0.018)</t>
  </si>
  <si>
    <t>(0.017)</t>
  </si>
  <si>
    <t>N</t>
  </si>
  <si>
    <t>1765</t>
  </si>
  <si>
    <t>1501</t>
  </si>
  <si>
    <t>1295</t>
  </si>
  <si>
    <t>1136</t>
  </si>
  <si>
    <t>1513</t>
  </si>
  <si>
    <t>1275</t>
  </si>
  <si>
    <t>1086</t>
  </si>
  <si>
    <t>945</t>
  </si>
  <si>
    <t>86</t>
  </si>
  <si>
    <t>85</t>
  </si>
  <si>
    <t>83</t>
  </si>
  <si>
    <t>80</t>
  </si>
  <si>
    <t>R2</t>
  </si>
  <si>
    <t>0.000</t>
  </si>
  <si>
    <t>0.281</t>
  </si>
  <si>
    <t>0.302</t>
  </si>
  <si>
    <t>0.296</t>
  </si>
  <si>
    <t>0.373</t>
  </si>
  <si>
    <t>0.381</t>
  </si>
  <si>
    <t>0.375</t>
  </si>
  <si>
    <t>0.858</t>
  </si>
  <si>
    <t>0.876</t>
  </si>
  <si>
    <t>0.884</t>
  </si>
  <si>
    <t xml:space="preserve">Test 2. Revision efficiency of uncertainty </t>
  </si>
  <si>
    <t>L.InfExp_Var_rv</t>
  </si>
  <si>
    <t>0.339***</t>
  </si>
  <si>
    <t>0.166</t>
  </si>
  <si>
    <t>0.185*</t>
  </si>
  <si>
    <t>0.395***</t>
  </si>
  <si>
    <t>0.352***</t>
  </si>
  <si>
    <t>0.285***</t>
  </si>
  <si>
    <t>0.749***</t>
  </si>
  <si>
    <t>0.770***</t>
  </si>
  <si>
    <t>(0.074)</t>
  </si>
  <si>
    <t>(0.093)</t>
  </si>
  <si>
    <t>(0.089)</t>
  </si>
  <si>
    <t>(0.057)</t>
  </si>
  <si>
    <t>(0.066)</t>
  </si>
  <si>
    <t>(0.070)</t>
  </si>
  <si>
    <t>(0.151)</t>
  </si>
  <si>
    <t>(0.167)</t>
  </si>
  <si>
    <t>L2.InfExp_Var_rv</t>
  </si>
  <si>
    <t>0.162*</t>
  </si>
  <si>
    <t>0.217**</t>
  </si>
  <si>
    <t>0.206***</t>
  </si>
  <si>
    <t>0.114</t>
  </si>
  <si>
    <t>-0.097</t>
  </si>
  <si>
    <t>(0.078)</t>
  </si>
  <si>
    <t>(0.073)</t>
  </si>
  <si>
    <t>(0.174)</t>
  </si>
  <si>
    <t>(0.203)</t>
  </si>
  <si>
    <t>L3.InfExp_Var_rv</t>
  </si>
  <si>
    <t>0.231**</t>
  </si>
  <si>
    <t>0.271***</t>
  </si>
  <si>
    <t>-0.005</t>
  </si>
  <si>
    <t>-0.218</t>
  </si>
  <si>
    <t>(0.079)</t>
  </si>
  <si>
    <t>(0.123)</t>
  </si>
  <si>
    <t>(0.175)</t>
  </si>
  <si>
    <t>-0.087***</t>
  </si>
  <si>
    <t>-0.053***</t>
  </si>
  <si>
    <t>-0.031**</t>
  </si>
  <si>
    <t>-0.076***</t>
  </si>
  <si>
    <t>-0.048***</t>
  </si>
  <si>
    <t>-0.035***</t>
  </si>
  <si>
    <t>-0.026***</t>
  </si>
  <si>
    <t>L4.InfExp_Var_rv</t>
  </si>
  <si>
    <t>0.378*</t>
  </si>
  <si>
    <t>(0.008)</t>
  </si>
  <si>
    <t>(0.007)</t>
  </si>
  <si>
    <t>(0.009)</t>
  </si>
  <si>
    <t>(0.006)</t>
  </si>
  <si>
    <t>(0.005)</t>
  </si>
  <si>
    <t>(0.153)</t>
  </si>
  <si>
    <t>L5.InfExp_Var_rv</t>
  </si>
  <si>
    <t>-0.134</t>
  </si>
  <si>
    <t>(0.231)</t>
  </si>
  <si>
    <t>L6.InfExp_Var_rv</t>
  </si>
  <si>
    <t>0.066</t>
  </si>
  <si>
    <t>(0.144)</t>
  </si>
  <si>
    <t>0.020</t>
  </si>
  <si>
    <t>-0.006</t>
  </si>
  <si>
    <t>0.037</t>
  </si>
  <si>
    <t>(0.103)</t>
  </si>
  <si>
    <t>(0.106)</t>
  </si>
  <si>
    <t>1696</t>
  </si>
  <si>
    <t>1435</t>
  </si>
  <si>
    <t>1237</t>
  </si>
  <si>
    <t>1082</t>
  </si>
  <si>
    <t>1622</t>
  </si>
  <si>
    <t>1370</t>
  </si>
  <si>
    <t>1171</t>
  </si>
  <si>
    <t>1013</t>
  </si>
  <si>
    <t>0.132</t>
  </si>
  <si>
    <t>0.092</t>
  </si>
  <si>
    <t>0.210</t>
  </si>
  <si>
    <t>0.146</t>
  </si>
  <si>
    <t>0.211</t>
  </si>
  <si>
    <t>0.263</t>
  </si>
  <si>
    <t>0.567</t>
  </si>
  <si>
    <t>0.602</t>
  </si>
  <si>
    <t>0.639</t>
  </si>
  <si>
    <t xml:space="preserve">Test 3. Weak. Efficiency of change in forecast </t>
  </si>
  <si>
    <t>Mean change</t>
  </si>
  <si>
    <t>L.InfExp_Mean_ch</t>
  </si>
  <si>
    <t>-0.249***</t>
  </si>
  <si>
    <t>-0.308***</t>
  </si>
  <si>
    <t>-0.311***</t>
  </si>
  <si>
    <t>-0.289***</t>
  </si>
  <si>
    <t>-0.324***</t>
  </si>
  <si>
    <t>L.InfExp_Var_ch</t>
  </si>
  <si>
    <t>-0.408***</t>
  </si>
  <si>
    <t>-0.569***</t>
  </si>
  <si>
    <t>-0.612***</t>
  </si>
  <si>
    <t>(0.062)</t>
  </si>
  <si>
    <t>(0.054)</t>
  </si>
  <si>
    <t>(0.060)</t>
  </si>
  <si>
    <t>(0.012)</t>
  </si>
  <si>
    <t>L2.InfExp_Mean_ch</t>
  </si>
  <si>
    <t>-0.194**</t>
  </si>
  <si>
    <t>-0.177**</t>
  </si>
  <si>
    <t>-0.100</t>
  </si>
  <si>
    <t>L2.InfExp_Var_ch</t>
  </si>
  <si>
    <t>-0.305***</t>
  </si>
  <si>
    <t>-0.385***</t>
  </si>
  <si>
    <t>(0.064)</t>
  </si>
  <si>
    <t>(0.081)</t>
  </si>
  <si>
    <t>(0.096)</t>
  </si>
  <si>
    <t>L3.InfExp_Mean_ch</t>
  </si>
  <si>
    <t>-0.075*</t>
  </si>
  <si>
    <t>L3.InfExp_Var_ch</t>
  </si>
  <si>
    <t>-0.126***</t>
  </si>
  <si>
    <t>-0.241***</t>
  </si>
  <si>
    <t>L4.InfExp_Var_ch</t>
  </si>
  <si>
    <t>-0.142***</t>
  </si>
  <si>
    <t>L5.InfExp_Var_ch</t>
  </si>
  <si>
    <t>-0.078***</t>
  </si>
  <si>
    <t>(0.011)</t>
  </si>
  <si>
    <t>L6.InfExp_Var_ch</t>
  </si>
  <si>
    <t>-0.038***</t>
  </si>
  <si>
    <t>-0.019</t>
  </si>
  <si>
    <t>-0.015</t>
  </si>
  <si>
    <t>-0.021</t>
  </si>
  <si>
    <t>0.017</t>
  </si>
  <si>
    <t>0.026</t>
  </si>
  <si>
    <t>0.019</t>
  </si>
  <si>
    <t>-0.034**</t>
  </si>
  <si>
    <t>-0.018</t>
  </si>
  <si>
    <t>0.002</t>
  </si>
  <si>
    <t>(0.019)</t>
  </si>
  <si>
    <t>(0.020)</t>
  </si>
  <si>
    <t>(0.021)</t>
  </si>
  <si>
    <t>(0.024)</t>
  </si>
  <si>
    <t>(0.026)</t>
  </si>
  <si>
    <t>(0.028)</t>
  </si>
  <si>
    <t>(0.013)</t>
  </si>
  <si>
    <t>(0.014)</t>
  </si>
  <si>
    <t>4286</t>
  </si>
  <si>
    <t>3519</t>
  </si>
  <si>
    <t>2971</t>
  </si>
  <si>
    <t>2581</t>
  </si>
  <si>
    <t>1791</t>
  </si>
  <si>
    <t>1538</t>
  </si>
  <si>
    <t>1338</t>
  </si>
  <si>
    <t>1189</t>
  </si>
  <si>
    <t>85166</t>
  </si>
  <si>
    <t>67555</t>
  </si>
  <si>
    <t>43489</t>
  </si>
  <si>
    <t>20894</t>
  </si>
  <si>
    <t>0.072</t>
  </si>
  <si>
    <t>0.103</t>
  </si>
  <si>
    <t>0.089</t>
  </si>
  <si>
    <t>0.077</t>
  </si>
  <si>
    <t>0.088</t>
  </si>
  <si>
    <t>0.187</t>
  </si>
  <si>
    <t>0.259</t>
  </si>
  <si>
    <t>0.276</t>
  </si>
  <si>
    <t>Test 4. Weak. Efficiency of change in uncertainty</t>
  </si>
  <si>
    <t>-0.381***</t>
  </si>
  <si>
    <t>-0.542***</t>
  </si>
  <si>
    <t>-0.601***</t>
  </si>
  <si>
    <t>-0.352***</t>
  </si>
  <si>
    <t>-0.428***</t>
  </si>
  <si>
    <t>-0.513***</t>
  </si>
  <si>
    <t>-0.396***</t>
  </si>
  <si>
    <t>-0.572***</t>
  </si>
  <si>
    <t>-0.653***</t>
  </si>
  <si>
    <t>(0.071)</t>
  </si>
  <si>
    <t>(0.075)</t>
  </si>
  <si>
    <t>(0.043)</t>
  </si>
  <si>
    <t>(0.053)</t>
  </si>
  <si>
    <t>(0.010)</t>
  </si>
  <si>
    <t>(0.016)</t>
  </si>
  <si>
    <t>-0.280***</t>
  </si>
  <si>
    <t>-0.237***</t>
  </si>
  <si>
    <t>-0.430***</t>
  </si>
  <si>
    <t>-0.307***</t>
  </si>
  <si>
    <t>(0.059)</t>
  </si>
  <si>
    <t>(0.061)</t>
  </si>
  <si>
    <t>-0.293***</t>
  </si>
  <si>
    <t>-0.382***</t>
  </si>
  <si>
    <t>-0.124***</t>
  </si>
  <si>
    <t>-0.269***</t>
  </si>
  <si>
    <t>-0.155***</t>
  </si>
  <si>
    <t>(0.015)</t>
  </si>
  <si>
    <t>-0.079***</t>
  </si>
  <si>
    <t>-0.029**</t>
  </si>
  <si>
    <t>-0.002</t>
  </si>
  <si>
    <t>-0.001</t>
  </si>
  <si>
    <t>0.005</t>
  </si>
  <si>
    <t>0.006</t>
  </si>
  <si>
    <t>0.003</t>
  </si>
  <si>
    <t>0.004</t>
  </si>
  <si>
    <t>0.008</t>
  </si>
  <si>
    <t>-0.710***</t>
  </si>
  <si>
    <t>-0.717***</t>
  </si>
  <si>
    <t>-0.593***</t>
  </si>
  <si>
    <t>-0.448***</t>
  </si>
  <si>
    <t>(0.004)</t>
  </si>
  <si>
    <t>(0.072)</t>
  </si>
  <si>
    <t>(0.076)</t>
  </si>
  <si>
    <t>1685</t>
  </si>
  <si>
    <t>1439</t>
  </si>
  <si>
    <t>1251</t>
  </si>
  <si>
    <t>1104</t>
  </si>
  <si>
    <t>1629</t>
  </si>
  <si>
    <t>1406</t>
  </si>
  <si>
    <t>1225</t>
  </si>
  <si>
    <t>1079</t>
  </si>
  <si>
    <t>88052</t>
  </si>
  <si>
    <t>69979</t>
  </si>
  <si>
    <t>45003</t>
  </si>
  <si>
    <t>21476</t>
  </si>
  <si>
    <t>0.240</t>
  </si>
  <si>
    <t>0.286</t>
  </si>
  <si>
    <t>0.125</t>
  </si>
  <si>
    <t>0.161</t>
  </si>
  <si>
    <t>0.271</t>
  </si>
  <si>
    <t>0.311</t>
  </si>
</sst>
</file>

<file path=xl/styles.xml><?xml version="1.0" encoding="utf-8"?>
<styleSheet xmlns="http://schemas.openxmlformats.org/spreadsheetml/2006/main">
  <numFmts count="1">
    <numFmt numFmtId="0" formatCode="General"/>
  </numFmts>
  <fonts count="6">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2"/>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16">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top style="thin">
        <color indexed="12"/>
      </top>
      <bottom style="thin">
        <color indexed="12"/>
      </bottom>
      <diagonal/>
    </border>
    <border>
      <left style="thin">
        <color indexed="12"/>
      </left>
      <right style="thin">
        <color indexed="12"/>
      </right>
      <top/>
      <bottom/>
      <diagonal/>
    </border>
  </borders>
  <cellStyleXfs count="1">
    <xf numFmtId="0" fontId="0" applyNumberFormat="0" applyFont="1" applyFill="0" applyBorder="0" applyAlignment="1" applyProtection="0">
      <alignment vertical="bottom"/>
    </xf>
  </cellStyleXfs>
  <cellXfs count="55">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0" fillId="4" borderId="5" applyNumberFormat="1" applyFont="1" applyFill="1" applyBorder="1" applyAlignment="1" applyProtection="0">
      <alignment horizontal="left" vertical="bottom" wrapText="1"/>
    </xf>
    <xf numFmtId="49" fontId="1" borderId="5" applyNumberFormat="1" applyFont="1" applyFill="0" applyBorder="1" applyAlignment="1" applyProtection="0">
      <alignment horizontal="left" vertical="bottom"/>
    </xf>
    <xf numFmtId="49" fontId="0" fillId="5" borderId="5" applyNumberFormat="1" applyFont="1" applyFill="1" applyBorder="1" applyAlignment="1" applyProtection="0">
      <alignment horizontal="left" vertical="bottom"/>
    </xf>
    <xf numFmtId="0" fontId="0" fillId="5" borderId="5" applyNumberFormat="0" applyFont="1" applyFill="1" applyBorder="1" applyAlignment="1" applyProtection="0">
      <alignment horizontal="left" vertical="bottom"/>
    </xf>
    <xf numFmtId="0" fontId="0" fillId="6" borderId="5" applyNumberFormat="0" applyFont="1" applyFill="1" applyBorder="1" applyAlignment="1" applyProtection="0">
      <alignment horizontal="left" vertical="bottom"/>
    </xf>
    <xf numFmtId="49" fontId="0" fillId="6" borderId="5" applyNumberFormat="1" applyFont="1" applyFill="1" applyBorder="1" applyAlignment="1" applyProtection="0">
      <alignment horizontal="left" vertical="bottom"/>
    </xf>
    <xf numFmtId="49" fontId="3"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0" fillId="6" borderId="8" applyNumberFormat="0" applyFont="1" applyFill="1" applyBorder="1" applyAlignment="1" applyProtection="0">
      <alignment horizontal="left" vertical="bottom"/>
    </xf>
    <xf numFmtId="49" fontId="0" fillId="6" borderId="8" applyNumberFormat="1" applyFont="1" applyFill="1" applyBorder="1" applyAlignment="1" applyProtection="0">
      <alignment horizontal="left" vertical="bottom"/>
    </xf>
    <xf numFmtId="49" fontId="3"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wrapText="1"/>
    </xf>
    <xf numFmtId="0" fontId="0" fillId="4" borderId="1" applyNumberFormat="0" applyFont="1" applyFill="1" applyBorder="1" applyAlignment="1" applyProtection="0">
      <alignment vertical="bottom"/>
    </xf>
    <xf numFmtId="49" fontId="0" fillId="7" borderId="2" applyNumberFormat="1" applyFont="1" applyFill="1" applyBorder="1" applyAlignment="1" applyProtection="0">
      <alignment horizontal="center" vertical="bottom"/>
    </xf>
    <xf numFmtId="0" fontId="0" fillId="7" borderId="2" applyNumberFormat="0" applyFont="1" applyFill="1" applyBorder="1" applyAlignment="1" applyProtection="0">
      <alignment horizontal="center" vertical="bottom"/>
    </xf>
    <xf numFmtId="0" fontId="0" fillId="7" borderId="2" applyNumberFormat="0" applyFont="1" applyFill="1" applyBorder="1" applyAlignment="1" applyProtection="0">
      <alignment vertical="bottom"/>
    </xf>
    <xf numFmtId="0" fontId="0" fillId="7" borderId="3" applyNumberFormat="0" applyFont="1" applyFill="1" applyBorder="1" applyAlignment="1" applyProtection="0">
      <alignment horizontal="center" vertical="bottom"/>
    </xf>
    <xf numFmtId="0" fontId="0" fillId="4" borderId="11" applyNumberFormat="0" applyFont="1" applyFill="1" applyBorder="1" applyAlignment="1" applyProtection="0">
      <alignment vertical="bottom" wrapText="1"/>
    </xf>
    <xf numFmtId="49" fontId="0" fillId="7" borderId="5" applyNumberFormat="1" applyFont="1" applyFill="1" applyBorder="1" applyAlignment="1" applyProtection="0">
      <alignment vertical="bottom" wrapText="1"/>
    </xf>
    <xf numFmtId="0" fontId="0" fillId="7" borderId="5" applyNumberFormat="0" applyFont="1" applyFill="1" applyBorder="1" applyAlignment="1" applyProtection="0">
      <alignment vertical="bottom" wrapText="1"/>
    </xf>
    <xf numFmtId="0" fontId="0" fillId="7" borderId="6" applyNumberFormat="0" applyFont="1" applyFill="1" applyBorder="1" applyAlignment="1" applyProtection="0">
      <alignment vertical="bottom"/>
    </xf>
    <xf numFmtId="49" fontId="0" fillId="7" borderId="6" applyNumberFormat="1" applyFont="1" applyFill="1" applyBorder="1" applyAlignment="1" applyProtection="0">
      <alignment vertical="bottom" wrapText="1"/>
    </xf>
    <xf numFmtId="49" fontId="5" fillId="4" borderId="12"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0" fontId="5" fillId="4" borderId="12" applyNumberFormat="0" applyFont="1" applyFill="1" applyBorder="1" applyAlignment="1" applyProtection="0">
      <alignment vertical="bottom"/>
    </xf>
    <xf numFmtId="49" fontId="5" fillId="4" borderId="10"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0" fontId="5" fillId="4" borderId="10"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49" fontId="0" fillId="4" borderId="10" applyNumberFormat="1" applyFont="1" applyFill="1" applyBorder="1" applyAlignment="1" applyProtection="0">
      <alignment horizontal="center" vertical="bottom" wrapText="1"/>
    </xf>
    <xf numFmtId="0" fontId="0" fillId="4" borderId="13" applyNumberFormat="0" applyFont="1" applyFill="1" applyBorder="1" applyAlignment="1" applyProtection="0">
      <alignment horizontal="center" vertical="bottom" wrapText="1"/>
    </xf>
    <xf numFmtId="0" fontId="0" fillId="4" borderId="10" applyNumberFormat="0" applyFont="1" applyFill="1" applyBorder="1" applyAlignment="1" applyProtection="0">
      <alignment horizontal="center" vertical="bottom" wrapText="1"/>
    </xf>
    <xf numFmtId="0" fontId="0" fillId="4" borderId="11"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0" fontId="0" fillId="7" borderId="6" applyNumberFormat="0" applyFont="1" applyFill="1" applyBorder="1" applyAlignment="1" applyProtection="0">
      <alignment vertical="bottom" wrapText="1"/>
    </xf>
    <xf numFmtId="0" fontId="0" fillId="4" borderId="12"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wrapText="1"/>
    </xf>
    <xf numFmtId="0" fontId="0" fillId="4" borderId="15"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28" customWidth="1"/>
    <col min="2" max="2" width="28" style="6" customWidth="1"/>
    <col min="3" max="3" width="28" style="6" customWidth="1"/>
    <col min="4" max="4" width="28" style="6" customWidth="1"/>
    <col min="5" max="5" width="10" style="6" customWidth="1"/>
    <col min="6" max="16384" width="10" style="6" customWidth="1"/>
  </cols>
  <sheetData>
    <row r="1" ht="15.35" customHeight="1">
      <c r="A1" s="7"/>
      <c r="B1" s="8"/>
      <c r="C1" s="8"/>
      <c r="D1" s="8"/>
      <c r="E1" s="9"/>
    </row>
    <row r="2" ht="15.35" customHeight="1">
      <c r="A2" s="10"/>
      <c r="B2" s="11"/>
      <c r="C2" s="11"/>
      <c r="D2" s="11"/>
      <c r="E2" s="12"/>
    </row>
    <row r="3" ht="50" customHeight="1">
      <c r="A3" s="10"/>
      <c r="B3" t="s" s="13">
        <v>0</v>
      </c>
      <c r="C3" s="11"/>
      <c r="D3" s="11"/>
      <c r="E3" s="12"/>
    </row>
    <row r="4" ht="15.35" customHeight="1">
      <c r="A4" s="10"/>
      <c r="B4" s="11"/>
      <c r="C4" s="11"/>
      <c r="D4" s="11"/>
      <c r="E4" s="12"/>
    </row>
    <row r="5" ht="15.35" customHeight="1">
      <c r="A5" s="10"/>
      <c r="B5" s="11"/>
      <c r="C5" s="11"/>
      <c r="D5" s="11"/>
      <c r="E5" s="12"/>
    </row>
    <row r="6" ht="15.35" customHeight="1">
      <c r="A6" s="10"/>
      <c r="B6" s="11"/>
      <c r="C6" s="11"/>
      <c r="D6" s="11"/>
      <c r="E6" s="12"/>
    </row>
    <row r="7">
      <c r="A7" s="10"/>
      <c r="B7" t="s" s="14">
        <v>1</v>
      </c>
      <c r="C7" t="s" s="14">
        <v>2</v>
      </c>
      <c r="D7" t="s" s="14">
        <v>3</v>
      </c>
      <c r="E7" s="12"/>
    </row>
    <row r="8" ht="15.3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4"/>
    </row>
    <row r="13">
      <c r="B13" t="s" s="3">
        <v>8</v>
      </c>
      <c r="C13" s="3"/>
      <c r="D13" s="3"/>
    </row>
    <row r="14">
      <c r="B14" s="4"/>
      <c r="C14" t="s" s="4">
        <v>5</v>
      </c>
      <c r="D14" t="s" s="5">
        <v>8</v>
      </c>
    </row>
  </sheetData>
  <mergeCells count="2">
    <mergeCell ref="B3:D3"/>
    <mergeCell ref="B3:D3"/>
  </mergeCells>
  <hyperlinks>
    <hyperlink ref="D10" location="'Export Summary'!R1C1" tooltip="" display="Export Summary"/>
    <hyperlink ref="D10" location="'RevEfficiencyTable1'!R1C1" tooltip="" display="RevEfficiencyTable1"/>
    <hyperlink ref="D12" location="'RevEfficiencyTable2'!R1C1" tooltip="" display="RevEfficiencyTable2"/>
    <hyperlink ref="D12" location="'RevEfficiencyTable1'!R1C1" tooltip="" display="RevEfficiencyTable1"/>
    <hyperlink ref="D14" location="'RevEfficiencyTable2'!R1C1" tooltip="" display="RevEfficiencyTable2"/>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O75"/>
  <sheetViews>
    <sheetView workbookViewId="0" showGridLines="0" defaultGridColor="1"/>
  </sheetViews>
  <sheetFormatPr defaultColWidth="10.8333" defaultRowHeight="16" customHeight="1" outlineLevelRow="0" outlineLevelCol="0"/>
  <cols>
    <col min="1" max="1" width="18" style="25" customWidth="1"/>
    <col min="2" max="15" width="10.8516" style="25" customWidth="1"/>
    <col min="16" max="16384" width="10.8516" style="25" customWidth="1"/>
  </cols>
  <sheetData>
    <row r="1" ht="15.35" customHeight="1">
      <c r="A1" s="26"/>
      <c r="B1" s="27"/>
      <c r="C1" t="s" s="28">
        <v>10</v>
      </c>
      <c r="D1" s="29"/>
      <c r="E1" s="29"/>
      <c r="F1" s="29"/>
      <c r="G1" t="s" s="28">
        <v>11</v>
      </c>
      <c r="H1" s="29"/>
      <c r="I1" s="29"/>
      <c r="J1" s="29"/>
      <c r="K1" s="30"/>
      <c r="L1" t="s" s="28">
        <v>12</v>
      </c>
      <c r="M1" s="29"/>
      <c r="N1" s="29"/>
      <c r="O1" s="31"/>
    </row>
    <row r="2" ht="48" customHeight="1">
      <c r="A2" s="32"/>
      <c r="B2" t="s" s="33">
        <v>13</v>
      </c>
      <c r="C2" s="34"/>
      <c r="D2" s="34"/>
      <c r="E2" s="34"/>
      <c r="F2" s="34"/>
      <c r="G2" s="34"/>
      <c r="H2" s="34"/>
      <c r="I2" s="34"/>
      <c r="J2" s="34"/>
      <c r="K2" s="34"/>
      <c r="L2" s="34"/>
      <c r="M2" s="34"/>
      <c r="N2" s="34"/>
      <c r="O2" s="35"/>
    </row>
    <row r="3" ht="48" customHeight="1">
      <c r="A3" s="32"/>
      <c r="B3" s="34"/>
      <c r="C3" t="s" s="33">
        <v>14</v>
      </c>
      <c r="D3" t="s" s="33">
        <v>15</v>
      </c>
      <c r="E3" t="s" s="33">
        <v>16</v>
      </c>
      <c r="F3" t="s" s="33">
        <v>17</v>
      </c>
      <c r="G3" t="s" s="33">
        <v>14</v>
      </c>
      <c r="H3" t="s" s="33">
        <v>15</v>
      </c>
      <c r="I3" t="s" s="33">
        <v>16</v>
      </c>
      <c r="J3" t="s" s="33">
        <v>17</v>
      </c>
      <c r="K3" s="34"/>
      <c r="L3" t="s" s="33">
        <v>14</v>
      </c>
      <c r="M3" t="s" s="33">
        <v>15</v>
      </c>
      <c r="N3" t="s" s="33">
        <v>16</v>
      </c>
      <c r="O3" t="s" s="36">
        <v>17</v>
      </c>
    </row>
    <row r="4" ht="15.35" customHeight="1">
      <c r="A4" s="26"/>
      <c r="B4" t="s" s="37">
        <f t="shared" si="0" ref="B4:K4">"L.InfExp_Mean_rv"</f>
        <v>18</v>
      </c>
      <c r="C4" t="s" s="37">
        <f>""</f>
      </c>
      <c r="D4" t="s" s="37">
        <f>"0.482***"</f>
        <v>19</v>
      </c>
      <c r="E4" t="s" s="37">
        <f>"0.406***"</f>
        <v>20</v>
      </c>
      <c r="F4" t="s" s="37">
        <f>"0.400***"</f>
        <v>21</v>
      </c>
      <c r="G4" t="s" s="38">
        <f>""</f>
      </c>
      <c r="H4" t="s" s="37">
        <f>"0.569***"</f>
        <v>22</v>
      </c>
      <c r="I4" t="s" s="37">
        <f>"0.473***"</f>
        <v>23</v>
      </c>
      <c r="J4" t="s" s="37">
        <f>"0.456***"</f>
        <v>24</v>
      </c>
      <c r="K4" t="s" s="38">
        <f t="shared" si="0"/>
        <v>18</v>
      </c>
      <c r="L4" s="39"/>
      <c r="M4" t="s" s="37">
        <f>"0.986***"</f>
        <v>25</v>
      </c>
      <c r="N4" t="s" s="37">
        <f t="shared" si="11" ref="N4:O23">"0.844***"</f>
        <v>26</v>
      </c>
      <c r="O4" t="s" s="37">
        <f>"0.861***"</f>
        <v>27</v>
      </c>
    </row>
    <row r="5" ht="15.35" customHeight="1">
      <c r="A5" s="26"/>
      <c r="B5" t="s" s="40">
        <f>""</f>
      </c>
      <c r="C5" t="s" s="40">
        <f>""</f>
      </c>
      <c r="D5" t="s" s="40">
        <f>"(0.037)"</f>
        <v>28</v>
      </c>
      <c r="E5" t="s" s="40">
        <f t="shared" si="16" ref="E5:J9">"(0.040)"</f>
        <v>29</v>
      </c>
      <c r="F5" t="s" s="40">
        <f>"(0.044)"</f>
        <v>30</v>
      </c>
      <c r="G5" t="s" s="41">
        <f>""</f>
      </c>
      <c r="H5" t="s" s="40">
        <f>"(0.050)"</f>
        <v>31</v>
      </c>
      <c r="I5" t="s" s="40">
        <f t="shared" si="20" ref="I5:J28">"(0.069)"</f>
        <v>32</v>
      </c>
      <c r="J5" t="s" s="40">
        <f>"(0.080)"</f>
        <v>33</v>
      </c>
      <c r="K5" t="s" s="41">
        <f>""</f>
      </c>
      <c r="L5" s="42"/>
      <c r="M5" t="s" s="40">
        <f>"(0.048)"</f>
        <v>34</v>
      </c>
      <c r="N5" t="s" s="40">
        <f>"(0.111)"</f>
        <v>35</v>
      </c>
      <c r="O5" t="s" s="40">
        <f t="shared" si="25" ref="O5:O15">"(0.114)"</f>
        <v>36</v>
      </c>
    </row>
    <row r="6" ht="15.35" customHeight="1">
      <c r="A6" s="26"/>
      <c r="B6" t="s" s="40">
        <f t="shared" si="26" ref="B6:K6">"L2.InfExp_Mean_rv"</f>
        <v>37</v>
      </c>
      <c r="C6" t="s" s="40">
        <f>""</f>
      </c>
      <c r="D6" t="s" s="40">
        <f>""</f>
      </c>
      <c r="E6" t="s" s="40">
        <f>"0.153***"</f>
        <v>38</v>
      </c>
      <c r="F6" t="s" s="40">
        <f>"0.121**"</f>
        <v>39</v>
      </c>
      <c r="G6" t="s" s="41">
        <f>""</f>
      </c>
      <c r="H6" t="s" s="40">
        <f>""</f>
      </c>
      <c r="I6" t="s" s="40">
        <f>"0.164**"</f>
        <v>40</v>
      </c>
      <c r="J6" t="s" s="40">
        <f>"0.133*"</f>
        <v>41</v>
      </c>
      <c r="K6" t="s" s="41">
        <f t="shared" si="26"/>
        <v>37</v>
      </c>
      <c r="L6" s="42"/>
      <c r="M6" s="42"/>
      <c r="N6" t="s" s="40">
        <f>"0.130"</f>
        <v>42</v>
      </c>
      <c r="O6" t="s" s="40">
        <f>"0.119"</f>
        <v>43</v>
      </c>
    </row>
    <row r="7" ht="15.35" customHeight="1">
      <c r="A7" s="26"/>
      <c r="B7" t="s" s="40">
        <f>""</f>
      </c>
      <c r="C7" t="s" s="40">
        <f>""</f>
      </c>
      <c r="D7" t="s" s="40">
        <f>""</f>
      </c>
      <c r="E7" t="s" s="40">
        <f>"(0.036)"</f>
        <v>44</v>
      </c>
      <c r="F7" t="s" s="40">
        <f>"(0.039)"</f>
        <v>45</v>
      </c>
      <c r="G7" t="s" s="41">
        <f>""</f>
      </c>
      <c r="H7" t="s" s="40">
        <f>""</f>
      </c>
      <c r="I7" t="s" s="40">
        <f>"(0.051)"</f>
        <v>46</v>
      </c>
      <c r="J7" t="s" s="40">
        <f t="shared" si="46" ref="J7:J26">"(0.058)"</f>
        <v>47</v>
      </c>
      <c r="K7" t="s" s="41">
        <f>""</f>
      </c>
      <c r="L7" s="42"/>
      <c r="M7" s="42"/>
      <c r="N7" t="s" s="40">
        <f>"(0.115)"</f>
        <v>48</v>
      </c>
      <c r="O7" t="s" s="40">
        <f>"(0.125)"</f>
        <v>49</v>
      </c>
    </row>
    <row r="8" ht="15.35" customHeight="1">
      <c r="A8" s="26"/>
      <c r="B8" t="s" s="40">
        <f t="shared" si="50" ref="B8:K8">"L3.InfExp_Mean_rv"</f>
        <v>50</v>
      </c>
      <c r="C8" t="s" s="40">
        <f>""</f>
      </c>
      <c r="D8" t="s" s="40">
        <f>""</f>
      </c>
      <c r="E8" t="s" s="40">
        <f>""</f>
      </c>
      <c r="F8" t="s" s="40">
        <f>"0.054"</f>
        <v>51</v>
      </c>
      <c r="G8" t="s" s="41">
        <f>""</f>
      </c>
      <c r="H8" t="s" s="40">
        <f>""</f>
      </c>
      <c r="I8" t="s" s="40">
        <f>""</f>
      </c>
      <c r="J8" t="s" s="40">
        <f>"0.080"</f>
        <v>52</v>
      </c>
      <c r="K8" t="s" s="41">
        <f t="shared" si="50"/>
        <v>50</v>
      </c>
      <c r="L8" s="42"/>
      <c r="M8" s="42"/>
      <c r="N8" t="s" s="40">
        <f>"0.047"</f>
        <v>53</v>
      </c>
      <c r="O8" t="s" s="40">
        <f>"0.250"</f>
        <v>54</v>
      </c>
    </row>
    <row r="9" ht="15.35" customHeight="1">
      <c r="A9" s="26"/>
      <c r="B9" t="s" s="40">
        <f>""</f>
      </c>
      <c r="C9" t="s" s="40">
        <f>""</f>
      </c>
      <c r="D9" t="s" s="40">
        <f>""</f>
      </c>
      <c r="E9" t="s" s="40">
        <f>""</f>
      </c>
      <c r="F9" t="s" s="40">
        <f t="shared" si="66" ref="F9:L17">"(0.045)"</f>
        <v>55</v>
      </c>
      <c r="G9" t="s" s="41">
        <f>""</f>
      </c>
      <c r="H9" t="s" s="40">
        <f>""</f>
      </c>
      <c r="I9" t="s" s="40">
        <f>""</f>
      </c>
      <c r="J9" t="s" s="40">
        <f t="shared" si="16"/>
        <v>29</v>
      </c>
      <c r="K9" t="s" s="41">
        <f>""</f>
      </c>
      <c r="L9" s="42"/>
      <c r="M9" s="42"/>
      <c r="N9" t="s" s="40">
        <f>"(0.116)"</f>
        <v>56</v>
      </c>
      <c r="O9" t="s" s="40">
        <f>"(0.157)"</f>
        <v>57</v>
      </c>
    </row>
    <row r="10" ht="15.35" customHeight="1">
      <c r="A10" s="26"/>
      <c r="B10" t="s" s="40">
        <f>"SPFCPI_ct50"</f>
        <v>58</v>
      </c>
      <c r="C10" t="s" s="40">
        <f>""</f>
      </c>
      <c r="D10" t="s" s="40">
        <f>"0.393**"</f>
        <v>59</v>
      </c>
      <c r="E10" t="s" s="40">
        <f>"0.370*"</f>
        <v>60</v>
      </c>
      <c r="F10" t="s" s="40">
        <f>"0.354*"</f>
        <v>61</v>
      </c>
      <c r="G10" t="s" s="41">
        <f>""</f>
      </c>
      <c r="H10" t="s" s="40">
        <f>""</f>
      </c>
      <c r="I10" t="s" s="40">
        <f>""</f>
      </c>
      <c r="J10" t="s" s="40">
        <f>""</f>
      </c>
      <c r="K10" t="s" s="41">
        <f>"L4.InfExp_Mean_rv"</f>
        <v>62</v>
      </c>
      <c r="L10" s="42"/>
      <c r="M10" s="42"/>
      <c r="N10" s="42"/>
      <c r="O10" t="s" s="40">
        <f>"-0.195"</f>
        <v>63</v>
      </c>
    </row>
    <row r="11" ht="15.35" customHeight="1">
      <c r="A11" s="26"/>
      <c r="B11" t="s" s="40">
        <f>""</f>
      </c>
      <c r="C11" t="s" s="40">
        <f>""</f>
      </c>
      <c r="D11" t="s" s="40">
        <f t="shared" si="87" ref="D11:H13">"(0.120)"</f>
        <v>64</v>
      </c>
      <c r="E11" t="s" s="40">
        <f>"(0.142)"</f>
        <v>65</v>
      </c>
      <c r="F11" t="s" s="40">
        <f>"(0.149)"</f>
        <v>66</v>
      </c>
      <c r="G11" t="s" s="41">
        <f>""</f>
      </c>
      <c r="H11" t="s" s="40">
        <f>""</f>
      </c>
      <c r="I11" t="s" s="40">
        <f>""</f>
      </c>
      <c r="J11" t="s" s="40">
        <f>""</f>
      </c>
      <c r="K11" t="s" s="41">
        <f>""</f>
      </c>
      <c r="L11" s="42"/>
      <c r="M11" s="42"/>
      <c r="N11" s="42"/>
      <c r="O11" t="s" s="40">
        <f>"(0.156)"</f>
        <v>67</v>
      </c>
    </row>
    <row r="12" ht="15.35" customHeight="1">
      <c r="A12" s="26"/>
      <c r="B12" t="s" s="40">
        <f>"SPFPCE_ct50"</f>
        <v>68</v>
      </c>
      <c r="C12" t="s" s="40">
        <f>""</f>
      </c>
      <c r="D12" t="s" s="40">
        <f>""</f>
      </c>
      <c r="E12" t="s" s="40">
        <f>""</f>
      </c>
      <c r="F12" t="s" s="40">
        <f>""</f>
      </c>
      <c r="G12" t="s" s="41">
        <f>""</f>
      </c>
      <c r="H12" t="s" s="40">
        <f>"0.380**"</f>
        <v>69</v>
      </c>
      <c r="I12" t="s" s="40">
        <f>"0.341*"</f>
        <v>70</v>
      </c>
      <c r="J12" t="s" s="40">
        <f>"0.340*"</f>
        <v>71</v>
      </c>
      <c r="K12" t="s" s="41">
        <f>"L5.InfExp_Mean_rv"</f>
        <v>72</v>
      </c>
      <c r="L12" s="42"/>
      <c r="M12" s="42"/>
      <c r="N12" s="42"/>
      <c r="O12" t="s" s="40">
        <f>"0.091"</f>
        <v>73</v>
      </c>
    </row>
    <row r="13" ht="15.35" customHeight="1">
      <c r="A13" s="26"/>
      <c r="B13" t="s" s="40">
        <f>""</f>
      </c>
      <c r="C13" t="s" s="40">
        <f>""</f>
      </c>
      <c r="D13" t="s" s="40">
        <f>""</f>
      </c>
      <c r="E13" t="s" s="40">
        <f>""</f>
      </c>
      <c r="F13" t="s" s="40">
        <f>""</f>
      </c>
      <c r="G13" t="s" s="41">
        <f>""</f>
      </c>
      <c r="H13" t="s" s="40">
        <f t="shared" si="87"/>
        <v>64</v>
      </c>
      <c r="I13" t="s" s="40">
        <f>"(0.134)"</f>
        <v>74</v>
      </c>
      <c r="J13" t="s" s="40">
        <f>"(0.143)"</f>
        <v>75</v>
      </c>
      <c r="K13" t="s" s="41">
        <f>""</f>
      </c>
      <c r="L13" s="42"/>
      <c r="M13" s="42"/>
      <c r="N13" s="42"/>
      <c r="O13" t="s" s="40">
        <f>"(0.141)"</f>
        <v>76</v>
      </c>
    </row>
    <row r="14" ht="15.35" customHeight="1">
      <c r="A14" s="26"/>
      <c r="B14" s="42"/>
      <c r="C14" s="42"/>
      <c r="D14" s="42"/>
      <c r="E14" s="42"/>
      <c r="F14" s="42"/>
      <c r="G14" s="43"/>
      <c r="H14" s="43"/>
      <c r="I14" s="43"/>
      <c r="J14" s="43"/>
      <c r="K14" t="s" s="41">
        <f>"L6.InfExp_Mean_rv"</f>
        <v>77</v>
      </c>
      <c r="L14" s="42"/>
      <c r="M14" s="42"/>
      <c r="N14" s="42"/>
      <c r="O14" t="s" s="40">
        <f>"-0.155"</f>
        <v>78</v>
      </c>
    </row>
    <row r="15" ht="15.35" customHeight="1">
      <c r="A15" s="26"/>
      <c r="B15" s="43"/>
      <c r="C15" s="42"/>
      <c r="D15" s="42"/>
      <c r="E15" s="42"/>
      <c r="F15" s="42"/>
      <c r="G15" s="42"/>
      <c r="H15" s="42"/>
      <c r="I15" s="42"/>
      <c r="J15" s="42"/>
      <c r="K15" s="43"/>
      <c r="L15" s="42"/>
      <c r="M15" s="42"/>
      <c r="N15" s="42"/>
      <c r="O15" t="s" s="40">
        <f t="shared" si="25"/>
        <v>36</v>
      </c>
    </row>
    <row r="16" ht="15.35" customHeight="1">
      <c r="A16" s="26"/>
      <c r="B16" t="s" s="41">
        <v>79</v>
      </c>
      <c r="C16" t="s" s="40">
        <f>"-0.079*"</f>
        <v>80</v>
      </c>
      <c r="D16" t="s" s="40">
        <f>"-0.858**"</f>
        <v>81</v>
      </c>
      <c r="E16" t="s" s="40">
        <f>"-0.809**"</f>
        <v>82</v>
      </c>
      <c r="F16" t="s" s="40">
        <f>"-0.773*"</f>
        <v>83</v>
      </c>
      <c r="G16" t="s" s="40">
        <f>"-0.056"</f>
        <v>84</v>
      </c>
      <c r="H16" t="s" s="40">
        <f>"-0.732**"</f>
        <v>85</v>
      </c>
      <c r="I16" t="s" s="40">
        <f>"-0.654**"</f>
        <v>86</v>
      </c>
      <c r="J16" t="s" s="40">
        <f>"-0.644*"</f>
        <v>87</v>
      </c>
      <c r="K16" t="s" s="41">
        <v>79</v>
      </c>
      <c r="L16" t="s" s="40">
        <f>"-0.032"</f>
        <v>88</v>
      </c>
      <c r="M16" t="s" s="40">
        <f>"0.015"</f>
        <v>89</v>
      </c>
      <c r="N16" t="s" s="40">
        <f>"0.025"</f>
        <v>90</v>
      </c>
      <c r="O16" t="s" s="40">
        <f>"0.014"</f>
        <v>91</v>
      </c>
    </row>
    <row r="17" ht="15.35" customHeight="1">
      <c r="A17" s="26"/>
      <c r="B17" s="42"/>
      <c r="C17" t="s" s="40">
        <f>"(0.036)"</f>
        <v>44</v>
      </c>
      <c r="D17" t="s" s="40">
        <f>"(0.249)"</f>
        <v>92</v>
      </c>
      <c r="E17" t="s" s="40">
        <f>"(0.290)"</f>
        <v>93</v>
      </c>
      <c r="F17" t="s" s="40">
        <f>"(0.307)"</f>
        <v>94</v>
      </c>
      <c r="G17" t="s" s="40">
        <f>"(0.033)"</f>
        <v>95</v>
      </c>
      <c r="H17" t="s" s="40">
        <f>"(0.222)"</f>
        <v>96</v>
      </c>
      <c r="I17" t="s" s="40">
        <f>"(0.244)"</f>
        <v>97</v>
      </c>
      <c r="J17" t="s" s="40">
        <f>"(0.263)"</f>
        <v>98</v>
      </c>
      <c r="K17" s="43"/>
      <c r="L17" t="s" s="40">
        <f t="shared" si="66"/>
        <v>55</v>
      </c>
      <c r="M17" t="s" s="40">
        <f t="shared" si="142" ref="M17:O17">"(0.018)"</f>
        <v>99</v>
      </c>
      <c r="N17" t="s" s="40">
        <f>"(0.017)"</f>
        <v>100</v>
      </c>
      <c r="O17" t="s" s="40">
        <f t="shared" si="142"/>
        <v>99</v>
      </c>
    </row>
    <row r="18" ht="15.35" customHeight="1">
      <c r="A18" s="26"/>
      <c r="B18" t="s" s="40">
        <f t="shared" si="145" ref="B18:K37">"N"</f>
        <v>101</v>
      </c>
      <c r="C18" t="s" s="40">
        <f>"1765"</f>
        <v>102</v>
      </c>
      <c r="D18" t="s" s="40">
        <f>"1501"</f>
        <v>103</v>
      </c>
      <c r="E18" t="s" s="40">
        <f>"1295"</f>
        <v>104</v>
      </c>
      <c r="F18" t="s" s="40">
        <f>"1136"</f>
        <v>105</v>
      </c>
      <c r="G18" t="s" s="40">
        <f>"1513"</f>
        <v>106</v>
      </c>
      <c r="H18" t="s" s="40">
        <f>"1275"</f>
        <v>107</v>
      </c>
      <c r="I18" t="s" s="40">
        <f>"1086"</f>
        <v>108</v>
      </c>
      <c r="J18" t="s" s="40">
        <f>"945"</f>
        <v>109</v>
      </c>
      <c r="K18" t="s" s="41">
        <f t="shared" si="145"/>
        <v>101</v>
      </c>
      <c r="L18" t="s" s="40">
        <f t="shared" si="155" ref="L18:L37">"86"</f>
        <v>110</v>
      </c>
      <c r="M18" t="s" s="40">
        <f t="shared" si="156" ref="M18:M37">"85"</f>
        <v>111</v>
      </c>
      <c r="N18" t="s" s="40">
        <f t="shared" si="157" ref="N18:N37">"83"</f>
        <v>112</v>
      </c>
      <c r="O18" t="s" s="40">
        <f t="shared" si="158" ref="O18:O37">"80"</f>
        <v>113</v>
      </c>
    </row>
    <row r="19" ht="15.35" customHeight="1">
      <c r="A19" s="26"/>
      <c r="B19" t="s" s="40">
        <v>114</v>
      </c>
      <c r="C19" t="s" s="40">
        <f t="shared" si="159" ref="C19:L38">"0.000"</f>
        <v>115</v>
      </c>
      <c r="D19" t="s" s="40">
        <f>"0.281"</f>
        <v>116</v>
      </c>
      <c r="E19" t="s" s="40">
        <f>"0.302"</f>
        <v>117</v>
      </c>
      <c r="F19" t="s" s="40">
        <f>"0.296"</f>
        <v>118</v>
      </c>
      <c r="G19" t="s" s="40">
        <f t="shared" si="159"/>
        <v>115</v>
      </c>
      <c r="H19" t="s" s="40">
        <f>"0.373"</f>
        <v>119</v>
      </c>
      <c r="I19" t="s" s="40">
        <f>"0.381"</f>
        <v>120</v>
      </c>
      <c r="J19" t="s" s="40">
        <f>"0.375"</f>
        <v>121</v>
      </c>
      <c r="K19" t="s" s="41">
        <v>114</v>
      </c>
      <c r="L19" t="s" s="40">
        <f t="shared" si="159"/>
        <v>115</v>
      </c>
      <c r="M19" t="s" s="40">
        <f>"0.858"</f>
        <v>122</v>
      </c>
      <c r="N19" t="s" s="40">
        <f>"0.876"</f>
        <v>123</v>
      </c>
      <c r="O19" t="s" s="40">
        <f>"0.884"</f>
        <v>124</v>
      </c>
    </row>
    <row r="20" ht="15.35" customHeight="1">
      <c r="A20" s="26"/>
      <c r="B20" s="43"/>
      <c r="C20" s="43"/>
      <c r="D20" s="43"/>
      <c r="E20" s="43"/>
      <c r="F20" s="43"/>
      <c r="G20" s="43"/>
      <c r="H20" s="43"/>
      <c r="I20" s="43"/>
      <c r="J20" s="43"/>
      <c r="K20" s="43"/>
      <c r="L20" s="43"/>
      <c r="M20" s="43"/>
      <c r="N20" s="43"/>
      <c r="O20" s="43"/>
    </row>
    <row r="21" ht="80" customHeight="1">
      <c r="A21" s="26"/>
      <c r="B21" t="s" s="44">
        <v>125</v>
      </c>
      <c r="C21" s="45"/>
      <c r="D21" s="45"/>
      <c r="E21" s="45"/>
      <c r="F21" s="45"/>
      <c r="G21" s="45"/>
      <c r="H21" s="45"/>
      <c r="I21" s="45"/>
      <c r="J21" s="45"/>
      <c r="K21" s="46"/>
      <c r="L21" s="45"/>
      <c r="M21" s="45"/>
      <c r="N21" s="45"/>
      <c r="O21" s="45"/>
    </row>
    <row r="22" ht="32" customHeight="1">
      <c r="A22" s="26"/>
      <c r="B22" s="47"/>
      <c r="C22" t="s" s="33">
        <v>14</v>
      </c>
      <c r="D22" t="s" s="33">
        <v>15</v>
      </c>
      <c r="E22" t="s" s="33">
        <v>16</v>
      </c>
      <c r="F22" t="s" s="33">
        <v>17</v>
      </c>
      <c r="G22" t="s" s="33">
        <v>14</v>
      </c>
      <c r="H22" t="s" s="33">
        <v>15</v>
      </c>
      <c r="I22" t="s" s="33">
        <v>16</v>
      </c>
      <c r="J22" t="s" s="33">
        <v>17</v>
      </c>
      <c r="K22" s="48"/>
      <c r="L22" t="s" s="33">
        <v>14</v>
      </c>
      <c r="M22" t="s" s="33">
        <v>15</v>
      </c>
      <c r="N22" t="s" s="33">
        <v>16</v>
      </c>
      <c r="O22" t="s" s="36">
        <v>17</v>
      </c>
    </row>
    <row r="23" ht="15.35" customHeight="1">
      <c r="A23" s="26"/>
      <c r="B23" t="s" s="41">
        <f t="shared" si="171" ref="B23:K23">"L.InfExp_Var_rv"</f>
        <v>126</v>
      </c>
      <c r="C23" t="s" s="37">
        <f>""</f>
      </c>
      <c r="D23" t="s" s="37">
        <f>"0.339***"</f>
        <v>127</v>
      </c>
      <c r="E23" t="s" s="37">
        <f>"0.166"</f>
        <v>128</v>
      </c>
      <c r="F23" t="s" s="37">
        <f>"0.185*"</f>
        <v>129</v>
      </c>
      <c r="G23" t="s" s="37">
        <f>""</f>
      </c>
      <c r="H23" t="s" s="37">
        <f>"0.395***"</f>
        <v>130</v>
      </c>
      <c r="I23" t="s" s="37">
        <f>"0.352***"</f>
        <v>131</v>
      </c>
      <c r="J23" t="s" s="37">
        <f>"0.285***"</f>
        <v>132</v>
      </c>
      <c r="K23" t="s" s="41">
        <f t="shared" si="171"/>
        <v>126</v>
      </c>
      <c r="L23" s="39"/>
      <c r="M23" t="s" s="37">
        <f>"0.749***"</f>
        <v>133</v>
      </c>
      <c r="N23" t="s" s="37">
        <f>"0.770***"</f>
        <v>134</v>
      </c>
      <c r="O23" t="s" s="37">
        <f t="shared" si="11"/>
        <v>26</v>
      </c>
    </row>
    <row r="24" ht="15.35" customHeight="1">
      <c r="A24" s="26"/>
      <c r="B24" t="s" s="41">
        <f>""</f>
      </c>
      <c r="C24" t="s" s="40">
        <f>""</f>
      </c>
      <c r="D24" t="s" s="40">
        <f t="shared" si="186" ref="D24:M24">"(0.074)"</f>
        <v>135</v>
      </c>
      <c r="E24" t="s" s="40">
        <f>"(0.093)"</f>
        <v>136</v>
      </c>
      <c r="F24" t="s" s="40">
        <f>"(0.089)"</f>
        <v>137</v>
      </c>
      <c r="G24" t="s" s="40">
        <f>""</f>
      </c>
      <c r="H24" t="s" s="40">
        <f>"(0.057)"</f>
        <v>138</v>
      </c>
      <c r="I24" t="s" s="40">
        <f>"(0.066)"</f>
        <v>139</v>
      </c>
      <c r="J24" t="s" s="40">
        <f>"(0.070)"</f>
        <v>140</v>
      </c>
      <c r="K24" t="s" s="41">
        <f>""</f>
      </c>
      <c r="L24" s="42"/>
      <c r="M24" t="s" s="40">
        <f t="shared" si="186"/>
        <v>135</v>
      </c>
      <c r="N24" t="s" s="40">
        <f>"(0.151)"</f>
        <v>141</v>
      </c>
      <c r="O24" t="s" s="40">
        <f>"(0.167)"</f>
        <v>142</v>
      </c>
    </row>
    <row r="25" ht="15.35" customHeight="1">
      <c r="A25" s="26"/>
      <c r="B25" t="s" s="41">
        <f t="shared" si="197" ref="B25:K25">"L2.InfExp_Var_rv"</f>
        <v>143</v>
      </c>
      <c r="C25" t="s" s="40">
        <f>""</f>
      </c>
      <c r="D25" t="s" s="40">
        <f>""</f>
      </c>
      <c r="E25" t="s" s="40">
        <f>"0.162*"</f>
        <v>144</v>
      </c>
      <c r="F25" t="s" s="40">
        <f>"0.217**"</f>
        <v>145</v>
      </c>
      <c r="G25" t="s" s="40">
        <f>""</f>
      </c>
      <c r="H25" t="s" s="40">
        <f>""</f>
      </c>
      <c r="I25" t="s" s="40">
        <f>"0.206***"</f>
        <v>146</v>
      </c>
      <c r="J25" t="s" s="40">
        <f>"0.114"</f>
        <v>147</v>
      </c>
      <c r="K25" t="s" s="41">
        <f t="shared" si="197"/>
        <v>143</v>
      </c>
      <c r="L25" s="42"/>
      <c r="M25" s="42"/>
      <c r="N25" t="s" s="40">
        <f>"0.014"</f>
        <v>91</v>
      </c>
      <c r="O25" t="s" s="40">
        <f>"-0.097"</f>
        <v>148</v>
      </c>
    </row>
    <row r="26" ht="15.35" customHeight="1">
      <c r="A26" s="26"/>
      <c r="B26" t="s" s="41">
        <f>""</f>
      </c>
      <c r="C26" t="s" s="40">
        <f>""</f>
      </c>
      <c r="D26" t="s" s="40">
        <f>""</f>
      </c>
      <c r="E26" t="s" s="40">
        <f>"(0.078)"</f>
        <v>149</v>
      </c>
      <c r="F26" t="s" s="40">
        <f>"(0.073)"</f>
        <v>150</v>
      </c>
      <c r="G26" t="s" s="40">
        <f>""</f>
      </c>
      <c r="H26" t="s" s="40">
        <f>""</f>
      </c>
      <c r="I26" t="s" s="40">
        <f>"(0.058)"</f>
        <v>47</v>
      </c>
      <c r="J26" t="s" s="40">
        <f t="shared" si="46"/>
        <v>47</v>
      </c>
      <c r="K26" t="s" s="41">
        <f>""</f>
      </c>
      <c r="L26" s="42"/>
      <c r="M26" s="42"/>
      <c r="N26" t="s" s="40">
        <f>"(0.174)"</f>
        <v>151</v>
      </c>
      <c r="O26" t="s" s="40">
        <f>"(0.203)"</f>
        <v>152</v>
      </c>
    </row>
    <row r="27" ht="15.35" customHeight="1">
      <c r="A27" s="26"/>
      <c r="B27" t="s" s="41">
        <f t="shared" si="221" ref="B27:K27">"L3.InfExp_Var_rv"</f>
        <v>153</v>
      </c>
      <c r="C27" t="s" s="40">
        <f>""</f>
      </c>
      <c r="D27" t="s" s="40">
        <f>""</f>
      </c>
      <c r="E27" t="s" s="40">
        <f>""</f>
      </c>
      <c r="F27" t="s" s="40">
        <f>"0.231**"</f>
        <v>154</v>
      </c>
      <c r="G27" t="s" s="40">
        <f>""</f>
      </c>
      <c r="H27" t="s" s="40">
        <f>""</f>
      </c>
      <c r="I27" t="s" s="40">
        <f>""</f>
      </c>
      <c r="J27" t="s" s="40">
        <f>"0.271***"</f>
        <v>155</v>
      </c>
      <c r="K27" t="s" s="41">
        <f t="shared" si="221"/>
        <v>153</v>
      </c>
      <c r="L27" s="42"/>
      <c r="M27" s="42"/>
      <c r="N27" t="s" s="40">
        <f>"-0.005"</f>
        <v>156</v>
      </c>
      <c r="O27" t="s" s="40">
        <f>"-0.218"</f>
        <v>157</v>
      </c>
    </row>
    <row r="28" ht="15.35" customHeight="1">
      <c r="A28" s="26"/>
      <c r="B28" t="s" s="41">
        <f>""</f>
      </c>
      <c r="C28" t="s" s="40">
        <f>""</f>
      </c>
      <c r="D28" t="s" s="40">
        <f>""</f>
      </c>
      <c r="E28" t="s" s="40">
        <f>""</f>
      </c>
      <c r="F28" t="s" s="40">
        <f>"(0.079)"</f>
        <v>158</v>
      </c>
      <c r="G28" t="s" s="40">
        <f>""</f>
      </c>
      <c r="H28" t="s" s="40">
        <f>""</f>
      </c>
      <c r="I28" t="s" s="40">
        <f>""</f>
      </c>
      <c r="J28" t="s" s="40">
        <f t="shared" si="20"/>
        <v>32</v>
      </c>
      <c r="K28" t="s" s="41">
        <f>""</f>
      </c>
      <c r="L28" s="42"/>
      <c r="M28" s="42"/>
      <c r="N28" t="s" s="40">
        <f>"(0.123)"</f>
        <v>159</v>
      </c>
      <c r="O28" t="s" s="40">
        <f>"(0.175)"</f>
        <v>160</v>
      </c>
    </row>
    <row r="29" ht="15.35" customHeight="1">
      <c r="A29" s="26"/>
      <c r="B29" t="s" s="41">
        <v>79</v>
      </c>
      <c r="C29" t="s" s="40">
        <f>"-0.087***"</f>
        <v>161</v>
      </c>
      <c r="D29" t="s" s="40">
        <f t="shared" si="246" ref="D29:E29">"-0.053***"</f>
        <v>162</v>
      </c>
      <c r="E29" t="s" s="40">
        <f t="shared" si="246"/>
        <v>162</v>
      </c>
      <c r="F29" t="s" s="40">
        <f>"-0.031**"</f>
        <v>163</v>
      </c>
      <c r="G29" t="s" s="40">
        <f>"-0.076***"</f>
        <v>164</v>
      </c>
      <c r="H29" t="s" s="40">
        <f>"-0.048***"</f>
        <v>165</v>
      </c>
      <c r="I29" t="s" s="40">
        <f>"-0.035***"</f>
        <v>166</v>
      </c>
      <c r="J29" t="s" s="40">
        <f>"-0.026***"</f>
        <v>167</v>
      </c>
      <c r="K29" t="s" s="41">
        <f>"L4.InfExp_Var_rv"</f>
        <v>168</v>
      </c>
      <c r="L29" s="42"/>
      <c r="M29" s="42"/>
      <c r="N29" s="42"/>
      <c r="O29" t="s" s="40">
        <f>"0.378*"</f>
        <v>169</v>
      </c>
    </row>
    <row r="30" ht="15.35" customHeight="1">
      <c r="A30" s="26"/>
      <c r="B30" t="s" s="41">
        <f>""</f>
      </c>
      <c r="C30" t="s" s="40">
        <f>"(0.008)"</f>
        <v>170</v>
      </c>
      <c r="D30" t="s" s="40">
        <f t="shared" si="257" ref="D30:E30">"(0.007)"</f>
        <v>171</v>
      </c>
      <c r="E30" t="s" s="40">
        <f t="shared" si="257"/>
        <v>171</v>
      </c>
      <c r="F30" t="s" s="40">
        <f>"(0.009)"</f>
        <v>172</v>
      </c>
      <c r="G30" t="s" s="40">
        <f t="shared" si="260" ref="G30:I30">"(0.006)"</f>
        <v>173</v>
      </c>
      <c r="H30" t="s" s="40">
        <f t="shared" si="260"/>
        <v>173</v>
      </c>
      <c r="I30" t="s" s="40">
        <f t="shared" si="260"/>
        <v>173</v>
      </c>
      <c r="J30" t="s" s="40">
        <f>"(0.005)"</f>
        <v>174</v>
      </c>
      <c r="K30" t="s" s="41">
        <f>""</f>
      </c>
      <c r="L30" s="42"/>
      <c r="M30" s="42"/>
      <c r="N30" s="42"/>
      <c r="O30" t="s" s="40">
        <f>"(0.153)"</f>
        <v>175</v>
      </c>
    </row>
    <row r="31" ht="15.35" customHeight="1">
      <c r="A31" s="26"/>
      <c r="B31" s="42"/>
      <c r="C31" s="42"/>
      <c r="D31" s="42"/>
      <c r="E31" s="42"/>
      <c r="F31" s="42"/>
      <c r="G31" s="42"/>
      <c r="H31" s="42"/>
      <c r="I31" s="42"/>
      <c r="J31" s="42"/>
      <c r="K31" t="s" s="41">
        <f>"L5.InfExp_Var_rv"</f>
        <v>176</v>
      </c>
      <c r="L31" s="42"/>
      <c r="M31" s="42"/>
      <c r="N31" s="42"/>
      <c r="O31" t="s" s="40">
        <f>"-0.134"</f>
        <v>177</v>
      </c>
    </row>
    <row r="32" ht="15.35" customHeight="1">
      <c r="A32" s="26"/>
      <c r="B32" s="42"/>
      <c r="C32" s="42"/>
      <c r="D32" s="42"/>
      <c r="E32" s="42"/>
      <c r="F32" s="42"/>
      <c r="G32" s="42"/>
      <c r="H32" s="42"/>
      <c r="I32" s="42"/>
      <c r="J32" s="42"/>
      <c r="K32" t="s" s="41">
        <f>""</f>
      </c>
      <c r="L32" s="42"/>
      <c r="M32" s="42"/>
      <c r="N32" s="42"/>
      <c r="O32" t="s" s="40">
        <f>"(0.231)"</f>
        <v>178</v>
      </c>
    </row>
    <row r="33" ht="15.35" customHeight="1">
      <c r="A33" s="26"/>
      <c r="B33" s="42"/>
      <c r="C33" s="42"/>
      <c r="D33" s="42"/>
      <c r="E33" s="42"/>
      <c r="F33" s="42"/>
      <c r="G33" s="42"/>
      <c r="H33" s="42"/>
      <c r="I33" s="42"/>
      <c r="J33" s="42"/>
      <c r="K33" t="s" s="41">
        <f>"L6.InfExp_Var_rv"</f>
        <v>179</v>
      </c>
      <c r="L33" s="42"/>
      <c r="M33" s="42"/>
      <c r="N33" s="42"/>
      <c r="O33" t="s" s="40">
        <f>"0.066"</f>
        <v>180</v>
      </c>
    </row>
    <row r="34" ht="15.35" customHeight="1">
      <c r="A34" s="26"/>
      <c r="B34" s="42"/>
      <c r="C34" s="42"/>
      <c r="D34" s="42"/>
      <c r="E34" s="42"/>
      <c r="F34" s="42"/>
      <c r="G34" s="42"/>
      <c r="H34" s="42"/>
      <c r="I34" s="42"/>
      <c r="J34" s="42"/>
      <c r="K34" s="43"/>
      <c r="L34" s="42"/>
      <c r="M34" s="42"/>
      <c r="N34" s="42"/>
      <c r="O34" t="s" s="40">
        <f>"(0.144)"</f>
        <v>181</v>
      </c>
    </row>
    <row r="35" ht="15.35" customHeight="1">
      <c r="A35" s="26"/>
      <c r="B35" s="42"/>
      <c r="C35" s="42"/>
      <c r="D35" s="42"/>
      <c r="E35" s="42"/>
      <c r="F35" s="42"/>
      <c r="G35" s="42"/>
      <c r="H35" s="42"/>
      <c r="I35" s="42"/>
      <c r="J35" s="42"/>
      <c r="K35" t="s" s="41">
        <v>79</v>
      </c>
      <c r="L35" t="s" s="40">
        <f>"0.020"</f>
        <v>182</v>
      </c>
      <c r="M35" t="s" s="40">
        <f>"-0.006"</f>
        <v>183</v>
      </c>
      <c r="N35" t="s" s="40">
        <f t="shared" si="275" ref="N35:O35">"0.037"</f>
        <v>184</v>
      </c>
      <c r="O35" t="s" s="40">
        <f t="shared" si="275"/>
        <v>184</v>
      </c>
    </row>
    <row r="36" ht="15.35" customHeight="1">
      <c r="A36" s="26"/>
      <c r="B36" s="42"/>
      <c r="C36" s="42"/>
      <c r="D36" s="42"/>
      <c r="E36" s="42"/>
      <c r="F36" s="42"/>
      <c r="G36" s="42"/>
      <c r="H36" s="42"/>
      <c r="I36" s="42"/>
      <c r="J36" s="42"/>
      <c r="K36" t="s" s="41">
        <f>""</f>
      </c>
      <c r="L36" t="s" s="40">
        <f>"(0.157)"</f>
        <v>57</v>
      </c>
      <c r="M36" t="s" s="40">
        <f t="shared" si="279" ref="M36:N36">"(0.103)"</f>
        <v>185</v>
      </c>
      <c r="N36" t="s" s="40">
        <f t="shared" si="279"/>
        <v>185</v>
      </c>
      <c r="O36" t="s" s="40">
        <f>"(0.106)"</f>
        <v>186</v>
      </c>
    </row>
    <row r="37" ht="15.35" customHeight="1">
      <c r="A37" s="26"/>
      <c r="B37" t="s" s="40">
        <f t="shared" si="145"/>
        <v>101</v>
      </c>
      <c r="C37" t="s" s="40">
        <f>"1696"</f>
        <v>187</v>
      </c>
      <c r="D37" t="s" s="40">
        <f>"1435"</f>
        <v>188</v>
      </c>
      <c r="E37" t="s" s="40">
        <f>"1237"</f>
        <v>189</v>
      </c>
      <c r="F37" t="s" s="40">
        <f>"1082"</f>
        <v>190</v>
      </c>
      <c r="G37" t="s" s="40">
        <f>"1622"</f>
        <v>191</v>
      </c>
      <c r="H37" t="s" s="40">
        <f>"1370"</f>
        <v>192</v>
      </c>
      <c r="I37" t="s" s="40">
        <f>"1171"</f>
        <v>193</v>
      </c>
      <c r="J37" t="s" s="40">
        <f>"1013"</f>
        <v>194</v>
      </c>
      <c r="K37" t="s" s="41">
        <f t="shared" si="145"/>
        <v>101</v>
      </c>
      <c r="L37" t="s" s="40">
        <f t="shared" si="155"/>
        <v>110</v>
      </c>
      <c r="M37" t="s" s="40">
        <f t="shared" si="156"/>
        <v>111</v>
      </c>
      <c r="N37" t="s" s="40">
        <f t="shared" si="157"/>
        <v>112</v>
      </c>
      <c r="O37" t="s" s="40">
        <f t="shared" si="158"/>
        <v>113</v>
      </c>
    </row>
    <row r="38" ht="15.35" customHeight="1">
      <c r="A38" s="26"/>
      <c r="B38" t="s" s="40">
        <v>114</v>
      </c>
      <c r="C38" t="s" s="40">
        <f t="shared" si="159"/>
        <v>115</v>
      </c>
      <c r="D38" t="s" s="40">
        <f>"0.132"</f>
        <v>195</v>
      </c>
      <c r="E38" t="s" s="40">
        <f>"0.092"</f>
        <v>196</v>
      </c>
      <c r="F38" t="s" s="40">
        <f>"0.210"</f>
        <v>197</v>
      </c>
      <c r="G38" t="s" s="40">
        <f t="shared" si="159"/>
        <v>115</v>
      </c>
      <c r="H38" t="s" s="40">
        <f>"0.146"</f>
        <v>198</v>
      </c>
      <c r="I38" t="s" s="40">
        <f>"0.211"</f>
        <v>199</v>
      </c>
      <c r="J38" t="s" s="40">
        <f>"0.263"</f>
        <v>200</v>
      </c>
      <c r="K38" t="s" s="41">
        <v>114</v>
      </c>
      <c r="L38" t="s" s="40">
        <f t="shared" si="159"/>
        <v>115</v>
      </c>
      <c r="M38" t="s" s="40">
        <f>"0.567"</f>
        <v>201</v>
      </c>
      <c r="N38" t="s" s="40">
        <f>"0.602"</f>
        <v>202</v>
      </c>
      <c r="O38" t="s" s="40">
        <f>"0.639"</f>
        <v>203</v>
      </c>
    </row>
    <row r="39" ht="80" customHeight="1">
      <c r="A39" s="26"/>
      <c r="B39" s="26"/>
      <c r="C39" s="49"/>
      <c r="D39" s="49"/>
      <c r="E39" s="49"/>
      <c r="F39" s="49"/>
      <c r="G39" s="49"/>
      <c r="H39" s="49"/>
      <c r="I39" s="49"/>
      <c r="J39" s="49"/>
      <c r="K39" s="43"/>
      <c r="L39" s="49"/>
      <c r="M39" s="49"/>
      <c r="N39" s="49"/>
      <c r="O39" s="49"/>
    </row>
    <row r="40" ht="32" customHeight="1">
      <c r="A40" s="26"/>
      <c r="B40" s="47"/>
      <c r="C40" s="34"/>
      <c r="D40" s="34"/>
      <c r="E40" s="34"/>
      <c r="F40" s="34"/>
      <c r="G40" s="34"/>
      <c r="H40" s="34"/>
      <c r="I40" s="34"/>
      <c r="J40" s="34"/>
      <c r="K40" s="48"/>
      <c r="L40" s="34"/>
      <c r="M40" s="34"/>
      <c r="N40" s="34"/>
      <c r="O40" s="50"/>
    </row>
    <row r="41" ht="15.35" customHeight="1">
      <c r="A41" s="26"/>
      <c r="B41" s="43"/>
      <c r="C41" s="51"/>
      <c r="D41" s="39"/>
      <c r="E41" s="39"/>
      <c r="F41" s="39"/>
      <c r="G41" s="51"/>
      <c r="H41" s="39"/>
      <c r="I41" s="39"/>
      <c r="J41" s="39"/>
      <c r="K41" s="43"/>
      <c r="L41" s="39"/>
      <c r="M41" s="39"/>
      <c r="N41" s="39"/>
      <c r="O41" s="39"/>
    </row>
    <row r="42" ht="15.35" customHeight="1">
      <c r="A42" s="26"/>
      <c r="B42" s="43"/>
      <c r="C42" s="43"/>
      <c r="D42" s="42"/>
      <c r="E42" s="42"/>
      <c r="F42" s="42"/>
      <c r="G42" s="43"/>
      <c r="H42" s="42"/>
      <c r="I42" s="42"/>
      <c r="J42" s="42"/>
      <c r="K42" s="43"/>
      <c r="L42" s="42"/>
      <c r="M42" s="42"/>
      <c r="N42" s="42"/>
      <c r="O42" s="42"/>
    </row>
    <row r="43" ht="15.35" customHeight="1">
      <c r="A43" s="26"/>
      <c r="B43" s="43"/>
      <c r="C43" s="43"/>
      <c r="D43" s="42"/>
      <c r="E43" s="42"/>
      <c r="F43" s="42"/>
      <c r="G43" s="43"/>
      <c r="H43" s="42"/>
      <c r="I43" s="42"/>
      <c r="J43" s="42"/>
      <c r="K43" s="43"/>
      <c r="L43" s="42"/>
      <c r="M43" s="42"/>
      <c r="N43" s="42"/>
      <c r="O43" s="42"/>
    </row>
    <row r="44" ht="15.35" customHeight="1">
      <c r="A44" s="26"/>
      <c r="B44" s="43"/>
      <c r="C44" s="43"/>
      <c r="D44" s="42"/>
      <c r="E44" s="42"/>
      <c r="F44" s="42"/>
      <c r="G44" s="43"/>
      <c r="H44" s="42"/>
      <c r="I44" s="42"/>
      <c r="J44" s="42"/>
      <c r="K44" s="43"/>
      <c r="L44" s="42"/>
      <c r="M44" s="42"/>
      <c r="N44" s="42"/>
      <c r="O44" s="42"/>
    </row>
    <row r="45" ht="15.35" customHeight="1">
      <c r="A45" s="26"/>
      <c r="B45" s="43"/>
      <c r="C45" s="43"/>
      <c r="D45" s="42"/>
      <c r="E45" s="42"/>
      <c r="F45" s="42"/>
      <c r="G45" s="43"/>
      <c r="H45" s="42"/>
      <c r="I45" s="42"/>
      <c r="J45" s="42"/>
      <c r="K45" s="43"/>
      <c r="L45" s="42"/>
      <c r="M45" s="42"/>
      <c r="N45" s="42"/>
      <c r="O45" s="42"/>
    </row>
    <row r="46" ht="15.35" customHeight="1">
      <c r="A46" s="26"/>
      <c r="B46" s="43"/>
      <c r="C46" s="43"/>
      <c r="D46" s="42"/>
      <c r="E46" s="42"/>
      <c r="F46" s="42"/>
      <c r="G46" s="43"/>
      <c r="H46" s="42"/>
      <c r="I46" s="42"/>
      <c r="J46" s="42"/>
      <c r="K46" s="43"/>
      <c r="L46" s="42"/>
      <c r="M46" s="42"/>
      <c r="N46" s="42"/>
      <c r="O46" s="42"/>
    </row>
    <row r="47" ht="15.35" customHeight="1">
      <c r="A47" s="26"/>
      <c r="B47" s="43"/>
      <c r="C47" s="43"/>
      <c r="D47" s="43"/>
      <c r="E47" s="43"/>
      <c r="F47" s="43"/>
      <c r="G47" s="43"/>
      <c r="H47" s="43"/>
      <c r="I47" s="43"/>
      <c r="J47" s="43"/>
      <c r="K47" s="43"/>
      <c r="L47" s="42"/>
      <c r="M47" s="42"/>
      <c r="N47" s="42"/>
      <c r="O47" s="42"/>
    </row>
    <row r="48" ht="15.35" customHeight="1">
      <c r="A48" s="26"/>
      <c r="B48" s="43"/>
      <c r="C48" s="43"/>
      <c r="D48" s="43"/>
      <c r="E48" s="43"/>
      <c r="F48" s="43"/>
      <c r="G48" s="43"/>
      <c r="H48" s="43"/>
      <c r="I48" s="43"/>
      <c r="J48" s="43"/>
      <c r="K48" s="43"/>
      <c r="L48" s="42"/>
      <c r="M48" s="42"/>
      <c r="N48" s="42"/>
      <c r="O48" s="42"/>
    </row>
    <row r="49" ht="15.35" customHeight="1">
      <c r="A49" s="26"/>
      <c r="B49" s="43"/>
      <c r="C49" s="43"/>
      <c r="D49" s="43"/>
      <c r="E49" s="43"/>
      <c r="F49" s="43"/>
      <c r="G49" s="43"/>
      <c r="H49" s="43"/>
      <c r="I49" s="43"/>
      <c r="J49" s="43"/>
      <c r="K49" s="43"/>
      <c r="L49" s="42"/>
      <c r="M49" s="42"/>
      <c r="N49" s="42"/>
      <c r="O49" s="42"/>
    </row>
    <row r="50" ht="15.35" customHeight="1">
      <c r="A50" s="26"/>
      <c r="B50" s="43"/>
      <c r="C50" s="43"/>
      <c r="D50" s="43"/>
      <c r="E50" s="43"/>
      <c r="F50" s="43"/>
      <c r="G50" s="43"/>
      <c r="H50" s="43"/>
      <c r="I50" s="43"/>
      <c r="J50" s="43"/>
      <c r="K50" s="43"/>
      <c r="L50" s="42"/>
      <c r="M50" s="42"/>
      <c r="N50" s="42"/>
      <c r="O50" s="42"/>
    </row>
    <row r="51" ht="15.35" customHeight="1">
      <c r="A51" s="26"/>
      <c r="B51" s="43"/>
      <c r="C51" s="43"/>
      <c r="D51" s="43"/>
      <c r="E51" s="43"/>
      <c r="F51" s="43"/>
      <c r="G51" s="43"/>
      <c r="H51" s="43"/>
      <c r="I51" s="43"/>
      <c r="J51" s="43"/>
      <c r="K51" s="43"/>
      <c r="L51" s="42"/>
      <c r="M51" s="42"/>
      <c r="N51" s="42"/>
      <c r="O51" s="42"/>
    </row>
    <row r="52" ht="15.35" customHeight="1">
      <c r="A52" s="26"/>
      <c r="B52" s="43"/>
      <c r="C52" s="43"/>
      <c r="D52" s="43"/>
      <c r="E52" s="43"/>
      <c r="F52" s="43"/>
      <c r="G52" s="43"/>
      <c r="H52" s="43"/>
      <c r="I52" s="43"/>
      <c r="J52" s="43"/>
      <c r="K52" s="43"/>
      <c r="L52" s="42"/>
      <c r="M52" s="42"/>
      <c r="N52" s="42"/>
      <c r="O52" s="42"/>
    </row>
    <row r="53" ht="15.35" customHeight="1">
      <c r="A53" s="26"/>
      <c r="B53" s="43"/>
      <c r="C53" s="42"/>
      <c r="D53" s="42"/>
      <c r="E53" s="42"/>
      <c r="F53" s="42"/>
      <c r="G53" s="42"/>
      <c r="H53" s="42"/>
      <c r="I53" s="42"/>
      <c r="J53" s="42"/>
      <c r="K53" s="43"/>
      <c r="L53" s="42"/>
      <c r="M53" s="42"/>
      <c r="N53" s="42"/>
      <c r="O53" s="42"/>
    </row>
    <row r="54" ht="15.35" customHeight="1">
      <c r="A54" s="26"/>
      <c r="B54" s="43"/>
      <c r="C54" s="42"/>
      <c r="D54" s="42"/>
      <c r="E54" s="42"/>
      <c r="F54" s="42"/>
      <c r="G54" s="42"/>
      <c r="H54" s="42"/>
      <c r="I54" s="42"/>
      <c r="J54" s="42"/>
      <c r="K54" s="43"/>
      <c r="L54" s="42"/>
      <c r="M54" s="42"/>
      <c r="N54" s="42"/>
      <c r="O54" s="42"/>
    </row>
    <row r="55" ht="15.35" customHeight="1">
      <c r="A55" s="26"/>
      <c r="B55" s="43"/>
      <c r="C55" s="42"/>
      <c r="D55" s="42"/>
      <c r="E55" s="42"/>
      <c r="F55" s="42"/>
      <c r="G55" s="42"/>
      <c r="H55" s="42"/>
      <c r="I55" s="42"/>
      <c r="J55" s="42"/>
      <c r="K55" s="43"/>
      <c r="L55" s="42"/>
      <c r="M55" s="42"/>
      <c r="N55" s="42"/>
      <c r="O55" s="42"/>
    </row>
    <row r="56" ht="15.35" customHeight="1">
      <c r="A56" s="26"/>
      <c r="B56" s="43"/>
      <c r="C56" s="42"/>
      <c r="D56" s="42"/>
      <c r="E56" s="42"/>
      <c r="F56" s="42"/>
      <c r="G56" s="42"/>
      <c r="H56" s="42"/>
      <c r="I56" s="42"/>
      <c r="J56" s="42"/>
      <c r="K56" s="43"/>
      <c r="L56" s="42"/>
      <c r="M56" s="42"/>
      <c r="N56" s="42"/>
      <c r="O56" s="42"/>
    </row>
    <row r="57" ht="15.35" customHeight="1">
      <c r="A57" s="26"/>
      <c r="B57" s="43"/>
      <c r="C57" s="43"/>
      <c r="D57" s="43"/>
      <c r="E57" s="43"/>
      <c r="F57" s="43"/>
      <c r="G57" s="43"/>
      <c r="H57" s="43"/>
      <c r="I57" s="43"/>
      <c r="J57" s="43"/>
      <c r="K57" s="43"/>
      <c r="L57" s="43"/>
      <c r="M57" s="43"/>
      <c r="N57" s="43"/>
      <c r="O57" s="43"/>
    </row>
    <row r="58" ht="96" customHeight="1">
      <c r="A58" s="26"/>
      <c r="B58" s="26"/>
      <c r="C58" s="49"/>
      <c r="D58" s="49"/>
      <c r="E58" s="49"/>
      <c r="F58" s="49"/>
      <c r="G58" s="49"/>
      <c r="H58" s="49"/>
      <c r="I58" s="49"/>
      <c r="J58" s="49"/>
      <c r="K58" s="43"/>
      <c r="L58" s="49"/>
      <c r="M58" s="49"/>
      <c r="N58" s="49"/>
      <c r="O58" s="49"/>
    </row>
    <row r="59" ht="32" customHeight="1">
      <c r="A59" s="26"/>
      <c r="B59" s="47"/>
      <c r="C59" s="34"/>
      <c r="D59" s="34"/>
      <c r="E59" s="34"/>
      <c r="F59" s="34"/>
      <c r="G59" s="34"/>
      <c r="H59" s="34"/>
      <c r="I59" s="34"/>
      <c r="J59" s="34"/>
      <c r="K59" s="48"/>
      <c r="L59" s="34"/>
      <c r="M59" s="34"/>
      <c r="N59" s="34"/>
      <c r="O59" s="50"/>
    </row>
    <row r="60" ht="15.35" customHeight="1">
      <c r="A60" s="26"/>
      <c r="B60" s="43"/>
      <c r="C60" s="51"/>
      <c r="D60" s="39"/>
      <c r="E60" s="39"/>
      <c r="F60" s="39"/>
      <c r="G60" s="51"/>
      <c r="H60" s="39"/>
      <c r="I60" s="39"/>
      <c r="J60" s="39"/>
      <c r="K60" s="43"/>
      <c r="L60" s="39"/>
      <c r="M60" s="39"/>
      <c r="N60" s="39"/>
      <c r="O60" s="39"/>
    </row>
    <row r="61" ht="15.35" customHeight="1">
      <c r="A61" s="26"/>
      <c r="B61" s="43"/>
      <c r="C61" s="43"/>
      <c r="D61" s="42"/>
      <c r="E61" s="42"/>
      <c r="F61" s="42"/>
      <c r="G61" s="43"/>
      <c r="H61" s="42"/>
      <c r="I61" s="42"/>
      <c r="J61" s="42"/>
      <c r="K61" s="43"/>
      <c r="L61" s="42"/>
      <c r="M61" s="42"/>
      <c r="N61" s="42"/>
      <c r="O61" s="42"/>
    </row>
    <row r="62" ht="15.35" customHeight="1">
      <c r="A62" s="26"/>
      <c r="B62" s="43"/>
      <c r="C62" s="43"/>
      <c r="D62" s="42"/>
      <c r="E62" s="42"/>
      <c r="F62" s="42"/>
      <c r="G62" s="43"/>
      <c r="H62" s="42"/>
      <c r="I62" s="42"/>
      <c r="J62" s="42"/>
      <c r="K62" s="43"/>
      <c r="L62" s="42"/>
      <c r="M62" s="42"/>
      <c r="N62" s="42"/>
      <c r="O62" s="42"/>
    </row>
    <row r="63" ht="15.35" customHeight="1">
      <c r="A63" s="26"/>
      <c r="B63" s="43"/>
      <c r="C63" s="43"/>
      <c r="D63" s="42"/>
      <c r="E63" s="42"/>
      <c r="F63" s="42"/>
      <c r="G63" s="43"/>
      <c r="H63" s="42"/>
      <c r="I63" s="42"/>
      <c r="J63" s="42"/>
      <c r="K63" s="43"/>
      <c r="L63" s="42"/>
      <c r="M63" s="42"/>
      <c r="N63" s="42"/>
      <c r="O63" s="42"/>
    </row>
    <row r="64" ht="15.35" customHeight="1">
      <c r="A64" s="26"/>
      <c r="B64" s="43"/>
      <c r="C64" s="43"/>
      <c r="D64" s="42"/>
      <c r="E64" s="42"/>
      <c r="F64" s="42"/>
      <c r="G64" s="43"/>
      <c r="H64" s="42"/>
      <c r="I64" s="42"/>
      <c r="J64" s="42"/>
      <c r="K64" s="43"/>
      <c r="L64" s="42"/>
      <c r="M64" s="42"/>
      <c r="N64" s="42"/>
      <c r="O64" s="42"/>
    </row>
    <row r="65" ht="15.35" customHeight="1">
      <c r="A65" s="26"/>
      <c r="B65" s="43"/>
      <c r="C65" s="43"/>
      <c r="D65" s="42"/>
      <c r="E65" s="42"/>
      <c r="F65" s="42"/>
      <c r="G65" s="43"/>
      <c r="H65" s="42"/>
      <c r="I65" s="42"/>
      <c r="J65" s="42"/>
      <c r="K65" s="43"/>
      <c r="L65" s="42"/>
      <c r="M65" s="42"/>
      <c r="N65" s="42"/>
      <c r="O65" s="42"/>
    </row>
    <row r="66" ht="15.35" customHeight="1">
      <c r="A66" s="26"/>
      <c r="B66" s="43"/>
      <c r="C66" s="43"/>
      <c r="D66" s="43"/>
      <c r="E66" s="43"/>
      <c r="F66" s="43"/>
      <c r="G66" s="43"/>
      <c r="H66" s="43"/>
      <c r="I66" s="43"/>
      <c r="J66" s="43"/>
      <c r="K66" s="43"/>
      <c r="L66" s="42"/>
      <c r="M66" s="42"/>
      <c r="N66" s="42"/>
      <c r="O66" s="42"/>
    </row>
    <row r="67" ht="15.35" customHeight="1">
      <c r="A67" s="26"/>
      <c r="B67" s="43"/>
      <c r="C67" s="43"/>
      <c r="D67" s="43"/>
      <c r="E67" s="43"/>
      <c r="F67" s="43"/>
      <c r="G67" s="43"/>
      <c r="H67" s="43"/>
      <c r="I67" s="43"/>
      <c r="J67" s="43"/>
      <c r="K67" s="43"/>
      <c r="L67" s="42"/>
      <c r="M67" s="42"/>
      <c r="N67" s="42"/>
      <c r="O67" s="42"/>
    </row>
    <row r="68" ht="15.35" customHeight="1">
      <c r="A68" s="26"/>
      <c r="B68" s="43"/>
      <c r="C68" s="43"/>
      <c r="D68" s="43"/>
      <c r="E68" s="43"/>
      <c r="F68" s="43"/>
      <c r="G68" s="43"/>
      <c r="H68" s="43"/>
      <c r="I68" s="43"/>
      <c r="J68" s="43"/>
      <c r="K68" s="43"/>
      <c r="L68" s="42"/>
      <c r="M68" s="42"/>
      <c r="N68" s="42"/>
      <c r="O68" s="42"/>
    </row>
    <row r="69" ht="15.35" customHeight="1">
      <c r="A69" s="26"/>
      <c r="B69" s="43"/>
      <c r="C69" s="43"/>
      <c r="D69" s="43"/>
      <c r="E69" s="43"/>
      <c r="F69" s="43"/>
      <c r="G69" s="43"/>
      <c r="H69" s="43"/>
      <c r="I69" s="43"/>
      <c r="J69" s="43"/>
      <c r="K69" s="43"/>
      <c r="L69" s="42"/>
      <c r="M69" s="42"/>
      <c r="N69" s="42"/>
      <c r="O69" s="42"/>
    </row>
    <row r="70" ht="15.35" customHeight="1">
      <c r="A70" s="26"/>
      <c r="B70" s="43"/>
      <c r="C70" s="43"/>
      <c r="D70" s="43"/>
      <c r="E70" s="43"/>
      <c r="F70" s="43"/>
      <c r="G70" s="43"/>
      <c r="H70" s="43"/>
      <c r="I70" s="43"/>
      <c r="J70" s="43"/>
      <c r="K70" s="43"/>
      <c r="L70" s="42"/>
      <c r="M70" s="42"/>
      <c r="N70" s="42"/>
      <c r="O70" s="42"/>
    </row>
    <row r="71" ht="15.35" customHeight="1">
      <c r="A71" s="26"/>
      <c r="B71" s="43"/>
      <c r="C71" s="43"/>
      <c r="D71" s="43"/>
      <c r="E71" s="43"/>
      <c r="F71" s="43"/>
      <c r="G71" s="43"/>
      <c r="H71" s="43"/>
      <c r="I71" s="43"/>
      <c r="J71" s="43"/>
      <c r="K71" s="42"/>
      <c r="L71" s="42"/>
      <c r="M71" s="42"/>
      <c r="N71" s="42"/>
      <c r="O71" s="42"/>
    </row>
    <row r="72" ht="15.35" customHeight="1">
      <c r="A72" s="26"/>
      <c r="B72" s="43"/>
      <c r="C72" s="42"/>
      <c r="D72" s="42"/>
      <c r="E72" s="42"/>
      <c r="F72" s="42"/>
      <c r="G72" s="42"/>
      <c r="H72" s="42"/>
      <c r="I72" s="42"/>
      <c r="J72" s="42"/>
      <c r="K72" s="43"/>
      <c r="L72" s="42"/>
      <c r="M72" s="42"/>
      <c r="N72" s="42"/>
      <c r="O72" s="42"/>
    </row>
    <row r="73" ht="15.35" customHeight="1">
      <c r="A73" s="26"/>
      <c r="B73" s="43"/>
      <c r="C73" s="42"/>
      <c r="D73" s="42"/>
      <c r="E73" s="42"/>
      <c r="F73" s="42"/>
      <c r="G73" s="42"/>
      <c r="H73" s="42"/>
      <c r="I73" s="42"/>
      <c r="J73" s="42"/>
      <c r="K73" s="43"/>
      <c r="L73" s="42"/>
      <c r="M73" s="42"/>
      <c r="N73" s="42"/>
      <c r="O73" s="42"/>
    </row>
    <row r="74" ht="15.35" customHeight="1">
      <c r="A74" s="26"/>
      <c r="B74" s="43"/>
      <c r="C74" s="42"/>
      <c r="D74" s="42"/>
      <c r="E74" s="42"/>
      <c r="F74" s="42"/>
      <c r="G74" s="42"/>
      <c r="H74" s="42"/>
      <c r="I74" s="42"/>
      <c r="J74" s="42"/>
      <c r="K74" s="43"/>
      <c r="L74" s="42"/>
      <c r="M74" s="42"/>
      <c r="N74" s="42"/>
      <c r="O74" s="42"/>
    </row>
    <row r="75" ht="15.35" customHeight="1">
      <c r="A75" s="26"/>
      <c r="B75" s="43"/>
      <c r="C75" s="42"/>
      <c r="D75" s="42"/>
      <c r="E75" s="42"/>
      <c r="F75" s="42"/>
      <c r="G75" s="42"/>
      <c r="H75" s="42"/>
      <c r="I75" s="42"/>
      <c r="J75" s="42"/>
      <c r="K75" s="43"/>
      <c r="L75" s="42"/>
      <c r="M75" s="42"/>
      <c r="N75" s="42"/>
      <c r="O75" s="42"/>
    </row>
  </sheetData>
  <mergeCells count="4">
    <mergeCell ref="L1:O1"/>
    <mergeCell ref="G1:J1"/>
    <mergeCell ref="C1:F1"/>
    <mergeCell ref="B21:O2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38"/>
  <sheetViews>
    <sheetView workbookViewId="0" showGridLines="0" defaultGridColor="1"/>
  </sheetViews>
  <sheetFormatPr defaultColWidth="10.8333" defaultRowHeight="16" customHeight="1" outlineLevelRow="0" outlineLevelCol="0"/>
  <cols>
    <col min="1" max="1" width="18" style="52" customWidth="1"/>
    <col min="2" max="15" width="10.8516" style="52" customWidth="1"/>
    <col min="16" max="16384" width="10.8516" style="52" customWidth="1"/>
  </cols>
  <sheetData>
    <row r="1" ht="15.35" customHeight="1">
      <c r="A1" s="26"/>
      <c r="B1" s="47"/>
      <c r="C1" t="s" s="28">
        <v>10</v>
      </c>
      <c r="D1" s="29"/>
      <c r="E1" s="29"/>
      <c r="F1" s="29"/>
      <c r="G1" t="s" s="28">
        <v>11</v>
      </c>
      <c r="H1" s="29"/>
      <c r="I1" s="29"/>
      <c r="J1" s="29"/>
      <c r="K1" s="30"/>
      <c r="L1" t="s" s="28">
        <v>12</v>
      </c>
      <c r="M1" s="29"/>
      <c r="N1" s="29"/>
      <c r="O1" s="31"/>
    </row>
    <row r="2" ht="80" customHeight="1">
      <c r="A2" s="26"/>
      <c r="B2" t="s" s="53">
        <v>204</v>
      </c>
      <c r="C2" s="54"/>
      <c r="D2" s="54"/>
      <c r="E2" s="54"/>
      <c r="F2" s="54"/>
      <c r="G2" s="54"/>
      <c r="H2" s="54"/>
      <c r="I2" s="54"/>
      <c r="J2" s="54"/>
      <c r="K2" s="51"/>
      <c r="L2" s="54"/>
      <c r="M2" s="54"/>
      <c r="N2" s="54"/>
      <c r="O2" s="54"/>
    </row>
    <row r="3" ht="32" customHeight="1">
      <c r="A3" s="26"/>
      <c r="B3" s="47"/>
      <c r="C3" t="s" s="33">
        <v>205</v>
      </c>
      <c r="D3" t="s" s="33">
        <v>15</v>
      </c>
      <c r="E3" t="s" s="33">
        <v>16</v>
      </c>
      <c r="F3" t="s" s="33">
        <v>17</v>
      </c>
      <c r="G3" t="s" s="33">
        <v>14</v>
      </c>
      <c r="H3" t="s" s="33">
        <v>15</v>
      </c>
      <c r="I3" t="s" s="33">
        <v>16</v>
      </c>
      <c r="J3" t="s" s="33">
        <v>17</v>
      </c>
      <c r="K3" s="48"/>
      <c r="L3" t="s" s="33">
        <v>14</v>
      </c>
      <c r="M3" t="s" s="33">
        <v>15</v>
      </c>
      <c r="N3" t="s" s="33">
        <v>16</v>
      </c>
      <c r="O3" t="s" s="36">
        <v>17</v>
      </c>
    </row>
    <row r="4" ht="15.35" customHeight="1">
      <c r="A4" s="26"/>
      <c r="B4" t="s" s="41">
        <f>"L.InfExp_Mean_ch"</f>
        <v>206</v>
      </c>
      <c r="C4" t="s" s="38">
        <f>""</f>
      </c>
      <c r="D4" t="s" s="37">
        <f>"-0.249***"</f>
        <v>207</v>
      </c>
      <c r="E4" t="s" s="37">
        <f>"-0.308***"</f>
        <v>208</v>
      </c>
      <c r="F4" t="s" s="37">
        <f>"-0.311***"</f>
        <v>209</v>
      </c>
      <c r="G4" t="s" s="38">
        <f>""</f>
      </c>
      <c r="H4" t="s" s="37">
        <f>"-0.289***"</f>
        <v>210</v>
      </c>
      <c r="I4" t="s" s="37">
        <f t="shared" si="7" ref="I4:J4">"-0.324***"</f>
        <v>211</v>
      </c>
      <c r="J4" t="s" s="37">
        <f t="shared" si="7"/>
        <v>211</v>
      </c>
      <c r="K4" t="s" s="41">
        <f>"L.InfExp_Var_ch"</f>
        <v>212</v>
      </c>
      <c r="L4" t="s" s="37">
        <f>""</f>
      </c>
      <c r="M4" t="s" s="37">
        <f>"-0.408***"</f>
        <v>213</v>
      </c>
      <c r="N4" t="s" s="37">
        <f>"-0.569***"</f>
        <v>214</v>
      </c>
      <c r="O4" t="s" s="37">
        <f>"-0.612***"</f>
        <v>215</v>
      </c>
    </row>
    <row r="5" ht="15.35" customHeight="1">
      <c r="A5" s="26"/>
      <c r="B5" t="s" s="41">
        <f>""</f>
      </c>
      <c r="C5" t="s" s="41">
        <f>""</f>
      </c>
      <c r="D5" t="s" s="40">
        <f>"(0.062)"</f>
        <v>216</v>
      </c>
      <c r="E5" t="s" s="40">
        <f t="shared" si="17" ref="E5:J24">"(0.054)"</f>
        <v>217</v>
      </c>
      <c r="F5" t="s" s="40">
        <f t="shared" si="18" ref="F5:H7">"(0.060)"</f>
        <v>218</v>
      </c>
      <c r="G5" t="s" s="41">
        <f>""</f>
      </c>
      <c r="H5" t="s" s="40">
        <f t="shared" si="18"/>
        <v>218</v>
      </c>
      <c r="I5" t="s" s="40">
        <f>"(0.080)"</f>
        <v>33</v>
      </c>
      <c r="J5" t="s" s="40">
        <f>"(0.089)"</f>
        <v>137</v>
      </c>
      <c r="K5" t="s" s="41">
        <f>""</f>
      </c>
      <c r="L5" t="s" s="40">
        <f>""</f>
      </c>
      <c r="M5" t="s" s="40">
        <f>"(0.005)"</f>
        <v>174</v>
      </c>
      <c r="N5" t="s" s="40">
        <f t="shared" si="26" ref="N5:O15">"(0.008)"</f>
        <v>170</v>
      </c>
      <c r="O5" t="s" s="40">
        <f t="shared" si="27" ref="O5:O32">"(0.012)"</f>
        <v>219</v>
      </c>
    </row>
    <row r="6" ht="15.35" customHeight="1">
      <c r="A6" s="26"/>
      <c r="B6" t="s" s="41">
        <f>"L2.InfExp_Mean_ch"</f>
        <v>220</v>
      </c>
      <c r="C6" t="s" s="41">
        <f>""</f>
      </c>
      <c r="D6" t="s" s="40">
        <f>""</f>
      </c>
      <c r="E6" t="s" s="40">
        <f>"-0.194**"</f>
        <v>221</v>
      </c>
      <c r="F6" t="s" s="40">
        <f>"-0.177**"</f>
        <v>222</v>
      </c>
      <c r="G6" t="s" s="41">
        <f>""</f>
      </c>
      <c r="H6" t="s" s="40">
        <f>""</f>
      </c>
      <c r="I6" t="s" s="40">
        <f t="shared" si="35" ref="I6:J6">"-0.100"</f>
        <v>223</v>
      </c>
      <c r="J6" t="s" s="40">
        <f t="shared" si="35"/>
        <v>223</v>
      </c>
      <c r="K6" t="s" s="41">
        <f>"L2.InfExp_Var_ch"</f>
        <v>224</v>
      </c>
      <c r="L6" t="s" s="40">
        <f>""</f>
      </c>
      <c r="M6" t="s" s="40">
        <f>""</f>
      </c>
      <c r="N6" t="s" s="40">
        <f>"-0.305***"</f>
        <v>225</v>
      </c>
      <c r="O6" t="s" s="40">
        <f>"-0.385***"</f>
        <v>226</v>
      </c>
    </row>
    <row r="7" ht="15.35" customHeight="1">
      <c r="A7" s="26"/>
      <c r="B7" t="s" s="41">
        <f>""</f>
      </c>
      <c r="C7" t="s" s="41">
        <f>""</f>
      </c>
      <c r="D7" t="s" s="40">
        <f>""</f>
      </c>
      <c r="E7" t="s" s="40">
        <f t="shared" si="45" ref="E7:M36">"(0.064)"</f>
        <v>227</v>
      </c>
      <c r="F7" t="s" s="40">
        <f t="shared" si="18"/>
        <v>218</v>
      </c>
      <c r="G7" t="s" s="41">
        <f>""</f>
      </c>
      <c r="H7" t="s" s="40">
        <f>""</f>
      </c>
      <c r="I7" t="s" s="40">
        <f>"(0.081)"</f>
        <v>228</v>
      </c>
      <c r="J7" t="s" s="40">
        <f>"(0.096)"</f>
        <v>229</v>
      </c>
      <c r="K7" t="s" s="41">
        <f>""</f>
      </c>
      <c r="L7" t="s" s="40">
        <f>""</f>
      </c>
      <c r="M7" t="s" s="40">
        <f>""</f>
      </c>
      <c r="N7" t="s" s="40">
        <f t="shared" si="54" ref="N7:N9">"(0.007)"</f>
        <v>171</v>
      </c>
      <c r="O7" t="s" s="40">
        <f t="shared" si="27"/>
        <v>219</v>
      </c>
    </row>
    <row r="8" ht="15.35" customHeight="1">
      <c r="A8" s="26"/>
      <c r="B8" t="s" s="41">
        <f>"L3.InfExp_Mean_ch"</f>
        <v>230</v>
      </c>
      <c r="C8" t="s" s="41">
        <f>""</f>
      </c>
      <c r="D8" t="s" s="40">
        <f>""</f>
      </c>
      <c r="E8" t="s" s="40">
        <f>""</f>
      </c>
      <c r="F8" t="s" s="40">
        <f>"-0.075*"</f>
        <v>231</v>
      </c>
      <c r="G8" t="s" s="41">
        <f>""</f>
      </c>
      <c r="H8" t="s" s="40">
        <f>""</f>
      </c>
      <c r="I8" t="s" s="40">
        <f>""</f>
      </c>
      <c r="J8" t="s" s="40">
        <f>"0.014"</f>
        <v>91</v>
      </c>
      <c r="K8" t="s" s="41">
        <f>"L3.InfExp_Var_ch"</f>
        <v>232</v>
      </c>
      <c r="L8" t="s" s="40">
        <f>""</f>
      </c>
      <c r="M8" t="s" s="40">
        <f>""</f>
      </c>
      <c r="N8" t="s" s="40">
        <f>"-0.126***"</f>
        <v>233</v>
      </c>
      <c r="O8" t="s" s="40">
        <f>"-0.241***"</f>
        <v>234</v>
      </c>
    </row>
    <row r="9" ht="15.35" customHeight="1">
      <c r="A9" s="26"/>
      <c r="B9" t="s" s="41">
        <f>""</f>
      </c>
      <c r="C9" t="s" s="41">
        <f>""</f>
      </c>
      <c r="D9" t="s" s="40">
        <f>""</f>
      </c>
      <c r="E9" t="s" s="40">
        <f>""</f>
      </c>
      <c r="F9" t="s" s="40">
        <f>"(0.036)"</f>
        <v>44</v>
      </c>
      <c r="G9" t="s" s="41">
        <f>""</f>
      </c>
      <c r="H9" t="s" s="40">
        <f>""</f>
      </c>
      <c r="I9" t="s" s="40">
        <f>""</f>
      </c>
      <c r="J9" t="s" s="40">
        <f t="shared" si="45"/>
        <v>227</v>
      </c>
      <c r="K9" t="s" s="41">
        <f>""</f>
      </c>
      <c r="L9" t="s" s="40">
        <f>""</f>
      </c>
      <c r="M9" t="s" s="40">
        <f>""</f>
      </c>
      <c r="N9" t="s" s="40">
        <f t="shared" si="54"/>
        <v>171</v>
      </c>
      <c r="O9" t="s" s="40">
        <f t="shared" si="27"/>
        <v>219</v>
      </c>
    </row>
    <row r="10" ht="15.35" customHeight="1">
      <c r="A10" s="26"/>
      <c r="B10" s="43"/>
      <c r="C10" t="s" s="41">
        <f>""</f>
      </c>
      <c r="D10" t="s" s="41">
        <f>""</f>
      </c>
      <c r="E10" t="s" s="41">
        <f>""</f>
      </c>
      <c r="F10" t="s" s="41">
        <f>""</f>
      </c>
      <c r="G10" t="s" s="41">
        <f>""</f>
      </c>
      <c r="H10" t="s" s="41">
        <f>""</f>
      </c>
      <c r="I10" t="s" s="41">
        <f>""</f>
      </c>
      <c r="J10" t="s" s="41">
        <f>""</f>
      </c>
      <c r="K10" t="s" s="41">
        <f>"L4.InfExp_Var_ch"</f>
        <v>235</v>
      </c>
      <c r="L10" t="s" s="40">
        <f>""</f>
      </c>
      <c r="M10" t="s" s="40">
        <f>""</f>
      </c>
      <c r="N10" t="s" s="40">
        <f>""</f>
      </c>
      <c r="O10" t="s" s="40">
        <f>"-0.142***"</f>
        <v>236</v>
      </c>
    </row>
    <row r="11" ht="15.35" customHeight="1">
      <c r="A11" s="26"/>
      <c r="B11" t="s" s="41">
        <f>""</f>
      </c>
      <c r="C11" t="s" s="41">
        <f>""</f>
      </c>
      <c r="D11" t="s" s="41">
        <f>""</f>
      </c>
      <c r="E11" t="s" s="41">
        <f>""</f>
      </c>
      <c r="F11" t="s" s="41">
        <f>""</f>
      </c>
      <c r="G11" t="s" s="41">
        <f>""</f>
      </c>
      <c r="H11" t="s" s="41">
        <f>""</f>
      </c>
      <c r="I11" t="s" s="41">
        <f>""</f>
      </c>
      <c r="J11" t="s" s="41">
        <f>""</f>
      </c>
      <c r="K11" t="s" s="41">
        <f>""</f>
      </c>
      <c r="L11" t="s" s="40">
        <f>""</f>
      </c>
      <c r="M11" t="s" s="40">
        <f>""</f>
      </c>
      <c r="N11" t="s" s="40">
        <f>""</f>
      </c>
      <c r="O11" t="s" s="40">
        <f t="shared" si="27"/>
        <v>219</v>
      </c>
    </row>
    <row r="12" ht="15.35" customHeight="1">
      <c r="A12" s="26"/>
      <c r="B12" s="43"/>
      <c r="C12" t="s" s="41">
        <f>""</f>
      </c>
      <c r="D12" t="s" s="41">
        <f>""</f>
      </c>
      <c r="E12" t="s" s="41">
        <f>""</f>
      </c>
      <c r="F12" t="s" s="41">
        <f>""</f>
      </c>
      <c r="G12" t="s" s="41">
        <f>""</f>
      </c>
      <c r="H12" t="s" s="41">
        <f>""</f>
      </c>
      <c r="I12" t="s" s="41">
        <f>""</f>
      </c>
      <c r="J12" t="s" s="41">
        <f>""</f>
      </c>
      <c r="K12" t="s" s="41">
        <f>"L5.InfExp_Var_ch"</f>
        <v>237</v>
      </c>
      <c r="L12" t="s" s="40">
        <f>""</f>
      </c>
      <c r="M12" t="s" s="40">
        <f>""</f>
      </c>
      <c r="N12" t="s" s="40">
        <f>""</f>
      </c>
      <c r="O12" t="s" s="40">
        <f>"-0.078***"</f>
        <v>238</v>
      </c>
    </row>
    <row r="13" ht="15.35" customHeight="1">
      <c r="A13" s="26"/>
      <c r="B13" t="s" s="41">
        <f>""</f>
      </c>
      <c r="C13" t="s" s="41">
        <f>""</f>
      </c>
      <c r="D13" t="s" s="41">
        <f>""</f>
      </c>
      <c r="E13" t="s" s="41">
        <f>""</f>
      </c>
      <c r="F13" t="s" s="41">
        <f>""</f>
      </c>
      <c r="G13" t="s" s="41">
        <f>""</f>
      </c>
      <c r="H13" t="s" s="41">
        <f>""</f>
      </c>
      <c r="I13" t="s" s="41">
        <f>""</f>
      </c>
      <c r="J13" t="s" s="41">
        <f>""</f>
      </c>
      <c r="K13" t="s" s="41">
        <f>""</f>
      </c>
      <c r="L13" t="s" s="40">
        <f>""</f>
      </c>
      <c r="M13" t="s" s="40">
        <f>""</f>
      </c>
      <c r="N13" t="s" s="40">
        <f>""</f>
      </c>
      <c r="O13" t="s" s="40">
        <f>"(0.011)"</f>
        <v>239</v>
      </c>
    </row>
    <row r="14" ht="15.35" customHeight="1">
      <c r="A14" s="26"/>
      <c r="B14" s="43"/>
      <c r="C14" t="s" s="41">
        <f>""</f>
      </c>
      <c r="D14" t="s" s="41">
        <f>""</f>
      </c>
      <c r="E14" t="s" s="41">
        <f>""</f>
      </c>
      <c r="F14" t="s" s="41">
        <f>""</f>
      </c>
      <c r="G14" t="s" s="41">
        <f>""</f>
      </c>
      <c r="H14" t="s" s="41">
        <f>""</f>
      </c>
      <c r="I14" t="s" s="41">
        <f>""</f>
      </c>
      <c r="J14" t="s" s="41">
        <f>""</f>
      </c>
      <c r="K14" t="s" s="41">
        <f>"L6.InfExp_Var_ch"</f>
        <v>240</v>
      </c>
      <c r="L14" t="s" s="40">
        <f>""</f>
      </c>
      <c r="M14" t="s" s="40">
        <f>""</f>
      </c>
      <c r="N14" t="s" s="40">
        <f>""</f>
      </c>
      <c r="O14" t="s" s="40">
        <f>"-0.038***"</f>
        <v>241</v>
      </c>
    </row>
    <row r="15" ht="15.35" customHeight="1">
      <c r="A15" s="26"/>
      <c r="B15" s="43"/>
      <c r="C15" t="s" s="41">
        <f>""</f>
      </c>
      <c r="D15" t="s" s="41">
        <f>""</f>
      </c>
      <c r="E15" t="s" s="41">
        <f>""</f>
      </c>
      <c r="F15" t="s" s="41">
        <f>""</f>
      </c>
      <c r="G15" t="s" s="41">
        <f>""</f>
      </c>
      <c r="H15" t="s" s="41">
        <f>""</f>
      </c>
      <c r="I15" t="s" s="41">
        <f>""</f>
      </c>
      <c r="J15" t="s" s="41">
        <f>""</f>
      </c>
      <c r="K15" t="s" s="41">
        <f>""</f>
      </c>
      <c r="L15" t="s" s="40">
        <f>""</f>
      </c>
      <c r="M15" t="s" s="40">
        <f>""</f>
      </c>
      <c r="N15" t="s" s="40">
        <f>""</f>
      </c>
      <c r="O15" t="s" s="40">
        <f t="shared" si="26"/>
        <v>170</v>
      </c>
    </row>
    <row r="16" ht="15.35" customHeight="1">
      <c r="A16" s="26"/>
      <c r="B16" t="s" s="41">
        <v>79</v>
      </c>
      <c r="C16" t="s" s="40">
        <f t="shared" si="164" ref="C16:E16">"-0.019"</f>
        <v>242</v>
      </c>
      <c r="D16" t="s" s="40">
        <f>"-0.015"</f>
        <v>243</v>
      </c>
      <c r="E16" t="s" s="40">
        <f t="shared" si="164"/>
        <v>242</v>
      </c>
      <c r="F16" t="s" s="40">
        <f>"-0.021"</f>
        <v>244</v>
      </c>
      <c r="G16" t="s" s="40">
        <f t="shared" si="168" ref="G16:J16">"0.017"</f>
        <v>245</v>
      </c>
      <c r="H16" t="s" s="40">
        <f>"0.026"</f>
        <v>246</v>
      </c>
      <c r="I16" t="s" s="40">
        <f>"0.019"</f>
        <v>247</v>
      </c>
      <c r="J16" t="s" s="40">
        <f t="shared" si="168"/>
        <v>245</v>
      </c>
      <c r="K16" t="s" s="41">
        <v>79</v>
      </c>
      <c r="L16" t="s" s="40">
        <f>"-0.034**"</f>
        <v>248</v>
      </c>
      <c r="M16" t="s" s="40">
        <f>"-0.018"</f>
        <v>249</v>
      </c>
      <c r="N16" t="s" s="40">
        <f>"0.002"</f>
        <v>250</v>
      </c>
      <c r="O16" t="s" s="40">
        <f>"0.020"</f>
        <v>182</v>
      </c>
    </row>
    <row r="17" ht="15.35" customHeight="1">
      <c r="A17" s="26"/>
      <c r="B17" t="s" s="41">
        <f>""</f>
      </c>
      <c r="C17" t="s" s="40">
        <f t="shared" si="177" ref="C17:O17">"(0.019)"</f>
        <v>251</v>
      </c>
      <c r="D17" t="s" s="40">
        <f t="shared" si="177"/>
        <v>251</v>
      </c>
      <c r="E17" t="s" s="40">
        <f t="shared" si="177"/>
        <v>251</v>
      </c>
      <c r="F17" t="s" s="40">
        <f>"(0.020)"</f>
        <v>252</v>
      </c>
      <c r="G17" t="s" s="40">
        <f>"(0.021)"</f>
        <v>253</v>
      </c>
      <c r="H17" t="s" s="40">
        <f>"(0.024)"</f>
        <v>254</v>
      </c>
      <c r="I17" t="s" s="40">
        <f>"(0.026)"</f>
        <v>255</v>
      </c>
      <c r="J17" t="s" s="40">
        <f>"(0.028)"</f>
        <v>256</v>
      </c>
      <c r="K17" s="43"/>
      <c r="L17" t="s" s="40">
        <f>"(0.013)"</f>
        <v>257</v>
      </c>
      <c r="M17" t="s" s="40">
        <f>"(0.014)"</f>
        <v>258</v>
      </c>
      <c r="N17" t="s" s="40">
        <f>"(0.017)"</f>
        <v>100</v>
      </c>
      <c r="O17" t="s" s="40">
        <f t="shared" si="177"/>
        <v>251</v>
      </c>
    </row>
    <row r="18" ht="15.35" customHeight="1">
      <c r="A18" s="26"/>
      <c r="B18" t="s" s="41">
        <f>"N"</f>
        <v>101</v>
      </c>
      <c r="C18" t="s" s="40">
        <f>"4286"</f>
        <v>259</v>
      </c>
      <c r="D18" t="s" s="40">
        <f>"3519"</f>
        <v>260</v>
      </c>
      <c r="E18" t="s" s="40">
        <f>"2971"</f>
        <v>261</v>
      </c>
      <c r="F18" t="s" s="40">
        <f>"2581"</f>
        <v>262</v>
      </c>
      <c r="G18" t="s" s="40">
        <f>"1791"</f>
        <v>263</v>
      </c>
      <c r="H18" t="s" s="40">
        <f>"1538"</f>
        <v>264</v>
      </c>
      <c r="I18" t="s" s="40">
        <f>"1338"</f>
        <v>265</v>
      </c>
      <c r="J18" t="s" s="40">
        <f>"1189"</f>
        <v>266</v>
      </c>
      <c r="K18" t="s" s="41">
        <v>101</v>
      </c>
      <c r="L18" t="s" s="40">
        <f>"85166"</f>
        <v>267</v>
      </c>
      <c r="M18" t="s" s="40">
        <f>"67555"</f>
        <v>268</v>
      </c>
      <c r="N18" t="s" s="40">
        <f>"43489"</f>
        <v>269</v>
      </c>
      <c r="O18" t="s" s="40">
        <f>"20894"</f>
        <v>270</v>
      </c>
    </row>
    <row r="19" ht="15.35" customHeight="1">
      <c r="A19" s="26"/>
      <c r="B19" t="s" s="41">
        <v>114</v>
      </c>
      <c r="C19" t="s" s="40">
        <f t="shared" si="202" ref="C19:L38">"0.000"</f>
        <v>115</v>
      </c>
      <c r="D19" t="s" s="40">
        <f>"0.072"</f>
        <v>271</v>
      </c>
      <c r="E19" t="s" s="40">
        <f>"0.103"</f>
        <v>272</v>
      </c>
      <c r="F19" t="s" s="40">
        <f>"0.089"</f>
        <v>273</v>
      </c>
      <c r="G19" t="s" s="40">
        <f t="shared" si="202"/>
        <v>115</v>
      </c>
      <c r="H19" t="s" s="40">
        <f>"0.077"</f>
        <v>274</v>
      </c>
      <c r="I19" t="s" s="40">
        <f t="shared" si="208" ref="I19:J19">"0.088"</f>
        <v>275</v>
      </c>
      <c r="J19" t="s" s="40">
        <f t="shared" si="208"/>
        <v>275</v>
      </c>
      <c r="K19" t="s" s="41">
        <v>114</v>
      </c>
      <c r="L19" t="s" s="40">
        <f t="shared" si="202"/>
        <v>115</v>
      </c>
      <c r="M19" t="s" s="40">
        <f t="shared" si="211" ref="M19:M38">"0.187"</f>
        <v>276</v>
      </c>
      <c r="N19" t="s" s="40">
        <f>"0.259"</f>
        <v>277</v>
      </c>
      <c r="O19" t="s" s="40">
        <f>"0.276"</f>
        <v>278</v>
      </c>
    </row>
    <row r="20" ht="15.35" customHeight="1">
      <c r="A20" s="26"/>
      <c r="B20" s="43"/>
      <c r="C20" s="43"/>
      <c r="D20" s="43"/>
      <c r="E20" s="43"/>
      <c r="F20" s="43"/>
      <c r="G20" s="43"/>
      <c r="H20" s="43"/>
      <c r="I20" s="43"/>
      <c r="J20" s="43"/>
      <c r="K20" s="43"/>
      <c r="L20" s="43"/>
      <c r="M20" s="43"/>
      <c r="N20" s="43"/>
      <c r="O20" s="43"/>
    </row>
    <row r="21" ht="96" customHeight="1">
      <c r="A21" s="26"/>
      <c r="B21" t="s" s="53">
        <v>279</v>
      </c>
      <c r="C21" s="49"/>
      <c r="D21" s="49"/>
      <c r="E21" s="49"/>
      <c r="F21" s="49"/>
      <c r="G21" s="49"/>
      <c r="H21" s="49"/>
      <c r="I21" s="49"/>
      <c r="J21" s="49"/>
      <c r="K21" s="43"/>
      <c r="L21" s="49"/>
      <c r="M21" s="49"/>
      <c r="N21" s="49"/>
      <c r="O21" s="49"/>
    </row>
    <row r="22" ht="32" customHeight="1">
      <c r="A22" s="26"/>
      <c r="B22" s="47"/>
      <c r="C22" t="s" s="33">
        <v>205</v>
      </c>
      <c r="D22" t="s" s="33">
        <v>15</v>
      </c>
      <c r="E22" t="s" s="33">
        <v>16</v>
      </c>
      <c r="F22" t="s" s="33">
        <v>17</v>
      </c>
      <c r="G22" t="s" s="33">
        <v>205</v>
      </c>
      <c r="H22" t="s" s="33">
        <v>15</v>
      </c>
      <c r="I22" t="s" s="33">
        <v>16</v>
      </c>
      <c r="J22" t="s" s="33">
        <v>17</v>
      </c>
      <c r="K22" s="48"/>
      <c r="L22" t="s" s="33">
        <v>205</v>
      </c>
      <c r="M22" t="s" s="33">
        <v>15</v>
      </c>
      <c r="N22" t="s" s="33">
        <v>16</v>
      </c>
      <c r="O22" t="s" s="36">
        <v>17</v>
      </c>
    </row>
    <row r="23" ht="15.35" customHeight="1">
      <c r="A23" s="26"/>
      <c r="B23" t="s" s="41">
        <f>"L.InfExp_Var_ch"</f>
        <v>212</v>
      </c>
      <c r="C23" t="s" s="38">
        <f>""</f>
      </c>
      <c r="D23" t="s" s="37">
        <f>"-0.381***"</f>
        <v>280</v>
      </c>
      <c r="E23" t="s" s="37">
        <f>"-0.542***"</f>
        <v>281</v>
      </c>
      <c r="F23" t="s" s="37">
        <f>"-0.601***"</f>
        <v>282</v>
      </c>
      <c r="G23" t="s" s="38">
        <f>""</f>
      </c>
      <c r="H23" t="s" s="37">
        <f>"-0.352***"</f>
        <v>283</v>
      </c>
      <c r="I23" t="s" s="37">
        <f>"-0.428***"</f>
        <v>284</v>
      </c>
      <c r="J23" t="s" s="37">
        <f>"-0.513***"</f>
        <v>285</v>
      </c>
      <c r="K23" t="s" s="41">
        <v>212</v>
      </c>
      <c r="L23" s="39"/>
      <c r="M23" t="s" s="37">
        <f>"-0.396***"</f>
        <v>286</v>
      </c>
      <c r="N23" t="s" s="37">
        <f>"-0.572***"</f>
        <v>287</v>
      </c>
      <c r="O23" t="s" s="37">
        <f>"-0.653***"</f>
        <v>288</v>
      </c>
    </row>
    <row r="24" ht="15.35" customHeight="1">
      <c r="A24" s="26"/>
      <c r="B24" t="s" s="41">
        <f>""</f>
      </c>
      <c r="C24" t="s" s="41">
        <f>""</f>
      </c>
      <c r="D24" t="s" s="40">
        <f>"(0.071)"</f>
        <v>289</v>
      </c>
      <c r="E24" t="s" s="40">
        <f>"(0.075)"</f>
        <v>290</v>
      </c>
      <c r="F24" t="s" s="40">
        <f>"(0.069)"</f>
        <v>32</v>
      </c>
      <c r="G24" t="s" s="41">
        <f>""</f>
      </c>
      <c r="H24" t="s" s="40">
        <f>"(0.043)"</f>
        <v>291</v>
      </c>
      <c r="I24" t="s" s="40">
        <f>"(0.053)"</f>
        <v>292</v>
      </c>
      <c r="J24" t="s" s="40">
        <f t="shared" si="17"/>
        <v>217</v>
      </c>
      <c r="K24" s="43"/>
      <c r="L24" s="42"/>
      <c r="M24" t="s" s="40">
        <f>"(0.008)"</f>
        <v>170</v>
      </c>
      <c r="N24" t="s" s="40">
        <f>"(0.010)"</f>
        <v>293</v>
      </c>
      <c r="O24" t="s" s="40">
        <f t="shared" si="237" ref="O24:O28">"(0.016)"</f>
        <v>294</v>
      </c>
    </row>
    <row r="25" ht="15.35" customHeight="1">
      <c r="A25" s="26"/>
      <c r="B25" t="s" s="41">
        <f>"L2.InfExp_Var_ch"</f>
        <v>224</v>
      </c>
      <c r="C25" t="s" s="41">
        <f>""</f>
      </c>
      <c r="D25" t="s" s="40">
        <f>""</f>
      </c>
      <c r="E25" t="s" s="40">
        <f>"-0.280***"</f>
        <v>295</v>
      </c>
      <c r="F25" t="s" s="40">
        <f>"-0.428***"</f>
        <v>284</v>
      </c>
      <c r="G25" t="s" s="41">
        <f>""</f>
      </c>
      <c r="H25" t="s" s="40">
        <f>""</f>
      </c>
      <c r="I25" t="s" s="40">
        <f>"-0.237***"</f>
        <v>296</v>
      </c>
      <c r="J25" t="s" s="40">
        <f t="shared" si="246" ref="J25:O25">"-0.430***"</f>
        <v>297</v>
      </c>
      <c r="K25" t="s" s="41">
        <v>224</v>
      </c>
      <c r="L25" s="42"/>
      <c r="M25" s="42"/>
      <c r="N25" t="s" s="40">
        <f>"-0.307***"</f>
        <v>298</v>
      </c>
      <c r="O25" t="s" s="40">
        <f t="shared" si="246"/>
        <v>297</v>
      </c>
    </row>
    <row r="26" ht="15.35" customHeight="1">
      <c r="A26" s="26"/>
      <c r="B26" t="s" s="41">
        <f>""</f>
      </c>
      <c r="C26" t="s" s="41">
        <f>""</f>
      </c>
      <c r="D26" t="s" s="40">
        <f>""</f>
      </c>
      <c r="E26" t="s" s="40">
        <f t="shared" si="252" ref="E26:J28">"(0.059)"</f>
        <v>299</v>
      </c>
      <c r="F26" t="s" s="40">
        <f>"(0.061)"</f>
        <v>300</v>
      </c>
      <c r="G26" t="s" s="41">
        <f>""</f>
      </c>
      <c r="H26" t="s" s="40">
        <f>""</f>
      </c>
      <c r="I26" t="s" s="40">
        <f t="shared" si="256" ref="I26:J26">"(0.044)"</f>
        <v>30</v>
      </c>
      <c r="J26" t="s" s="40">
        <f t="shared" si="256"/>
        <v>30</v>
      </c>
      <c r="K26" s="43"/>
      <c r="L26" s="42"/>
      <c r="M26" s="42"/>
      <c r="N26" t="s" s="40">
        <f>"(0.011)"</f>
        <v>239</v>
      </c>
      <c r="O26" t="s" s="40">
        <f>"(0.018)"</f>
        <v>99</v>
      </c>
    </row>
    <row r="27" ht="15.35" customHeight="1">
      <c r="A27" s="26"/>
      <c r="B27" t="s" s="41">
        <f>"L3.InfExp_Var_ch"</f>
        <v>232</v>
      </c>
      <c r="C27" t="s" s="41">
        <f>""</f>
      </c>
      <c r="D27" t="s" s="40">
        <f>""</f>
      </c>
      <c r="E27" t="s" s="40">
        <f>""</f>
      </c>
      <c r="F27" t="s" s="40">
        <f>"-0.293***"</f>
        <v>301</v>
      </c>
      <c r="G27" t="s" s="41">
        <f>""</f>
      </c>
      <c r="H27" t="s" s="40">
        <f>""</f>
      </c>
      <c r="I27" t="s" s="40">
        <f>""</f>
      </c>
      <c r="J27" t="s" s="40">
        <f>"-0.382***"</f>
        <v>302</v>
      </c>
      <c r="K27" t="s" s="41">
        <v>232</v>
      </c>
      <c r="L27" s="42"/>
      <c r="M27" s="42"/>
      <c r="N27" t="s" s="40">
        <f>"-0.124***"</f>
        <v>303</v>
      </c>
      <c r="O27" t="s" s="40">
        <f>"-0.269***"</f>
        <v>304</v>
      </c>
    </row>
    <row r="28" ht="15.35" customHeight="1">
      <c r="A28" s="26"/>
      <c r="B28" t="s" s="41">
        <f>""</f>
      </c>
      <c r="C28" t="s" s="41">
        <f>""</f>
      </c>
      <c r="D28" t="s" s="40">
        <f>""</f>
      </c>
      <c r="E28" t="s" s="40">
        <f>""</f>
      </c>
      <c r="F28" t="s" s="40">
        <f>"(0.078)"</f>
        <v>149</v>
      </c>
      <c r="G28" t="s" s="41">
        <f>""</f>
      </c>
      <c r="H28" t="s" s="40">
        <f>""</f>
      </c>
      <c r="I28" t="s" s="40">
        <f>""</f>
      </c>
      <c r="J28" t="s" s="40">
        <f t="shared" si="252"/>
        <v>299</v>
      </c>
      <c r="K28" s="43"/>
      <c r="L28" s="42"/>
      <c r="M28" s="42"/>
      <c r="N28" t="s" s="40">
        <f>"(0.006)"</f>
        <v>173</v>
      </c>
      <c r="O28" t="s" s="40">
        <f t="shared" si="237"/>
        <v>294</v>
      </c>
    </row>
    <row r="29" ht="15.35" customHeight="1">
      <c r="A29" s="26"/>
      <c r="B29" s="43"/>
      <c r="C29" s="43"/>
      <c r="D29" s="43"/>
      <c r="E29" s="43"/>
      <c r="F29" s="43"/>
      <c r="G29" s="43"/>
      <c r="H29" s="43"/>
      <c r="I29" s="43"/>
      <c r="J29" s="43"/>
      <c r="K29" t="s" s="41">
        <v>235</v>
      </c>
      <c r="L29" s="42"/>
      <c r="M29" s="42"/>
      <c r="N29" s="42"/>
      <c r="O29" t="s" s="40">
        <f>"-0.155***"</f>
        <v>305</v>
      </c>
    </row>
    <row r="30" ht="15.35" customHeight="1">
      <c r="A30" s="26"/>
      <c r="B30" s="43"/>
      <c r="C30" s="43"/>
      <c r="D30" s="43"/>
      <c r="E30" s="43"/>
      <c r="F30" s="43"/>
      <c r="G30" s="43"/>
      <c r="H30" s="43"/>
      <c r="I30" s="43"/>
      <c r="J30" s="43"/>
      <c r="K30" s="43"/>
      <c r="L30" s="42"/>
      <c r="M30" s="42"/>
      <c r="N30" s="42"/>
      <c r="O30" t="s" s="40">
        <f>"(0.015)"</f>
        <v>306</v>
      </c>
    </row>
    <row r="31" ht="15.35" customHeight="1">
      <c r="A31" s="26"/>
      <c r="B31" s="43"/>
      <c r="C31" s="43"/>
      <c r="D31" s="43"/>
      <c r="E31" s="43"/>
      <c r="F31" s="43"/>
      <c r="G31" s="43"/>
      <c r="H31" s="43"/>
      <c r="I31" s="43"/>
      <c r="J31" s="43"/>
      <c r="K31" t="s" s="41">
        <v>237</v>
      </c>
      <c r="L31" s="42"/>
      <c r="M31" s="42"/>
      <c r="N31" s="42"/>
      <c r="O31" t="s" s="40">
        <f>"-0.079***"</f>
        <v>307</v>
      </c>
    </row>
    <row r="32" ht="15.35" customHeight="1">
      <c r="A32" s="26"/>
      <c r="B32" s="43"/>
      <c r="C32" s="43"/>
      <c r="D32" s="43"/>
      <c r="E32" s="43"/>
      <c r="F32" s="43"/>
      <c r="G32" s="43"/>
      <c r="H32" s="43"/>
      <c r="I32" s="43"/>
      <c r="J32" s="43"/>
      <c r="K32" s="43"/>
      <c r="L32" s="42"/>
      <c r="M32" s="42"/>
      <c r="N32" s="42"/>
      <c r="O32" t="s" s="40">
        <f t="shared" si="27"/>
        <v>219</v>
      </c>
    </row>
    <row r="33" ht="15.35" customHeight="1">
      <c r="A33" s="26"/>
      <c r="B33" s="43"/>
      <c r="C33" s="43"/>
      <c r="D33" s="43"/>
      <c r="E33" s="43"/>
      <c r="F33" s="43"/>
      <c r="G33" s="43"/>
      <c r="H33" s="43"/>
      <c r="I33" s="43"/>
      <c r="J33" s="43"/>
      <c r="K33" t="s" s="41">
        <v>240</v>
      </c>
      <c r="L33" s="42"/>
      <c r="M33" s="42"/>
      <c r="N33" s="42"/>
      <c r="O33" t="s" s="40">
        <f>"-0.029**"</f>
        <v>308</v>
      </c>
    </row>
    <row r="34" ht="15.35" customHeight="1">
      <c r="A34" s="26"/>
      <c r="B34" s="43"/>
      <c r="C34" s="43"/>
      <c r="D34" s="43"/>
      <c r="E34" s="43"/>
      <c r="F34" s="43"/>
      <c r="G34" s="43"/>
      <c r="H34" s="43"/>
      <c r="I34" s="43"/>
      <c r="J34" s="43"/>
      <c r="K34" s="42"/>
      <c r="L34" s="42"/>
      <c r="M34" s="42"/>
      <c r="N34" s="42"/>
      <c r="O34" t="s" s="40">
        <f>"(0.009)"</f>
        <v>172</v>
      </c>
    </row>
    <row r="35" ht="15.35" customHeight="1">
      <c r="A35" s="26"/>
      <c r="B35" t="s" s="41">
        <v>79</v>
      </c>
      <c r="C35" t="s" s="40">
        <f>"-0.002"</f>
        <v>309</v>
      </c>
      <c r="D35" t="s" s="40">
        <f>"-0.001"</f>
        <v>310</v>
      </c>
      <c r="E35" t="s" s="40">
        <f>"0.005"</f>
        <v>311</v>
      </c>
      <c r="F35" t="s" s="40">
        <f t="shared" si="291" ref="F35:I35">"0.006"</f>
        <v>312</v>
      </c>
      <c r="G35" t="s" s="40">
        <f>"0.003"</f>
        <v>313</v>
      </c>
      <c r="H35" t="s" s="40">
        <f>"0.004"</f>
        <v>314</v>
      </c>
      <c r="I35" t="s" s="40">
        <f t="shared" si="291"/>
        <v>312</v>
      </c>
      <c r="J35" t="s" s="40">
        <f>"0.008"</f>
        <v>315</v>
      </c>
      <c r="K35" t="s" s="41">
        <v>79</v>
      </c>
      <c r="L35" t="s" s="40">
        <f>"-0.710***"</f>
        <v>316</v>
      </c>
      <c r="M35" t="s" s="40">
        <f>"-0.717***"</f>
        <v>317</v>
      </c>
      <c r="N35" t="s" s="40">
        <f>"-0.593***"</f>
        <v>318</v>
      </c>
      <c r="O35" t="s" s="40">
        <f>"-0.448***"</f>
        <v>319</v>
      </c>
    </row>
    <row r="36" ht="15.35" customHeight="1">
      <c r="A36" s="26"/>
      <c r="B36" s="43"/>
      <c r="C36" t="s" s="40">
        <f>"(0.005)"</f>
        <v>174</v>
      </c>
      <c r="D36" t="s" s="40">
        <f>"(0.006)"</f>
        <v>173</v>
      </c>
      <c r="E36" t="s" s="40">
        <f>"(0.005)"</f>
        <v>174</v>
      </c>
      <c r="F36" t="s" s="40">
        <f>"(0.005)"</f>
        <v>174</v>
      </c>
      <c r="G36" t="s" s="40">
        <f t="shared" si="304" ref="G36:J36">"(0.004)"</f>
        <v>320</v>
      </c>
      <c r="H36" t="s" s="40">
        <f>"(0.005)"</f>
        <v>174</v>
      </c>
      <c r="I36" t="s" s="40">
        <f>"(0.005)"</f>
        <v>174</v>
      </c>
      <c r="J36" t="s" s="40">
        <f t="shared" si="304"/>
        <v>320</v>
      </c>
      <c r="K36" s="43"/>
      <c r="L36" t="s" s="40">
        <f t="shared" si="308" ref="L36:N36">"(0.072)"</f>
        <v>321</v>
      </c>
      <c r="M36" t="s" s="40">
        <f t="shared" si="45"/>
        <v>227</v>
      </c>
      <c r="N36" t="s" s="40">
        <f t="shared" si="308"/>
        <v>321</v>
      </c>
      <c r="O36" t="s" s="40">
        <f>"(0.076)"</f>
        <v>322</v>
      </c>
    </row>
    <row r="37" ht="15.35" customHeight="1">
      <c r="A37" s="26"/>
      <c r="B37" t="s" s="41">
        <v>101</v>
      </c>
      <c r="C37" t="s" s="40">
        <f>"1685"</f>
        <v>323</v>
      </c>
      <c r="D37" t="s" s="40">
        <f>"1439"</f>
        <v>324</v>
      </c>
      <c r="E37" t="s" s="40">
        <f>"1251"</f>
        <v>325</v>
      </c>
      <c r="F37" t="s" s="40">
        <f>"1104"</f>
        <v>326</v>
      </c>
      <c r="G37" t="s" s="40">
        <f>"1629"</f>
        <v>327</v>
      </c>
      <c r="H37" t="s" s="40">
        <f>"1406"</f>
        <v>328</v>
      </c>
      <c r="I37" t="s" s="40">
        <f>"1225"</f>
        <v>329</v>
      </c>
      <c r="J37" t="s" s="40">
        <f>"1079"</f>
        <v>330</v>
      </c>
      <c r="K37" t="s" s="41">
        <v>101</v>
      </c>
      <c r="L37" t="s" s="40">
        <f>"88052"</f>
        <v>331</v>
      </c>
      <c r="M37" t="s" s="40">
        <f>"69979"</f>
        <v>332</v>
      </c>
      <c r="N37" t="s" s="40">
        <f>"45003"</f>
        <v>333</v>
      </c>
      <c r="O37" t="s" s="40">
        <f>"21476"</f>
        <v>334</v>
      </c>
    </row>
    <row r="38" ht="15.35" customHeight="1">
      <c r="A38" s="26"/>
      <c r="B38" t="s" s="41">
        <v>114</v>
      </c>
      <c r="C38" t="s" s="40">
        <f t="shared" si="202"/>
        <v>115</v>
      </c>
      <c r="D38" t="s" s="40">
        <f>"0.130"</f>
        <v>42</v>
      </c>
      <c r="E38" t="s" s="40">
        <f>"0.240"</f>
        <v>335</v>
      </c>
      <c r="F38" t="s" s="40">
        <f t="shared" si="327" ref="F38:J38">"0.286"</f>
        <v>336</v>
      </c>
      <c r="G38" t="s" s="40">
        <f t="shared" si="202"/>
        <v>115</v>
      </c>
      <c r="H38" t="s" s="40">
        <f>"0.125"</f>
        <v>337</v>
      </c>
      <c r="I38" t="s" s="40">
        <f>"0.161"</f>
        <v>338</v>
      </c>
      <c r="J38" t="s" s="40">
        <f t="shared" si="327"/>
        <v>336</v>
      </c>
      <c r="K38" t="s" s="41">
        <v>114</v>
      </c>
      <c r="L38" t="s" s="40">
        <f t="shared" si="202"/>
        <v>115</v>
      </c>
      <c r="M38" t="s" s="40">
        <f t="shared" si="211"/>
        <v>276</v>
      </c>
      <c r="N38" t="s" s="40">
        <f>"0.271"</f>
        <v>339</v>
      </c>
      <c r="O38" t="s" s="40">
        <f>"0.311"</f>
        <v>340</v>
      </c>
    </row>
  </sheetData>
  <mergeCells count="3">
    <mergeCell ref="C1:F1"/>
    <mergeCell ref="G1:J1"/>
    <mergeCell ref="L1:O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