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PFInd" sheetId="2" r:id="rId5"/>
    <sheet name="SPFPop-not-updated" sheetId="3" r:id="rId6"/>
    <sheet name="SCEPop" sheetId="4" r:id="rId7"/>
    <sheet name="SCEInd" sheetId="5" r:id="rId8"/>
    <sheet name="Combined" sheetId="6" r:id="rId9"/>
  </sheets>
</workbook>
</file>

<file path=xl/sharedStrings.xml><?xml version="1.0" encoding="utf-8"?>
<sst xmlns="http://schemas.openxmlformats.org/spreadsheetml/2006/main" uniqueCount="280">
  <si>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</si>
  <si>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</si>
  <si>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</si>
  <si>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</si>
  <si>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SPFInd</t>
  </si>
  <si>
    <t>Table 1</t>
  </si>
  <si>
    <t>(1)</t>
  </si>
  <si>
    <t>(2)</t>
  </si>
  <si>
    <t>(3)</t>
  </si>
  <si>
    <t>(4)</t>
  </si>
  <si>
    <t>(5)</t>
  </si>
  <si>
    <t>(6)</t>
  </si>
  <si>
    <t>(7)</t>
  </si>
  <si>
    <t>(8)</t>
  </si>
  <si>
    <t>SPFCPI_FE_bias</t>
  </si>
  <si>
    <t>SPFCPI_FE_lag4</t>
  </si>
  <si>
    <t>SPFCPI_FE_arlag4</t>
  </si>
  <si>
    <t>SPFCPI_FE_arlag13</t>
  </si>
  <si>
    <t>SPFPCE_FE_bias</t>
  </si>
  <si>
    <t>SPFPCE_FE_lag4</t>
  </si>
  <si>
    <t>SPFPCE_FE_arlag4</t>
  </si>
  <si>
    <t>SPFPCE_FE_arlag13</t>
  </si>
  <si>
    <t>L4.InfExp_Mean</t>
  </si>
  <si>
    <t>0.350***</t>
  </si>
  <si>
    <t>0.460***</t>
  </si>
  <si>
    <t>(0.035)</t>
  </si>
  <si>
    <t>(0.047)</t>
  </si>
  <si>
    <t>L4.InfExp_FE</t>
  </si>
  <si>
    <t>L.InfExp_FE</t>
  </si>
  <si>
    <t>0.502***</t>
  </si>
  <si>
    <t>0.551***</t>
  </si>
  <si>
    <t>(0.060)</t>
  </si>
  <si>
    <t>(0.075)</t>
  </si>
  <si>
    <t>L2.InfExp_FE</t>
  </si>
  <si>
    <t>0.0901</t>
  </si>
  <si>
    <t>0.231***</t>
  </si>
  <si>
    <t>(0.064)</t>
  </si>
  <si>
    <t>L3.InfExp_FE</t>
  </si>
  <si>
    <t>0.146*</t>
  </si>
  <si>
    <t>0.0693</t>
  </si>
  <si>
    <t>(0.065)</t>
  </si>
  <si>
    <t>(0.052)</t>
  </si>
  <si>
    <t>_cons</t>
  </si>
  <si>
    <t>-3.021***</t>
  </si>
  <si>
    <t>-3.452***</t>
  </si>
  <si>
    <t>0.314</t>
  </si>
  <si>
    <t>1.147***</t>
  </si>
  <si>
    <t>0.00175</t>
  </si>
  <si>
    <t>-2.333***</t>
  </si>
  <si>
    <t>-1.351***</t>
  </si>
  <si>
    <t>-0.356***</t>
  </si>
  <si>
    <t>(0.242)</t>
  </si>
  <si>
    <t>(0.386)</t>
  </si>
  <si>
    <t>(0.231)</t>
  </si>
  <si>
    <t>(0.224)</t>
  </si>
  <si>
    <t>(0.077)</t>
  </si>
  <si>
    <t>(0.192)</t>
  </si>
  <si>
    <t>(0.156)</t>
  </si>
  <si>
    <t>(0.058)</t>
  </si>
  <si>
    <t>N</t>
  </si>
  <si>
    <t>5510</t>
  </si>
  <si>
    <t>3945</t>
  </si>
  <si>
    <t>2971</t>
  </si>
  <si>
    <t>2158</t>
  </si>
  <si>
    <t>1610</t>
  </si>
  <si>
    <t>1338</t>
  </si>
  <si>
    <t>R2</t>
  </si>
  <si>
    <t>0.760</t>
  </si>
  <si>
    <t>0.828</t>
  </si>
  <si>
    <t>0.890</t>
  </si>
  <si>
    <t>0.776</t>
  </si>
  <si>
    <t>0.826</t>
  </si>
  <si>
    <t>0.903</t>
  </si>
  <si>
    <t>Time FE</t>
  </si>
  <si>
    <t>Yes</t>
  </si>
  <si>
    <t>Standard errors in parentheses</t>
  </si>
  <si>
    <t>="* p&lt;0.05</t>
  </si>
  <si>
    <t xml:space="preserve"> ** p&lt;0.01</t>
  </si>
  <si>
    <t xml:space="preserve"> *** p&lt;0.001"</t>
  </si>
  <si>
    <t>SPFPop-not-updated</t>
  </si>
  <si>
    <t>SPFCPI_FE_const</t>
  </si>
  <si>
    <t>SPFPCE_FE_const</t>
  </si>
  <si>
    <t>="</t>
  </si>
  <si>
    <t>0.432</t>
  </si>
  <si>
    <t>0.402</t>
  </si>
  <si>
    <t>(0.457)</t>
  </si>
  <si>
    <t>(0.486)</t>
  </si>
  <si>
    <t>0.0253</t>
  </si>
  <si>
    <t>-0.0108</t>
  </si>
  <si>
    <t>(0.733)</t>
  </si>
  <si>
    <t>(0.448)</t>
  </si>
  <si>
    <t>1.114***</t>
  </si>
  <si>
    <t>1.192***</t>
  </si>
  <si>
    <t>(0.066)</t>
  </si>
  <si>
    <t>(0.125)</t>
  </si>
  <si>
    <t>-0.0743</t>
  </si>
  <si>
    <t>-0.197</t>
  </si>
  <si>
    <t>(0.082)</t>
  </si>
  <si>
    <t>(0.204)</t>
  </si>
  <si>
    <t>-0.168</t>
  </si>
  <si>
    <t>-0.225</t>
  </si>
  <si>
    <t>(0.131)</t>
  </si>
  <si>
    <t>(0.178)</t>
  </si>
  <si>
    <t>-0.150</t>
  </si>
  <si>
    <t>-1.014</t>
  </si>
  <si>
    <t>-0.160</t>
  </si>
  <si>
    <t>-0.0484</t>
  </si>
  <si>
    <t>-0.0606</t>
  </si>
  <si>
    <t>-0.777</t>
  </si>
  <si>
    <t>-0.0674</t>
  </si>
  <si>
    <t>-0.0132</t>
  </si>
  <si>
    <t>(0.135)</t>
  </si>
  <si>
    <t>(0.889)</t>
  </si>
  <si>
    <t>(0.168)</t>
  </si>
  <si>
    <t>(0.070)</t>
  </si>
  <si>
    <t>(0.120)</t>
  </si>
  <si>
    <t>(0.813)</t>
  </si>
  <si>
    <t>(0.155)</t>
  </si>
  <si>
    <t>(0.053)</t>
  </si>
  <si>
    <t>58</t>
  </si>
  <si>
    <t>54</t>
  </si>
  <si>
    <t>55</t>
  </si>
  <si>
    <t>r2</t>
  </si>
  <si>
    <t>0</t>
  </si>
  <si>
    <t>0.0144</t>
  </si>
  <si>
    <t>0.000130</t>
  </si>
  <si>
    <t>0.784</t>
  </si>
  <si>
    <t>0.0116</t>
  </si>
  <si>
    <t>0.0000350</t>
  </si>
  <si>
    <t>0.803</t>
  </si>
  <si>
    <t>SCEPop</t>
  </si>
  <si>
    <t>SCE_FE_lag6</t>
  </si>
  <si>
    <t>SCE_FE_arlag712</t>
  </si>
  <si>
    <t>SCE_FE_arlag12</t>
  </si>
  <si>
    <t>SCE_FE_lag12</t>
  </si>
  <si>
    <t>L6.InfExp_Mean</t>
  </si>
  <si>
    <t>-0.665</t>
  </si>
  <si>
    <t>(2.456)</t>
  </si>
  <si>
    <t>L7.InfExp_Mean</t>
  </si>
  <si>
    <t>0.163</t>
  </si>
  <si>
    <t>(3.765)</t>
  </si>
  <si>
    <t>L8.InfExp_Mean</t>
  </si>
  <si>
    <t>3.727</t>
  </si>
  <si>
    <t>(2.539)</t>
  </si>
  <si>
    <t>L12.InfExp_Mean</t>
  </si>
  <si>
    <t>4.190***</t>
  </si>
  <si>
    <t>(0.659)</t>
  </si>
  <si>
    <t>L6.InfExp_FE</t>
  </si>
  <si>
    <t>1.551***</t>
  </si>
  <si>
    <t>(0.352)</t>
  </si>
  <si>
    <t>L7.InfExp_FE</t>
  </si>
  <si>
    <t>-0.763</t>
  </si>
  <si>
    <t>(0.595)</t>
  </si>
  <si>
    <t>L8.InfExp_FE</t>
  </si>
  <si>
    <t>0.284</t>
  </si>
  <si>
    <t>(0.574)</t>
  </si>
  <si>
    <t>L9.InfExp_FE</t>
  </si>
  <si>
    <t>0.0786</t>
  </si>
  <si>
    <t>(0.670)</t>
  </si>
  <si>
    <t>L10.InfExp_FE</t>
  </si>
  <si>
    <t>0.428</t>
  </si>
  <si>
    <t>(0.719)</t>
  </si>
  <si>
    <t>L11.InfExp_FE</t>
  </si>
  <si>
    <t>-0.185</t>
  </si>
  <si>
    <t>(0.696)</t>
  </si>
  <si>
    <t>L12.InfExp_FE</t>
  </si>
  <si>
    <t>-0.596</t>
  </si>
  <si>
    <t>0.572**</t>
  </si>
  <si>
    <t>(0.411)</t>
  </si>
  <si>
    <t>(0.195)</t>
  </si>
  <si>
    <t>-9.638***</t>
  </si>
  <si>
    <t>-0.142</t>
  </si>
  <si>
    <t>-0.149</t>
  </si>
  <si>
    <t>-12.92***</t>
  </si>
  <si>
    <t>(1.953)</t>
  </si>
  <si>
    <t>(0.176)</t>
  </si>
  <si>
    <t>(0.445)</t>
  </si>
  <si>
    <t>(2.213)</t>
  </si>
  <si>
    <t>88</t>
  </si>
  <si>
    <t>84</t>
  </si>
  <si>
    <t>0.183</t>
  </si>
  <si>
    <t>0.699</t>
  </si>
  <si>
    <t>0.0957</t>
  </si>
  <si>
    <t>0.311</t>
  </si>
  <si>
    <t>SCEInd</t>
  </si>
  <si>
    <t>SCE_FE_bias</t>
  </si>
  <si>
    <t>SCE_FE_lag1</t>
  </si>
  <si>
    <t>SCE_FE_lag4</t>
  </si>
  <si>
    <t>SCE_FE_lag8</t>
  </si>
  <si>
    <t>SCE_FE_arlag1</t>
  </si>
  <si>
    <t>SCE_FE_arlag4</t>
  </si>
  <si>
    <t>SCE_FE_arlag8</t>
  </si>
  <si>
    <t>L.InfExp_Mean</t>
  </si>
  <si>
    <t>0.386***</t>
  </si>
  <si>
    <t>(0.007)</t>
  </si>
  <si>
    <t>L2.InfExp_Mean</t>
  </si>
  <si>
    <t>0.228***</t>
  </si>
  <si>
    <t>L3.InfExp_Mean</t>
  </si>
  <si>
    <t>0.179***</t>
  </si>
  <si>
    <t>(0.006)</t>
  </si>
  <si>
    <t>0.327***</t>
  </si>
  <si>
    <t>(0.010)</t>
  </si>
  <si>
    <t>L5.InfExp_Mean</t>
  </si>
  <si>
    <t>0.200***</t>
  </si>
  <si>
    <t>0.130***</t>
  </si>
  <si>
    <t>0.0824***</t>
  </si>
  <si>
    <t>(0.008)</t>
  </si>
  <si>
    <t>0.341***</t>
  </si>
  <si>
    <t>(0.024)</t>
  </si>
  <si>
    <t>L9.InfExp_Mean</t>
  </si>
  <si>
    <t>0.177***</t>
  </si>
  <si>
    <t>L10.InfExp_Mean</t>
  </si>
  <si>
    <t>0.0852***</t>
  </si>
  <si>
    <t>(0.020)</t>
  </si>
  <si>
    <t>L11.InfExp_Mean</t>
  </si>
  <si>
    <t>0.0260</t>
  </si>
  <si>
    <t>(0.016)</t>
  </si>
  <si>
    <t>0.221***</t>
  </si>
  <si>
    <t>0.146***</t>
  </si>
  <si>
    <t>(0.005)</t>
  </si>
  <si>
    <t>0.356***</t>
  </si>
  <si>
    <t>L5.InfExp_FE</t>
  </si>
  <si>
    <t>0.185***</t>
  </si>
  <si>
    <t>0.111***</t>
  </si>
  <si>
    <t>(0.009)</t>
  </si>
  <si>
    <t>0.0677***</t>
  </si>
  <si>
    <t>0.333***</t>
  </si>
  <si>
    <t>(0.023)</t>
  </si>
  <si>
    <t>0.163***</t>
  </si>
  <si>
    <t>0.0685***</t>
  </si>
  <si>
    <t>0.00838</t>
  </si>
  <si>
    <t>1.673***</t>
  </si>
  <si>
    <t>-1.033***</t>
  </si>
  <si>
    <t>-0.888***</t>
  </si>
  <si>
    <t>-0.538***</t>
  </si>
  <si>
    <t>0.198***</t>
  </si>
  <si>
    <t>0.274***</t>
  </si>
  <si>
    <t>0.509***</t>
  </si>
  <si>
    <t>(0.015)</t>
  </si>
  <si>
    <t>(0.061)</t>
  </si>
  <si>
    <t>(0.014)</t>
  </si>
  <si>
    <t>112668</t>
  </si>
  <si>
    <t>54194</t>
  </si>
  <si>
    <t>24852</t>
  </si>
  <si>
    <t>4432</t>
  </si>
  <si>
    <t>0.424</t>
  </si>
  <si>
    <t>0.344</t>
  </si>
  <si>
    <t>0.248</t>
  </si>
  <si>
    <t>0.539</t>
  </si>
  <si>
    <t>0.377</t>
  </si>
  <si>
    <t>0.243</t>
  </si>
  <si>
    <t>Combined</t>
  </si>
  <si>
    <t>SPF CPI</t>
  </si>
  <si>
    <t>SPF PCE</t>
  </si>
  <si>
    <t>SCE</t>
  </si>
  <si>
    <t>Test 1: Bias</t>
  </si>
  <si>
    <t>Constant</t>
  </si>
  <si>
    <r>
      <rPr>
        <b val="1"/>
        <sz val="12"/>
        <color indexed="8"/>
        <rFont val="Calibri"/>
      </rPr>
      <t>1.673***</t>
    </r>
  </si>
  <si>
    <r>
      <rPr>
        <b val="1"/>
        <sz val="12"/>
        <color indexed="8"/>
        <rFont val="Calibri"/>
      </rPr>
      <t>(0.008)</t>
    </r>
  </si>
  <si>
    <r>
      <rPr>
        <b val="1"/>
        <sz val="12"/>
        <color indexed="8"/>
        <rFont val="Calibri"/>
      </rPr>
      <t>112668</t>
    </r>
  </si>
  <si>
    <t>Test2: FE Depends on past information</t>
  </si>
  <si>
    <t>Forecast 1-yr before</t>
  </si>
  <si>
    <t>R^2</t>
  </si>
  <si>
    <t xml:space="preserve">Test3: FE of non-overllaping forecast horizons are serially correlated </t>
  </si>
  <si>
    <t>Forecast Error 1-year before</t>
  </si>
  <si>
    <t>No</t>
  </si>
  <si>
    <t xml:space="preserve">Test4: Overlapping FE are serially correlated </t>
  </si>
  <si>
    <t>Forecast Error 1-q before</t>
  </si>
  <si>
    <r>
      <rPr>
        <b val="1"/>
        <sz val="12"/>
        <color indexed="8"/>
        <rFont val="Calibri"/>
      </rPr>
      <t>0.327***</t>
    </r>
  </si>
  <si>
    <r>
      <rPr>
        <b val="1"/>
        <sz val="12"/>
        <color indexed="8"/>
        <rFont val="Calibri"/>
      </rPr>
      <t>(0.010)</t>
    </r>
  </si>
  <si>
    <t>Forecast Error 2-q before</t>
  </si>
  <si>
    <r>
      <rPr>
        <b val="1"/>
        <sz val="12"/>
        <color indexed="8"/>
        <rFont val="Calibri"/>
      </rPr>
      <t>0.341***</t>
    </r>
  </si>
  <si>
    <r>
      <rPr>
        <b val="1"/>
        <sz val="12"/>
        <color indexed="8"/>
        <rFont val="Calibri"/>
      </rPr>
      <t>(0.024)</t>
    </r>
  </si>
  <si>
    <t>Forecast Error 3-q before</t>
  </si>
  <si>
    <r>
      <rPr>
        <b val="1"/>
        <sz val="12"/>
        <color indexed="8"/>
        <rFont val="Calibri"/>
      </rPr>
      <t>0.333***</t>
    </r>
  </si>
  <si>
    <r>
      <rPr>
        <b val="1"/>
        <sz val="12"/>
        <color indexed="8"/>
        <rFont val="Calibri"/>
      </rPr>
      <t>(0.023)</t>
    </r>
  </si>
  <si>
    <r>
      <rPr>
        <b val="1"/>
        <sz val="12"/>
        <color indexed="8"/>
        <rFont val="Calibri"/>
      </rPr>
      <t>0.509***</t>
    </r>
  </si>
  <si>
    <r>
      <rPr>
        <b val="1"/>
        <sz val="12"/>
        <color indexed="8"/>
        <rFont val="Calibri"/>
      </rPr>
      <t>(0.035)</t>
    </r>
  </si>
  <si>
    <r>
      <rPr>
        <b val="1"/>
        <sz val="12"/>
        <color indexed="8"/>
        <rFont val="Calibri"/>
      </rPr>
      <t>4432</t>
    </r>
  </si>
  <si>
    <r>
      <rPr>
        <b val="1"/>
        <sz val="12"/>
        <color indexed="8"/>
        <rFont val="Calibri"/>
      </rPr>
      <t>0.243</t>
    </r>
  </si>
</sst>
</file>

<file path=xl/styles.xml><?xml version="1.0" encoding="utf-8"?>
<styleSheet xmlns="http://schemas.openxmlformats.org/spreadsheetml/2006/main">
  <numFmts count="1">
    <numFmt numFmtId="0" formatCode="General"/>
  </numFmts>
  <fonts count="6">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7">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5" borderId="1" applyNumberFormat="0" applyFont="1" applyFill="0" applyBorder="1" applyAlignment="1" applyProtection="0">
      <alignment vertical="bottom"/>
    </xf>
    <xf numFmtId="49" fontId="5"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79</v>
      </c>
      <c r="C11" s="3"/>
      <c r="D11" s="3"/>
    </row>
    <row r="12">
      <c r="B12" s="4"/>
      <c r="C12" t="s" s="4">
        <v>5</v>
      </c>
      <c r="D12" t="s" s="5">
        <v>79</v>
      </c>
    </row>
    <row r="13">
      <c r="B13" t="s" s="3">
        <v>130</v>
      </c>
      <c r="C13" s="3"/>
      <c r="D13" s="3"/>
    </row>
    <row r="14">
      <c r="B14" s="4"/>
      <c r="C14" t="s" s="4">
        <v>5</v>
      </c>
      <c r="D14" t="s" s="5">
        <v>130</v>
      </c>
    </row>
    <row r="15">
      <c r="B15" t="s" s="3">
        <v>184</v>
      </c>
      <c r="C15" s="3"/>
      <c r="D15" s="3"/>
    </row>
    <row r="16">
      <c r="B16" s="4"/>
      <c r="C16" t="s" s="4">
        <v>5</v>
      </c>
      <c r="D16" t="s" s="5">
        <v>184</v>
      </c>
    </row>
    <row r="17">
      <c r="B17" t="s" s="3">
        <v>251</v>
      </c>
      <c r="C17" s="3"/>
      <c r="D17" s="3"/>
    </row>
    <row r="18">
      <c r="B18" s="4"/>
      <c r="C18" t="s" s="4">
        <v>5</v>
      </c>
      <c r="D18" t="s" s="5">
        <v>251</v>
      </c>
    </row>
  </sheetData>
  <mergeCells count="1">
    <mergeCell ref="B3:D3"/>
  </mergeCells>
  <hyperlinks>
    <hyperlink ref="D10" location="'SPFInd'!R1C1" tooltip="" display="SPFInd"/>
    <hyperlink ref="D12" location="'SPFPop-not-updated'!R1C1" tooltip="" display="SPFPop-not-updated"/>
    <hyperlink ref="D14" location="'SCEPop'!R1C1" tooltip="" display="SCEPop"/>
    <hyperlink ref="D16" location="'SCEInd'!R1C1" tooltip="" display="SCEInd"/>
    <hyperlink ref="D18" location="'Combined'!R1C1" tooltip="" display="Combined"/>
  </hyperlinks>
</worksheet>
</file>

<file path=xl/worksheets/sheet2.xml><?xml version="1.0" encoding="utf-8"?>
<worksheet xmlns:r="http://schemas.openxmlformats.org/officeDocument/2006/relationships" xmlns="http://schemas.openxmlformats.org/spreadsheetml/2006/main">
  <dimension ref="A1:I27"/>
  <sheetViews>
    <sheetView workbookViewId="0" showGridLines="0" defaultGridColor="1"/>
  </sheetViews>
  <sheetFormatPr defaultColWidth="10.8333" defaultRowHeight="16" customHeight="1" outlineLevelRow="0" outlineLevelCol="0"/>
  <cols>
    <col min="1" max="1" width="26.3516" style="6" customWidth="1"/>
    <col min="2" max="2" width="13.6719" style="6" customWidth="1"/>
    <col min="3" max="3" width="13.8516" style="6" customWidth="1"/>
    <col min="4" max="4" width="15.5" style="6" customWidth="1"/>
    <col min="5" max="5" width="16.5" style="6" customWidth="1"/>
    <col min="6" max="6" width="14.1719" style="6" customWidth="1"/>
    <col min="7" max="7" width="14.3516" style="6" customWidth="1"/>
    <col min="8" max="8" width="16" style="6" customWidth="1"/>
    <col min="9" max="9" width="17" style="6" customWidth="1"/>
    <col min="10" max="16384" width="10.8516" style="6" customWidth="1"/>
  </cols>
  <sheetData>
    <row r="1" ht="15.35" customHeight="1">
      <c r="A1" s="7"/>
      <c r="B1" s="7"/>
      <c r="C1" s="7"/>
      <c r="D1" s="7"/>
      <c r="E1" s="7"/>
      <c r="F1" s="7"/>
      <c r="G1" s="7"/>
      <c r="H1" s="7"/>
      <c r="I1" s="7"/>
    </row>
    <row r="2" ht="15.35" customHeight="1">
      <c r="A2" t="s" s="8">
        <f>""</f>
      </c>
      <c r="B2" t="s" s="8">
        <f>"(1)"</f>
        <v>6</v>
      </c>
      <c r="C2" t="s" s="8">
        <f>"(2)"</f>
        <v>7</v>
      </c>
      <c r="D2" t="s" s="8">
        <f>"(3)"</f>
        <v>8</v>
      </c>
      <c r="E2" t="s" s="8">
        <f>"(4)"</f>
        <v>9</v>
      </c>
      <c r="F2" t="s" s="8">
        <f>"(5)"</f>
        <v>10</v>
      </c>
      <c r="G2" t="s" s="8">
        <f>"(6)"</f>
        <v>11</v>
      </c>
      <c r="H2" t="s" s="8">
        <f>"(7)"</f>
        <v>12</v>
      </c>
      <c r="I2" t="s" s="8">
        <f>"(8)"</f>
        <v>13</v>
      </c>
    </row>
    <row r="3" ht="15.35" customHeight="1">
      <c r="A3" t="s" s="8">
        <f>""</f>
      </c>
      <c r="B3" t="s" s="8">
        <f>"SPFCPI_FE_bias"</f>
        <v>14</v>
      </c>
      <c r="C3" t="s" s="8">
        <f>"SPFCPI_FE_lag4"</f>
        <v>15</v>
      </c>
      <c r="D3" t="s" s="8">
        <f>"SPFCPI_FE_arlag4"</f>
        <v>16</v>
      </c>
      <c r="E3" t="s" s="8">
        <f>"SPFCPI_FE_arlag13"</f>
        <v>17</v>
      </c>
      <c r="F3" t="s" s="8">
        <f>"SPFPCE_FE_bias"</f>
        <v>18</v>
      </c>
      <c r="G3" t="s" s="8">
        <f>"SPFPCE_FE_lag4"</f>
        <v>19</v>
      </c>
      <c r="H3" t="s" s="8">
        <f>"SPFPCE_FE_arlag4"</f>
        <v>20</v>
      </c>
      <c r="I3" t="s" s="8">
        <f>"SPFPCE_FE_arlag13"</f>
        <v>21</v>
      </c>
    </row>
    <row r="4" ht="15.35" customHeight="1">
      <c r="A4" s="7"/>
      <c r="B4" s="7"/>
      <c r="C4" s="7"/>
      <c r="D4" s="7"/>
      <c r="E4" s="7"/>
      <c r="F4" s="7"/>
      <c r="G4" s="7"/>
      <c r="H4" s="7"/>
      <c r="I4" s="7"/>
    </row>
    <row r="5" ht="15.35" customHeight="1">
      <c r="A5" t="s" s="8">
        <f>"L4.InfExp_Mean"</f>
        <v>22</v>
      </c>
      <c r="B5" s="7"/>
      <c r="C5" t="s" s="8">
        <f t="shared" si="19" ref="C5:D8">"0.350***"</f>
        <v>23</v>
      </c>
      <c r="D5" s="7"/>
      <c r="E5" s="7"/>
      <c r="F5" s="7"/>
      <c r="G5" t="s" s="8">
        <f t="shared" si="20" ref="G5:H8">"0.460***"</f>
        <v>24</v>
      </c>
      <c r="H5" s="7"/>
      <c r="I5" s="7"/>
    </row>
    <row r="6" ht="15.35" customHeight="1">
      <c r="A6" t="s" s="8">
        <f>""</f>
      </c>
      <c r="B6" s="7"/>
      <c r="C6" t="s" s="8">
        <f t="shared" si="22" ref="C6:D9">"(0.035)"</f>
        <v>25</v>
      </c>
      <c r="D6" s="7"/>
      <c r="E6" s="7"/>
      <c r="F6" s="7"/>
      <c r="G6" t="s" s="8">
        <f>"(0.047)"</f>
        <v>26</v>
      </c>
      <c r="H6" s="7"/>
      <c r="I6" s="7"/>
    </row>
    <row r="7" ht="15.35" customHeight="1">
      <c r="A7" s="7"/>
      <c r="B7" s="7"/>
      <c r="C7" s="7"/>
      <c r="D7" s="7"/>
      <c r="E7" s="7"/>
      <c r="F7" s="7"/>
      <c r="G7" s="7"/>
      <c r="H7" s="7"/>
      <c r="I7" s="7"/>
    </row>
    <row r="8" ht="15.35" customHeight="1">
      <c r="A8" t="s" s="8">
        <f>"L4.InfExp_FE"</f>
        <v>27</v>
      </c>
      <c r="B8" s="7"/>
      <c r="C8" s="7"/>
      <c r="D8" t="s" s="8">
        <f t="shared" si="19"/>
        <v>23</v>
      </c>
      <c r="E8" s="7"/>
      <c r="F8" s="7"/>
      <c r="G8" s="7"/>
      <c r="H8" t="s" s="8">
        <f t="shared" si="20"/>
        <v>24</v>
      </c>
      <c r="I8" s="7"/>
    </row>
    <row r="9" ht="15.35" customHeight="1">
      <c r="A9" t="s" s="8">
        <f>""</f>
      </c>
      <c r="B9" s="7"/>
      <c r="C9" s="7"/>
      <c r="D9" t="s" s="8">
        <f t="shared" si="22"/>
        <v>25</v>
      </c>
      <c r="E9" s="7"/>
      <c r="F9" s="7"/>
      <c r="G9" s="7"/>
      <c r="H9" t="s" s="8">
        <f>"(0.047)"</f>
        <v>26</v>
      </c>
      <c r="I9" s="7"/>
    </row>
    <row r="10" ht="15.35" customHeight="1">
      <c r="A10" s="7"/>
      <c r="B10" s="7"/>
      <c r="C10" s="7"/>
      <c r="D10" s="7"/>
      <c r="E10" s="7"/>
      <c r="F10" s="7"/>
      <c r="G10" s="7"/>
      <c r="H10" s="7"/>
      <c r="I10" s="7"/>
    </row>
    <row r="11" ht="15.35" customHeight="1">
      <c r="A11" t="s" s="8">
        <f>"L.InfExp_FE"</f>
        <v>28</v>
      </c>
      <c r="B11" s="7"/>
      <c r="C11" s="7"/>
      <c r="D11" s="7"/>
      <c r="E11" t="s" s="8">
        <f>"0.502***"</f>
        <v>29</v>
      </c>
      <c r="F11" s="7"/>
      <c r="G11" s="7"/>
      <c r="H11" s="7"/>
      <c r="I11" t="s" s="8">
        <f>"0.551***"</f>
        <v>30</v>
      </c>
    </row>
    <row r="12" ht="15.35" customHeight="1">
      <c r="A12" t="s" s="8">
        <f>""</f>
      </c>
      <c r="B12" s="7"/>
      <c r="C12" s="7"/>
      <c r="D12" s="7"/>
      <c r="E12" t="s" s="8">
        <f t="shared" si="34" ref="E12:I15">"(0.060)"</f>
        <v>31</v>
      </c>
      <c r="F12" s="7"/>
      <c r="G12" s="7"/>
      <c r="H12" s="7"/>
      <c r="I12" t="s" s="8">
        <f>"(0.075)"</f>
        <v>32</v>
      </c>
    </row>
    <row r="13" ht="15.35" customHeight="1">
      <c r="A13" s="7"/>
      <c r="B13" s="7"/>
      <c r="C13" s="7"/>
      <c r="D13" s="7"/>
      <c r="E13" s="7"/>
      <c r="F13" s="7"/>
      <c r="G13" s="7"/>
      <c r="H13" s="7"/>
      <c r="I13" s="7"/>
    </row>
    <row r="14" ht="15.35" customHeight="1">
      <c r="A14" t="s" s="8">
        <f>"L2.InfExp_FE"</f>
        <v>33</v>
      </c>
      <c r="B14" s="7"/>
      <c r="C14" s="7"/>
      <c r="D14" s="7"/>
      <c r="E14" t="s" s="8">
        <f>"0.0901"</f>
        <v>34</v>
      </c>
      <c r="F14" s="7"/>
      <c r="G14" s="7"/>
      <c r="H14" s="7"/>
      <c r="I14" t="s" s="8">
        <f>"0.231***"</f>
        <v>35</v>
      </c>
    </row>
    <row r="15" ht="15.35" customHeight="1">
      <c r="A15" t="s" s="8">
        <f>""</f>
      </c>
      <c r="B15" s="7"/>
      <c r="C15" s="7"/>
      <c r="D15" s="7"/>
      <c r="E15" t="s" s="8">
        <f>"(0.064)"</f>
        <v>36</v>
      </c>
      <c r="F15" s="7"/>
      <c r="G15" s="7"/>
      <c r="H15" s="7"/>
      <c r="I15" t="s" s="8">
        <f t="shared" si="34"/>
        <v>31</v>
      </c>
    </row>
    <row r="16" ht="15.35" customHeight="1">
      <c r="A16" s="7"/>
      <c r="B16" s="7"/>
      <c r="C16" s="7"/>
      <c r="D16" s="7"/>
      <c r="E16" s="7"/>
      <c r="F16" s="7"/>
      <c r="G16" s="7"/>
      <c r="H16" s="7"/>
      <c r="I16" s="7"/>
    </row>
    <row r="17" ht="15.35" customHeight="1">
      <c r="A17" t="s" s="8">
        <f>"L3.InfExp_FE"</f>
        <v>37</v>
      </c>
      <c r="B17" s="7"/>
      <c r="C17" s="7"/>
      <c r="D17" s="7"/>
      <c r="E17" t="s" s="8">
        <f>"0.146*"</f>
        <v>38</v>
      </c>
      <c r="F17" s="7"/>
      <c r="G17" s="7"/>
      <c r="H17" s="7"/>
      <c r="I17" t="s" s="8">
        <f>"0.0693"</f>
        <v>39</v>
      </c>
    </row>
    <row r="18" ht="15.35" customHeight="1">
      <c r="A18" t="s" s="8">
        <f>""</f>
      </c>
      <c r="B18" s="7"/>
      <c r="C18" s="7"/>
      <c r="D18" s="7"/>
      <c r="E18" t="s" s="8">
        <f>"(0.065)"</f>
        <v>40</v>
      </c>
      <c r="F18" s="7"/>
      <c r="G18" s="7"/>
      <c r="H18" s="7"/>
      <c r="I18" t="s" s="8">
        <f>"(0.052)"</f>
        <v>41</v>
      </c>
    </row>
    <row r="19" ht="15.35" customHeight="1">
      <c r="A19" s="7"/>
      <c r="B19" s="7"/>
      <c r="C19" s="7"/>
      <c r="D19" s="7"/>
      <c r="E19" s="7"/>
      <c r="F19" s="7"/>
      <c r="G19" s="7"/>
      <c r="H19" s="7"/>
      <c r="I19" s="7"/>
    </row>
    <row r="20" ht="15.35" customHeight="1">
      <c r="A20" t="s" s="8">
        <f>"_cons"</f>
        <v>42</v>
      </c>
      <c r="B20" t="s" s="8">
        <f>"-3.021***"</f>
        <v>43</v>
      </c>
      <c r="C20" t="s" s="8">
        <f>"-3.452***"</f>
        <v>44</v>
      </c>
      <c r="D20" t="s" s="8">
        <f>"0.314"</f>
        <v>45</v>
      </c>
      <c r="E20" t="s" s="8">
        <f>"1.147***"</f>
        <v>46</v>
      </c>
      <c r="F20" t="s" s="8">
        <f>"0.00175"</f>
        <v>47</v>
      </c>
      <c r="G20" t="s" s="8">
        <f>"-2.333***"</f>
        <v>48</v>
      </c>
      <c r="H20" t="s" s="8">
        <f>"-1.351***"</f>
        <v>49</v>
      </c>
      <c r="I20" t="s" s="8">
        <f>"-0.356***"</f>
        <v>50</v>
      </c>
    </row>
    <row r="21" ht="15.35" customHeight="1">
      <c r="A21" t="s" s="8">
        <f>""</f>
      </c>
      <c r="B21" t="s" s="8">
        <f>"(0.242)"</f>
        <v>51</v>
      </c>
      <c r="C21" t="s" s="8">
        <f>"(0.386)"</f>
        <v>52</v>
      </c>
      <c r="D21" t="s" s="8">
        <f>"(0.231)"</f>
        <v>53</v>
      </c>
      <c r="E21" t="s" s="8">
        <f>"(0.224)"</f>
        <v>54</v>
      </c>
      <c r="F21" t="s" s="8">
        <f>"(0.077)"</f>
        <v>55</v>
      </c>
      <c r="G21" t="s" s="8">
        <f>"(0.192)"</f>
        <v>56</v>
      </c>
      <c r="H21" t="s" s="8">
        <f>"(0.156)"</f>
        <v>57</v>
      </c>
      <c r="I21" t="s" s="8">
        <f>"(0.058)"</f>
        <v>58</v>
      </c>
    </row>
    <row r="22" ht="15.35" customHeight="1">
      <c r="A22" s="7"/>
      <c r="B22" s="7"/>
      <c r="C22" s="7"/>
      <c r="D22" s="7"/>
      <c r="E22" s="7"/>
      <c r="F22" s="7"/>
      <c r="G22" s="7"/>
      <c r="H22" s="7"/>
      <c r="I22" s="7"/>
    </row>
    <row r="23" ht="15.35" customHeight="1">
      <c r="A23" t="s" s="8">
        <f>"N"</f>
        <v>59</v>
      </c>
      <c r="B23" t="s" s="8">
        <f>"5510"</f>
        <v>60</v>
      </c>
      <c r="C23" t="s" s="8">
        <f t="shared" si="68" ref="C23:D23">"3945"</f>
        <v>61</v>
      </c>
      <c r="D23" t="s" s="8">
        <f t="shared" si="68"/>
        <v>61</v>
      </c>
      <c r="E23" t="s" s="8">
        <f>"2971"</f>
        <v>62</v>
      </c>
      <c r="F23" t="s" s="8">
        <f>"2158"</f>
        <v>63</v>
      </c>
      <c r="G23" t="s" s="8">
        <f t="shared" si="72" ref="G23:H23">"1610"</f>
        <v>64</v>
      </c>
      <c r="H23" t="s" s="8">
        <f t="shared" si="72"/>
        <v>64</v>
      </c>
      <c r="I23" t="s" s="8">
        <f>"1338"</f>
        <v>65</v>
      </c>
    </row>
    <row r="24" ht="15.35" customHeight="1">
      <c r="A24" t="s" s="8">
        <f>"R2"</f>
        <v>66</v>
      </c>
      <c r="B24" t="s" s="8">
        <f>"0.760"</f>
        <v>67</v>
      </c>
      <c r="C24" t="s" s="8">
        <f t="shared" si="77" ref="C24:D24">"0.828"</f>
        <v>68</v>
      </c>
      <c r="D24" t="s" s="8">
        <f t="shared" si="77"/>
        <v>68</v>
      </c>
      <c r="E24" t="s" s="8">
        <f>"0.890"</f>
        <v>69</v>
      </c>
      <c r="F24" t="s" s="8">
        <f>"0.776"</f>
        <v>70</v>
      </c>
      <c r="G24" t="s" s="8">
        <f t="shared" si="81" ref="G24:H24">"0.826"</f>
        <v>71</v>
      </c>
      <c r="H24" t="s" s="8">
        <f t="shared" si="81"/>
        <v>71</v>
      </c>
      <c r="I24" t="s" s="8">
        <f>"0.903"</f>
        <v>72</v>
      </c>
    </row>
    <row r="25" ht="15.35" customHeight="1">
      <c r="A25" t="s" s="8">
        <f>"Time FE"</f>
        <v>73</v>
      </c>
      <c r="B25" t="s" s="8">
        <f t="shared" si="85" ref="B25:I25">"Yes"</f>
        <v>74</v>
      </c>
      <c r="C25" t="s" s="8">
        <f t="shared" si="85"/>
        <v>74</v>
      </c>
      <c r="D25" t="s" s="8">
        <f t="shared" si="85"/>
        <v>74</v>
      </c>
      <c r="E25" t="s" s="8">
        <f t="shared" si="85"/>
        <v>74</v>
      </c>
      <c r="F25" t="s" s="8">
        <f t="shared" si="85"/>
        <v>74</v>
      </c>
      <c r="G25" t="s" s="8">
        <f t="shared" si="85"/>
        <v>74</v>
      </c>
      <c r="H25" t="s" s="8">
        <f t="shared" si="85"/>
        <v>74</v>
      </c>
      <c r="I25" t="s" s="8">
        <f t="shared" si="85"/>
        <v>74</v>
      </c>
    </row>
    <row r="26" ht="15.35" customHeight="1">
      <c r="A26" t="s" s="8">
        <f>"Standard errors in parentheses"</f>
        <v>75</v>
      </c>
      <c r="B26" s="7"/>
      <c r="C26" s="7"/>
      <c r="D26" s="7"/>
      <c r="E26" s="7"/>
      <c r="F26" s="7"/>
      <c r="G26" s="7"/>
      <c r="H26" s="7"/>
      <c r="I26" s="7"/>
    </row>
    <row r="27" ht="15.35" customHeight="1">
      <c r="A27" t="s" s="8">
        <v>76</v>
      </c>
      <c r="B27" t="s" s="8">
        <v>77</v>
      </c>
      <c r="C27" t="s" s="8">
        <v>78</v>
      </c>
      <c r="D27" s="7"/>
      <c r="E27" s="7"/>
      <c r="F27" s="7"/>
      <c r="G27" s="7"/>
      <c r="H27" s="7"/>
      <c r="I27"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27"/>
  <sheetViews>
    <sheetView workbookViewId="0" showGridLines="0" defaultGridColor="1"/>
  </sheetViews>
  <sheetFormatPr defaultColWidth="10.8333" defaultRowHeight="16" customHeight="1" outlineLevelRow="0" outlineLevelCol="0"/>
  <cols>
    <col min="1" max="1" width="26.3516" style="9" customWidth="1"/>
    <col min="2" max="2" width="14.8516" style="9" customWidth="1"/>
    <col min="3" max="3" width="13.8516" style="9" customWidth="1"/>
    <col min="4" max="4" width="15.5" style="9" customWidth="1"/>
    <col min="5" max="5" width="16.5" style="9" customWidth="1"/>
    <col min="6" max="6" width="15.3516" style="9" customWidth="1"/>
    <col min="7" max="7" width="14.3516" style="9" customWidth="1"/>
    <col min="8" max="8" width="16" style="9" customWidth="1"/>
    <col min="9" max="9" width="17" style="9" customWidth="1"/>
    <col min="10" max="16384" width="10.8516" style="9" customWidth="1"/>
  </cols>
  <sheetData>
    <row r="1" ht="15.35" customHeight="1">
      <c r="A1" s="7"/>
      <c r="B1" s="7"/>
      <c r="C1" s="7"/>
      <c r="D1" s="7"/>
      <c r="E1" s="7"/>
      <c r="F1" s="7"/>
      <c r="G1" s="7"/>
      <c r="H1" s="7"/>
      <c r="I1" s="7"/>
    </row>
    <row r="2" ht="15.35" customHeight="1">
      <c r="A2" t="s" s="8">
        <f>""</f>
      </c>
      <c r="B2" t="s" s="8">
        <f>"(1)"</f>
        <v>6</v>
      </c>
      <c r="C2" t="s" s="8">
        <f>"(2)"</f>
        <v>7</v>
      </c>
      <c r="D2" t="s" s="8">
        <f>"(3)"</f>
        <v>8</v>
      </c>
      <c r="E2" t="s" s="8">
        <f>"(4)"</f>
        <v>9</v>
      </c>
      <c r="F2" t="s" s="8">
        <f>"(5)"</f>
        <v>10</v>
      </c>
      <c r="G2" t="s" s="8">
        <f>"(6)"</f>
        <v>11</v>
      </c>
      <c r="H2" t="s" s="8">
        <f>"(7)"</f>
        <v>12</v>
      </c>
      <c r="I2" t="s" s="8">
        <f>"(8)"</f>
        <v>13</v>
      </c>
    </row>
    <row r="3" ht="15.35" customHeight="1">
      <c r="A3" t="s" s="8">
        <f>""</f>
      </c>
      <c r="B3" t="s" s="8">
        <f>"SPFCPI_FE_const"</f>
        <v>80</v>
      </c>
      <c r="C3" t="s" s="8">
        <f>"SPFCPI_FE_lag4"</f>
        <v>15</v>
      </c>
      <c r="D3" t="s" s="8">
        <f>"SPFCPI_FE_arlag4"</f>
        <v>16</v>
      </c>
      <c r="E3" t="s" s="8">
        <f>"SPFCPI_FE_arlag13"</f>
        <v>17</v>
      </c>
      <c r="F3" t="s" s="8">
        <f>"SPFPCE_FE_const"</f>
        <v>81</v>
      </c>
      <c r="G3" t="s" s="8">
        <f>"SPFPCE_FE_lag4"</f>
        <v>19</v>
      </c>
      <c r="H3" t="s" s="8">
        <f>"SPFPCE_FE_arlag4"</f>
        <v>20</v>
      </c>
      <c r="I3" t="s" s="8">
        <f>"SPFPCE_FE_arlag13"</f>
        <v>21</v>
      </c>
    </row>
    <row r="4" ht="15.35" customHeight="1">
      <c r="A4" s="7"/>
      <c r="B4" s="7"/>
      <c r="C4" s="7"/>
      <c r="D4" s="7"/>
      <c r="E4" s="7"/>
      <c r="F4" s="7"/>
      <c r="G4" s="7"/>
      <c r="H4" s="7"/>
      <c r="I4" s="7"/>
    </row>
    <row r="5" ht="15.35" customHeight="1">
      <c r="A5" t="s" s="8">
        <f>"L4.InfExp_Mean"</f>
        <v>22</v>
      </c>
      <c r="B5" t="s" s="8">
        <v>82</v>
      </c>
      <c r="C5" t="s" s="8">
        <f>"0.432"</f>
        <v>83</v>
      </c>
      <c r="D5" t="s" s="8">
        <v>82</v>
      </c>
      <c r="E5" t="s" s="8">
        <v>82</v>
      </c>
      <c r="F5" t="s" s="8">
        <v>82</v>
      </c>
      <c r="G5" t="s" s="8">
        <f>"0.402"</f>
        <v>84</v>
      </c>
      <c r="H5" t="s" s="8">
        <v>82</v>
      </c>
      <c r="I5" t="s" s="8">
        <v>82</v>
      </c>
    </row>
    <row r="6" ht="15.35" customHeight="1">
      <c r="A6" t="s" s="8">
        <f>""</f>
      </c>
      <c r="B6" t="s" s="8">
        <v>82</v>
      </c>
      <c r="C6" t="s" s="8">
        <f>"(0.457)"</f>
        <v>85</v>
      </c>
      <c r="D6" t="s" s="8">
        <v>82</v>
      </c>
      <c r="E6" t="s" s="8">
        <v>82</v>
      </c>
      <c r="F6" t="s" s="8">
        <v>82</v>
      </c>
      <c r="G6" t="s" s="8">
        <f>"(0.486)"</f>
        <v>86</v>
      </c>
      <c r="H6" t="s" s="8">
        <v>82</v>
      </c>
      <c r="I6" t="s" s="8">
        <v>82</v>
      </c>
    </row>
    <row r="7" ht="15.35" customHeight="1">
      <c r="A7" s="7"/>
      <c r="B7" s="7"/>
      <c r="C7" s="7"/>
      <c r="D7" s="7"/>
      <c r="E7" s="7"/>
      <c r="F7" s="7"/>
      <c r="G7" s="7"/>
      <c r="H7" s="7"/>
      <c r="I7" s="7"/>
    </row>
    <row r="8" ht="15.35" customHeight="1">
      <c r="A8" t="s" s="8">
        <f>"L4.InfExp_FE"</f>
        <v>27</v>
      </c>
      <c r="B8" t="s" s="8">
        <v>82</v>
      </c>
      <c r="C8" t="s" s="8">
        <v>82</v>
      </c>
      <c r="D8" t="s" s="8">
        <f>"0.0253"</f>
        <v>87</v>
      </c>
      <c r="E8" t="s" s="8">
        <v>82</v>
      </c>
      <c r="F8" t="s" s="8">
        <v>82</v>
      </c>
      <c r="G8" t="s" s="8">
        <v>82</v>
      </c>
      <c r="H8" t="s" s="8">
        <f>"-0.0108"</f>
        <v>88</v>
      </c>
      <c r="I8" t="s" s="8">
        <v>82</v>
      </c>
    </row>
    <row r="9" ht="15.35" customHeight="1">
      <c r="A9" t="s" s="8">
        <f>""</f>
      </c>
      <c r="B9" t="s" s="8">
        <v>82</v>
      </c>
      <c r="C9" t="s" s="8">
        <v>82</v>
      </c>
      <c r="D9" t="s" s="8">
        <f>"(0.733)"</f>
        <v>89</v>
      </c>
      <c r="E9" t="s" s="8">
        <v>82</v>
      </c>
      <c r="F9" t="s" s="8">
        <v>82</v>
      </c>
      <c r="G9" t="s" s="8">
        <v>82</v>
      </c>
      <c r="H9" t="s" s="8">
        <f>"(0.448)"</f>
        <v>90</v>
      </c>
      <c r="I9" t="s" s="8">
        <v>82</v>
      </c>
    </row>
    <row r="10" ht="15.35" customHeight="1">
      <c r="A10" s="7"/>
      <c r="B10" s="7"/>
      <c r="C10" s="7"/>
      <c r="D10" s="7"/>
      <c r="E10" s="7"/>
      <c r="F10" s="7"/>
      <c r="G10" s="7"/>
      <c r="H10" s="7"/>
      <c r="I10" s="7"/>
    </row>
    <row r="11" ht="15.35" customHeight="1">
      <c r="A11" t="s" s="8">
        <f>"L.InfExp_FE"</f>
        <v>28</v>
      </c>
      <c r="B11" t="s" s="8">
        <v>82</v>
      </c>
      <c r="C11" t="s" s="8">
        <v>82</v>
      </c>
      <c r="D11" t="s" s="8">
        <v>82</v>
      </c>
      <c r="E11" t="s" s="8">
        <f>"1.114***"</f>
        <v>91</v>
      </c>
      <c r="F11" t="s" s="8">
        <v>82</v>
      </c>
      <c r="G11" t="s" s="8">
        <v>82</v>
      </c>
      <c r="H11" t="s" s="8">
        <v>82</v>
      </c>
      <c r="I11" t="s" s="8">
        <f>"1.192***"</f>
        <v>92</v>
      </c>
    </row>
    <row r="12" ht="15.35" customHeight="1">
      <c r="A12" t="s" s="8">
        <f>""</f>
      </c>
      <c r="B12" t="s" s="8">
        <v>82</v>
      </c>
      <c r="C12" t="s" s="8">
        <v>82</v>
      </c>
      <c r="D12" t="s" s="8">
        <v>82</v>
      </c>
      <c r="E12" t="s" s="8">
        <f>"(0.066)"</f>
        <v>93</v>
      </c>
      <c r="F12" t="s" s="8">
        <v>82</v>
      </c>
      <c r="G12" t="s" s="8">
        <v>82</v>
      </c>
      <c r="H12" t="s" s="8">
        <v>82</v>
      </c>
      <c r="I12" t="s" s="8">
        <f>"(0.125)"</f>
        <v>94</v>
      </c>
    </row>
    <row r="13" ht="15.35" customHeight="1">
      <c r="A13" s="7"/>
      <c r="B13" s="7"/>
      <c r="C13" s="7"/>
      <c r="D13" s="7"/>
      <c r="E13" s="7"/>
      <c r="F13" s="7"/>
      <c r="G13" s="7"/>
      <c r="H13" s="7"/>
      <c r="I13" s="7"/>
    </row>
    <row r="14" ht="15.35" customHeight="1">
      <c r="A14" t="s" s="8">
        <f>"L2.InfExp_FE"</f>
        <v>33</v>
      </c>
      <c r="B14" t="s" s="8">
        <v>82</v>
      </c>
      <c r="C14" t="s" s="8">
        <v>82</v>
      </c>
      <c r="D14" t="s" s="8">
        <v>82</v>
      </c>
      <c r="E14" t="s" s="8">
        <f>"-0.0743"</f>
        <v>95</v>
      </c>
      <c r="F14" t="s" s="8">
        <v>82</v>
      </c>
      <c r="G14" t="s" s="8">
        <v>82</v>
      </c>
      <c r="H14" t="s" s="8">
        <v>82</v>
      </c>
      <c r="I14" t="s" s="8">
        <f>"-0.197"</f>
        <v>96</v>
      </c>
    </row>
    <row r="15" ht="15.35" customHeight="1">
      <c r="A15" t="s" s="8">
        <f>""</f>
      </c>
      <c r="B15" t="s" s="8">
        <v>82</v>
      </c>
      <c r="C15" t="s" s="8">
        <v>82</v>
      </c>
      <c r="D15" t="s" s="8">
        <v>82</v>
      </c>
      <c r="E15" t="s" s="8">
        <f>"(0.082)"</f>
        <v>97</v>
      </c>
      <c r="F15" t="s" s="8">
        <v>82</v>
      </c>
      <c r="G15" t="s" s="8">
        <v>82</v>
      </c>
      <c r="H15" t="s" s="8">
        <v>82</v>
      </c>
      <c r="I15" t="s" s="8">
        <f>"(0.204)"</f>
        <v>98</v>
      </c>
    </row>
    <row r="16" ht="15.35" customHeight="1">
      <c r="A16" s="7"/>
      <c r="B16" s="7"/>
      <c r="C16" s="7"/>
      <c r="D16" s="7"/>
      <c r="E16" s="7"/>
      <c r="F16" s="7"/>
      <c r="G16" s="7"/>
      <c r="H16" s="7"/>
      <c r="I16" s="7"/>
    </row>
    <row r="17" ht="15.35" customHeight="1">
      <c r="A17" t="s" s="8">
        <f>"L3.InfExp_FE"</f>
        <v>37</v>
      </c>
      <c r="B17" t="s" s="8">
        <v>82</v>
      </c>
      <c r="C17" t="s" s="8">
        <v>82</v>
      </c>
      <c r="D17" t="s" s="8">
        <v>82</v>
      </c>
      <c r="E17" t="s" s="8">
        <f>"-0.168"</f>
        <v>99</v>
      </c>
      <c r="F17" t="s" s="8">
        <v>82</v>
      </c>
      <c r="G17" t="s" s="8">
        <v>82</v>
      </c>
      <c r="H17" t="s" s="8">
        <v>82</v>
      </c>
      <c r="I17" t="s" s="8">
        <f>"-0.225"</f>
        <v>100</v>
      </c>
    </row>
    <row r="18" ht="15.35" customHeight="1">
      <c r="A18" t="s" s="8">
        <f>""</f>
      </c>
      <c r="B18" t="s" s="8">
        <v>82</v>
      </c>
      <c r="C18" t="s" s="8">
        <v>82</v>
      </c>
      <c r="D18" t="s" s="8">
        <v>82</v>
      </c>
      <c r="E18" t="s" s="8">
        <f>"(0.131)"</f>
        <v>101</v>
      </c>
      <c r="F18" t="s" s="8">
        <v>82</v>
      </c>
      <c r="G18" t="s" s="8">
        <v>82</v>
      </c>
      <c r="H18" t="s" s="8">
        <v>82</v>
      </c>
      <c r="I18" t="s" s="8">
        <f>"(0.178)"</f>
        <v>102</v>
      </c>
    </row>
    <row r="19" ht="15.35" customHeight="1">
      <c r="A19" s="7"/>
      <c r="B19" s="7"/>
      <c r="C19" s="7"/>
      <c r="D19" s="7"/>
      <c r="E19" s="7"/>
      <c r="F19" s="7"/>
      <c r="G19" s="7"/>
      <c r="H19" s="7"/>
      <c r="I19" s="7"/>
    </row>
    <row r="20" ht="15.35" customHeight="1">
      <c r="A20" t="s" s="8">
        <f>"_cons"</f>
        <v>42</v>
      </c>
      <c r="B20" t="s" s="8">
        <f>"-0.150"</f>
        <v>103</v>
      </c>
      <c r="C20" t="s" s="8">
        <f>"-1.014"</f>
        <v>104</v>
      </c>
      <c r="D20" t="s" s="8">
        <f>"-0.160"</f>
        <v>105</v>
      </c>
      <c r="E20" t="s" s="8">
        <f>"-0.0484"</f>
        <v>106</v>
      </c>
      <c r="F20" t="s" s="8">
        <f>"-0.0606"</f>
        <v>107</v>
      </c>
      <c r="G20" t="s" s="8">
        <f>"-0.777"</f>
        <v>108</v>
      </c>
      <c r="H20" t="s" s="8">
        <f>"-0.0674"</f>
        <v>109</v>
      </c>
      <c r="I20" t="s" s="8">
        <f>"-0.0132"</f>
        <v>110</v>
      </c>
    </row>
    <row r="21" ht="15.35" customHeight="1">
      <c r="A21" t="s" s="8">
        <f>""</f>
      </c>
      <c r="B21" t="s" s="8">
        <f>"(0.135)"</f>
        <v>111</v>
      </c>
      <c r="C21" t="s" s="8">
        <f>"(0.889)"</f>
        <v>112</v>
      </c>
      <c r="D21" t="s" s="8">
        <f>"(0.168)"</f>
        <v>113</v>
      </c>
      <c r="E21" t="s" s="8">
        <f>"(0.070)"</f>
        <v>114</v>
      </c>
      <c r="F21" t="s" s="8">
        <f>"(0.120)"</f>
        <v>115</v>
      </c>
      <c r="G21" t="s" s="8">
        <f>"(0.813)"</f>
        <v>116</v>
      </c>
      <c r="H21" t="s" s="8">
        <f>"(0.155)"</f>
        <v>117</v>
      </c>
      <c r="I21" t="s" s="8">
        <f>"(0.053)"</f>
        <v>118</v>
      </c>
    </row>
    <row r="22" ht="15.35" customHeight="1">
      <c r="A22" s="7"/>
      <c r="B22" s="7"/>
      <c r="C22" s="7"/>
      <c r="D22" s="7"/>
      <c r="E22" s="7"/>
      <c r="F22" s="7"/>
      <c r="G22" s="7"/>
      <c r="H22" s="7"/>
      <c r="I22" s="7"/>
    </row>
    <row r="23" ht="15.35" customHeight="1">
      <c r="A23" t="s" s="8">
        <f>"N"</f>
        <v>59</v>
      </c>
      <c r="B23" t="s" s="8">
        <f t="shared" si="67" ref="B23:F23">"58"</f>
        <v>119</v>
      </c>
      <c r="C23" t="s" s="8">
        <f t="shared" si="68" ref="C23:H23">"54"</f>
        <v>120</v>
      </c>
      <c r="D23" t="s" s="8">
        <f t="shared" si="68"/>
        <v>120</v>
      </c>
      <c r="E23" t="s" s="8">
        <f t="shared" si="70" ref="E23:I23">"55"</f>
        <v>121</v>
      </c>
      <c r="F23" t="s" s="8">
        <f t="shared" si="67"/>
        <v>119</v>
      </c>
      <c r="G23" t="s" s="8">
        <f t="shared" si="68"/>
        <v>120</v>
      </c>
      <c r="H23" t="s" s="8">
        <f t="shared" si="68"/>
        <v>120</v>
      </c>
      <c r="I23" t="s" s="8">
        <f t="shared" si="70"/>
        <v>121</v>
      </c>
    </row>
    <row r="24" ht="15.35" customHeight="1">
      <c r="A24" t="s" s="8">
        <f>"r2"</f>
        <v>122</v>
      </c>
      <c r="B24" t="s" s="8">
        <f t="shared" si="76" ref="B24:F24">"0"</f>
        <v>123</v>
      </c>
      <c r="C24" t="s" s="8">
        <f>"0.0144"</f>
        <v>124</v>
      </c>
      <c r="D24" t="s" s="8">
        <f>"0.000130"</f>
        <v>125</v>
      </c>
      <c r="E24" t="s" s="8">
        <f>"0.784"</f>
        <v>126</v>
      </c>
      <c r="F24" t="s" s="8">
        <f t="shared" si="76"/>
        <v>123</v>
      </c>
      <c r="G24" t="s" s="8">
        <f>"0.0116"</f>
        <v>127</v>
      </c>
      <c r="H24" t="s" s="8">
        <f>"0.0000350"</f>
        <v>128</v>
      </c>
      <c r="I24" t="s" s="8">
        <f>"0.803"</f>
        <v>129</v>
      </c>
    </row>
    <row r="25" ht="15.35" customHeight="1">
      <c r="A25" s="7"/>
      <c r="B25" s="7"/>
      <c r="C25" s="7"/>
      <c r="D25" s="7"/>
      <c r="E25" s="7"/>
      <c r="F25" s="7"/>
      <c r="G25" s="7"/>
      <c r="H25" s="7"/>
      <c r="I25" s="7"/>
    </row>
    <row r="26" ht="15.35" customHeight="1">
      <c r="A26" t="s" s="8">
        <f>"Standard errors in parentheses"</f>
        <v>75</v>
      </c>
      <c r="B26" s="7"/>
      <c r="C26" s="7"/>
      <c r="D26" s="7"/>
      <c r="E26" s="7"/>
      <c r="F26" s="7"/>
      <c r="G26" s="7"/>
      <c r="H26" s="7"/>
      <c r="I26" s="7"/>
    </row>
    <row r="27" ht="15.35" customHeight="1">
      <c r="A27" t="s" s="8">
        <v>76</v>
      </c>
      <c r="B27" t="s" s="8">
        <v>77</v>
      </c>
      <c r="C27" t="s" s="8">
        <v>78</v>
      </c>
      <c r="D27" s="7"/>
      <c r="E27" s="7"/>
      <c r="F27" s="7"/>
      <c r="G27" s="7"/>
      <c r="H27" s="7"/>
      <c r="I27"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42"/>
  <sheetViews>
    <sheetView workbookViewId="0" showGridLines="0" defaultGridColor="1"/>
  </sheetViews>
  <sheetFormatPr defaultColWidth="10.8333" defaultRowHeight="16" customHeight="1" outlineLevelRow="0" outlineLevelCol="0"/>
  <cols>
    <col min="1" max="1" width="26.3516" style="10" customWidth="1"/>
    <col min="2" max="2" width="11.3516" style="10" customWidth="1"/>
    <col min="3" max="3" width="15" style="10" customWidth="1"/>
    <col min="4" max="4" width="14" style="10" customWidth="1"/>
    <col min="5" max="5" width="16.5" style="10" customWidth="1"/>
    <col min="6" max="16384" width="10.8516" style="10" customWidth="1"/>
  </cols>
  <sheetData>
    <row r="1" ht="15.35" customHeight="1">
      <c r="A1" s="7"/>
      <c r="B1" s="7"/>
      <c r="C1" s="7"/>
      <c r="D1" s="7"/>
      <c r="E1" s="7"/>
    </row>
    <row r="2" ht="15.35" customHeight="1">
      <c r="A2" t="s" s="8">
        <f>""</f>
      </c>
      <c r="B2" t="s" s="8">
        <f>"(1)"</f>
        <v>6</v>
      </c>
      <c r="C2" t="s" s="8">
        <f>"(2)"</f>
        <v>7</v>
      </c>
      <c r="D2" t="s" s="8">
        <f>"(3)"</f>
        <v>8</v>
      </c>
      <c r="E2" s="7"/>
    </row>
    <row r="3" ht="15.35" customHeight="1">
      <c r="A3" s="7"/>
      <c r="B3" t="s" s="8">
        <f>"SCE_FE_lag6"</f>
        <v>131</v>
      </c>
      <c r="C3" t="s" s="8">
        <f>"SCE_FE_arlag712"</f>
        <v>132</v>
      </c>
      <c r="D3" t="s" s="8">
        <f>"SCE_FE_arlag12"</f>
        <v>133</v>
      </c>
      <c r="E3" t="s" s="8">
        <f>"SCE_FE_lag12"</f>
        <v>134</v>
      </c>
    </row>
    <row r="4" ht="15.35" customHeight="1">
      <c r="A4" s="7"/>
      <c r="B4" s="7"/>
      <c r="C4" s="7"/>
      <c r="D4" s="7"/>
      <c r="E4" s="7"/>
    </row>
    <row r="5" ht="15.35" customHeight="1">
      <c r="A5" t="s" s="8">
        <f>"L6.InfExp_Mean"</f>
        <v>135</v>
      </c>
      <c r="B5" t="s" s="8">
        <f>"-0.665"</f>
        <v>136</v>
      </c>
      <c r="C5" s="7"/>
      <c r="D5" s="7"/>
      <c r="E5" s="7"/>
    </row>
    <row r="6" ht="15.35" customHeight="1">
      <c r="A6" s="7"/>
      <c r="B6" t="s" s="8">
        <f>"(2.456)"</f>
        <v>137</v>
      </c>
      <c r="C6" s="7"/>
      <c r="D6" s="7"/>
      <c r="E6" s="7"/>
    </row>
    <row r="7" ht="15.35" customHeight="1">
      <c r="A7" s="7"/>
      <c r="B7" s="7"/>
      <c r="C7" s="7"/>
      <c r="D7" s="7"/>
      <c r="E7" s="7"/>
    </row>
    <row r="8" ht="15.35" customHeight="1">
      <c r="A8" t="s" s="8">
        <f>"L7.InfExp_Mean"</f>
        <v>138</v>
      </c>
      <c r="B8" t="s" s="8">
        <f>"0.163"</f>
        <v>139</v>
      </c>
      <c r="C8" s="7"/>
      <c r="D8" s="7"/>
      <c r="E8" s="7"/>
    </row>
    <row r="9" ht="15.35" customHeight="1">
      <c r="A9" s="7"/>
      <c r="B9" t="s" s="8">
        <f>"(3.765)"</f>
        <v>140</v>
      </c>
      <c r="C9" s="7"/>
      <c r="D9" s="7"/>
      <c r="E9" s="7"/>
    </row>
    <row r="10" ht="15.35" customHeight="1">
      <c r="A10" s="7"/>
      <c r="B10" s="7"/>
      <c r="C10" s="7"/>
      <c r="D10" s="7"/>
      <c r="E10" s="7"/>
    </row>
    <row r="11" ht="15.35" customHeight="1">
      <c r="A11" t="s" s="8">
        <f>"L8.InfExp_Mean"</f>
        <v>141</v>
      </c>
      <c r="B11" t="s" s="8">
        <f>"3.727"</f>
        <v>142</v>
      </c>
      <c r="C11" s="7"/>
      <c r="D11" s="7"/>
      <c r="E11" s="7"/>
    </row>
    <row r="12" ht="15.35" customHeight="1">
      <c r="A12" s="7"/>
      <c r="B12" t="s" s="8">
        <f>"(2.539)"</f>
        <v>143</v>
      </c>
      <c r="C12" s="7"/>
      <c r="D12" s="7"/>
      <c r="E12" s="7"/>
    </row>
    <row r="13" ht="15.35" customHeight="1">
      <c r="A13" s="7"/>
      <c r="B13" s="7"/>
      <c r="C13" s="7"/>
      <c r="D13" s="7"/>
      <c r="E13" s="7"/>
    </row>
    <row r="14" ht="15.35" customHeight="1">
      <c r="A14" t="s" s="8">
        <f>"L12.InfExp_Mean"</f>
        <v>144</v>
      </c>
      <c r="B14" s="7"/>
      <c r="C14" s="7"/>
      <c r="D14" s="7"/>
      <c r="E14" t="s" s="8">
        <f>"4.190***"</f>
        <v>145</v>
      </c>
    </row>
    <row r="15" ht="15.35" customHeight="1">
      <c r="A15" s="7"/>
      <c r="B15" s="7"/>
      <c r="C15" s="7"/>
      <c r="D15" s="7"/>
      <c r="E15" t="s" s="8">
        <f>"(0.659)"</f>
        <v>146</v>
      </c>
    </row>
    <row r="16" ht="15.35" customHeight="1">
      <c r="A16" s="7"/>
      <c r="B16" s="7"/>
      <c r="C16" s="7"/>
      <c r="D16" s="7"/>
      <c r="E16" s="7"/>
    </row>
    <row r="17" ht="15.35" customHeight="1">
      <c r="A17" t="s" s="8">
        <f>"L6.InfExp_FE"</f>
        <v>147</v>
      </c>
      <c r="B17" s="7"/>
      <c r="C17" t="s" s="8">
        <f>"1.551***"</f>
        <v>148</v>
      </c>
      <c r="D17" s="7"/>
      <c r="E17" s="7"/>
    </row>
    <row r="18" ht="15.35" customHeight="1">
      <c r="A18" s="7"/>
      <c r="B18" s="7"/>
      <c r="C18" t="s" s="8">
        <f>"(0.352)"</f>
        <v>149</v>
      </c>
      <c r="D18" s="7"/>
      <c r="E18" s="7"/>
    </row>
    <row r="19" ht="15.35" customHeight="1">
      <c r="A19" s="7"/>
      <c r="B19" s="7"/>
      <c r="C19" s="7"/>
      <c r="D19" s="7"/>
      <c r="E19" s="7"/>
    </row>
    <row r="20" ht="15.35" customHeight="1">
      <c r="A20" t="s" s="8">
        <f>"L7.InfExp_FE"</f>
        <v>150</v>
      </c>
      <c r="B20" s="7"/>
      <c r="C20" t="s" s="8">
        <f>"-0.763"</f>
        <v>151</v>
      </c>
      <c r="D20" s="7"/>
      <c r="E20" s="7"/>
    </row>
    <row r="21" ht="15.35" customHeight="1">
      <c r="A21" s="7"/>
      <c r="B21" s="7"/>
      <c r="C21" t="s" s="8">
        <f>"(0.595)"</f>
        <v>152</v>
      </c>
      <c r="D21" s="7"/>
      <c r="E21" s="7"/>
    </row>
    <row r="22" ht="15.35" customHeight="1">
      <c r="A22" s="7"/>
      <c r="B22" s="7"/>
      <c r="C22" s="7"/>
      <c r="D22" s="7"/>
      <c r="E22" s="7"/>
    </row>
    <row r="23" ht="15.35" customHeight="1">
      <c r="A23" t="s" s="8">
        <f>"L8.InfExp_FE"</f>
        <v>153</v>
      </c>
      <c r="B23" s="7"/>
      <c r="C23" t="s" s="8">
        <f>"0.284"</f>
        <v>154</v>
      </c>
      <c r="D23" s="7"/>
      <c r="E23" s="7"/>
    </row>
    <row r="24" ht="15.35" customHeight="1">
      <c r="A24" s="7"/>
      <c r="B24" s="7"/>
      <c r="C24" t="s" s="8">
        <f>"(0.574)"</f>
        <v>155</v>
      </c>
      <c r="D24" s="7"/>
      <c r="E24" s="7"/>
    </row>
    <row r="25" ht="15.35" customHeight="1">
      <c r="A25" s="7"/>
      <c r="B25" s="7"/>
      <c r="C25" s="7"/>
      <c r="D25" s="7"/>
      <c r="E25" s="7"/>
    </row>
    <row r="26" ht="15.35" customHeight="1">
      <c r="A26" t="s" s="8">
        <f>"L9.InfExp_FE"</f>
        <v>156</v>
      </c>
      <c r="B26" s="7"/>
      <c r="C26" t="s" s="8">
        <f>"0.0786"</f>
        <v>157</v>
      </c>
      <c r="D26" s="7"/>
      <c r="E26" s="7"/>
    </row>
    <row r="27" ht="15.35" customHeight="1">
      <c r="A27" s="7"/>
      <c r="B27" s="7"/>
      <c r="C27" t="s" s="8">
        <f>"(0.670)"</f>
        <v>158</v>
      </c>
      <c r="D27" s="7"/>
      <c r="E27" s="7"/>
    </row>
    <row r="28" ht="15.35" customHeight="1">
      <c r="A28" s="7"/>
      <c r="B28" s="7"/>
      <c r="C28" s="7"/>
      <c r="D28" s="7"/>
      <c r="E28" s="7"/>
    </row>
    <row r="29" ht="15.35" customHeight="1">
      <c r="A29" t="s" s="8">
        <f>"L10.InfExp_FE"</f>
        <v>159</v>
      </c>
      <c r="B29" s="7"/>
      <c r="C29" t="s" s="8">
        <f>"0.428"</f>
        <v>160</v>
      </c>
      <c r="D29" s="7"/>
      <c r="E29" s="7"/>
    </row>
    <row r="30" ht="15.35" customHeight="1">
      <c r="A30" s="7"/>
      <c r="B30" s="7"/>
      <c r="C30" t="s" s="8">
        <f>"(0.719)"</f>
        <v>161</v>
      </c>
      <c r="D30" s="7"/>
      <c r="E30" s="7"/>
    </row>
    <row r="31" ht="15.35" customHeight="1">
      <c r="A31" s="7"/>
      <c r="B31" s="7"/>
      <c r="C31" s="7"/>
      <c r="D31" s="7"/>
      <c r="E31" s="7"/>
    </row>
    <row r="32" ht="15.35" customHeight="1">
      <c r="A32" t="s" s="8">
        <f>"L11.InfExp_FE"</f>
        <v>162</v>
      </c>
      <c r="B32" s="7"/>
      <c r="C32" t="s" s="8">
        <f>"-0.185"</f>
        <v>163</v>
      </c>
      <c r="D32" s="7"/>
      <c r="E32" s="7"/>
    </row>
    <row r="33" ht="15.35" customHeight="1">
      <c r="A33" s="7"/>
      <c r="B33" s="7"/>
      <c r="C33" t="s" s="8">
        <f>"(0.696)"</f>
        <v>164</v>
      </c>
      <c r="D33" s="7"/>
      <c r="E33" s="7"/>
    </row>
    <row r="34" ht="15.35" customHeight="1">
      <c r="A34" s="7"/>
      <c r="B34" s="7"/>
      <c r="C34" s="7"/>
      <c r="D34" s="7"/>
      <c r="E34" s="7"/>
    </row>
    <row r="35" ht="15.35" customHeight="1">
      <c r="A35" t="s" s="8">
        <f>"L12.InfExp_FE"</f>
        <v>165</v>
      </c>
      <c r="B35" s="7"/>
      <c r="C35" t="s" s="8">
        <f>"-0.596"</f>
        <v>166</v>
      </c>
      <c r="D35" t="s" s="8">
        <f>"0.572**"</f>
        <v>167</v>
      </c>
      <c r="E35" s="7"/>
    </row>
    <row r="36" ht="15.35" customHeight="1">
      <c r="A36" s="7"/>
      <c r="B36" s="7"/>
      <c r="C36" t="s" s="8">
        <f>"(0.411)"</f>
        <v>168</v>
      </c>
      <c r="D36" t="s" s="8">
        <f>"(0.195)"</f>
        <v>169</v>
      </c>
      <c r="E36" s="7"/>
    </row>
    <row r="37" ht="15.35" customHeight="1">
      <c r="A37" s="7"/>
      <c r="B37" s="7"/>
      <c r="C37" s="7"/>
      <c r="D37" s="7"/>
      <c r="E37" s="7"/>
    </row>
    <row r="38" ht="15.35" customHeight="1">
      <c r="A38" t="s" s="8">
        <f>"_cons"</f>
        <v>42</v>
      </c>
      <c r="B38" t="s" s="8">
        <f>"-9.638***"</f>
        <v>170</v>
      </c>
      <c r="C38" t="s" s="8">
        <f>"-0.142"</f>
        <v>171</v>
      </c>
      <c r="D38" t="s" s="8">
        <f>"-0.149"</f>
        <v>172</v>
      </c>
      <c r="E38" t="s" s="8">
        <f>"-12.92***"</f>
        <v>173</v>
      </c>
    </row>
    <row r="39" ht="15.35" customHeight="1">
      <c r="A39" s="7"/>
      <c r="B39" t="s" s="8">
        <f>"(1.953)"</f>
        <v>174</v>
      </c>
      <c r="C39" t="s" s="8">
        <f>"(0.176)"</f>
        <v>175</v>
      </c>
      <c r="D39" t="s" s="8">
        <f>"(0.445)"</f>
        <v>176</v>
      </c>
      <c r="E39" t="s" s="8">
        <f>"(2.213)"</f>
        <v>177</v>
      </c>
    </row>
    <row r="40" ht="15.35" customHeight="1">
      <c r="A40" s="7"/>
      <c r="B40" s="7"/>
      <c r="C40" s="7"/>
      <c r="D40" s="7"/>
      <c r="E40" s="7"/>
    </row>
    <row r="41" ht="15.35" customHeight="1">
      <c r="A41" t="s" s="8">
        <f>"N"</f>
        <v>59</v>
      </c>
      <c r="B41" t="s" s="8">
        <f>"88"</f>
        <v>178</v>
      </c>
      <c r="C41" t="s" s="8">
        <f t="shared" si="54" ref="C41:E41">"84"</f>
        <v>179</v>
      </c>
      <c r="D41" t="s" s="8">
        <f t="shared" si="54"/>
        <v>179</v>
      </c>
      <c r="E41" t="s" s="8">
        <f t="shared" si="54"/>
        <v>179</v>
      </c>
    </row>
    <row r="42" ht="15.35" customHeight="1">
      <c r="A42" t="s" s="8">
        <f>"r2"</f>
        <v>122</v>
      </c>
      <c r="B42" t="s" s="8">
        <f>"0.183"</f>
        <v>180</v>
      </c>
      <c r="C42" t="s" s="8">
        <f>"0.699"</f>
        <v>181</v>
      </c>
      <c r="D42" t="s" s="8">
        <f>"0.0957"</f>
        <v>182</v>
      </c>
      <c r="E42" t="s" s="8">
        <f>"0.311"</f>
        <v>183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78"/>
  <sheetViews>
    <sheetView workbookViewId="0" showGridLines="0" defaultGridColor="1"/>
  </sheetViews>
  <sheetFormatPr defaultColWidth="10.8333" defaultRowHeight="16" customHeight="1" outlineLevelRow="0" outlineLevelCol="0"/>
  <cols>
    <col min="1" max="1" width="26.3516" style="11" customWidth="1"/>
    <col min="2" max="2" width="11.1719" style="11" customWidth="1"/>
    <col min="3" max="3" width="12.3516" style="11" customWidth="1"/>
    <col min="4" max="5" width="11.3516" style="11" customWidth="1"/>
    <col min="6" max="8" width="13" style="11" customWidth="1"/>
    <col min="9" max="16384" width="10.8516" style="11" customWidth="1"/>
  </cols>
  <sheetData>
    <row r="1" ht="15.35" customHeight="1">
      <c r="A1" s="7"/>
      <c r="B1" s="7"/>
      <c r="C1" s="7"/>
      <c r="D1" s="7"/>
      <c r="E1" s="7"/>
      <c r="F1" s="7"/>
      <c r="G1" s="7"/>
      <c r="H1" s="7"/>
    </row>
    <row r="2" ht="15.35" customHeight="1">
      <c r="A2" t="s" s="8">
        <f>""</f>
      </c>
      <c r="B2" t="s" s="8">
        <f>"(1)"</f>
        <v>6</v>
      </c>
      <c r="C2" t="s" s="8">
        <f>"(2)"</f>
        <v>7</v>
      </c>
      <c r="D2" t="s" s="8">
        <f>"(3)"</f>
        <v>8</v>
      </c>
      <c r="E2" t="s" s="8">
        <f>"(4)"</f>
        <v>9</v>
      </c>
      <c r="F2" t="s" s="8">
        <f>"(5)"</f>
        <v>10</v>
      </c>
      <c r="G2" t="s" s="8">
        <f>"(6)"</f>
        <v>11</v>
      </c>
      <c r="H2" t="s" s="8">
        <f>"(7)"</f>
        <v>12</v>
      </c>
    </row>
    <row r="3" ht="15.35" customHeight="1">
      <c r="A3" t="s" s="8">
        <f>""</f>
      </c>
      <c r="B3" t="s" s="8">
        <f>"SCE_FE_bias"</f>
        <v>185</v>
      </c>
      <c r="C3" t="s" s="8">
        <f>"SCE_FE_lag1"</f>
        <v>186</v>
      </c>
      <c r="D3" t="s" s="8">
        <f>"SCE_FE_lag4"</f>
        <v>187</v>
      </c>
      <c r="E3" t="s" s="8">
        <f>"SCE_FE_lag8"</f>
        <v>188</v>
      </c>
      <c r="F3" t="s" s="8">
        <f>"SCE_FE_arlag1"</f>
        <v>189</v>
      </c>
      <c r="G3" t="s" s="8">
        <f>"SCE_FE_arlag4"</f>
        <v>190</v>
      </c>
      <c r="H3" t="s" s="8">
        <f>"SCE_FE_arlag8"</f>
        <v>191</v>
      </c>
    </row>
    <row r="4" ht="15.35" customHeight="1">
      <c r="A4" s="7"/>
      <c r="B4" s="7"/>
      <c r="C4" s="7"/>
      <c r="D4" s="7"/>
      <c r="E4" s="7"/>
      <c r="F4" s="7"/>
      <c r="G4" s="7"/>
      <c r="H4" s="7"/>
    </row>
    <row r="5" ht="15.35" customHeight="1">
      <c r="A5" t="s" s="8">
        <f>"L.InfExp_Mean"</f>
        <v>192</v>
      </c>
      <c r="B5" s="12"/>
      <c r="C5" t="s" s="13">
        <f>"0.386***"</f>
        <v>193</v>
      </c>
      <c r="D5" s="12"/>
      <c r="E5" s="12"/>
      <c r="F5" s="12"/>
      <c r="G5" s="12"/>
      <c r="H5" s="12"/>
    </row>
    <row r="6" ht="15.35" customHeight="1">
      <c r="A6" t="s" s="8">
        <f>""</f>
      </c>
      <c r="B6" s="12"/>
      <c r="C6" t="s" s="13">
        <f t="shared" si="19" ref="C6:C9">"(0.007)"</f>
        <v>194</v>
      </c>
      <c r="D6" s="12"/>
      <c r="E6" s="12"/>
      <c r="F6" s="12"/>
      <c r="G6" s="12"/>
      <c r="H6" s="12"/>
    </row>
    <row r="7" ht="15.35" customHeight="1">
      <c r="A7" s="7"/>
      <c r="B7" s="12"/>
      <c r="C7" s="12"/>
      <c r="D7" s="12"/>
      <c r="E7" s="12"/>
      <c r="F7" s="12"/>
      <c r="G7" s="12"/>
      <c r="H7" s="12"/>
    </row>
    <row r="8" ht="15.35" customHeight="1">
      <c r="A8" t="s" s="8">
        <f>"L2.InfExp_Mean"</f>
        <v>195</v>
      </c>
      <c r="B8" s="12"/>
      <c r="C8" t="s" s="13">
        <f>"0.228***"</f>
        <v>196</v>
      </c>
      <c r="D8" s="12"/>
      <c r="E8" s="12"/>
      <c r="F8" s="12"/>
      <c r="G8" s="12"/>
      <c r="H8" s="12"/>
    </row>
    <row r="9" ht="15.35" customHeight="1">
      <c r="A9" t="s" s="8">
        <f>""</f>
      </c>
      <c r="B9" s="12"/>
      <c r="C9" t="s" s="13">
        <f t="shared" si="19"/>
        <v>194</v>
      </c>
      <c r="D9" s="12"/>
      <c r="E9" s="12"/>
      <c r="F9" s="12"/>
      <c r="G9" s="12"/>
      <c r="H9" s="12"/>
    </row>
    <row r="10" ht="15.35" customHeight="1">
      <c r="A10" s="7"/>
      <c r="B10" s="12"/>
      <c r="C10" s="12"/>
      <c r="D10" s="12"/>
      <c r="E10" s="12"/>
      <c r="F10" s="12"/>
      <c r="G10" s="12"/>
      <c r="H10" s="12"/>
    </row>
    <row r="11" ht="15.35" customHeight="1">
      <c r="A11" t="s" s="8">
        <f>"L3.InfExp_Mean"</f>
        <v>197</v>
      </c>
      <c r="B11" s="12"/>
      <c r="C11" t="s" s="13">
        <f>"0.179***"</f>
        <v>198</v>
      </c>
      <c r="D11" s="12"/>
      <c r="E11" s="12"/>
      <c r="F11" s="12"/>
      <c r="G11" s="12"/>
      <c r="H11" s="12"/>
    </row>
    <row r="12" ht="15.35" customHeight="1">
      <c r="A12" t="s" s="8">
        <f>""</f>
      </c>
      <c r="B12" s="12"/>
      <c r="C12" t="s" s="13">
        <f t="shared" si="27" ref="C12:F42">"(0.006)"</f>
        <v>199</v>
      </c>
      <c r="D12" s="12"/>
      <c r="E12" s="12"/>
      <c r="F12" s="12"/>
      <c r="G12" s="12"/>
      <c r="H12" s="12"/>
    </row>
    <row r="13" ht="15.35" customHeight="1">
      <c r="A13" s="7"/>
      <c r="B13" s="12"/>
      <c r="C13" s="12"/>
      <c r="D13" s="12"/>
      <c r="E13" s="12"/>
      <c r="F13" s="12"/>
      <c r="G13" s="12"/>
      <c r="H13" s="12"/>
    </row>
    <row r="14" ht="15.35" customHeight="1">
      <c r="A14" t="s" s="8">
        <f>"L4.InfExp_Mean"</f>
        <v>22</v>
      </c>
      <c r="B14" s="12"/>
      <c r="C14" s="12"/>
      <c r="D14" t="s" s="13">
        <f>"0.327***"</f>
        <v>200</v>
      </c>
      <c r="E14" s="12"/>
      <c r="F14" s="12"/>
      <c r="G14" s="12"/>
      <c r="H14" s="12"/>
    </row>
    <row r="15" ht="15.35" customHeight="1">
      <c r="A15" t="s" s="8">
        <f>""</f>
      </c>
      <c r="B15" s="12"/>
      <c r="C15" s="12"/>
      <c r="D15" t="s" s="13">
        <f t="shared" si="31" ref="D15:G51">"(0.010)"</f>
        <v>201</v>
      </c>
      <c r="E15" s="12"/>
      <c r="F15" s="12"/>
      <c r="G15" s="12"/>
      <c r="H15" s="12"/>
    </row>
    <row r="16" ht="15.35" customHeight="1">
      <c r="A16" s="7"/>
      <c r="B16" s="12"/>
      <c r="C16" s="12"/>
      <c r="D16" s="12"/>
      <c r="E16" s="12"/>
      <c r="F16" s="12"/>
      <c r="G16" s="12"/>
      <c r="H16" s="12"/>
    </row>
    <row r="17" ht="15.35" customHeight="1">
      <c r="A17" t="s" s="8">
        <f>"L5.InfExp_Mean"</f>
        <v>202</v>
      </c>
      <c r="B17" s="12"/>
      <c r="C17" s="12"/>
      <c r="D17" t="s" s="13">
        <f>"0.200***"</f>
        <v>203</v>
      </c>
      <c r="E17" s="12"/>
      <c r="F17" s="12"/>
      <c r="G17" s="12"/>
      <c r="H17" s="12"/>
    </row>
    <row r="18" ht="15.35" customHeight="1">
      <c r="A18" t="s" s="8">
        <f>""</f>
      </c>
      <c r="B18" s="12"/>
      <c r="C18" s="12"/>
      <c r="D18" t="s" s="13">
        <f t="shared" si="31"/>
        <v>201</v>
      </c>
      <c r="E18" s="12"/>
      <c r="F18" s="12"/>
      <c r="G18" s="12"/>
      <c r="H18" s="12"/>
    </row>
    <row r="19" ht="15.35" customHeight="1">
      <c r="A19" s="7"/>
      <c r="B19" s="12"/>
      <c r="C19" s="12"/>
      <c r="D19" s="12"/>
      <c r="E19" s="12"/>
      <c r="F19" s="12"/>
      <c r="G19" s="12"/>
      <c r="H19" s="12"/>
    </row>
    <row r="20" ht="15.35" customHeight="1">
      <c r="A20" t="s" s="8">
        <f>"L6.InfExp_Mean"</f>
        <v>135</v>
      </c>
      <c r="B20" s="12"/>
      <c r="C20" s="12"/>
      <c r="D20" t="s" s="13">
        <f>"0.130***"</f>
        <v>204</v>
      </c>
      <c r="E20" s="12"/>
      <c r="F20" s="12"/>
      <c r="G20" s="12"/>
      <c r="H20" s="12"/>
    </row>
    <row r="21" ht="15.35" customHeight="1">
      <c r="A21" t="s" s="8">
        <f>""</f>
      </c>
      <c r="B21" s="12"/>
      <c r="C21" s="12"/>
      <c r="D21" t="s" s="13">
        <f t="shared" si="31"/>
        <v>201</v>
      </c>
      <c r="E21" s="12"/>
      <c r="F21" s="12"/>
      <c r="G21" s="12"/>
      <c r="H21" s="12"/>
    </row>
    <row r="22" ht="15.35" customHeight="1">
      <c r="A22" s="7"/>
      <c r="B22" s="12"/>
      <c r="C22" s="12"/>
      <c r="D22" s="12"/>
      <c r="E22" s="12"/>
      <c r="F22" s="12"/>
      <c r="G22" s="12"/>
      <c r="H22" s="12"/>
    </row>
    <row r="23" ht="15.35" customHeight="1">
      <c r="A23" t="s" s="8">
        <f>"L7.InfExp_Mean"</f>
        <v>138</v>
      </c>
      <c r="B23" s="12"/>
      <c r="C23" s="12"/>
      <c r="D23" t="s" s="13">
        <f>"0.0824***"</f>
        <v>205</v>
      </c>
      <c r="E23" s="12"/>
      <c r="F23" s="12"/>
      <c r="G23" s="12"/>
      <c r="H23" s="12"/>
    </row>
    <row r="24" ht="15.35" customHeight="1">
      <c r="A24" t="s" s="8">
        <f>""</f>
      </c>
      <c r="B24" s="12"/>
      <c r="C24" s="12"/>
      <c r="D24" t="s" s="13">
        <f t="shared" si="43" ref="D24:G72">"(0.008)"</f>
        <v>206</v>
      </c>
      <c r="E24" s="12"/>
      <c r="F24" s="12"/>
      <c r="G24" s="12"/>
      <c r="H24" s="12"/>
    </row>
    <row r="25" ht="15.35" customHeight="1">
      <c r="A25" s="7"/>
      <c r="B25" s="12"/>
      <c r="C25" s="12"/>
      <c r="D25" s="12"/>
      <c r="E25" s="12"/>
      <c r="F25" s="12"/>
      <c r="G25" s="12"/>
      <c r="H25" s="12"/>
    </row>
    <row r="26" ht="15.35" customHeight="1">
      <c r="A26" t="s" s="8">
        <f>"L8.InfExp_Mean"</f>
        <v>141</v>
      </c>
      <c r="B26" s="12"/>
      <c r="C26" s="12"/>
      <c r="D26" s="12"/>
      <c r="E26" t="s" s="13">
        <f>"0.341***"</f>
        <v>207</v>
      </c>
      <c r="F26" s="12"/>
      <c r="G26" s="12"/>
      <c r="H26" s="12"/>
    </row>
    <row r="27" ht="15.35" customHeight="1">
      <c r="A27" t="s" s="8">
        <f>""</f>
      </c>
      <c r="B27" s="12"/>
      <c r="C27" s="12"/>
      <c r="D27" s="12"/>
      <c r="E27" t="s" s="13">
        <f t="shared" si="47" ref="E27:H63">"(0.024)"</f>
        <v>208</v>
      </c>
      <c r="F27" s="12"/>
      <c r="G27" s="12"/>
      <c r="H27" s="12"/>
    </row>
    <row r="28" ht="15.35" customHeight="1">
      <c r="A28" s="7"/>
      <c r="B28" s="12"/>
      <c r="C28" s="12"/>
      <c r="D28" s="12"/>
      <c r="E28" s="12"/>
      <c r="F28" s="12"/>
      <c r="G28" s="12"/>
      <c r="H28" s="12"/>
    </row>
    <row r="29" ht="15.35" customHeight="1">
      <c r="A29" t="s" s="8">
        <f>"L9.InfExp_Mean"</f>
        <v>209</v>
      </c>
      <c r="B29" s="12"/>
      <c r="C29" s="12"/>
      <c r="D29" s="12"/>
      <c r="E29" t="s" s="13">
        <f>"0.177***"</f>
        <v>210</v>
      </c>
      <c r="F29" s="12"/>
      <c r="G29" s="12"/>
      <c r="H29" s="12"/>
    </row>
    <row r="30" ht="15.35" customHeight="1">
      <c r="A30" t="s" s="8">
        <f>""</f>
      </c>
      <c r="B30" s="12"/>
      <c r="C30" s="12"/>
      <c r="D30" s="12"/>
      <c r="E30" t="s" s="13">
        <f t="shared" si="47"/>
        <v>208</v>
      </c>
      <c r="F30" s="12"/>
      <c r="G30" s="12"/>
      <c r="H30" s="12"/>
    </row>
    <row r="31" ht="15.35" customHeight="1">
      <c r="A31" s="7"/>
      <c r="B31" s="12"/>
      <c r="C31" s="12"/>
      <c r="D31" s="12"/>
      <c r="E31" s="12"/>
      <c r="F31" s="12"/>
      <c r="G31" s="12"/>
      <c r="H31" s="12"/>
    </row>
    <row r="32" ht="15.35" customHeight="1">
      <c r="A32" t="s" s="8">
        <f>"L10.InfExp_Mean"</f>
        <v>211</v>
      </c>
      <c r="B32" s="12"/>
      <c r="C32" s="12"/>
      <c r="D32" s="12"/>
      <c r="E32" t="s" s="13">
        <f>"0.0852***"</f>
        <v>212</v>
      </c>
      <c r="F32" s="12"/>
      <c r="G32" s="12"/>
      <c r="H32" s="12"/>
    </row>
    <row r="33" ht="15.35" customHeight="1">
      <c r="A33" t="s" s="8">
        <f>""</f>
      </c>
      <c r="B33" s="12"/>
      <c r="C33" s="12"/>
      <c r="D33" s="12"/>
      <c r="E33" t="s" s="13">
        <f>"(0.020)"</f>
        <v>213</v>
      </c>
      <c r="F33" s="12"/>
      <c r="G33" s="12"/>
      <c r="H33" s="12"/>
    </row>
    <row r="34" ht="15.35" customHeight="1">
      <c r="A34" s="7"/>
      <c r="B34" s="12"/>
      <c r="C34" s="12"/>
      <c r="D34" s="12"/>
      <c r="E34" s="12"/>
      <c r="F34" s="12"/>
      <c r="G34" s="12"/>
      <c r="H34" s="12"/>
    </row>
    <row r="35" ht="15.35" customHeight="1">
      <c r="A35" t="s" s="8">
        <f>"L11.InfExp_Mean"</f>
        <v>214</v>
      </c>
      <c r="B35" s="12"/>
      <c r="C35" s="12"/>
      <c r="D35" s="12"/>
      <c r="E35" t="s" s="13">
        <f>"0.0260"</f>
        <v>215</v>
      </c>
      <c r="F35" s="12"/>
      <c r="G35" s="12"/>
      <c r="H35" s="12"/>
    </row>
    <row r="36" ht="15.35" customHeight="1">
      <c r="A36" t="s" s="8">
        <f>""</f>
      </c>
      <c r="B36" s="12"/>
      <c r="C36" s="12"/>
      <c r="D36" s="12"/>
      <c r="E36" t="s" s="13">
        <f t="shared" si="59" ref="E36:H69">"(0.016)"</f>
        <v>216</v>
      </c>
      <c r="F36" s="12"/>
      <c r="G36" s="12"/>
      <c r="H36" s="12"/>
    </row>
    <row r="37" ht="15.35" customHeight="1">
      <c r="A37" s="7"/>
      <c r="B37" s="12"/>
      <c r="C37" s="12"/>
      <c r="D37" s="12"/>
      <c r="E37" s="12"/>
      <c r="F37" s="12"/>
      <c r="G37" s="12"/>
      <c r="H37" s="12"/>
    </row>
    <row r="38" ht="15.35" customHeight="1">
      <c r="A38" t="s" s="8">
        <f>"L.InfExp_FE"</f>
        <v>28</v>
      </c>
      <c r="B38" s="12"/>
      <c r="C38" s="12"/>
      <c r="D38" s="12"/>
      <c r="E38" s="12"/>
      <c r="F38" t="s" s="13">
        <f>"0.460***"</f>
        <v>24</v>
      </c>
      <c r="G38" s="12"/>
      <c r="H38" s="12"/>
    </row>
    <row r="39" ht="15.35" customHeight="1">
      <c r="A39" t="s" s="8">
        <f>""</f>
      </c>
      <c r="B39" s="12"/>
      <c r="C39" s="12"/>
      <c r="D39" s="12"/>
      <c r="E39" s="12"/>
      <c r="F39" t="s" s="13">
        <f t="shared" si="27"/>
        <v>199</v>
      </c>
      <c r="G39" s="12"/>
      <c r="H39" s="12"/>
    </row>
    <row r="40" ht="15.35" customHeight="1">
      <c r="A40" s="7"/>
      <c r="B40" s="12"/>
      <c r="C40" s="12"/>
      <c r="D40" s="12"/>
      <c r="E40" s="12"/>
      <c r="F40" s="12"/>
      <c r="G40" s="12"/>
      <c r="H40" s="12"/>
    </row>
    <row r="41" ht="15.35" customHeight="1">
      <c r="A41" t="s" s="8">
        <f>"L2.InfExp_FE"</f>
        <v>33</v>
      </c>
      <c r="B41" s="12"/>
      <c r="C41" s="12"/>
      <c r="D41" s="12"/>
      <c r="E41" s="12"/>
      <c r="F41" t="s" s="13">
        <f>"0.221***"</f>
        <v>217</v>
      </c>
      <c r="G41" s="12"/>
      <c r="H41" s="12"/>
    </row>
    <row r="42" ht="15.35" customHeight="1">
      <c r="A42" t="s" s="8">
        <f>""</f>
      </c>
      <c r="B42" s="12"/>
      <c r="C42" s="12"/>
      <c r="D42" s="12"/>
      <c r="E42" s="12"/>
      <c r="F42" t="s" s="13">
        <f t="shared" si="27"/>
        <v>199</v>
      </c>
      <c r="G42" s="12"/>
      <c r="H42" s="12"/>
    </row>
    <row r="43" ht="15.35" customHeight="1">
      <c r="A43" s="7"/>
      <c r="B43" s="12"/>
      <c r="C43" s="12"/>
      <c r="D43" s="12"/>
      <c r="E43" s="12"/>
      <c r="F43" s="12"/>
      <c r="G43" s="12"/>
      <c r="H43" s="12"/>
    </row>
    <row r="44" ht="15.35" customHeight="1">
      <c r="A44" t="s" s="8">
        <f>"L3.InfExp_FE"</f>
        <v>37</v>
      </c>
      <c r="B44" s="12"/>
      <c r="C44" s="12"/>
      <c r="D44" s="12"/>
      <c r="E44" s="12"/>
      <c r="F44" t="s" s="13">
        <f>"0.146***"</f>
        <v>218</v>
      </c>
      <c r="G44" s="12"/>
      <c r="H44" s="12"/>
    </row>
    <row r="45" ht="15.35" customHeight="1">
      <c r="A45" t="s" s="8">
        <f>""</f>
      </c>
      <c r="B45" s="12"/>
      <c r="C45" s="12"/>
      <c r="D45" s="12"/>
      <c r="E45" s="12"/>
      <c r="F45" t="s" s="13">
        <f>"(0.005)"</f>
        <v>219</v>
      </c>
      <c r="G45" s="12"/>
      <c r="H45" s="12"/>
    </row>
    <row r="46" ht="15.35" customHeight="1">
      <c r="A46" s="7"/>
      <c r="B46" s="12"/>
      <c r="C46" s="12"/>
      <c r="D46" s="12"/>
      <c r="E46" s="12"/>
      <c r="F46" s="12"/>
      <c r="G46" s="12"/>
      <c r="H46" s="12"/>
    </row>
    <row r="47" ht="15.35" customHeight="1">
      <c r="A47" t="s" s="8">
        <f>"L4.InfExp_FE"</f>
        <v>27</v>
      </c>
      <c r="B47" s="12"/>
      <c r="C47" s="12"/>
      <c r="D47" s="12"/>
      <c r="E47" s="12"/>
      <c r="F47" s="12"/>
      <c r="G47" t="s" s="13">
        <f>"0.356***"</f>
        <v>220</v>
      </c>
      <c r="H47" s="12"/>
    </row>
    <row r="48" ht="15.35" customHeight="1">
      <c r="A48" t="s" s="8">
        <f>""</f>
      </c>
      <c r="B48" s="12"/>
      <c r="C48" s="12"/>
      <c r="D48" s="12"/>
      <c r="E48" s="12"/>
      <c r="F48" s="12"/>
      <c r="G48" t="s" s="13">
        <f t="shared" si="31"/>
        <v>201</v>
      </c>
      <c r="H48" s="12"/>
    </row>
    <row r="49" ht="15.35" customHeight="1">
      <c r="A49" s="7"/>
      <c r="B49" s="12"/>
      <c r="C49" s="12"/>
      <c r="D49" s="12"/>
      <c r="E49" s="12"/>
      <c r="F49" s="12"/>
      <c r="G49" s="12"/>
      <c r="H49" s="12"/>
    </row>
    <row r="50" ht="15.35" customHeight="1">
      <c r="A50" t="s" s="8">
        <f>"L5.InfExp_FE"</f>
        <v>221</v>
      </c>
      <c r="B50" s="12"/>
      <c r="C50" s="12"/>
      <c r="D50" s="12"/>
      <c r="E50" s="12"/>
      <c r="F50" s="12"/>
      <c r="G50" t="s" s="13">
        <f>"0.185***"</f>
        <v>222</v>
      </c>
      <c r="H50" s="12"/>
    </row>
    <row r="51" ht="15.35" customHeight="1">
      <c r="A51" t="s" s="8">
        <f>""</f>
      </c>
      <c r="B51" s="12"/>
      <c r="C51" s="12"/>
      <c r="D51" s="12"/>
      <c r="E51" s="12"/>
      <c r="F51" s="12"/>
      <c r="G51" t="s" s="13">
        <f t="shared" si="31"/>
        <v>201</v>
      </c>
      <c r="H51" s="12"/>
    </row>
    <row r="52" ht="15.35" customHeight="1">
      <c r="A52" s="7"/>
      <c r="B52" s="12"/>
      <c r="C52" s="12"/>
      <c r="D52" s="12"/>
      <c r="E52" s="12"/>
      <c r="F52" s="12"/>
      <c r="G52" s="12"/>
      <c r="H52" s="12"/>
    </row>
    <row r="53" ht="15.35" customHeight="1">
      <c r="A53" t="s" s="8">
        <f>"L6.InfExp_FE"</f>
        <v>147</v>
      </c>
      <c r="B53" s="12"/>
      <c r="C53" s="12"/>
      <c r="D53" s="12"/>
      <c r="E53" s="12"/>
      <c r="F53" s="12"/>
      <c r="G53" t="s" s="13">
        <f>"0.111***"</f>
        <v>223</v>
      </c>
      <c r="H53" s="12"/>
    </row>
    <row r="54" ht="15.35" customHeight="1">
      <c r="A54" t="s" s="8">
        <f>""</f>
      </c>
      <c r="B54" s="12"/>
      <c r="C54" s="12"/>
      <c r="D54" s="12"/>
      <c r="E54" s="12"/>
      <c r="F54" s="12"/>
      <c r="G54" t="s" s="13">
        <f>"(0.009)"</f>
        <v>224</v>
      </c>
      <c r="H54" s="12"/>
    </row>
    <row r="55" ht="15.35" customHeight="1">
      <c r="A55" s="7"/>
      <c r="B55" s="12"/>
      <c r="C55" s="12"/>
      <c r="D55" s="12"/>
      <c r="E55" s="12"/>
      <c r="F55" s="12"/>
      <c r="G55" s="12"/>
      <c r="H55" s="12"/>
    </row>
    <row r="56" ht="15.35" customHeight="1">
      <c r="A56" t="s" s="8">
        <f>"L7.InfExp_FE"</f>
        <v>150</v>
      </c>
      <c r="B56" s="12"/>
      <c r="C56" s="12"/>
      <c r="D56" s="12"/>
      <c r="E56" s="12"/>
      <c r="F56" s="12"/>
      <c r="G56" t="s" s="13">
        <f>"0.0677***"</f>
        <v>225</v>
      </c>
      <c r="H56" s="12"/>
    </row>
    <row r="57" ht="15.35" customHeight="1">
      <c r="A57" t="s" s="8">
        <f>""</f>
      </c>
      <c r="B57" s="12"/>
      <c r="C57" s="12"/>
      <c r="D57" s="12"/>
      <c r="E57" s="12"/>
      <c r="F57" s="12"/>
      <c r="G57" t="s" s="13">
        <f t="shared" si="43"/>
        <v>206</v>
      </c>
      <c r="H57" s="12"/>
    </row>
    <row r="58" ht="15.35" customHeight="1">
      <c r="A58" s="7"/>
      <c r="B58" s="12"/>
      <c r="C58" s="12"/>
      <c r="D58" s="12"/>
      <c r="E58" s="12"/>
      <c r="F58" s="12"/>
      <c r="G58" s="12"/>
      <c r="H58" s="12"/>
    </row>
    <row r="59" ht="15.35" customHeight="1">
      <c r="A59" t="s" s="8">
        <f>"L8.InfExp_FE"</f>
        <v>153</v>
      </c>
      <c r="B59" s="12"/>
      <c r="C59" s="12"/>
      <c r="D59" s="12"/>
      <c r="E59" s="12"/>
      <c r="F59" s="12"/>
      <c r="G59" s="12"/>
      <c r="H59" t="s" s="13">
        <f>"0.333***"</f>
        <v>226</v>
      </c>
    </row>
    <row r="60" ht="15.35" customHeight="1">
      <c r="A60" t="s" s="8">
        <f>""</f>
      </c>
      <c r="B60" s="12"/>
      <c r="C60" s="12"/>
      <c r="D60" s="12"/>
      <c r="E60" s="12"/>
      <c r="F60" s="12"/>
      <c r="G60" s="12"/>
      <c r="H60" t="s" s="13">
        <f>"(0.023)"</f>
        <v>227</v>
      </c>
    </row>
    <row r="61" ht="15.35" customHeight="1">
      <c r="A61" s="7"/>
      <c r="B61" s="12"/>
      <c r="C61" s="12"/>
      <c r="D61" s="12"/>
      <c r="E61" s="12"/>
      <c r="F61" s="12"/>
      <c r="G61" s="12"/>
      <c r="H61" s="12"/>
    </row>
    <row r="62" ht="15.35" customHeight="1">
      <c r="A62" t="s" s="8">
        <f>"L9.InfExp_FE"</f>
        <v>156</v>
      </c>
      <c r="B62" s="12"/>
      <c r="C62" s="12"/>
      <c r="D62" s="12"/>
      <c r="E62" s="12"/>
      <c r="F62" s="12"/>
      <c r="G62" s="12"/>
      <c r="H62" t="s" s="13">
        <f>"0.163***"</f>
        <v>228</v>
      </c>
    </row>
    <row r="63" ht="15.35" customHeight="1">
      <c r="A63" t="s" s="8">
        <f>""</f>
      </c>
      <c r="B63" s="12"/>
      <c r="C63" s="12"/>
      <c r="D63" s="12"/>
      <c r="E63" s="12"/>
      <c r="F63" s="12"/>
      <c r="G63" s="12"/>
      <c r="H63" t="s" s="13">
        <f t="shared" si="47"/>
        <v>208</v>
      </c>
    </row>
    <row r="64" ht="15.35" customHeight="1">
      <c r="A64" s="7"/>
      <c r="B64" s="12"/>
      <c r="C64" s="12"/>
      <c r="D64" s="12"/>
      <c r="E64" s="12"/>
      <c r="F64" s="12"/>
      <c r="G64" s="12"/>
      <c r="H64" s="12"/>
    </row>
    <row r="65" ht="15.35" customHeight="1">
      <c r="A65" t="s" s="8">
        <f>"L10.InfExp_FE"</f>
        <v>159</v>
      </c>
      <c r="B65" s="12"/>
      <c r="C65" s="12"/>
      <c r="D65" s="12"/>
      <c r="E65" s="12"/>
      <c r="F65" s="12"/>
      <c r="G65" s="12"/>
      <c r="H65" t="s" s="13">
        <f>"0.0685***"</f>
        <v>229</v>
      </c>
    </row>
    <row r="66" ht="15.35" customHeight="1">
      <c r="A66" t="s" s="8">
        <f>""</f>
      </c>
      <c r="B66" s="12"/>
      <c r="C66" s="12"/>
      <c r="D66" s="12"/>
      <c r="E66" s="12"/>
      <c r="F66" s="12"/>
      <c r="G66" s="12"/>
      <c r="H66" t="s" s="13">
        <f>"(0.020)"</f>
        <v>213</v>
      </c>
    </row>
    <row r="67" ht="15.35" customHeight="1">
      <c r="A67" s="7"/>
      <c r="B67" s="12"/>
      <c r="C67" s="12"/>
      <c r="D67" s="12"/>
      <c r="E67" s="12"/>
      <c r="F67" s="12"/>
      <c r="G67" s="12"/>
      <c r="H67" s="12"/>
    </row>
    <row r="68" ht="15.35" customHeight="1">
      <c r="A68" t="s" s="8">
        <f>"L11.InfExp_FE"</f>
        <v>162</v>
      </c>
      <c r="B68" s="12"/>
      <c r="C68" s="12"/>
      <c r="D68" s="12"/>
      <c r="E68" s="12"/>
      <c r="F68" s="12"/>
      <c r="G68" s="12"/>
      <c r="H68" t="s" s="13">
        <f>"0.00838"</f>
        <v>230</v>
      </c>
    </row>
    <row r="69" ht="15.35" customHeight="1">
      <c r="A69" t="s" s="8">
        <f>""</f>
      </c>
      <c r="B69" s="12"/>
      <c r="C69" s="12"/>
      <c r="D69" s="12"/>
      <c r="E69" s="12"/>
      <c r="F69" s="12"/>
      <c r="G69" s="12"/>
      <c r="H69" t="s" s="13">
        <f t="shared" si="59"/>
        <v>216</v>
      </c>
    </row>
    <row r="70" ht="15.35" customHeight="1">
      <c r="A70" s="7"/>
      <c r="B70" s="12"/>
      <c r="C70" s="12"/>
      <c r="D70" s="12"/>
      <c r="E70" s="12"/>
      <c r="F70" s="12"/>
      <c r="G70" s="12"/>
      <c r="H70" s="12"/>
    </row>
    <row r="71" ht="15.35" customHeight="1">
      <c r="A71" t="s" s="8">
        <f>"_cons"</f>
        <v>42</v>
      </c>
      <c r="B71" t="s" s="13">
        <f>"1.673***"</f>
        <v>231</v>
      </c>
      <c r="C71" t="s" s="13">
        <f>"-1.033***"</f>
        <v>232</v>
      </c>
      <c r="D71" t="s" s="13">
        <f>"-0.888***"</f>
        <v>233</v>
      </c>
      <c r="E71" t="s" s="13">
        <f>"-0.538***"</f>
        <v>234</v>
      </c>
      <c r="F71" t="s" s="13">
        <f>"0.198***"</f>
        <v>235</v>
      </c>
      <c r="G71" t="s" s="13">
        <f>"0.274***"</f>
        <v>236</v>
      </c>
      <c r="H71" t="s" s="13">
        <f>"0.509***"</f>
        <v>237</v>
      </c>
    </row>
    <row r="72" ht="15.35" customHeight="1">
      <c r="A72" t="s" s="8">
        <f>""</f>
      </c>
      <c r="B72" t="s" s="13">
        <f>"(0.008)"</f>
        <v>206</v>
      </c>
      <c r="C72" t="s" s="13">
        <f>"(0.015)"</f>
        <v>238</v>
      </c>
      <c r="D72" t="s" s="13">
        <f>"(0.024)"</f>
        <v>208</v>
      </c>
      <c r="E72" t="s" s="13">
        <f>"(0.061)"</f>
        <v>239</v>
      </c>
      <c r="F72" t="s" s="13">
        <f t="shared" si="43"/>
        <v>206</v>
      </c>
      <c r="G72" t="s" s="13">
        <f>"(0.014)"</f>
        <v>240</v>
      </c>
      <c r="H72" t="s" s="13">
        <f>"(0.035)"</f>
        <v>25</v>
      </c>
    </row>
    <row r="73" ht="15.35" customHeight="1">
      <c r="A73" s="7"/>
      <c r="B73" s="12"/>
      <c r="C73" s="12"/>
      <c r="D73" s="12"/>
      <c r="E73" s="12"/>
      <c r="F73" s="12"/>
      <c r="G73" s="12"/>
      <c r="H73" s="12"/>
    </row>
    <row r="74" ht="15.35" customHeight="1">
      <c r="A74" t="s" s="8">
        <f>"N"</f>
        <v>59</v>
      </c>
      <c r="B74" t="s" s="13">
        <f>"112668"</f>
        <v>241</v>
      </c>
      <c r="C74" t="s" s="13">
        <f t="shared" si="122" ref="C74:F74">"54194"</f>
        <v>242</v>
      </c>
      <c r="D74" t="s" s="13">
        <f t="shared" si="123" ref="D74:G74">"24852"</f>
        <v>243</v>
      </c>
      <c r="E74" t="s" s="13">
        <f t="shared" si="124" ref="E74:H74">"4432"</f>
        <v>244</v>
      </c>
      <c r="F74" t="s" s="13">
        <f t="shared" si="122"/>
        <v>242</v>
      </c>
      <c r="G74" t="s" s="13">
        <f t="shared" si="123"/>
        <v>243</v>
      </c>
      <c r="H74" t="s" s="13">
        <f t="shared" si="124"/>
        <v>244</v>
      </c>
    </row>
    <row r="75" ht="15.35" customHeight="1">
      <c r="A75" t="s" s="8">
        <f>"r2"</f>
        <v>122</v>
      </c>
      <c r="B75" t="s" s="13">
        <f>"0"</f>
        <v>123</v>
      </c>
      <c r="C75" t="s" s="13">
        <f>"0.424"</f>
        <v>245</v>
      </c>
      <c r="D75" t="s" s="13">
        <f>"0.344"</f>
        <v>246</v>
      </c>
      <c r="E75" t="s" s="13">
        <f>"0.248"</f>
        <v>247</v>
      </c>
      <c r="F75" t="s" s="13">
        <f>"0.539"</f>
        <v>248</v>
      </c>
      <c r="G75" t="s" s="13">
        <f>"0.377"</f>
        <v>249</v>
      </c>
      <c r="H75" t="s" s="13">
        <f>"0.243"</f>
        <v>250</v>
      </c>
    </row>
    <row r="76" ht="15.35" customHeight="1">
      <c r="A76" s="7"/>
      <c r="B76" s="7"/>
      <c r="C76" s="7"/>
      <c r="D76" s="7"/>
      <c r="E76" s="7"/>
      <c r="F76" s="7"/>
      <c r="G76" s="7"/>
      <c r="H76" s="7"/>
    </row>
    <row r="77" ht="15.35" customHeight="1">
      <c r="A77" t="s" s="8">
        <f>"Standard errors in parentheses"</f>
        <v>75</v>
      </c>
      <c r="B77" s="7"/>
      <c r="C77" s="7"/>
      <c r="D77" s="7"/>
      <c r="E77" s="7"/>
      <c r="F77" s="7"/>
      <c r="G77" s="7"/>
      <c r="H77" s="7"/>
    </row>
    <row r="78" ht="15.35" customHeight="1">
      <c r="A78" t="s" s="8">
        <v>76</v>
      </c>
      <c r="B78" t="s" s="8">
        <v>77</v>
      </c>
      <c r="C78" t="s" s="8">
        <v>78</v>
      </c>
      <c r="D78" s="7"/>
      <c r="E78" s="7"/>
      <c r="F78" s="7"/>
      <c r="G78" s="7"/>
      <c r="H78"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D33"/>
  <sheetViews>
    <sheetView workbookViewId="0" showGridLines="0" defaultGridColor="1"/>
  </sheetViews>
  <sheetFormatPr defaultColWidth="10.8333" defaultRowHeight="16" customHeight="1" outlineLevelRow="0" outlineLevelCol="0"/>
  <cols>
    <col min="1" max="4" width="10.8516" style="14" customWidth="1"/>
    <col min="5" max="16384" width="10.8516" style="14" customWidth="1"/>
  </cols>
  <sheetData>
    <row r="1" ht="15.35" customHeight="1">
      <c r="A1" s="7"/>
      <c r="B1" t="s" s="8">
        <v>252</v>
      </c>
      <c r="C1" t="s" s="8">
        <v>253</v>
      </c>
      <c r="D1" t="s" s="8">
        <v>254</v>
      </c>
    </row>
    <row r="2" ht="15.35" customHeight="1">
      <c r="A2" t="s" s="8">
        <v>255</v>
      </c>
      <c r="B2" s="7"/>
      <c r="C2" s="7"/>
      <c r="D2" s="7"/>
    </row>
    <row r="3" ht="15.35" customHeight="1">
      <c r="A3" t="s" s="8">
        <v>256</v>
      </c>
      <c r="B3" t="s" s="8">
        <f>'SPFInd'!B20</f>
        <v>43</v>
      </c>
      <c r="C3" t="s" s="8">
        <f>'SPFInd'!G5</f>
        <v>24</v>
      </c>
      <c r="D3" t="s" s="8">
        <f>'SCEInd'!B71</f>
        <v>257</v>
      </c>
    </row>
    <row r="4" ht="15.35" customHeight="1">
      <c r="A4" s="7"/>
      <c r="B4" t="s" s="8">
        <f>'SPFInd'!B21</f>
        <v>51</v>
      </c>
      <c r="C4" t="s" s="8">
        <f>'SPFInd'!G6</f>
        <v>26</v>
      </c>
      <c r="D4" t="s" s="8">
        <f>'SCEInd'!B72</f>
        <v>258</v>
      </c>
    </row>
    <row r="5" ht="15.35" customHeight="1">
      <c r="A5" t="s" s="8">
        <v>59</v>
      </c>
      <c r="B5" t="s" s="8">
        <f>'SPFInd'!B23</f>
        <v>60</v>
      </c>
      <c r="C5" t="s" s="8">
        <f>'SPFInd'!G23</f>
        <v>64</v>
      </c>
      <c r="D5" t="s" s="8">
        <f>'SCEInd'!B74</f>
        <v>259</v>
      </c>
    </row>
    <row r="6" ht="15.35" customHeight="1">
      <c r="A6" t="s" s="8">
        <v>260</v>
      </c>
      <c r="B6" s="7"/>
      <c r="C6" s="7"/>
      <c r="D6" s="7"/>
    </row>
    <row r="7" ht="15.35" customHeight="1">
      <c r="A7" t="s" s="8">
        <v>261</v>
      </c>
      <c r="B7" t="s" s="8">
        <f>'SPFInd'!C5</f>
        <v>23</v>
      </c>
      <c r="C7" t="s" s="8">
        <f>'SPFInd'!G5</f>
        <v>24</v>
      </c>
      <c r="D7" t="s" s="8">
        <f>'SCEPop'!E14</f>
        <v>145</v>
      </c>
    </row>
    <row r="8" ht="15.35" customHeight="1">
      <c r="A8" s="7"/>
      <c r="B8" t="s" s="8">
        <f>'SPFInd'!C6</f>
        <v>25</v>
      </c>
      <c r="C8" t="s" s="8">
        <f>'SPFInd'!G6</f>
        <v>26</v>
      </c>
      <c r="D8" t="s" s="8">
        <f>'SCEPop'!E15</f>
        <v>146</v>
      </c>
    </row>
    <row r="9" ht="15.35" customHeight="1">
      <c r="A9" t="s" s="8">
        <v>256</v>
      </c>
      <c r="B9" t="s" s="8">
        <f>'SPFInd'!C20</f>
        <v>44</v>
      </c>
      <c r="C9" t="s" s="8">
        <f>'SPFInd'!G20</f>
        <v>48</v>
      </c>
      <c r="D9" t="s" s="8">
        <f>'SCEPop'!E38</f>
        <v>173</v>
      </c>
    </row>
    <row r="10" ht="15.35" customHeight="1">
      <c r="A10" s="7"/>
      <c r="B10" t="s" s="8">
        <f>'SPFInd'!C21</f>
        <v>52</v>
      </c>
      <c r="C10" t="s" s="8">
        <f>'SPFInd'!G21</f>
        <v>56</v>
      </c>
      <c r="D10" t="s" s="8">
        <f>'SCEPop'!E39</f>
        <v>177</v>
      </c>
    </row>
    <row r="11" ht="15.35" customHeight="1">
      <c r="A11" t="s" s="8">
        <v>59</v>
      </c>
      <c r="B11" t="s" s="8">
        <f>'SPFInd'!C23</f>
        <v>61</v>
      </c>
      <c r="C11" t="s" s="8">
        <f>'SPFInd'!G23</f>
        <v>64</v>
      </c>
      <c r="D11" t="s" s="8">
        <f>'SCEPop'!E41</f>
        <v>179</v>
      </c>
    </row>
    <row r="12" ht="15.35" customHeight="1">
      <c r="A12" t="s" s="8">
        <v>262</v>
      </c>
      <c r="B12" t="s" s="8">
        <f>'SPFInd'!C24</f>
        <v>68</v>
      </c>
      <c r="C12" t="s" s="8">
        <f>'SPFInd'!G24</f>
        <v>71</v>
      </c>
      <c r="D12" t="s" s="8">
        <f>'SCEPop'!E42</f>
        <v>183</v>
      </c>
    </row>
    <row r="13" ht="15.35" customHeight="1">
      <c r="A13" t="s" s="8">
        <v>263</v>
      </c>
      <c r="B13" s="7"/>
      <c r="C13" s="7"/>
      <c r="D13" s="7"/>
    </row>
    <row r="14" ht="48" customHeight="1">
      <c r="A14" t="s" s="15">
        <v>264</v>
      </c>
      <c r="B14" t="s" s="8">
        <f>'SPFInd'!D8</f>
        <v>23</v>
      </c>
      <c r="C14" t="s" s="8">
        <f>'SPFInd'!H8</f>
        <v>24</v>
      </c>
      <c r="D14" t="s" s="8">
        <f>'SCEPop'!D35</f>
        <v>167</v>
      </c>
    </row>
    <row r="15" ht="15.35" customHeight="1">
      <c r="A15" s="7"/>
      <c r="B15" t="s" s="8">
        <f>'SPFInd'!D9</f>
        <v>25</v>
      </c>
      <c r="C15" t="s" s="8">
        <f>'SPFInd'!H9</f>
        <v>26</v>
      </c>
      <c r="D15" t="s" s="8">
        <f>'SCEPop'!D36</f>
        <v>169</v>
      </c>
    </row>
    <row r="16" ht="15.35" customHeight="1">
      <c r="A16" t="s" s="8">
        <v>256</v>
      </c>
      <c r="B16" t="s" s="8">
        <f>'SPFInd'!D20</f>
        <v>45</v>
      </c>
      <c r="C16" t="s" s="8">
        <f>'SPFInd'!H20</f>
        <v>49</v>
      </c>
      <c r="D16" t="s" s="8">
        <f>'SCEPop'!D38</f>
        <v>172</v>
      </c>
    </row>
    <row r="17" ht="15.35" customHeight="1">
      <c r="A17" s="7"/>
      <c r="B17" t="s" s="8">
        <f>'SPFInd'!D21</f>
        <v>53</v>
      </c>
      <c r="C17" t="s" s="8">
        <f>'SPFInd'!H21</f>
        <v>57</v>
      </c>
      <c r="D17" t="s" s="8">
        <f>'SCEPop'!D39</f>
        <v>176</v>
      </c>
    </row>
    <row r="18" ht="15.35" customHeight="1">
      <c r="A18" t="s" s="8">
        <v>59</v>
      </c>
      <c r="B18" t="s" s="8">
        <f>'SPFInd'!D23</f>
        <v>61</v>
      </c>
      <c r="C18" t="s" s="8">
        <f>'SPFInd'!H23</f>
        <v>64</v>
      </c>
      <c r="D18" t="s" s="8">
        <f>'SCEPop'!D41</f>
        <v>179</v>
      </c>
    </row>
    <row r="19" ht="15.35" customHeight="1">
      <c r="A19" t="s" s="8">
        <v>262</v>
      </c>
      <c r="B19" t="s" s="8">
        <f>'SPFInd'!D24</f>
        <v>68</v>
      </c>
      <c r="C19" t="s" s="8">
        <f>'SPFInd'!H24</f>
        <v>71</v>
      </c>
      <c r="D19" t="s" s="8">
        <f>'SCEPop'!D42</f>
        <v>182</v>
      </c>
    </row>
    <row r="20" ht="15.35" customHeight="1">
      <c r="A20" t="s" s="8">
        <v>73</v>
      </c>
      <c r="B20" t="s" s="8">
        <f>'SPFInd'!D25</f>
        <v>74</v>
      </c>
      <c r="C20" t="s" s="8">
        <f>'SPFInd'!H25</f>
        <v>74</v>
      </c>
      <c r="D20" t="s" s="8">
        <v>265</v>
      </c>
    </row>
    <row r="21" ht="15.35" customHeight="1">
      <c r="A21" t="s" s="8">
        <v>266</v>
      </c>
      <c r="B21" s="7"/>
      <c r="C21" s="7"/>
      <c r="D21" s="7"/>
    </row>
    <row r="22" ht="48" customHeight="1">
      <c r="A22" t="s" s="15">
        <v>267</v>
      </c>
      <c r="B22" t="s" s="8">
        <f>'SPFInd'!E11</f>
        <v>29</v>
      </c>
      <c r="C22" t="s" s="8">
        <f>'SPFInd'!I11</f>
        <v>30</v>
      </c>
      <c r="D22" t="s" s="8">
        <f>'SCEInd'!D14</f>
        <v>268</v>
      </c>
    </row>
    <row r="23" ht="15.35" customHeight="1">
      <c r="A23" s="16"/>
      <c r="B23" t="s" s="8">
        <f>'SPFInd'!E12</f>
        <v>31</v>
      </c>
      <c r="C23" t="s" s="8">
        <f>'SPFInd'!I12</f>
        <v>32</v>
      </c>
      <c r="D23" t="s" s="8">
        <f>'SCEInd'!D15</f>
        <v>269</v>
      </c>
    </row>
    <row r="24" ht="48" customHeight="1">
      <c r="A24" t="s" s="15">
        <v>270</v>
      </c>
      <c r="B24" t="s" s="8">
        <f>'SPFInd'!E14</f>
        <v>34</v>
      </c>
      <c r="C24" t="s" s="8">
        <f>'SPFInd'!I14</f>
        <v>35</v>
      </c>
      <c r="D24" t="s" s="8">
        <f>'SCEInd'!E26</f>
        <v>271</v>
      </c>
    </row>
    <row r="25" ht="15.35" customHeight="1">
      <c r="A25" s="16"/>
      <c r="B25" t="s" s="8">
        <f>'SPFInd'!E15</f>
        <v>36</v>
      </c>
      <c r="C25" t="s" s="8">
        <f>'SPFInd'!I15</f>
        <v>31</v>
      </c>
      <c r="D25" t="s" s="8">
        <f>'SCEInd'!E27</f>
        <v>272</v>
      </c>
    </row>
    <row r="26" ht="48" customHeight="1">
      <c r="A26" t="s" s="15">
        <v>273</v>
      </c>
      <c r="B26" t="s" s="8">
        <f>'SPFInd'!E17</f>
        <v>38</v>
      </c>
      <c r="C26" t="s" s="8">
        <f>'SPFInd'!I17</f>
        <v>39</v>
      </c>
      <c r="D26" t="s" s="8">
        <f>'SCEInd'!H59</f>
        <v>274</v>
      </c>
    </row>
    <row r="27" ht="15.35" customHeight="1">
      <c r="A27" s="7"/>
      <c r="B27" t="s" s="8">
        <f>'SPFInd'!E18</f>
        <v>40</v>
      </c>
      <c r="C27" t="s" s="8">
        <f>'SPFInd'!I18</f>
        <v>41</v>
      </c>
      <c r="D27" t="s" s="8">
        <f>'SCEInd'!H60</f>
        <v>275</v>
      </c>
    </row>
    <row r="28" ht="15.35" customHeight="1">
      <c r="A28" s="7"/>
      <c r="B28" s="7"/>
      <c r="C28" s="7"/>
      <c r="D28" s="7"/>
    </row>
    <row r="29" ht="15.35" customHeight="1">
      <c r="A29" t="s" s="8">
        <v>256</v>
      </c>
      <c r="B29" t="s" s="8">
        <f>'SPFInd'!E20</f>
        <v>46</v>
      </c>
      <c r="C29" t="s" s="8">
        <f>'SPFInd'!I20</f>
        <v>50</v>
      </c>
      <c r="D29" t="s" s="8">
        <f>'SCEInd'!H71</f>
        <v>276</v>
      </c>
    </row>
    <row r="30" ht="15.35" customHeight="1">
      <c r="A30" s="7"/>
      <c r="B30" t="s" s="8">
        <f>'SPFInd'!E21</f>
        <v>54</v>
      </c>
      <c r="C30" t="s" s="8">
        <f>'SPFInd'!I21</f>
        <v>58</v>
      </c>
      <c r="D30" t="s" s="8">
        <f>'SCEInd'!H72</f>
        <v>277</v>
      </c>
    </row>
    <row r="31" ht="15.35" customHeight="1">
      <c r="A31" s="7"/>
      <c r="B31" s="7"/>
      <c r="C31" s="7"/>
      <c r="D31" s="7"/>
    </row>
    <row r="32" ht="15.35" customHeight="1">
      <c r="A32" t="s" s="8">
        <v>59</v>
      </c>
      <c r="B32" t="s" s="8">
        <f>'SPFInd'!E23</f>
        <v>62</v>
      </c>
      <c r="C32" t="s" s="8">
        <f>'SPFInd'!I23</f>
        <v>65</v>
      </c>
      <c r="D32" t="s" s="8">
        <f>'SCEInd'!H74</f>
        <v>278</v>
      </c>
    </row>
    <row r="33" ht="15.35" customHeight="1">
      <c r="A33" t="s" s="8">
        <v>262</v>
      </c>
      <c r="B33" t="s" s="8">
        <f>'SPFInd'!E24</f>
        <v>69</v>
      </c>
      <c r="C33" t="s" s="8">
        <f>'SPFInd'!I24</f>
        <v>72</v>
      </c>
      <c r="D33" t="s" s="8">
        <f>'SCEInd'!H75</f>
        <v>279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