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yworld/Dropbox/ExpProject/workingfolder/tables/results/"/>
    </mc:Choice>
  </mc:AlternateContent>
  <bookViews>
    <workbookView xWindow="1480" yWindow="460" windowWidth="25600" windowHeight="15460" tabRatio="500" activeTab="1"/>
  </bookViews>
  <sheets>
    <sheet name="RevEfficiencyTable" sheetId="1" r:id="rId1"/>
    <sheet name="RevEfficiencyTable1" sheetId="2" r:id="rId2"/>
    <sheet name="RevEfficiencyTable2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7" i="2" l="1"/>
  <c r="N37" i="2"/>
  <c r="M37" i="2"/>
  <c r="L37" i="2"/>
  <c r="O36" i="2"/>
  <c r="N36" i="2"/>
  <c r="M36" i="2"/>
  <c r="L36" i="2"/>
  <c r="O35" i="2"/>
  <c r="N35" i="2"/>
  <c r="M35" i="2"/>
  <c r="L35" i="2"/>
  <c r="O34" i="2"/>
  <c r="N34" i="2"/>
  <c r="M34" i="2"/>
  <c r="L34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O29" i="2"/>
  <c r="N29" i="2"/>
  <c r="M29" i="2"/>
  <c r="L29" i="2"/>
  <c r="O28" i="2"/>
  <c r="N28" i="2"/>
  <c r="M28" i="2"/>
  <c r="L28" i="2"/>
  <c r="O27" i="2"/>
  <c r="N27" i="2"/>
  <c r="M27" i="2"/>
  <c r="L27" i="2"/>
  <c r="O26" i="2"/>
  <c r="N26" i="2"/>
  <c r="M26" i="2"/>
  <c r="L26" i="2"/>
  <c r="O25" i="2"/>
  <c r="N25" i="2"/>
  <c r="M25" i="2"/>
  <c r="L25" i="2"/>
  <c r="O24" i="2"/>
  <c r="N24" i="2"/>
  <c r="M24" i="2"/>
  <c r="L24" i="2"/>
  <c r="O23" i="2"/>
  <c r="N23" i="2"/>
  <c r="M23" i="2"/>
  <c r="L23" i="2"/>
  <c r="O22" i="2"/>
  <c r="N22" i="2"/>
  <c r="M22" i="2"/>
  <c r="L22" i="2"/>
  <c r="K37" i="2"/>
  <c r="K36" i="2"/>
  <c r="K35" i="2"/>
  <c r="K32" i="2"/>
  <c r="K31" i="2"/>
  <c r="K30" i="2"/>
  <c r="K29" i="2"/>
  <c r="K28" i="2"/>
  <c r="K27" i="2"/>
  <c r="K26" i="2"/>
  <c r="K25" i="2"/>
  <c r="K24" i="2"/>
  <c r="K23" i="2"/>
  <c r="K22" i="2"/>
  <c r="K19" i="2"/>
  <c r="K18" i="2"/>
  <c r="O19" i="2"/>
  <c r="N19" i="2"/>
  <c r="M19" i="2"/>
  <c r="L19" i="2"/>
  <c r="O18" i="2"/>
  <c r="N18" i="2"/>
  <c r="M18" i="2"/>
  <c r="L18" i="2"/>
  <c r="O17" i="2"/>
  <c r="N17" i="2"/>
  <c r="M17" i="2"/>
  <c r="L17" i="2"/>
  <c r="O16" i="2"/>
  <c r="N16" i="2"/>
  <c r="M16" i="2"/>
  <c r="L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K14" i="2"/>
  <c r="K13" i="2"/>
  <c r="K12" i="2"/>
  <c r="K11" i="2"/>
  <c r="K10" i="2"/>
  <c r="K9" i="2"/>
  <c r="K8" i="2"/>
  <c r="K7" i="2"/>
  <c r="K6" i="2"/>
  <c r="K5" i="2"/>
  <c r="K4" i="2"/>
  <c r="J38" i="3"/>
  <c r="I38" i="3"/>
  <c r="H38" i="3"/>
  <c r="G38" i="3"/>
  <c r="F38" i="3"/>
  <c r="E38" i="3"/>
  <c r="D38" i="3"/>
  <c r="C38" i="3"/>
  <c r="J37" i="3"/>
  <c r="I37" i="3"/>
  <c r="H37" i="3"/>
  <c r="G37" i="3"/>
  <c r="F37" i="3"/>
  <c r="E37" i="3"/>
  <c r="D37" i="3"/>
  <c r="C37" i="3"/>
  <c r="J36" i="3"/>
  <c r="I36" i="3"/>
  <c r="H36" i="3"/>
  <c r="G36" i="3"/>
  <c r="F36" i="3"/>
  <c r="E36" i="3"/>
  <c r="D36" i="3"/>
  <c r="C36" i="3"/>
  <c r="J35" i="3"/>
  <c r="I35" i="3"/>
  <c r="H35" i="3"/>
  <c r="G35" i="3"/>
  <c r="F35" i="3"/>
  <c r="E35" i="3"/>
  <c r="D35" i="3"/>
  <c r="C35" i="3"/>
  <c r="B35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J14" i="3"/>
  <c r="I14" i="3"/>
  <c r="H14" i="3"/>
  <c r="G14" i="3"/>
  <c r="F14" i="3"/>
  <c r="E14" i="3"/>
  <c r="D14" i="3"/>
  <c r="C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74" i="2"/>
  <c r="I74" i="2"/>
  <c r="H74" i="2"/>
  <c r="G74" i="2"/>
  <c r="F74" i="2"/>
  <c r="E74" i="2"/>
  <c r="D74" i="2"/>
  <c r="C74" i="2"/>
  <c r="J73" i="2"/>
  <c r="I73" i="2"/>
  <c r="H73" i="2"/>
  <c r="G73" i="2"/>
  <c r="F73" i="2"/>
  <c r="E73" i="2"/>
  <c r="D73" i="2"/>
  <c r="C73" i="2"/>
  <c r="J72" i="2"/>
  <c r="I72" i="2"/>
  <c r="H72" i="2"/>
  <c r="G72" i="2"/>
  <c r="F72" i="2"/>
  <c r="E72" i="2"/>
  <c r="D72" i="2"/>
  <c r="C72" i="2"/>
  <c r="J71" i="2"/>
  <c r="I71" i="2"/>
  <c r="H71" i="2"/>
  <c r="G71" i="2"/>
  <c r="F71" i="2"/>
  <c r="E71" i="2"/>
  <c r="D71" i="2"/>
  <c r="C71" i="2"/>
  <c r="B71" i="2"/>
  <c r="J64" i="2"/>
  <c r="I64" i="2"/>
  <c r="H64" i="2"/>
  <c r="G64" i="2"/>
  <c r="F64" i="2"/>
  <c r="E64" i="2"/>
  <c r="D64" i="2"/>
  <c r="C64" i="2"/>
  <c r="B64" i="2"/>
  <c r="J63" i="2"/>
  <c r="I63" i="2"/>
  <c r="H63" i="2"/>
  <c r="G63" i="2"/>
  <c r="F63" i="2"/>
  <c r="E63" i="2"/>
  <c r="D63" i="2"/>
  <c r="C63" i="2"/>
  <c r="B63" i="2"/>
  <c r="J62" i="2"/>
  <c r="I62" i="2"/>
  <c r="H62" i="2"/>
  <c r="G62" i="2"/>
  <c r="F62" i="2"/>
  <c r="E62" i="2"/>
  <c r="D62" i="2"/>
  <c r="C62" i="2"/>
  <c r="B62" i="2"/>
  <c r="J61" i="2"/>
  <c r="I61" i="2"/>
  <c r="H61" i="2"/>
  <c r="G61" i="2"/>
  <c r="F61" i="2"/>
  <c r="E61" i="2"/>
  <c r="D61" i="2"/>
  <c r="C61" i="2"/>
  <c r="B61" i="2"/>
  <c r="J60" i="2"/>
  <c r="I60" i="2"/>
  <c r="H60" i="2"/>
  <c r="G60" i="2"/>
  <c r="F60" i="2"/>
  <c r="E60" i="2"/>
  <c r="D60" i="2"/>
  <c r="C60" i="2"/>
  <c r="B60" i="2"/>
  <c r="J59" i="2"/>
  <c r="I59" i="2"/>
  <c r="H59" i="2"/>
  <c r="G59" i="2"/>
  <c r="F59" i="2"/>
  <c r="E59" i="2"/>
  <c r="D59" i="2"/>
  <c r="C59" i="2"/>
  <c r="B59" i="2"/>
  <c r="O55" i="2"/>
  <c r="N55" i="2"/>
  <c r="M55" i="2"/>
  <c r="L55" i="2"/>
  <c r="J55" i="2"/>
  <c r="I55" i="2"/>
  <c r="H55" i="2"/>
  <c r="G55" i="2"/>
  <c r="F55" i="2"/>
  <c r="E55" i="2"/>
  <c r="D55" i="2"/>
  <c r="C55" i="2"/>
  <c r="B55" i="2"/>
  <c r="O54" i="2"/>
  <c r="N54" i="2"/>
  <c r="M54" i="2"/>
  <c r="L54" i="2"/>
  <c r="J54" i="2"/>
  <c r="I54" i="2"/>
  <c r="H54" i="2"/>
  <c r="G54" i="2"/>
  <c r="F54" i="2"/>
  <c r="E54" i="2"/>
  <c r="D54" i="2"/>
  <c r="C54" i="2"/>
  <c r="B54" i="2"/>
  <c r="O53" i="2"/>
  <c r="N53" i="2"/>
  <c r="M53" i="2"/>
  <c r="L53" i="2"/>
  <c r="J53" i="2"/>
  <c r="I53" i="2"/>
  <c r="H53" i="2"/>
  <c r="G53" i="2"/>
  <c r="F53" i="2"/>
  <c r="E53" i="2"/>
  <c r="D53" i="2"/>
  <c r="C53" i="2"/>
  <c r="B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J16" i="2"/>
  <c r="I16" i="2"/>
  <c r="H16" i="2"/>
  <c r="G16" i="2"/>
  <c r="F16" i="2"/>
  <c r="E16" i="2"/>
  <c r="D16" i="2"/>
  <c r="C16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B65" i="1"/>
  <c r="B58" i="1"/>
  <c r="B57" i="1"/>
  <c r="B56" i="1"/>
  <c r="B55" i="1"/>
  <c r="B54" i="1"/>
  <c r="B53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B49" i="1"/>
  <c r="B48" i="1"/>
  <c r="B47" i="1"/>
  <c r="B46" i="1"/>
  <c r="B43" i="1"/>
  <c r="B41" i="1"/>
  <c r="B39" i="1"/>
  <c r="B38" i="1"/>
  <c r="B37" i="1"/>
  <c r="B36" i="1"/>
  <c r="B35" i="1"/>
  <c r="B34" i="1"/>
  <c r="B31" i="1"/>
  <c r="B30" i="1"/>
  <c r="B29" i="1"/>
  <c r="B28" i="1"/>
  <c r="B27" i="1"/>
  <c r="B26" i="1"/>
  <c r="B25" i="1"/>
  <c r="B24" i="1"/>
  <c r="B23" i="1"/>
  <c r="B2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<sst xmlns="http://schemas.openxmlformats.org/spreadsheetml/2006/main" count="318" uniqueCount="55">
  <si>
    <t>Test 1.  Revision efficiency of mean forecast</t>
  </si>
  <si>
    <t xml:space="preserve">Test 2. Revision efficiency of uncertainty </t>
  </si>
  <si>
    <t>SPF CPI</t>
  </si>
  <si>
    <t>SPF PCE</t>
  </si>
  <si>
    <t>SCE</t>
  </si>
  <si>
    <t>NA</t>
  </si>
  <si>
    <t>N</t>
  </si>
  <si>
    <t>r^2</t>
  </si>
  <si>
    <t xml:space="preserve">Test 3. Weak. Efficiency of change in forecast </t>
  </si>
  <si>
    <t>Test 4. Weak. Efficiency of change in uncertainty</t>
  </si>
  <si>
    <t>-0.382***</t>
  </si>
  <si>
    <t>-0.565***</t>
  </si>
  <si>
    <t>-0.652***</t>
  </si>
  <si>
    <t>-0.300***</t>
  </si>
  <si>
    <t>-0.406***</t>
  </si>
  <si>
    <t>-0.123***</t>
  </si>
  <si>
    <t>-0.265***</t>
  </si>
  <si>
    <t>-0.130***</t>
  </si>
  <si>
    <t>-0.058**</t>
  </si>
  <si>
    <t>-1.339***</t>
  </si>
  <si>
    <t>-1.324***</t>
  </si>
  <si>
    <t>-1.139***</t>
  </si>
  <si>
    <t>-0.839***</t>
  </si>
  <si>
    <t>L.InfExp_Var_ch</t>
  </si>
  <si>
    <t>L2.InfExp_Var_ch</t>
  </si>
  <si>
    <t>L3.InfExp_Var_ch</t>
  </si>
  <si>
    <t>L4.InfExp_Var_ch</t>
  </si>
  <si>
    <t>L5.InfExp_Var_ch</t>
  </si>
  <si>
    <t>L6.InfExp_Var_ch</t>
  </si>
  <si>
    <t>Mean revision</t>
  </si>
  <si>
    <t xml:space="preserve">t-1 </t>
  </si>
  <si>
    <t>t-1- t-2</t>
  </si>
  <si>
    <t>t-1-t-3</t>
  </si>
  <si>
    <t>Mean change</t>
  </si>
  <si>
    <t xml:space="preserve">Test 3. Weak Efficiency of change in forecast </t>
  </si>
  <si>
    <t>L.InfExp_Mean_ch</t>
  </si>
  <si>
    <t>-0.433***</t>
  </si>
  <si>
    <t>-0.586***</t>
  </si>
  <si>
    <t>-0.642***</t>
  </si>
  <si>
    <t>L2.InfExp_Mean_ch</t>
  </si>
  <si>
    <t>-0.336***</t>
  </si>
  <si>
    <t>-0.439***</t>
  </si>
  <si>
    <t>L3.InfExp_Mean_ch</t>
  </si>
  <si>
    <t>-0.143***</t>
  </si>
  <si>
    <t>-0.270***</t>
  </si>
  <si>
    <t>L4.InfExp_Mean_ch</t>
  </si>
  <si>
    <t>-0.183***</t>
  </si>
  <si>
    <t>L5.InfExp_Mean_ch</t>
  </si>
  <si>
    <t>-0.096***</t>
  </si>
  <si>
    <t>L6.InfExp_Mean_ch</t>
  </si>
  <si>
    <t>-0.044**</t>
  </si>
  <si>
    <t>_cons</t>
  </si>
  <si>
    <t>-0.055*</t>
  </si>
  <si>
    <t>r2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</si>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</sst>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A32" zoomScale="75" workbookViewId="0">
      <selection activeCell="E50" sqref="E50"/>
    </sheetView>
  </sheetViews>
  <sheetFormatPr baseColWidth="10" defaultRowHeight="16" x14ac:dyDescent="0.2"/>
  <cols>
    <col min="1" max="1" width="18" style="1" customWidth="1"/>
  </cols>
  <sheetData>
    <row r="1" spans="2:15" x14ac:dyDescent="0.2">
      <c r="B1" s="2"/>
      <c r="C1" s="6" t="s">
        <v>2</v>
      </c>
      <c r="D1" s="6"/>
      <c r="E1" s="6"/>
      <c r="F1" s="6"/>
      <c r="G1" s="6" t="s">
        <v>3</v>
      </c>
      <c r="H1" s="6"/>
      <c r="I1" s="6"/>
      <c r="J1" s="6"/>
      <c r="K1" s="3"/>
      <c r="L1" s="6" t="s">
        <v>4</v>
      </c>
      <c r="M1" s="6"/>
      <c r="N1" s="6"/>
      <c r="O1" s="6"/>
    </row>
    <row r="2" spans="2:15" ht="48" customHeight="1" x14ac:dyDescent="0.2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spans="2:15" ht="48" customHeight="1" x14ac:dyDescent="0.2">
      <c r="B3" s="4"/>
      <c r="C3" s="4" t="s">
        <v>29</v>
      </c>
      <c r="D3" s="4" t="s">
        <v>30</v>
      </c>
      <c r="E3" s="4" t="s">
        <v>31</v>
      </c>
      <c r="F3" s="4" t="s">
        <v>32</v>
      </c>
      <c r="G3" s="4" t="s">
        <v>29</v>
      </c>
      <c r="H3" s="4" t="s">
        <v>30</v>
      </c>
      <c r="I3" s="4" t="s">
        <v>31</v>
      </c>
      <c r="J3" s="4" t="s">
        <v>32</v>
      </c>
      <c r="K3" s="4"/>
      <c r="L3" s="4" t="s">
        <v>29</v>
      </c>
      <c r="M3" s="4" t="s">
        <v>30</v>
      </c>
      <c r="N3" s="4" t="s">
        <v>31</v>
      </c>
      <c r="O3" s="4" t="s">
        <v>32</v>
      </c>
    </row>
    <row r="4" spans="2:15" x14ac:dyDescent="0.2">
      <c r="B4" t="str">
        <f>"L.InfExp_Mean_rv"</f>
        <v>L.InfExp_Mean_rv</v>
      </c>
      <c r="C4" t="str">
        <f>""</f>
        <v/>
      </c>
      <c r="D4" t="str">
        <f>"0.539***"</f>
        <v>0.539***</v>
      </c>
      <c r="E4" t="str">
        <f>"0.418***"</f>
        <v>0.418***</v>
      </c>
      <c r="F4" t="str">
        <f>"0.387***"</f>
        <v>0.387***</v>
      </c>
      <c r="G4" t="str">
        <f>""</f>
        <v/>
      </c>
      <c r="H4" t="str">
        <f>"0.606***"</f>
        <v>0.606***</v>
      </c>
      <c r="I4" t="str">
        <f>"0.435***"</f>
        <v>0.435***</v>
      </c>
      <c r="J4" t="str">
        <f>"0.369***"</f>
        <v>0.369***</v>
      </c>
      <c r="L4" t="s">
        <v>5</v>
      </c>
      <c r="M4" t="s">
        <v>5</v>
      </c>
      <c r="N4" t="s">
        <v>5</v>
      </c>
      <c r="O4" t="s">
        <v>5</v>
      </c>
    </row>
    <row r="5" spans="2:15" x14ac:dyDescent="0.2">
      <c r="B5" t="str">
        <f>""</f>
        <v/>
      </c>
      <c r="C5" t="str">
        <f>""</f>
        <v/>
      </c>
      <c r="D5" t="str">
        <f>"(0.031)"</f>
        <v>(0.031)</v>
      </c>
      <c r="E5" t="str">
        <f>"(0.043)"</f>
        <v>(0.043)</v>
      </c>
      <c r="F5" t="str">
        <f>"(0.052)"</f>
        <v>(0.052)</v>
      </c>
      <c r="G5" t="str">
        <f>""</f>
        <v/>
      </c>
      <c r="H5" t="str">
        <f>"(0.034)"</f>
        <v>(0.034)</v>
      </c>
      <c r="I5" t="str">
        <f>"(0.042)"</f>
        <v>(0.042)</v>
      </c>
      <c r="J5" t="str">
        <f>"(0.049)"</f>
        <v>(0.049)</v>
      </c>
      <c r="L5" t="s">
        <v>5</v>
      </c>
      <c r="M5" t="s">
        <v>5</v>
      </c>
      <c r="N5" t="s">
        <v>5</v>
      </c>
      <c r="O5" t="s">
        <v>5</v>
      </c>
    </row>
    <row r="6" spans="2:15" x14ac:dyDescent="0.2">
      <c r="B6" t="str">
        <f>"L2.InfExp_Mean_rv"</f>
        <v>L2.InfExp_Mean_rv</v>
      </c>
      <c r="C6" t="str">
        <f>""</f>
        <v/>
      </c>
      <c r="D6" t="str">
        <f>""</f>
        <v/>
      </c>
      <c r="E6" t="str">
        <f>"0.218***"</f>
        <v>0.218***</v>
      </c>
      <c r="F6" t="str">
        <f>"0.166**"</f>
        <v>0.166**</v>
      </c>
      <c r="G6" t="str">
        <f>""</f>
        <v/>
      </c>
      <c r="H6" t="str">
        <f>""</f>
        <v/>
      </c>
      <c r="I6" t="str">
        <f>"0.261***"</f>
        <v>0.261***</v>
      </c>
      <c r="J6" t="str">
        <f>"0.246***"</f>
        <v>0.246***</v>
      </c>
      <c r="L6" t="s">
        <v>5</v>
      </c>
      <c r="M6" t="s">
        <v>5</v>
      </c>
      <c r="N6" t="s">
        <v>5</v>
      </c>
      <c r="O6" t="s">
        <v>5</v>
      </c>
    </row>
    <row r="7" spans="2:15" x14ac:dyDescent="0.2">
      <c r="B7" t="str">
        <f>""</f>
        <v/>
      </c>
      <c r="C7" t="str">
        <f>""</f>
        <v/>
      </c>
      <c r="D7" t="str">
        <f>""</f>
        <v/>
      </c>
      <c r="E7" t="str">
        <f>"(0.040)"</f>
        <v>(0.040)</v>
      </c>
      <c r="F7" t="str">
        <f>"(0.053)"</f>
        <v>(0.053)</v>
      </c>
      <c r="G7" t="str">
        <f>""</f>
        <v/>
      </c>
      <c r="H7" t="str">
        <f>""</f>
        <v/>
      </c>
      <c r="I7" t="str">
        <f>"(0.047)"</f>
        <v>(0.047)</v>
      </c>
      <c r="J7" t="str">
        <f>"(0.058)"</f>
        <v>(0.058)</v>
      </c>
      <c r="L7" t="s">
        <v>5</v>
      </c>
      <c r="M7" t="s">
        <v>5</v>
      </c>
      <c r="N7" t="s">
        <v>5</v>
      </c>
      <c r="O7" t="s">
        <v>5</v>
      </c>
    </row>
    <row r="8" spans="2:15" x14ac:dyDescent="0.2">
      <c r="B8" t="str">
        <f>"L3.InfExp_Mean_rv"</f>
        <v>L3.InfExp_Mean_rv</v>
      </c>
      <c r="C8" t="str">
        <f>""</f>
        <v/>
      </c>
      <c r="D8" t="str">
        <f>""</f>
        <v/>
      </c>
      <c r="E8" t="str">
        <f>""</f>
        <v/>
      </c>
      <c r="F8" t="str">
        <f>"0.134**"</f>
        <v>0.134**</v>
      </c>
      <c r="G8" t="str">
        <f>""</f>
        <v/>
      </c>
      <c r="H8" t="str">
        <f>""</f>
        <v/>
      </c>
      <c r="I8" t="str">
        <f>""</f>
        <v/>
      </c>
      <c r="J8" t="str">
        <f>"0.116"</f>
        <v>0.116</v>
      </c>
      <c r="L8" t="s">
        <v>5</v>
      </c>
      <c r="M8" t="s">
        <v>5</v>
      </c>
      <c r="N8" t="s">
        <v>5</v>
      </c>
      <c r="O8" t="s">
        <v>5</v>
      </c>
    </row>
    <row r="9" spans="2:15" x14ac:dyDescent="0.2">
      <c r="B9" t="str">
        <f>""</f>
        <v/>
      </c>
      <c r="C9" t="str">
        <f>""</f>
        <v/>
      </c>
      <c r="D9" t="str">
        <f>""</f>
        <v/>
      </c>
      <c r="E9" t="str">
        <f>""</f>
        <v/>
      </c>
      <c r="F9" t="str">
        <f>"(0.048)"</f>
        <v>(0.048)</v>
      </c>
      <c r="G9" t="str">
        <f>""</f>
        <v/>
      </c>
      <c r="H9" t="str">
        <f>""</f>
        <v/>
      </c>
      <c r="I9" t="str">
        <f>""</f>
        <v/>
      </c>
      <c r="J9" t="str">
        <f>"(0.069)"</f>
        <v>(0.069)</v>
      </c>
      <c r="L9" t="s">
        <v>5</v>
      </c>
      <c r="M9" t="s">
        <v>5</v>
      </c>
      <c r="N9" t="s">
        <v>5</v>
      </c>
      <c r="O9" t="s">
        <v>5</v>
      </c>
    </row>
    <row r="10" spans="2:15" x14ac:dyDescent="0.2">
      <c r="B10" t="str">
        <f>"SPFCPI_ct50"</f>
        <v>SPFCPI_ct50</v>
      </c>
      <c r="C10" t="str">
        <f>""</f>
        <v/>
      </c>
      <c r="D10" t="str">
        <f>"-0.444***"</f>
        <v>-0.444***</v>
      </c>
      <c r="E10" t="str">
        <f>"-0.391**"</f>
        <v>-0.391**</v>
      </c>
      <c r="F10" t="str">
        <f>"-0.454**"</f>
        <v>-0.454**</v>
      </c>
      <c r="G10" t="str">
        <f>""</f>
        <v/>
      </c>
      <c r="H10" t="str">
        <f>""</f>
        <v/>
      </c>
      <c r="I10" t="str">
        <f>""</f>
        <v/>
      </c>
      <c r="J10" t="str">
        <f>""</f>
        <v/>
      </c>
    </row>
    <row r="11" spans="2:15" x14ac:dyDescent="0.2">
      <c r="B11" t="str">
        <f>""</f>
        <v/>
      </c>
      <c r="C11" t="str">
        <f>""</f>
        <v/>
      </c>
      <c r="D11" t="str">
        <f>"(0.105)"</f>
        <v>(0.105)</v>
      </c>
      <c r="E11" t="str">
        <f>"(0.124)"</f>
        <v>(0.124)</v>
      </c>
      <c r="F11" t="str">
        <f>"(0.138)"</f>
        <v>(0.138)</v>
      </c>
      <c r="G11" t="str">
        <f>""</f>
        <v/>
      </c>
      <c r="H11" t="str">
        <f>""</f>
        <v/>
      </c>
      <c r="I11" t="str">
        <f>""</f>
        <v/>
      </c>
      <c r="J11" t="str">
        <f>""</f>
        <v/>
      </c>
    </row>
    <row r="12" spans="2:15" x14ac:dyDescent="0.2">
      <c r="B12" t="str">
        <f>"SPFPCE_ct50"</f>
        <v>SPFPCE_ct50</v>
      </c>
      <c r="C12" t="str">
        <f>""</f>
        <v/>
      </c>
      <c r="D12" t="str">
        <f>""</f>
        <v/>
      </c>
      <c r="E12" t="str">
        <f>""</f>
        <v/>
      </c>
      <c r="F12" t="str">
        <f>""</f>
        <v/>
      </c>
      <c r="G12" t="str">
        <f>""</f>
        <v/>
      </c>
      <c r="H12" t="str">
        <f>"-0.432***"</f>
        <v>-0.432***</v>
      </c>
      <c r="I12" t="str">
        <f>"-0.413***"</f>
        <v>-0.413***</v>
      </c>
      <c r="J12" t="str">
        <f>"-0.504***"</f>
        <v>-0.504***</v>
      </c>
      <c r="L12" t="s">
        <v>5</v>
      </c>
      <c r="M12" t="s">
        <v>5</v>
      </c>
      <c r="N12" t="s">
        <v>5</v>
      </c>
      <c r="O12" t="s">
        <v>5</v>
      </c>
    </row>
    <row r="13" spans="2:15" x14ac:dyDescent="0.2">
      <c r="B13" t="str">
        <f>""</f>
        <v/>
      </c>
      <c r="C13" t="str">
        <f>""</f>
        <v/>
      </c>
      <c r="D13" t="str">
        <f>""</f>
        <v/>
      </c>
      <c r="E13" t="str">
        <f>""</f>
        <v/>
      </c>
      <c r="F13" t="str">
        <f>""</f>
        <v/>
      </c>
      <c r="G13" t="str">
        <f>""</f>
        <v/>
      </c>
      <c r="H13" t="str">
        <f>"(0.109)"</f>
        <v>(0.109)</v>
      </c>
      <c r="I13" t="str">
        <f>"(0.111)"</f>
        <v>(0.111)</v>
      </c>
      <c r="J13" t="str">
        <f>"(0.138)"</f>
        <v>(0.138)</v>
      </c>
      <c r="L13" t="s">
        <v>5</v>
      </c>
      <c r="M13" t="s">
        <v>5</v>
      </c>
      <c r="N13" t="s">
        <v>5</v>
      </c>
      <c r="O13" t="s">
        <v>5</v>
      </c>
    </row>
    <row r="15" spans="2:15" x14ac:dyDescent="0.2">
      <c r="C15" t="str">
        <f>"-1.257***"</f>
        <v>-1.257***</v>
      </c>
      <c r="D15" t="str">
        <f>"0.329"</f>
        <v>0.329</v>
      </c>
      <c r="E15" t="str">
        <f>"0.351"</f>
        <v>0.351</v>
      </c>
      <c r="F15" t="str">
        <f>"0.546*"</f>
        <v>0.546*</v>
      </c>
      <c r="G15" t="str">
        <f>"-1.095***"</f>
        <v>-1.095***</v>
      </c>
      <c r="H15" t="str">
        <f>"0.365"</f>
        <v>0.365</v>
      </c>
      <c r="I15" t="str">
        <f>"0.428*"</f>
        <v>0.428*</v>
      </c>
      <c r="J15" t="str">
        <f>"0.641**"</f>
        <v>0.641**</v>
      </c>
      <c r="L15" t="s">
        <v>5</v>
      </c>
      <c r="M15" t="s">
        <v>5</v>
      </c>
      <c r="N15" t="s">
        <v>5</v>
      </c>
      <c r="O15" t="s">
        <v>5</v>
      </c>
    </row>
    <row r="16" spans="2:15" x14ac:dyDescent="0.2">
      <c r="C16" t="str">
        <f>"(0.045)"</f>
        <v>(0.045)</v>
      </c>
      <c r="D16" t="str">
        <f>"(0.191)"</f>
        <v>(0.191)</v>
      </c>
      <c r="E16" t="str">
        <f>"(0.237)"</f>
        <v>(0.237)</v>
      </c>
      <c r="F16" t="str">
        <f>"(0.269)"</f>
        <v>(0.269)</v>
      </c>
      <c r="G16" t="str">
        <f>"(0.039)"</f>
        <v>(0.039)</v>
      </c>
      <c r="H16" t="str">
        <f>"(0.188)"</f>
        <v>(0.188)</v>
      </c>
      <c r="I16" t="str">
        <f>"(0.191)"</f>
        <v>(0.191)</v>
      </c>
      <c r="J16" t="str">
        <f>"(0.228)"</f>
        <v>(0.228)</v>
      </c>
      <c r="L16" t="s">
        <v>5</v>
      </c>
      <c r="M16" t="s">
        <v>5</v>
      </c>
      <c r="N16" t="s">
        <v>5</v>
      </c>
      <c r="O16" t="s">
        <v>5</v>
      </c>
    </row>
    <row r="17" spans="2:15" x14ac:dyDescent="0.2">
      <c r="B17" t="str">
        <f>"N"</f>
        <v>N</v>
      </c>
      <c r="C17" t="str">
        <f>"1337"</f>
        <v>1337</v>
      </c>
      <c r="D17" t="str">
        <f>"1045"</f>
        <v>1045</v>
      </c>
      <c r="E17" t="str">
        <f>"822"</f>
        <v>822</v>
      </c>
      <c r="F17" t="str">
        <f>"652"</f>
        <v>652</v>
      </c>
      <c r="G17" t="str">
        <f>"1111"</f>
        <v>1111</v>
      </c>
      <c r="H17" t="str">
        <f>"867"</f>
        <v>867</v>
      </c>
      <c r="I17" t="str">
        <f>"683"</f>
        <v>683</v>
      </c>
      <c r="J17" t="str">
        <f>"549"</f>
        <v>549</v>
      </c>
      <c r="L17" t="s">
        <v>5</v>
      </c>
      <c r="M17" t="s">
        <v>5</v>
      </c>
      <c r="N17" t="s">
        <v>5</v>
      </c>
      <c r="O17" t="s">
        <v>5</v>
      </c>
    </row>
    <row r="18" spans="2:15" x14ac:dyDescent="0.2">
      <c r="B18" t="str">
        <f>"r2"</f>
        <v>r2</v>
      </c>
      <c r="C18" t="str">
        <f>"0.000"</f>
        <v>0.000</v>
      </c>
      <c r="D18" t="str">
        <f>"0.335"</f>
        <v>0.335</v>
      </c>
      <c r="E18" t="str">
        <f>"0.355"</f>
        <v>0.355</v>
      </c>
      <c r="F18" t="str">
        <f>"0.372"</f>
        <v>0.372</v>
      </c>
      <c r="G18" t="str">
        <f>"0.000"</f>
        <v>0.000</v>
      </c>
      <c r="H18" t="str">
        <f>"0.409"</f>
        <v>0.409</v>
      </c>
      <c r="I18" t="str">
        <f>"0.444"</f>
        <v>0.444</v>
      </c>
      <c r="J18" t="str">
        <f>"0.452"</f>
        <v>0.452</v>
      </c>
      <c r="L18" t="s">
        <v>5</v>
      </c>
      <c r="M18" t="s">
        <v>5</v>
      </c>
      <c r="N18" t="s">
        <v>5</v>
      </c>
      <c r="O18" t="s">
        <v>5</v>
      </c>
    </row>
    <row r="20" spans="2:15" ht="80" customHeight="1" x14ac:dyDescent="0.2">
      <c r="B20" s="7" t="s"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ht="32" x14ac:dyDescent="0.2">
      <c r="C21" s="4" t="s">
        <v>29</v>
      </c>
      <c r="D21" s="4" t="s">
        <v>30</v>
      </c>
      <c r="E21" s="4" t="s">
        <v>31</v>
      </c>
      <c r="F21" s="4" t="s">
        <v>32</v>
      </c>
      <c r="G21" s="4" t="s">
        <v>29</v>
      </c>
      <c r="H21" s="4" t="s">
        <v>30</v>
      </c>
      <c r="I21" s="4" t="s">
        <v>31</v>
      </c>
      <c r="J21" s="4" t="s">
        <v>32</v>
      </c>
      <c r="L21" s="4" t="s">
        <v>29</v>
      </c>
      <c r="M21" s="4" t="s">
        <v>30</v>
      </c>
      <c r="N21" s="4" t="s">
        <v>31</v>
      </c>
      <c r="O21" s="4" t="s">
        <v>32</v>
      </c>
    </row>
    <row r="22" spans="2:15" x14ac:dyDescent="0.2">
      <c r="B22" t="str">
        <f>"L.InfExp_Var_rv"</f>
        <v>L.InfExp_Var_rv</v>
      </c>
      <c r="C22" t="str">
        <f>""</f>
        <v/>
      </c>
      <c r="D22" t="str">
        <f>"0.290*"</f>
        <v>0.290*</v>
      </c>
      <c r="E22" t="str">
        <f>"0.529***"</f>
        <v>0.529***</v>
      </c>
      <c r="F22" t="str">
        <f>"0.581***"</f>
        <v>0.581***</v>
      </c>
      <c r="G22" t="str">
        <f>""</f>
        <v/>
      </c>
      <c r="H22" t="str">
        <f>"0.577***"</f>
        <v>0.577***</v>
      </c>
      <c r="I22" t="str">
        <f>"0.477***"</f>
        <v>0.477***</v>
      </c>
      <c r="J22" t="str">
        <f>"0.344*"</f>
        <v>0.344*</v>
      </c>
      <c r="L22" t="s">
        <v>5</v>
      </c>
      <c r="M22" t="s">
        <v>5</v>
      </c>
      <c r="N22" t="s">
        <v>5</v>
      </c>
      <c r="O22" t="s">
        <v>5</v>
      </c>
    </row>
    <row r="23" spans="2:15" x14ac:dyDescent="0.2">
      <c r="B23" t="str">
        <f>""</f>
        <v/>
      </c>
      <c r="C23" t="str">
        <f>""</f>
        <v/>
      </c>
      <c r="D23" t="str">
        <f>"(0.122)"</f>
        <v>(0.122)</v>
      </c>
      <c r="E23" t="str">
        <f>"(0.117)"</f>
        <v>(0.117)</v>
      </c>
      <c r="F23" t="str">
        <f>"(0.145)"</f>
        <v>(0.145)</v>
      </c>
      <c r="G23" t="str">
        <f>""</f>
        <v/>
      </c>
      <c r="H23" t="str">
        <f>"(0.080)"</f>
        <v>(0.080)</v>
      </c>
      <c r="I23" t="str">
        <f>"(0.130)"</f>
        <v>(0.130)</v>
      </c>
      <c r="J23" t="str">
        <f>"(0.148)"</f>
        <v>(0.148)</v>
      </c>
      <c r="L23" t="s">
        <v>5</v>
      </c>
      <c r="M23" t="s">
        <v>5</v>
      </c>
      <c r="N23" t="s">
        <v>5</v>
      </c>
      <c r="O23" t="s">
        <v>5</v>
      </c>
    </row>
    <row r="24" spans="2:15" x14ac:dyDescent="0.2">
      <c r="B24" t="str">
        <f>"L2.InfExp_Var_rv"</f>
        <v>L2.InfExp_Var_rv</v>
      </c>
      <c r="C24" t="str">
        <f>""</f>
        <v/>
      </c>
      <c r="D24" t="str">
        <f>""</f>
        <v/>
      </c>
      <c r="E24" t="str">
        <f>"-0.059"</f>
        <v>-0.059</v>
      </c>
      <c r="F24" t="str">
        <f>"-0.209"</f>
        <v>-0.209</v>
      </c>
      <c r="G24" t="str">
        <f>""</f>
        <v/>
      </c>
      <c r="H24" t="str">
        <f>""</f>
        <v/>
      </c>
      <c r="I24" t="str">
        <f>"0.360*"</f>
        <v>0.360*</v>
      </c>
      <c r="J24" t="str">
        <f>"0.205*"</f>
        <v>0.205*</v>
      </c>
      <c r="L24" t="s">
        <v>5</v>
      </c>
      <c r="M24" t="s">
        <v>5</v>
      </c>
      <c r="N24" t="s">
        <v>5</v>
      </c>
      <c r="O24" t="s">
        <v>5</v>
      </c>
    </row>
    <row r="25" spans="2:15" x14ac:dyDescent="0.2">
      <c r="B25" t="str">
        <f>""</f>
        <v/>
      </c>
      <c r="C25" t="str">
        <f>""</f>
        <v/>
      </c>
      <c r="D25" t="str">
        <f>""</f>
        <v/>
      </c>
      <c r="E25" t="str">
        <f>"(0.125)"</f>
        <v>(0.125)</v>
      </c>
      <c r="F25" t="str">
        <f>"(0.127)"</f>
        <v>(0.127)</v>
      </c>
      <c r="G25" t="str">
        <f>""</f>
        <v/>
      </c>
      <c r="H25" t="str">
        <f>""</f>
        <v/>
      </c>
      <c r="I25" t="str">
        <f>"(0.143)"</f>
        <v>(0.143)</v>
      </c>
      <c r="J25" t="str">
        <f>"(0.098)"</f>
        <v>(0.098)</v>
      </c>
      <c r="L25" t="s">
        <v>5</v>
      </c>
      <c r="M25" t="s">
        <v>5</v>
      </c>
      <c r="N25" t="s">
        <v>5</v>
      </c>
      <c r="O25" t="s">
        <v>5</v>
      </c>
    </row>
    <row r="26" spans="2:15" x14ac:dyDescent="0.2">
      <c r="B26" t="str">
        <f>"L3.InfExp_Var_rv"</f>
        <v>L3.InfExp_Var_rv</v>
      </c>
      <c r="C26" t="str">
        <f>""</f>
        <v/>
      </c>
      <c r="D26" t="str">
        <f>""</f>
        <v/>
      </c>
      <c r="E26" t="str">
        <f>""</f>
        <v/>
      </c>
      <c r="F26" t="str">
        <f>"0.353**"</f>
        <v>0.353**</v>
      </c>
      <c r="G26" t="str">
        <f>""</f>
        <v/>
      </c>
      <c r="H26" t="str">
        <f>""</f>
        <v/>
      </c>
      <c r="I26" t="str">
        <f>""</f>
        <v/>
      </c>
      <c r="J26" t="str">
        <f>"0.390*"</f>
        <v>0.390*</v>
      </c>
      <c r="L26" t="s">
        <v>5</v>
      </c>
      <c r="M26" t="s">
        <v>5</v>
      </c>
      <c r="N26" t="s">
        <v>5</v>
      </c>
      <c r="O26" t="s">
        <v>5</v>
      </c>
    </row>
    <row r="27" spans="2:15" x14ac:dyDescent="0.2">
      <c r="B27" t="str">
        <f>""</f>
        <v/>
      </c>
      <c r="C27" t="str">
        <f>""</f>
        <v/>
      </c>
      <c r="D27" t="str">
        <f>""</f>
        <v/>
      </c>
      <c r="E27" t="str">
        <f>""</f>
        <v/>
      </c>
      <c r="F27" t="str">
        <f>"(0.121)"</f>
        <v>(0.121)</v>
      </c>
      <c r="G27" t="str">
        <f>""</f>
        <v/>
      </c>
      <c r="H27" t="str">
        <f>""</f>
        <v/>
      </c>
      <c r="I27" t="str">
        <f>""</f>
        <v/>
      </c>
      <c r="J27" t="str">
        <f>"(0.149)"</f>
        <v>(0.149)</v>
      </c>
      <c r="L27" t="s">
        <v>5</v>
      </c>
      <c r="M27" t="s">
        <v>5</v>
      </c>
      <c r="N27" t="s">
        <v>5</v>
      </c>
      <c r="O27" t="s">
        <v>5</v>
      </c>
    </row>
    <row r="28" spans="2:15" x14ac:dyDescent="0.2">
      <c r="B28" t="str">
        <f>"_cons"</f>
        <v>_cons</v>
      </c>
      <c r="C28" t="str">
        <f>"-0.034***"</f>
        <v>-0.034***</v>
      </c>
      <c r="D28" t="str">
        <f>"-0.011**"</f>
        <v>-0.011**</v>
      </c>
      <c r="E28" t="str">
        <f>"-0.008*"</f>
        <v>-0.008*</v>
      </c>
      <c r="F28" t="str">
        <f>"-0.005"</f>
        <v>-0.005</v>
      </c>
      <c r="G28" t="str">
        <f>"-0.039***"</f>
        <v>-0.039***</v>
      </c>
      <c r="H28" t="str">
        <f>"-0.019**"</f>
        <v>-0.019**</v>
      </c>
      <c r="I28" t="str">
        <f>"-0.010**"</f>
        <v>-0.010**</v>
      </c>
      <c r="J28" t="str">
        <f>"-0.007*"</f>
        <v>-0.007*</v>
      </c>
      <c r="L28" t="s">
        <v>5</v>
      </c>
      <c r="M28" t="s">
        <v>5</v>
      </c>
      <c r="N28" t="s">
        <v>5</v>
      </c>
      <c r="O28" t="s">
        <v>5</v>
      </c>
    </row>
    <row r="29" spans="2:15" x14ac:dyDescent="0.2">
      <c r="B29" t="str">
        <f>""</f>
        <v/>
      </c>
      <c r="C29" t="str">
        <f>"(0.005)"</f>
        <v>(0.005)</v>
      </c>
      <c r="D29" t="str">
        <f>"(0.004)"</f>
        <v>(0.004)</v>
      </c>
      <c r="E29" t="str">
        <f>"(0.003)"</f>
        <v>(0.003)</v>
      </c>
      <c r="F29" t="str">
        <f>"(0.004)"</f>
        <v>(0.004)</v>
      </c>
      <c r="G29" t="str">
        <f>"(0.006)"</f>
        <v>(0.006)</v>
      </c>
      <c r="H29" t="str">
        <f>"(0.006)"</f>
        <v>(0.006)</v>
      </c>
      <c r="I29" t="str">
        <f>"(0.003)"</f>
        <v>(0.003)</v>
      </c>
      <c r="J29" t="str">
        <f>"(0.003)"</f>
        <v>(0.003)</v>
      </c>
      <c r="L29" t="s">
        <v>5</v>
      </c>
      <c r="M29" t="s">
        <v>5</v>
      </c>
      <c r="N29" t="s">
        <v>5</v>
      </c>
      <c r="O29" t="s">
        <v>5</v>
      </c>
    </row>
    <row r="30" spans="2:15" x14ac:dyDescent="0.2">
      <c r="B30" t="str">
        <f>"N"</f>
        <v>N</v>
      </c>
      <c r="C30" t="str">
        <f>"1189"</f>
        <v>1189</v>
      </c>
      <c r="D30" t="str">
        <f>"877"</f>
        <v>877</v>
      </c>
      <c r="E30" t="str">
        <f>"663"</f>
        <v>663</v>
      </c>
      <c r="F30" t="str">
        <f>"504"</f>
        <v>504</v>
      </c>
      <c r="G30" t="str">
        <f>"1082"</f>
        <v>1082</v>
      </c>
      <c r="H30" t="str">
        <f>"801"</f>
        <v>801</v>
      </c>
      <c r="I30" t="str">
        <f>"604"</f>
        <v>604</v>
      </c>
      <c r="J30" t="str">
        <f>"458"</f>
        <v>458</v>
      </c>
      <c r="L30" t="s">
        <v>5</v>
      </c>
      <c r="M30" t="s">
        <v>5</v>
      </c>
      <c r="N30" t="s">
        <v>5</v>
      </c>
      <c r="O30" t="s">
        <v>5</v>
      </c>
    </row>
    <row r="31" spans="2:15" x14ac:dyDescent="0.2">
      <c r="B31" t="str">
        <f>"r2"</f>
        <v>r2</v>
      </c>
      <c r="C31" t="str">
        <f>"0.000"</f>
        <v>0.000</v>
      </c>
      <c r="D31" t="str">
        <f>"0.124"</f>
        <v>0.124</v>
      </c>
      <c r="E31" t="str">
        <f>"0.284"</f>
        <v>0.284</v>
      </c>
      <c r="F31" t="str">
        <f>"0.408"</f>
        <v>0.408</v>
      </c>
      <c r="G31" t="str">
        <f>"0.000"</f>
        <v>0.000</v>
      </c>
      <c r="H31" t="str">
        <f>"0.353"</f>
        <v>0.353</v>
      </c>
      <c r="I31" t="str">
        <f>"0.583"</f>
        <v>0.583</v>
      </c>
      <c r="J31" t="str">
        <f>"0.723"</f>
        <v>0.723</v>
      </c>
      <c r="L31" t="s">
        <v>5</v>
      </c>
      <c r="M31" t="s">
        <v>5</v>
      </c>
      <c r="N31" t="s">
        <v>5</v>
      </c>
      <c r="O31" t="s">
        <v>5</v>
      </c>
    </row>
    <row r="32" spans="2:15" ht="80" x14ac:dyDescent="0.2">
      <c r="B32" s="1" t="s">
        <v>8</v>
      </c>
    </row>
    <row r="33" spans="2:15" ht="32" x14ac:dyDescent="0.2">
      <c r="C33" s="4" t="s">
        <v>33</v>
      </c>
      <c r="D33" s="4" t="s">
        <v>30</v>
      </c>
      <c r="E33" s="4" t="s">
        <v>31</v>
      </c>
      <c r="F33" s="4" t="s">
        <v>32</v>
      </c>
      <c r="G33" s="4" t="s">
        <v>29</v>
      </c>
      <c r="H33" s="4" t="s">
        <v>30</v>
      </c>
      <c r="I33" s="4" t="s">
        <v>31</v>
      </c>
      <c r="J33" s="4" t="s">
        <v>32</v>
      </c>
      <c r="L33" s="4" t="s">
        <v>29</v>
      </c>
      <c r="M33" s="4" t="s">
        <v>30</v>
      </c>
      <c r="N33" s="4" t="s">
        <v>31</v>
      </c>
      <c r="O33" s="4" t="s">
        <v>32</v>
      </c>
    </row>
    <row r="34" spans="2:15" x14ac:dyDescent="0.2">
      <c r="B34" t="str">
        <f>"L.InfExp_Mean_ch"</f>
        <v>L.InfExp_Mean_ch</v>
      </c>
      <c r="C34" t="str">
        <f>""</f>
        <v/>
      </c>
      <c r="D34" t="str">
        <f>"-0.295***"</f>
        <v>-0.295***</v>
      </c>
      <c r="E34" t="str">
        <f>"-0.344***"</f>
        <v>-0.344***</v>
      </c>
      <c r="F34" t="str">
        <f>"-0.367***"</f>
        <v>-0.367***</v>
      </c>
      <c r="G34" t="str">
        <f>""</f>
        <v/>
      </c>
      <c r="H34" t="str">
        <f>"-0.303***"</f>
        <v>-0.303***</v>
      </c>
      <c r="I34" t="str">
        <f>"-0.348***"</f>
        <v>-0.348***</v>
      </c>
      <c r="J34" t="str">
        <f>"-0.364***"</f>
        <v>-0.364***</v>
      </c>
      <c r="K34" t="str">
        <f>"L.InfExp_Var_ch"</f>
        <v>L.InfExp_Var_ch</v>
      </c>
      <c r="L34" t="str">
        <f>""</f>
        <v/>
      </c>
      <c r="M34" t="str">
        <f>"-0.382***"</f>
        <v>-0.382***</v>
      </c>
      <c r="N34" t="str">
        <f>"-0.565***"</f>
        <v>-0.565***</v>
      </c>
      <c r="O34" t="str">
        <f>"-0.652***"</f>
        <v>-0.652***</v>
      </c>
    </row>
    <row r="35" spans="2:15" x14ac:dyDescent="0.2">
      <c r="B35" t="str">
        <f>""</f>
        <v/>
      </c>
      <c r="C35" t="str">
        <f>""</f>
        <v/>
      </c>
      <c r="D35" t="str">
        <f>"(0.034)"</f>
        <v>(0.034)</v>
      </c>
      <c r="E35" t="str">
        <f>"(0.044)"</f>
        <v>(0.044)</v>
      </c>
      <c r="F35" t="str">
        <f>"(0.045)"</f>
        <v>(0.045)</v>
      </c>
      <c r="G35" t="str">
        <f>""</f>
        <v/>
      </c>
      <c r="H35" t="str">
        <f>"(0.043)"</f>
        <v>(0.043)</v>
      </c>
      <c r="I35" t="str">
        <f>"(0.059)"</f>
        <v>(0.059)</v>
      </c>
      <c r="J35" t="str">
        <f>"(0.062)"</f>
        <v>(0.062)</v>
      </c>
      <c r="K35" t="str">
        <f>""</f>
        <v/>
      </c>
      <c r="L35" t="str">
        <f>""</f>
        <v/>
      </c>
      <c r="M35" t="str">
        <f>"(0.015)"</f>
        <v>(0.015)</v>
      </c>
      <c r="N35" t="str">
        <f>"(0.022)"</f>
        <v>(0.022)</v>
      </c>
      <c r="O35" t="str">
        <f>"(0.037)"</f>
        <v>(0.037)</v>
      </c>
    </row>
    <row r="36" spans="2:15" x14ac:dyDescent="0.2">
      <c r="B36" t="str">
        <f>"L2.InfExp_Mean_ch"</f>
        <v>L2.InfExp_Mean_ch</v>
      </c>
      <c r="C36" t="str">
        <f>""</f>
        <v/>
      </c>
      <c r="D36" t="str">
        <f>""</f>
        <v/>
      </c>
      <c r="E36" t="str">
        <f>"-0.179***"</f>
        <v>-0.179***</v>
      </c>
      <c r="F36" t="str">
        <f>"-0.242***"</f>
        <v>-0.242***</v>
      </c>
      <c r="G36" t="str">
        <f>""</f>
        <v/>
      </c>
      <c r="H36" t="str">
        <f>""</f>
        <v/>
      </c>
      <c r="I36" t="str">
        <f>"-0.162*"</f>
        <v>-0.162*</v>
      </c>
      <c r="J36" t="str">
        <f>"-0.200**"</f>
        <v>-0.200**</v>
      </c>
      <c r="K36" t="str">
        <f>"L2.InfExp_Var_ch"</f>
        <v>L2.InfExp_Var_ch</v>
      </c>
      <c r="L36" t="str">
        <f>""</f>
        <v/>
      </c>
      <c r="M36" t="str">
        <f>""</f>
        <v/>
      </c>
      <c r="N36" t="str">
        <f>"-0.300***"</f>
        <v>-0.300***</v>
      </c>
      <c r="O36" t="str">
        <f>"-0.406***"</f>
        <v>-0.406***</v>
      </c>
    </row>
    <row r="37" spans="2:15" x14ac:dyDescent="0.2">
      <c r="B37" t="str">
        <f>""</f>
        <v/>
      </c>
      <c r="C37" t="str">
        <f>""</f>
        <v/>
      </c>
      <c r="D37" t="str">
        <f>""</f>
        <v/>
      </c>
      <c r="E37" t="str">
        <f>"(0.047)"</f>
        <v>(0.047)</v>
      </c>
      <c r="F37" t="str">
        <f>"(0.049)"</f>
        <v>(0.049)</v>
      </c>
      <c r="G37" t="str">
        <f>""</f>
        <v/>
      </c>
      <c r="H37" t="str">
        <f>""</f>
        <v/>
      </c>
      <c r="I37" t="str">
        <f>"(0.061)"</f>
        <v>(0.061)</v>
      </c>
      <c r="J37" t="str">
        <f>"(0.067)"</f>
        <v>(0.067)</v>
      </c>
      <c r="K37" t="str">
        <f>""</f>
        <v/>
      </c>
      <c r="L37" t="str">
        <f>""</f>
        <v/>
      </c>
      <c r="M37" t="str">
        <f>""</f>
        <v/>
      </c>
      <c r="N37" t="str">
        <f>"(0.021)"</f>
        <v>(0.021)</v>
      </c>
      <c r="O37" t="str">
        <f>"(0.031)"</f>
        <v>(0.031)</v>
      </c>
    </row>
    <row r="38" spans="2:15" x14ac:dyDescent="0.2">
      <c r="B38" t="str">
        <f>"L3.InfExp_Mean_ch"</f>
        <v>L3.InfExp_Mean_ch</v>
      </c>
      <c r="C38" t="str">
        <f>""</f>
        <v/>
      </c>
      <c r="D38" t="str">
        <f>""</f>
        <v/>
      </c>
      <c r="E38" t="str">
        <f>""</f>
        <v/>
      </c>
      <c r="F38" t="str">
        <f>"-0.097**"</f>
        <v>-0.097**</v>
      </c>
      <c r="G38" t="str">
        <f>""</f>
        <v/>
      </c>
      <c r="H38" t="str">
        <f>""</f>
        <v/>
      </c>
      <c r="I38" t="str">
        <f>""</f>
        <v/>
      </c>
      <c r="J38" t="str">
        <f>"-0.088*"</f>
        <v>-0.088*</v>
      </c>
      <c r="K38" t="str">
        <f>"L3.InfExp_Var_ch"</f>
        <v>L3.InfExp_Var_ch</v>
      </c>
      <c r="L38" t="str">
        <f>""</f>
        <v/>
      </c>
      <c r="M38" t="str">
        <f>""</f>
        <v/>
      </c>
      <c r="N38" t="str">
        <f>"-0.123***"</f>
        <v>-0.123***</v>
      </c>
      <c r="O38" t="str">
        <f>"-0.265***"</f>
        <v>-0.265***</v>
      </c>
    </row>
    <row r="39" spans="2:15" x14ac:dyDescent="0.2">
      <c r="B39" t="str">
        <f>""</f>
        <v/>
      </c>
      <c r="C39" t="str">
        <f>""</f>
        <v/>
      </c>
      <c r="D39" t="str">
        <f>""</f>
        <v/>
      </c>
      <c r="E39" t="str">
        <f>""</f>
        <v/>
      </c>
      <c r="F39" t="str">
        <f>"(0.032)"</f>
        <v>(0.032)</v>
      </c>
      <c r="G39" t="str">
        <f>""</f>
        <v/>
      </c>
      <c r="H39" t="str">
        <f>""</f>
        <v/>
      </c>
      <c r="I39" t="str">
        <f>""</f>
        <v/>
      </c>
      <c r="J39" t="str">
        <f>"(0.036)"</f>
        <v>(0.036)</v>
      </c>
      <c r="K39" t="str">
        <f>""</f>
        <v/>
      </c>
      <c r="L39" t="str">
        <f>""</f>
        <v/>
      </c>
      <c r="M39" t="str">
        <f>""</f>
        <v/>
      </c>
      <c r="N39" t="str">
        <f>"(0.012)"</f>
        <v>(0.012)</v>
      </c>
      <c r="O39" t="str">
        <f>"(0.027)"</f>
        <v>(0.027)</v>
      </c>
    </row>
    <row r="40" spans="2:15" x14ac:dyDescent="0.2">
      <c r="C40" t="str">
        <f>""</f>
        <v/>
      </c>
      <c r="D40" t="str">
        <f>""</f>
        <v/>
      </c>
      <c r="E40" t="str">
        <f>""</f>
        <v/>
      </c>
      <c r="F40" t="str">
        <f>""</f>
        <v/>
      </c>
      <c r="G40" t="str">
        <f>""</f>
        <v/>
      </c>
      <c r="H40" t="str">
        <f>""</f>
        <v/>
      </c>
      <c r="I40" t="str">
        <f>""</f>
        <v/>
      </c>
      <c r="J40" t="str">
        <f>""</f>
        <v/>
      </c>
      <c r="K40" t="str">
        <f>"L4.InfExp_Var_ch"</f>
        <v>L4.InfExp_Var_ch</v>
      </c>
      <c r="L40" t="str">
        <f>""</f>
        <v/>
      </c>
      <c r="M40" t="str">
        <f>""</f>
        <v/>
      </c>
      <c r="N40" t="str">
        <f>""</f>
        <v/>
      </c>
      <c r="O40" t="str">
        <f>"-0.130***"</f>
        <v>-0.130***</v>
      </c>
    </row>
    <row r="41" spans="2:15" x14ac:dyDescent="0.2">
      <c r="B41" t="str">
        <f>""</f>
        <v/>
      </c>
      <c r="C41" t="str">
        <f>""</f>
        <v/>
      </c>
      <c r="D41" t="str">
        <f>""</f>
        <v/>
      </c>
      <c r="E41" t="str">
        <f>""</f>
        <v/>
      </c>
      <c r="F41" t="str">
        <f>""</f>
        <v/>
      </c>
      <c r="G41" t="str">
        <f>""</f>
        <v/>
      </c>
      <c r="H41" t="str">
        <f>""</f>
        <v/>
      </c>
      <c r="I41" t="str">
        <f>""</f>
        <v/>
      </c>
      <c r="J41" t="str">
        <f>""</f>
        <v/>
      </c>
      <c r="K41" t="str">
        <f>""</f>
        <v/>
      </c>
      <c r="L41" t="str">
        <f>""</f>
        <v/>
      </c>
      <c r="M41" t="str">
        <f>""</f>
        <v/>
      </c>
      <c r="N41" t="str">
        <f>""</f>
        <v/>
      </c>
      <c r="O41" t="str">
        <f>"(0.025)"</f>
        <v>(0.025)</v>
      </c>
    </row>
    <row r="42" spans="2:15" x14ac:dyDescent="0.2">
      <c r="C42" t="str">
        <f>""</f>
        <v/>
      </c>
      <c r="D42" t="str">
        <f>""</f>
        <v/>
      </c>
      <c r="E42" t="str">
        <f>""</f>
        <v/>
      </c>
      <c r="F42" t="str">
        <f>""</f>
        <v/>
      </c>
      <c r="G42" t="str">
        <f>""</f>
        <v/>
      </c>
      <c r="H42" t="str">
        <f>""</f>
        <v/>
      </c>
      <c r="I42" t="str">
        <f>""</f>
        <v/>
      </c>
      <c r="J42" t="str">
        <f>""</f>
        <v/>
      </c>
      <c r="K42" t="str">
        <f>"L5.InfExp_Var_ch"</f>
        <v>L5.InfExp_Var_ch</v>
      </c>
      <c r="L42" t="str">
        <f>""</f>
        <v/>
      </c>
      <c r="M42" t="str">
        <f>""</f>
        <v/>
      </c>
      <c r="N42" t="str">
        <f>""</f>
        <v/>
      </c>
      <c r="O42" t="str">
        <f>"-0.058**"</f>
        <v>-0.058**</v>
      </c>
    </row>
    <row r="43" spans="2:15" x14ac:dyDescent="0.2">
      <c r="B43" t="str">
        <f>""</f>
        <v/>
      </c>
      <c r="C43" t="str">
        <f>""</f>
        <v/>
      </c>
      <c r="D43" t="str">
        <f>""</f>
        <v/>
      </c>
      <c r="E43" t="str">
        <f>""</f>
        <v/>
      </c>
      <c r="F43" t="str">
        <f>""</f>
        <v/>
      </c>
      <c r="G43" t="str">
        <f>""</f>
        <v/>
      </c>
      <c r="H43" t="str">
        <f>""</f>
        <v/>
      </c>
      <c r="I43" t="str">
        <f>""</f>
        <v/>
      </c>
      <c r="J43" t="str">
        <f>""</f>
        <v/>
      </c>
      <c r="K43" t="str">
        <f>""</f>
        <v/>
      </c>
      <c r="L43" t="str">
        <f>""</f>
        <v/>
      </c>
      <c r="M43" t="str">
        <f>""</f>
        <v/>
      </c>
      <c r="N43" t="str">
        <f>""</f>
        <v/>
      </c>
      <c r="O43" t="str">
        <f>"(0.018)"</f>
        <v>(0.018)</v>
      </c>
    </row>
    <row r="44" spans="2:15" x14ac:dyDescent="0.2">
      <c r="C44" t="str">
        <f>""</f>
        <v/>
      </c>
      <c r="D44" t="str">
        <f>""</f>
        <v/>
      </c>
      <c r="E44" t="str">
        <f>""</f>
        <v/>
      </c>
      <c r="F44" t="str">
        <f>""</f>
        <v/>
      </c>
      <c r="G44" t="str">
        <f>""</f>
        <v/>
      </c>
      <c r="H44" t="str">
        <f>""</f>
        <v/>
      </c>
      <c r="I44" t="str">
        <f>""</f>
        <v/>
      </c>
      <c r="J44" t="str">
        <f>""</f>
        <v/>
      </c>
      <c r="K44" t="str">
        <f>"L6.InfExp_Var_ch"</f>
        <v>L6.InfExp_Var_ch</v>
      </c>
      <c r="L44" t="str">
        <f>""</f>
        <v/>
      </c>
      <c r="M44" t="str">
        <f>""</f>
        <v/>
      </c>
      <c r="N44" t="str">
        <f>""</f>
        <v/>
      </c>
      <c r="O44" t="str">
        <f>"-0.025"</f>
        <v>-0.025</v>
      </c>
    </row>
    <row r="45" spans="2:15" x14ac:dyDescent="0.2">
      <c r="C45" t="str">
        <f>""</f>
        <v/>
      </c>
      <c r="D45" t="str">
        <f>""</f>
        <v/>
      </c>
      <c r="E45" t="str">
        <f>""</f>
        <v/>
      </c>
      <c r="F45" t="str">
        <f>""</f>
        <v/>
      </c>
      <c r="G45" t="str">
        <f>""</f>
        <v/>
      </c>
      <c r="H45" t="str">
        <f>""</f>
        <v/>
      </c>
      <c r="I45" t="str">
        <f>""</f>
        <v/>
      </c>
      <c r="J45" t="str">
        <f>""</f>
        <v/>
      </c>
      <c r="K45" t="str">
        <f>""</f>
        <v/>
      </c>
      <c r="L45" t="str">
        <f>""</f>
        <v/>
      </c>
      <c r="M45" t="str">
        <f>""</f>
        <v/>
      </c>
      <c r="N45" t="str">
        <f>""</f>
        <v/>
      </c>
      <c r="O45" t="str">
        <f>"(0.012)"</f>
        <v>(0.012)</v>
      </c>
    </row>
    <row r="46" spans="2:15" x14ac:dyDescent="0.2">
      <c r="B46" t="str">
        <f>"_cons"</f>
        <v>_cons</v>
      </c>
      <c r="C46" t="str">
        <f>"-0.005"</f>
        <v>-0.005</v>
      </c>
      <c r="D46" t="str">
        <f>"-0.004"</f>
        <v>-0.004</v>
      </c>
      <c r="E46" t="str">
        <f>"-0.011"</f>
        <v>-0.011</v>
      </c>
      <c r="F46" t="str">
        <f>"-0.015"</f>
        <v>-0.015</v>
      </c>
      <c r="G46" t="str">
        <f>"0.001"</f>
        <v>0.001</v>
      </c>
      <c r="H46" t="str">
        <f>"0.008"</f>
        <v>0.008</v>
      </c>
      <c r="I46" t="str">
        <f>"-0.002"</f>
        <v>-0.002</v>
      </c>
      <c r="J46" t="str">
        <f>"-0.007"</f>
        <v>-0.007</v>
      </c>
      <c r="K46" t="str">
        <f>"_cons"</f>
        <v>_cons</v>
      </c>
      <c r="L46" t="str">
        <f>"-1.339***"</f>
        <v>-1.339***</v>
      </c>
      <c r="M46" t="str">
        <f>"-1.324***"</f>
        <v>-1.324***</v>
      </c>
      <c r="N46" t="str">
        <f>"-1.139***"</f>
        <v>-1.139***</v>
      </c>
      <c r="O46" t="str">
        <f>"-0.839***"</f>
        <v>-0.839***</v>
      </c>
    </row>
    <row r="47" spans="2:15" x14ac:dyDescent="0.2">
      <c r="B47" t="str">
        <f>""</f>
        <v/>
      </c>
      <c r="C47" t="str">
        <f>"(0.023)"</f>
        <v>(0.023)</v>
      </c>
      <c r="D47" t="str">
        <f>"(0.024)"</f>
        <v>(0.024)</v>
      </c>
      <c r="E47" t="str">
        <f>"(0.026)"</f>
        <v>(0.026)</v>
      </c>
      <c r="F47" t="str">
        <f>"(0.026)"</f>
        <v>(0.026)</v>
      </c>
      <c r="G47" t="str">
        <f>"(0.020)"</f>
        <v>(0.020)</v>
      </c>
      <c r="H47" t="str">
        <f>"(0.020)"</f>
        <v>(0.020)</v>
      </c>
      <c r="I47" t="str">
        <f>"(0.022)"</f>
        <v>(0.022)</v>
      </c>
      <c r="J47" t="str">
        <f>"(0.022)"</f>
        <v>(0.022)</v>
      </c>
      <c r="L47" t="str">
        <f>"(0.123)"</f>
        <v>(0.123)</v>
      </c>
      <c r="M47" t="str">
        <f>"(0.110)"</f>
        <v>(0.110)</v>
      </c>
      <c r="N47" t="str">
        <f>"(0.104)"</f>
        <v>(0.104)</v>
      </c>
      <c r="O47" t="str">
        <f>"(0.163)"</f>
        <v>(0.163)</v>
      </c>
    </row>
    <row r="48" spans="2:15" x14ac:dyDescent="0.2">
      <c r="B48" t="str">
        <f>"N"</f>
        <v>N</v>
      </c>
      <c r="C48" t="str">
        <f>"1636"</f>
        <v>1636</v>
      </c>
      <c r="D48" t="str">
        <f>"1430"</f>
        <v>1430</v>
      </c>
      <c r="E48" t="str">
        <f>"1266"</f>
        <v>1266</v>
      </c>
      <c r="F48" t="str">
        <f>"1141"</f>
        <v>1141</v>
      </c>
      <c r="G48" t="str">
        <f>"1402"</f>
        <v>1402</v>
      </c>
      <c r="H48" t="str">
        <f>"1190"</f>
        <v>1190</v>
      </c>
      <c r="I48" t="str">
        <f>"1022"</f>
        <v>1022</v>
      </c>
      <c r="J48" t="str">
        <f>"898"</f>
        <v>898</v>
      </c>
      <c r="K48" t="s">
        <v>6</v>
      </c>
      <c r="L48" t="str">
        <f>"53016"</f>
        <v>53016</v>
      </c>
      <c r="M48" t="str">
        <f>"43166"</f>
        <v>43166</v>
      </c>
      <c r="N48" t="str">
        <f>"28850"</f>
        <v>28850</v>
      </c>
      <c r="O48" t="str">
        <f>"14445"</f>
        <v>14445</v>
      </c>
    </row>
    <row r="49" spans="2:15" x14ac:dyDescent="0.2">
      <c r="B49" t="str">
        <f>"r2"</f>
        <v>r2</v>
      </c>
      <c r="C49" t="str">
        <f>"0.000"</f>
        <v>0.000</v>
      </c>
      <c r="D49" t="str">
        <f>"0.086"</f>
        <v>0.086</v>
      </c>
      <c r="E49" t="str">
        <f>"0.112"</f>
        <v>0.112</v>
      </c>
      <c r="F49" t="str">
        <f>"0.128"</f>
        <v>0.128</v>
      </c>
      <c r="G49" t="str">
        <f>"0.000"</f>
        <v>0.000</v>
      </c>
      <c r="H49" t="str">
        <f>"0.090"</f>
        <v>0.090</v>
      </c>
      <c r="I49" t="str">
        <f>"0.112"</f>
        <v>0.112</v>
      </c>
      <c r="J49" t="str">
        <f>"0.120"</f>
        <v>0.120</v>
      </c>
      <c r="K49" t="s">
        <v>7</v>
      </c>
      <c r="L49" t="str">
        <f>"0.000"</f>
        <v>0.000</v>
      </c>
      <c r="M49" t="str">
        <f>"0.182"</f>
        <v>0.182</v>
      </c>
      <c r="N49" t="str">
        <f>"0.278"</f>
        <v>0.278</v>
      </c>
      <c r="O49" t="str">
        <f>"0.321"</f>
        <v>0.321</v>
      </c>
    </row>
    <row r="51" spans="2:15" ht="96" x14ac:dyDescent="0.2">
      <c r="B51" s="1" t="s">
        <v>9</v>
      </c>
    </row>
    <row r="52" spans="2:15" ht="32" x14ac:dyDescent="0.2">
      <c r="C52" s="4" t="s">
        <v>33</v>
      </c>
      <c r="D52" s="4" t="s">
        <v>30</v>
      </c>
      <c r="E52" s="4" t="s">
        <v>31</v>
      </c>
      <c r="F52" s="4" t="s">
        <v>32</v>
      </c>
      <c r="G52" s="4" t="s">
        <v>33</v>
      </c>
      <c r="H52" s="4" t="s">
        <v>30</v>
      </c>
      <c r="I52" s="4" t="s">
        <v>31</v>
      </c>
      <c r="J52" s="4" t="s">
        <v>32</v>
      </c>
      <c r="L52" s="4" t="s">
        <v>33</v>
      </c>
      <c r="M52" s="4" t="s">
        <v>30</v>
      </c>
      <c r="N52" s="4" t="s">
        <v>31</v>
      </c>
      <c r="O52" s="4" t="s">
        <v>32</v>
      </c>
    </row>
    <row r="53" spans="2:15" x14ac:dyDescent="0.2">
      <c r="B53" t="str">
        <f>"L.InfExp_Var_ch"</f>
        <v>L.InfExp_Var_ch</v>
      </c>
      <c r="C53" t="str">
        <f>""</f>
        <v/>
      </c>
      <c r="D53" t="str">
        <f>"-0.393**"</f>
        <v>-0.393**</v>
      </c>
      <c r="E53" t="str">
        <f>"-0.568***"</f>
        <v>-0.568***</v>
      </c>
      <c r="F53" t="str">
        <f>"-0.543**"</f>
        <v>-0.543**</v>
      </c>
      <c r="G53" t="str">
        <f>""</f>
        <v/>
      </c>
      <c r="H53" t="str">
        <f>"-0.444***"</f>
        <v>-0.444***</v>
      </c>
      <c r="I53" t="str">
        <f>"-0.602***"</f>
        <v>-0.602***</v>
      </c>
      <c r="J53" t="str">
        <f>"-0.658***"</f>
        <v>-0.658***</v>
      </c>
      <c r="K53" t="s">
        <v>23</v>
      </c>
      <c r="M53" t="s">
        <v>10</v>
      </c>
      <c r="N53" t="s">
        <v>11</v>
      </c>
      <c r="O53" t="s">
        <v>12</v>
      </c>
    </row>
    <row r="54" spans="2:15" x14ac:dyDescent="0.2">
      <c r="B54" t="str">
        <f>""</f>
        <v/>
      </c>
      <c r="C54" t="str">
        <f>""</f>
        <v/>
      </c>
      <c r="D54" t="str">
        <f>"(0.136)"</f>
        <v>(0.136)</v>
      </c>
      <c r="E54" t="str">
        <f>"(0.146)"</f>
        <v>(0.146)</v>
      </c>
      <c r="F54" t="str">
        <f>"(0.177)"</f>
        <v>(0.177)</v>
      </c>
      <c r="G54" t="str">
        <f>""</f>
        <v/>
      </c>
      <c r="H54" t="str">
        <f>"(0.094)"</f>
        <v>(0.094)</v>
      </c>
      <c r="I54" t="str">
        <f>"(0.127)"</f>
        <v>(0.127)</v>
      </c>
      <c r="J54" t="str">
        <f>"(0.145)"</f>
        <v>(0.145)</v>
      </c>
      <c r="M54">
        <v>-1.4999999999999999E-2</v>
      </c>
      <c r="N54">
        <v>-2.1999999999999999E-2</v>
      </c>
      <c r="O54">
        <v>-3.6999999999999998E-2</v>
      </c>
    </row>
    <row r="55" spans="2:15" x14ac:dyDescent="0.2">
      <c r="B55" t="str">
        <f>"L2.InfExp_Var_ch"</f>
        <v>L2.InfExp_Var_ch</v>
      </c>
      <c r="C55" t="str">
        <f>""</f>
        <v/>
      </c>
      <c r="D55" t="str">
        <f>""</f>
        <v/>
      </c>
      <c r="E55" t="str">
        <f>"-0.322**"</f>
        <v>-0.322**</v>
      </c>
      <c r="F55" t="str">
        <f>"-0.278*"</f>
        <v>-0.278*</v>
      </c>
      <c r="G55" t="str">
        <f>""</f>
        <v/>
      </c>
      <c r="H55" t="str">
        <f>""</f>
        <v/>
      </c>
      <c r="I55" t="str">
        <f>"-0.289*"</f>
        <v>-0.289*</v>
      </c>
      <c r="J55" t="str">
        <f>"-0.404**"</f>
        <v>-0.404**</v>
      </c>
      <c r="K55" t="s">
        <v>24</v>
      </c>
      <c r="N55" t="s">
        <v>13</v>
      </c>
      <c r="O55" t="s">
        <v>14</v>
      </c>
    </row>
    <row r="56" spans="2:15" x14ac:dyDescent="0.2">
      <c r="B56" t="str">
        <f>""</f>
        <v/>
      </c>
      <c r="C56" t="str">
        <f>""</f>
        <v/>
      </c>
      <c r="D56" t="str">
        <f>""</f>
        <v/>
      </c>
      <c r="E56" t="str">
        <f>"(0.104)"</f>
        <v>(0.104)</v>
      </c>
      <c r="F56" t="str">
        <f>"(0.132)"</f>
        <v>(0.132)</v>
      </c>
      <c r="G56" t="str">
        <f>""</f>
        <v/>
      </c>
      <c r="H56" t="str">
        <f>""</f>
        <v/>
      </c>
      <c r="I56" t="str">
        <f>"(0.110)"</f>
        <v>(0.110)</v>
      </c>
      <c r="J56" t="str">
        <f>"(0.137)"</f>
        <v>(0.137)</v>
      </c>
      <c r="N56">
        <v>-2.1000000000000001E-2</v>
      </c>
      <c r="O56">
        <v>-3.1E-2</v>
      </c>
    </row>
    <row r="57" spans="2:15" x14ac:dyDescent="0.2">
      <c r="B57" t="str">
        <f>"L3.InfExp_Var_ch"</f>
        <v>L3.InfExp_Var_ch</v>
      </c>
      <c r="C57" t="str">
        <f>""</f>
        <v/>
      </c>
      <c r="D57" t="str">
        <f>""</f>
        <v/>
      </c>
      <c r="E57" t="str">
        <f>""</f>
        <v/>
      </c>
      <c r="F57" t="str">
        <f>"0.048"</f>
        <v>0.048</v>
      </c>
      <c r="G57" t="str">
        <f>""</f>
        <v/>
      </c>
      <c r="H57" t="str">
        <f>""</f>
        <v/>
      </c>
      <c r="I57" t="str">
        <f>""</f>
        <v/>
      </c>
      <c r="J57" t="str">
        <f>"-0.292"</f>
        <v>-0.292</v>
      </c>
      <c r="K57" t="s">
        <v>25</v>
      </c>
      <c r="N57" t="s">
        <v>15</v>
      </c>
      <c r="O57" t="s">
        <v>16</v>
      </c>
    </row>
    <row r="58" spans="2:15" x14ac:dyDescent="0.2">
      <c r="B58" t="str">
        <f>""</f>
        <v/>
      </c>
      <c r="C58" t="str">
        <f>""</f>
        <v/>
      </c>
      <c r="D58" t="str">
        <f>""</f>
        <v/>
      </c>
      <c r="E58" t="str">
        <f>""</f>
        <v/>
      </c>
      <c r="F58" t="str">
        <f>"(0.096)"</f>
        <v>(0.096)</v>
      </c>
      <c r="G58" t="str">
        <f>""</f>
        <v/>
      </c>
      <c r="H58" t="str">
        <f>""</f>
        <v/>
      </c>
      <c r="I58" t="str">
        <f>""</f>
        <v/>
      </c>
      <c r="J58" t="str">
        <f>"(0.154)"</f>
        <v>(0.154)</v>
      </c>
      <c r="N58">
        <v>-1.2E-2</v>
      </c>
      <c r="O58">
        <v>-2.7E-2</v>
      </c>
    </row>
    <row r="59" spans="2:15" x14ac:dyDescent="0.2">
      <c r="K59" t="s">
        <v>26</v>
      </c>
      <c r="O59" t="s">
        <v>17</v>
      </c>
    </row>
    <row r="60" spans="2:15" x14ac:dyDescent="0.2">
      <c r="O60">
        <v>-2.5000000000000001E-2</v>
      </c>
    </row>
    <row r="61" spans="2:15" x14ac:dyDescent="0.2">
      <c r="K61" t="s">
        <v>27</v>
      </c>
      <c r="O61" t="s">
        <v>18</v>
      </c>
    </row>
    <row r="62" spans="2:15" x14ac:dyDescent="0.2">
      <c r="O62">
        <v>-1.7999999999999999E-2</v>
      </c>
    </row>
    <row r="63" spans="2:15" x14ac:dyDescent="0.2">
      <c r="K63" t="s">
        <v>28</v>
      </c>
      <c r="O63">
        <v>-2.5000000000000001E-2</v>
      </c>
    </row>
    <row r="64" spans="2:15" x14ac:dyDescent="0.2">
      <c r="O64">
        <v>-1.2E-2</v>
      </c>
    </row>
    <row r="65" spans="2:15" x14ac:dyDescent="0.2">
      <c r="B65" t="str">
        <f>"_cons"</f>
        <v>_cons</v>
      </c>
      <c r="C65" t="str">
        <f>"-0.002"</f>
        <v>-0.002</v>
      </c>
      <c r="D65" t="str">
        <f>"-0.001"</f>
        <v>-0.001</v>
      </c>
      <c r="E65" t="str">
        <f>"0.004"</f>
        <v>0.004</v>
      </c>
      <c r="F65" t="str">
        <f>"0.004"</f>
        <v>0.004</v>
      </c>
      <c r="G65" t="str">
        <f>"0.000"</f>
        <v>0.000</v>
      </c>
      <c r="H65" t="str">
        <f>"0.002"</f>
        <v>0.002</v>
      </c>
      <c r="I65" t="str">
        <f>"0.004"</f>
        <v>0.004</v>
      </c>
      <c r="J65" t="str">
        <f>"0.005"</f>
        <v>0.005</v>
      </c>
      <c r="L65" t="s">
        <v>19</v>
      </c>
      <c r="M65" t="s">
        <v>20</v>
      </c>
      <c r="N65" t="s">
        <v>21</v>
      </c>
      <c r="O65" t="s">
        <v>22</v>
      </c>
    </row>
    <row r="66" spans="2:15" x14ac:dyDescent="0.2">
      <c r="C66" t="str">
        <f>"(0.005)"</f>
        <v>(0.005)</v>
      </c>
      <c r="D66" t="str">
        <f>"(0.005)"</f>
        <v>(0.005)</v>
      </c>
      <c r="E66" t="str">
        <f t="shared" ref="E66:J66" si="0">"(0.004)"</f>
        <v>(0.004)</v>
      </c>
      <c r="F66" t="str">
        <f t="shared" si="0"/>
        <v>(0.004)</v>
      </c>
      <c r="G66" t="str">
        <f t="shared" si="0"/>
        <v>(0.004)</v>
      </c>
      <c r="H66" t="str">
        <f t="shared" si="0"/>
        <v>(0.004)</v>
      </c>
      <c r="I66" t="str">
        <f t="shared" si="0"/>
        <v>(0.004)</v>
      </c>
      <c r="J66" t="str">
        <f t="shared" si="0"/>
        <v>(0.004)</v>
      </c>
      <c r="L66">
        <v>-0.123</v>
      </c>
      <c r="M66">
        <v>-0.11</v>
      </c>
      <c r="N66">
        <v>-0.104</v>
      </c>
      <c r="O66">
        <v>-0.16300000000000001</v>
      </c>
    </row>
    <row r="67" spans="2:15" x14ac:dyDescent="0.2">
      <c r="B67" t="s">
        <v>6</v>
      </c>
      <c r="C67" t="str">
        <f>"1202"</f>
        <v>1202</v>
      </c>
      <c r="D67" t="str">
        <f>"950"</f>
        <v>950</v>
      </c>
      <c r="E67" t="str">
        <f>"765"</f>
        <v>765</v>
      </c>
      <c r="F67" t="str">
        <f>"625"</f>
        <v>625</v>
      </c>
      <c r="G67" t="str">
        <f>"1078"</f>
        <v>1078</v>
      </c>
      <c r="H67" t="str">
        <f>"842"</f>
        <v>842</v>
      </c>
      <c r="I67" t="str">
        <f>"657"</f>
        <v>657</v>
      </c>
      <c r="J67" t="str">
        <f>"519"</f>
        <v>519</v>
      </c>
      <c r="L67">
        <v>53016</v>
      </c>
      <c r="M67">
        <v>43166</v>
      </c>
      <c r="N67">
        <v>28850</v>
      </c>
      <c r="O67">
        <v>14445</v>
      </c>
    </row>
    <row r="68" spans="2:15" x14ac:dyDescent="0.2">
      <c r="B68" t="s">
        <v>7</v>
      </c>
      <c r="C68" t="str">
        <f>"0.000"</f>
        <v>0.000</v>
      </c>
      <c r="D68" t="str">
        <f>"0.120"</f>
        <v>0.120</v>
      </c>
      <c r="E68" t="str">
        <f>"0.265"</f>
        <v>0.265</v>
      </c>
      <c r="F68" t="str">
        <f>"0.242"</f>
        <v>0.242</v>
      </c>
      <c r="G68" t="str">
        <f>"0.000"</f>
        <v>0.000</v>
      </c>
      <c r="H68" t="str">
        <f>"0.233"</f>
        <v>0.233</v>
      </c>
      <c r="I68" t="str">
        <f>"0.321"</f>
        <v>0.321</v>
      </c>
      <c r="J68" t="str">
        <f>"0.385"</f>
        <v>0.385</v>
      </c>
      <c r="L68">
        <v>0</v>
      </c>
      <c r="M68">
        <v>0.182</v>
      </c>
      <c r="N68">
        <v>0.27800000000000002</v>
      </c>
      <c r="O68">
        <v>0.32100000000000001</v>
      </c>
    </row>
  </sheetData>
  <mergeCells count="4">
    <mergeCell ref="L1:O1"/>
    <mergeCell ref="G1:J1"/>
    <mergeCell ref="C1:F1"/>
    <mergeCell ref="B20:O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zoomScale="75" workbookViewId="0">
      <selection activeCell="Q16" sqref="Q16"/>
    </sheetView>
  </sheetViews>
  <sheetFormatPr baseColWidth="10" defaultRowHeight="16" x14ac:dyDescent="0.2"/>
  <cols>
    <col min="1" max="1" width="18" style="1" customWidth="1"/>
    <col min="2" max="2" width="33.5" customWidth="1"/>
  </cols>
  <sheetData>
    <row r="1" spans="2:15" x14ac:dyDescent="0.2">
      <c r="B1" s="2"/>
      <c r="C1" s="6" t="s">
        <v>2</v>
      </c>
      <c r="D1" s="6"/>
      <c r="E1" s="6"/>
      <c r="F1" s="6"/>
      <c r="G1" s="6" t="s">
        <v>3</v>
      </c>
      <c r="H1" s="6"/>
      <c r="I1" s="6"/>
      <c r="J1" s="6"/>
      <c r="K1" s="3"/>
      <c r="L1" s="6" t="s">
        <v>4</v>
      </c>
      <c r="M1" s="6"/>
      <c r="N1" s="6"/>
      <c r="O1" s="6"/>
    </row>
    <row r="2" spans="2:15" ht="48" customHeight="1" x14ac:dyDescent="0.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2:15" ht="48" customHeight="1" x14ac:dyDescent="0.2">
      <c r="B3" s="4"/>
      <c r="C3" s="4" t="s">
        <v>29</v>
      </c>
      <c r="D3" s="4" t="s">
        <v>30</v>
      </c>
      <c r="E3" s="4" t="s">
        <v>31</v>
      </c>
      <c r="F3" s="4" t="s">
        <v>32</v>
      </c>
      <c r="G3" s="4" t="s">
        <v>29</v>
      </c>
      <c r="H3" s="4" t="s">
        <v>30</v>
      </c>
      <c r="I3" s="4" t="s">
        <v>31</v>
      </c>
      <c r="J3" s="4" t="s">
        <v>32</v>
      </c>
      <c r="K3" s="4"/>
      <c r="L3" s="4" t="s">
        <v>29</v>
      </c>
      <c r="M3" s="4" t="s">
        <v>30</v>
      </c>
      <c r="N3" s="4" t="s">
        <v>31</v>
      </c>
      <c r="O3" s="4" t="s">
        <v>32</v>
      </c>
    </row>
    <row r="4" spans="2:15" x14ac:dyDescent="0.2">
      <c r="B4" t="str">
        <f>"L.InfExp_Mean_rv"</f>
        <v>L.InfExp_Mean_rv</v>
      </c>
      <c r="C4" t="str">
        <f>""</f>
        <v/>
      </c>
      <c r="D4" t="str">
        <f>"0.539***"</f>
        <v>0.539***</v>
      </c>
      <c r="E4" t="str">
        <f>"0.418***"</f>
        <v>0.418***</v>
      </c>
      <c r="F4" t="str">
        <f>"0.387***"</f>
        <v>0.387***</v>
      </c>
      <c r="G4" t="str">
        <f>""</f>
        <v/>
      </c>
      <c r="H4" t="str">
        <f>"0.606***"</f>
        <v>0.606***</v>
      </c>
      <c r="I4" t="str">
        <f>"0.435***"</f>
        <v>0.435***</v>
      </c>
      <c r="J4" t="str">
        <f>"0.369***"</f>
        <v>0.369***</v>
      </c>
      <c r="K4" t="str">
        <f>"L.InfExp_Mean_rv"</f>
        <v>L.InfExp_Mean_rv</v>
      </c>
      <c r="M4" t="str">
        <f>"0.884***"</f>
        <v>0.884***</v>
      </c>
      <c r="N4" t="str">
        <f>"0.750***"</f>
        <v>0.750***</v>
      </c>
      <c r="O4" t="str">
        <f>"0.685**"</f>
        <v>0.685**</v>
      </c>
    </row>
    <row r="5" spans="2:15" x14ac:dyDescent="0.2">
      <c r="B5" t="str">
        <f>""</f>
        <v/>
      </c>
      <c r="C5" t="str">
        <f>""</f>
        <v/>
      </c>
      <c r="D5" t="str">
        <f>"(0.031)"</f>
        <v>(0.031)</v>
      </c>
      <c r="E5" t="str">
        <f>"(0.043)"</f>
        <v>(0.043)</v>
      </c>
      <c r="F5" t="str">
        <f>"(0.052)"</f>
        <v>(0.052)</v>
      </c>
      <c r="G5" t="str">
        <f>""</f>
        <v/>
      </c>
      <c r="H5" t="str">
        <f>"(0.034)"</f>
        <v>(0.034)</v>
      </c>
      <c r="I5" t="str">
        <f>"(0.042)"</f>
        <v>(0.042)</v>
      </c>
      <c r="J5" t="str">
        <f>"(0.049)"</f>
        <v>(0.049)</v>
      </c>
      <c r="K5" t="str">
        <f>""</f>
        <v/>
      </c>
      <c r="M5" t="str">
        <f>"(0.084)"</f>
        <v>(0.084)</v>
      </c>
      <c r="N5" t="str">
        <f>"(0.171)"</f>
        <v>(0.171)</v>
      </c>
      <c r="O5" t="str">
        <f>"(0.211)"</f>
        <v>(0.211)</v>
      </c>
    </row>
    <row r="6" spans="2:15" x14ac:dyDescent="0.2">
      <c r="B6" t="str">
        <f>"L2.InfExp_Mean_rv"</f>
        <v>L2.InfExp_Mean_rv</v>
      </c>
      <c r="C6" t="str">
        <f>""</f>
        <v/>
      </c>
      <c r="D6" t="str">
        <f>""</f>
        <v/>
      </c>
      <c r="E6" t="str">
        <f>"0.218***"</f>
        <v>0.218***</v>
      </c>
      <c r="F6" t="str">
        <f>"0.166**"</f>
        <v>0.166**</v>
      </c>
      <c r="G6" t="str">
        <f>""</f>
        <v/>
      </c>
      <c r="H6" t="str">
        <f>""</f>
        <v/>
      </c>
      <c r="I6" t="str">
        <f>"0.261***"</f>
        <v>0.261***</v>
      </c>
      <c r="J6" t="str">
        <f>"0.246***"</f>
        <v>0.246***</v>
      </c>
      <c r="K6" t="str">
        <f>"L2.InfExp_Mean_rv"</f>
        <v>L2.InfExp_Mean_rv</v>
      </c>
      <c r="M6" t="str">
        <f>""</f>
        <v/>
      </c>
      <c r="N6" t="str">
        <f>"0.206"</f>
        <v>0.206</v>
      </c>
      <c r="O6" t="str">
        <f>"0.199"</f>
        <v>0.199</v>
      </c>
    </row>
    <row r="7" spans="2:15" x14ac:dyDescent="0.2">
      <c r="B7" t="str">
        <f>""</f>
        <v/>
      </c>
      <c r="C7" t="str">
        <f>""</f>
        <v/>
      </c>
      <c r="D7" t="str">
        <f>""</f>
        <v/>
      </c>
      <c r="E7" t="str">
        <f>"(0.040)"</f>
        <v>(0.040)</v>
      </c>
      <c r="F7" t="str">
        <f>"(0.053)"</f>
        <v>(0.053)</v>
      </c>
      <c r="G7" t="str">
        <f>""</f>
        <v/>
      </c>
      <c r="H7" t="str">
        <f>""</f>
        <v/>
      </c>
      <c r="I7" t="str">
        <f>"(0.047)"</f>
        <v>(0.047)</v>
      </c>
      <c r="J7" t="str">
        <f>"(0.058)"</f>
        <v>(0.058)</v>
      </c>
      <c r="K7" t="str">
        <f>""</f>
        <v/>
      </c>
      <c r="M7" t="str">
        <f>""</f>
        <v/>
      </c>
      <c r="N7" t="str">
        <f>"(0.173)"</f>
        <v>(0.173)</v>
      </c>
      <c r="O7" t="str">
        <f>"(0.185)"</f>
        <v>(0.185)</v>
      </c>
    </row>
    <row r="8" spans="2:15" x14ac:dyDescent="0.2">
      <c r="B8" t="str">
        <f>"L3.InfExp_Mean_rv"</f>
        <v>L3.InfExp_Mean_rv</v>
      </c>
      <c r="C8" t="str">
        <f>""</f>
        <v/>
      </c>
      <c r="D8" t="str">
        <f>""</f>
        <v/>
      </c>
      <c r="E8" t="str">
        <f>""</f>
        <v/>
      </c>
      <c r="F8" t="str">
        <f>"0.134**"</f>
        <v>0.134**</v>
      </c>
      <c r="G8" t="str">
        <f>""</f>
        <v/>
      </c>
      <c r="H8" t="str">
        <f>""</f>
        <v/>
      </c>
      <c r="I8" t="str">
        <f>""</f>
        <v/>
      </c>
      <c r="J8" t="str">
        <f>"0.116"</f>
        <v>0.116</v>
      </c>
      <c r="K8" t="str">
        <f>"L3.InfExp_Mean_rv"</f>
        <v>L3.InfExp_Mean_rv</v>
      </c>
      <c r="M8" t="str">
        <f>""</f>
        <v/>
      </c>
      <c r="N8" t="str">
        <f>"-0.073"</f>
        <v>-0.073</v>
      </c>
      <c r="O8" t="str">
        <f>"-0.122"</f>
        <v>-0.122</v>
      </c>
    </row>
    <row r="9" spans="2:15" x14ac:dyDescent="0.2">
      <c r="B9" t="str">
        <f>""</f>
        <v/>
      </c>
      <c r="C9" t="str">
        <f>""</f>
        <v/>
      </c>
      <c r="D9" t="str">
        <f>""</f>
        <v/>
      </c>
      <c r="E9" t="str">
        <f>""</f>
        <v/>
      </c>
      <c r="F9" t="str">
        <f>"(0.048)"</f>
        <v>(0.048)</v>
      </c>
      <c r="G9" t="str">
        <f>""</f>
        <v/>
      </c>
      <c r="H9" t="str">
        <f>""</f>
        <v/>
      </c>
      <c r="I9" t="str">
        <f>""</f>
        <v/>
      </c>
      <c r="J9" t="str">
        <f>"(0.069)"</f>
        <v>(0.069)</v>
      </c>
      <c r="K9" t="str">
        <f>""</f>
        <v/>
      </c>
      <c r="M9" t="str">
        <f>""</f>
        <v/>
      </c>
      <c r="N9" t="str">
        <f>"(0.191)"</f>
        <v>(0.191)</v>
      </c>
      <c r="O9" t="str">
        <f>"(0.264)"</f>
        <v>(0.264)</v>
      </c>
    </row>
    <row r="10" spans="2:15" x14ac:dyDescent="0.2">
      <c r="B10" t="str">
        <f>"SPFCPI_ct50"</f>
        <v>SPFCPI_ct50</v>
      </c>
      <c r="C10" t="str">
        <f>""</f>
        <v/>
      </c>
      <c r="D10" t="str">
        <f>"-0.444***"</f>
        <v>-0.444***</v>
      </c>
      <c r="E10" t="str">
        <f>"-0.391**"</f>
        <v>-0.391**</v>
      </c>
      <c r="F10" t="str">
        <f>"-0.454**"</f>
        <v>-0.454**</v>
      </c>
      <c r="G10" t="str">
        <f>""</f>
        <v/>
      </c>
      <c r="H10" t="str">
        <f>""</f>
        <v/>
      </c>
      <c r="I10" t="str">
        <f>""</f>
        <v/>
      </c>
      <c r="J10" t="str">
        <f>""</f>
        <v/>
      </c>
      <c r="K10" t="str">
        <f>"L4.InfExp_Mean_rv"</f>
        <v>L4.InfExp_Mean_rv</v>
      </c>
      <c r="M10" t="str">
        <f>""</f>
        <v/>
      </c>
      <c r="N10" t="str">
        <f>""</f>
        <v/>
      </c>
      <c r="O10" t="str">
        <f>"0.055"</f>
        <v>0.055</v>
      </c>
    </row>
    <row r="11" spans="2:15" x14ac:dyDescent="0.2">
      <c r="B11" t="str">
        <f>""</f>
        <v/>
      </c>
      <c r="C11" t="str">
        <f>""</f>
        <v/>
      </c>
      <c r="D11" t="str">
        <f>"(0.105)"</f>
        <v>(0.105)</v>
      </c>
      <c r="E11" t="str">
        <f>"(0.124)"</f>
        <v>(0.124)</v>
      </c>
      <c r="F11" t="str">
        <f>"(0.138)"</f>
        <v>(0.138)</v>
      </c>
      <c r="G11" t="str">
        <f>""</f>
        <v/>
      </c>
      <c r="H11" t="str">
        <f>""</f>
        <v/>
      </c>
      <c r="I11" t="str">
        <f>""</f>
        <v/>
      </c>
      <c r="J11" t="str">
        <f>""</f>
        <v/>
      </c>
      <c r="K11" t="str">
        <f>""</f>
        <v/>
      </c>
      <c r="M11" t="str">
        <f>""</f>
        <v/>
      </c>
      <c r="N11" t="str">
        <f>""</f>
        <v/>
      </c>
      <c r="O11" t="str">
        <f>"(0.217)"</f>
        <v>(0.217)</v>
      </c>
    </row>
    <row r="12" spans="2:15" x14ac:dyDescent="0.2">
      <c r="B12" t="str">
        <f>"SPFPCE_ct50"</f>
        <v>SPFPCE_ct50</v>
      </c>
      <c r="C12" t="str">
        <f>""</f>
        <v/>
      </c>
      <c r="D12" t="str">
        <f>""</f>
        <v/>
      </c>
      <c r="E12" t="str">
        <f>""</f>
        <v/>
      </c>
      <c r="F12" t="str">
        <f>""</f>
        <v/>
      </c>
      <c r="G12" t="str">
        <f>""</f>
        <v/>
      </c>
      <c r="H12" t="str">
        <f>"-0.432***"</f>
        <v>-0.432***</v>
      </c>
      <c r="I12" t="str">
        <f>"-0.413***"</f>
        <v>-0.413***</v>
      </c>
      <c r="J12" t="str">
        <f>"-0.504***"</f>
        <v>-0.504***</v>
      </c>
      <c r="K12" t="str">
        <f>"L5.InfExp_Mean_rv"</f>
        <v>L5.InfExp_Mean_rv</v>
      </c>
      <c r="M12" t="str">
        <f>""</f>
        <v/>
      </c>
      <c r="N12" t="str">
        <f>""</f>
        <v/>
      </c>
      <c r="O12" t="str">
        <f>"0.073"</f>
        <v>0.073</v>
      </c>
    </row>
    <row r="13" spans="2:15" x14ac:dyDescent="0.2">
      <c r="B13" t="str">
        <f>""</f>
        <v/>
      </c>
      <c r="C13" t="str">
        <f>""</f>
        <v/>
      </c>
      <c r="D13" t="str">
        <f>""</f>
        <v/>
      </c>
      <c r="E13" t="str">
        <f>""</f>
        <v/>
      </c>
      <c r="F13" t="str">
        <f>""</f>
        <v/>
      </c>
      <c r="G13" t="str">
        <f>""</f>
        <v/>
      </c>
      <c r="H13" t="str">
        <f>"(0.109)"</f>
        <v>(0.109)</v>
      </c>
      <c r="I13" t="str">
        <f>"(0.111)"</f>
        <v>(0.111)</v>
      </c>
      <c r="J13" t="str">
        <f>"(0.138)"</f>
        <v>(0.138)</v>
      </c>
      <c r="K13" t="str">
        <f>""</f>
        <v/>
      </c>
      <c r="M13" t="str">
        <f>""</f>
        <v/>
      </c>
      <c r="N13" t="str">
        <f>""</f>
        <v/>
      </c>
      <c r="O13" t="str">
        <f>"(0.242)"</f>
        <v>(0.242)</v>
      </c>
    </row>
    <row r="14" spans="2:15" x14ac:dyDescent="0.2">
      <c r="K14" t="str">
        <f>"L6.InfExp_Mean_rv"</f>
        <v>L6.InfExp_Mean_rv</v>
      </c>
      <c r="M14" t="str">
        <f>""</f>
        <v/>
      </c>
      <c r="N14" t="str">
        <f>""</f>
        <v/>
      </c>
      <c r="O14" t="str">
        <f>"-0.016"</f>
        <v>-0.016</v>
      </c>
    </row>
    <row r="15" spans="2:15" x14ac:dyDescent="0.2">
      <c r="M15" t="str">
        <f>""</f>
        <v/>
      </c>
      <c r="N15" t="str">
        <f>""</f>
        <v/>
      </c>
      <c r="O15" t="str">
        <f>"(0.140)"</f>
        <v>(0.140)</v>
      </c>
    </row>
    <row r="16" spans="2:15" x14ac:dyDescent="0.2">
      <c r="B16" t="s">
        <v>54</v>
      </c>
      <c r="C16" t="str">
        <f>"-1.257***"</f>
        <v>-1.257***</v>
      </c>
      <c r="D16" t="str">
        <f>"0.329"</f>
        <v>0.329</v>
      </c>
      <c r="E16" t="str">
        <f>"0.351"</f>
        <v>0.351</v>
      </c>
      <c r="F16" t="str">
        <f>"0.546*"</f>
        <v>0.546*</v>
      </c>
      <c r="G16" t="str">
        <f>"-1.095***"</f>
        <v>-1.095***</v>
      </c>
      <c r="H16" t="str">
        <f>"0.365"</f>
        <v>0.365</v>
      </c>
      <c r="I16" t="str">
        <f>"0.428*"</f>
        <v>0.428*</v>
      </c>
      <c r="J16" t="str">
        <f>"0.641**"</f>
        <v>0.641**</v>
      </c>
      <c r="K16" t="s">
        <v>54</v>
      </c>
      <c r="L16" t="str">
        <f>"-0.263***"</f>
        <v>-0.263***</v>
      </c>
      <c r="M16" t="str">
        <f>"-0.016"</f>
        <v>-0.016</v>
      </c>
      <c r="N16" t="str">
        <f>"-0.010"</f>
        <v>-0.010</v>
      </c>
      <c r="O16" t="str">
        <f>"-0.005"</f>
        <v>-0.005</v>
      </c>
    </row>
    <row r="17" spans="2:15" x14ac:dyDescent="0.2">
      <c r="C17" t="str">
        <f>"(0.045)"</f>
        <v>(0.045)</v>
      </c>
      <c r="D17" t="str">
        <f>"(0.191)"</f>
        <v>(0.191)</v>
      </c>
      <c r="E17" t="str">
        <f>"(0.237)"</f>
        <v>(0.237)</v>
      </c>
      <c r="F17" t="str">
        <f>"(0.269)"</f>
        <v>(0.269)</v>
      </c>
      <c r="G17" t="str">
        <f>"(0.039)"</f>
        <v>(0.039)</v>
      </c>
      <c r="H17" t="str">
        <f>"(0.188)"</f>
        <v>(0.188)</v>
      </c>
      <c r="I17" t="str">
        <f>"(0.191)"</f>
        <v>(0.191)</v>
      </c>
      <c r="J17" t="str">
        <f>"(0.228)"</f>
        <v>(0.228)</v>
      </c>
      <c r="L17" t="str">
        <f>"(0.038)"</f>
        <v>(0.038)</v>
      </c>
      <c r="M17" t="str">
        <f>"(0.029)"</f>
        <v>(0.029)</v>
      </c>
      <c r="N17" t="str">
        <f>"(0.033)"</f>
        <v>(0.033)</v>
      </c>
      <c r="O17" t="str">
        <f>"(0.042)"</f>
        <v>(0.042)</v>
      </c>
    </row>
    <row r="18" spans="2:15" x14ac:dyDescent="0.2">
      <c r="B18" t="str">
        <f>"N"</f>
        <v>N</v>
      </c>
      <c r="C18" t="str">
        <f>"1337"</f>
        <v>1337</v>
      </c>
      <c r="D18" t="str">
        <f>"1045"</f>
        <v>1045</v>
      </c>
      <c r="E18" t="str">
        <f>"822"</f>
        <v>822</v>
      </c>
      <c r="F18" t="str">
        <f>"652"</f>
        <v>652</v>
      </c>
      <c r="G18" t="str">
        <f>"1111"</f>
        <v>1111</v>
      </c>
      <c r="H18" t="str">
        <f>"867"</f>
        <v>867</v>
      </c>
      <c r="I18" t="str">
        <f>"683"</f>
        <v>683</v>
      </c>
      <c r="J18" t="str">
        <f>"549"</f>
        <v>549</v>
      </c>
      <c r="K18" t="str">
        <f>"N"</f>
        <v>N</v>
      </c>
      <c r="L18" t="str">
        <f>"41"</f>
        <v>41</v>
      </c>
      <c r="M18" t="str">
        <f>"40"</f>
        <v>40</v>
      </c>
      <c r="N18" t="str">
        <f>"38"</f>
        <v>38</v>
      </c>
      <c r="O18" t="str">
        <f>"35"</f>
        <v>35</v>
      </c>
    </row>
    <row r="19" spans="2:15" x14ac:dyDescent="0.2">
      <c r="B19" t="str">
        <f>"r2"</f>
        <v>r2</v>
      </c>
      <c r="C19" t="str">
        <f>"0.000"</f>
        <v>0.000</v>
      </c>
      <c r="D19" t="str">
        <f>"0.335"</f>
        <v>0.335</v>
      </c>
      <c r="E19" t="str">
        <f>"0.355"</f>
        <v>0.355</v>
      </c>
      <c r="F19" t="str">
        <f>"0.372"</f>
        <v>0.372</v>
      </c>
      <c r="G19" t="str">
        <f>"0.000"</f>
        <v>0.000</v>
      </c>
      <c r="H19" t="str">
        <f>"0.409"</f>
        <v>0.409</v>
      </c>
      <c r="I19" t="str">
        <f>"0.444"</f>
        <v>0.444</v>
      </c>
      <c r="J19" t="str">
        <f>"0.452"</f>
        <v>0.452</v>
      </c>
      <c r="K19" t="str">
        <f>"r2"</f>
        <v>r2</v>
      </c>
      <c r="L19" t="str">
        <f>"0.000"</f>
        <v>0.000</v>
      </c>
      <c r="M19" t="str">
        <f>"0.717"</f>
        <v>0.717</v>
      </c>
      <c r="N19" t="str">
        <f>"0.732"</f>
        <v>0.732</v>
      </c>
      <c r="O19" t="str">
        <f>"0.690"</f>
        <v>0.690</v>
      </c>
    </row>
    <row r="20" spans="2:15" ht="27" customHeight="1" x14ac:dyDescent="0.2">
      <c r="B20" s="7" t="s"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ht="32" x14ac:dyDescent="0.2">
      <c r="C21" s="4" t="s">
        <v>29</v>
      </c>
      <c r="D21" s="4" t="s">
        <v>30</v>
      </c>
      <c r="E21" s="4" t="s">
        <v>31</v>
      </c>
      <c r="F21" s="4" t="s">
        <v>32</v>
      </c>
      <c r="G21" s="4" t="s">
        <v>29</v>
      </c>
      <c r="H21" s="4" t="s">
        <v>30</v>
      </c>
      <c r="I21" s="4" t="s">
        <v>31</v>
      </c>
      <c r="J21" s="4" t="s">
        <v>32</v>
      </c>
      <c r="L21" s="4" t="s">
        <v>29</v>
      </c>
      <c r="M21" s="4" t="s">
        <v>30</v>
      </c>
      <c r="N21" s="4" t="s">
        <v>31</v>
      </c>
      <c r="O21" s="4" t="s">
        <v>32</v>
      </c>
    </row>
    <row r="22" spans="2:15" x14ac:dyDescent="0.2">
      <c r="B22" t="str">
        <f>"L.InfExp_Var_rv"</f>
        <v>L.InfExp_Var_rv</v>
      </c>
      <c r="C22" t="str">
        <f>""</f>
        <v/>
      </c>
      <c r="D22" t="str">
        <f>"0.290*"</f>
        <v>0.290*</v>
      </c>
      <c r="E22" t="str">
        <f>"0.529***"</f>
        <v>0.529***</v>
      </c>
      <c r="F22" t="str">
        <f>"0.581***"</f>
        <v>0.581***</v>
      </c>
      <c r="G22" t="str">
        <f>""</f>
        <v/>
      </c>
      <c r="H22" t="str">
        <f>"0.577***"</f>
        <v>0.577***</v>
      </c>
      <c r="I22" t="str">
        <f>"0.477***"</f>
        <v>0.477***</v>
      </c>
      <c r="J22" t="str">
        <f>"0.344*"</f>
        <v>0.344*</v>
      </c>
      <c r="K22" t="str">
        <f>"L.InfExp_Var_rv"</f>
        <v>L.InfExp_Var_rv</v>
      </c>
      <c r="L22" t="str">
        <f>""</f>
        <v/>
      </c>
      <c r="M22" t="str">
        <f>"0.731***"</f>
        <v>0.731***</v>
      </c>
      <c r="N22" t="str">
        <f>"0.723***"</f>
        <v>0.723***</v>
      </c>
      <c r="O22" t="str">
        <f>"0.785***"</f>
        <v>0.785***</v>
      </c>
    </row>
    <row r="23" spans="2:15" x14ac:dyDescent="0.2">
      <c r="B23" t="str">
        <f>""</f>
        <v/>
      </c>
      <c r="C23" t="str">
        <f>""</f>
        <v/>
      </c>
      <c r="D23" t="str">
        <f>"(0.122)"</f>
        <v>(0.122)</v>
      </c>
      <c r="E23" t="str">
        <f>"(0.117)"</f>
        <v>(0.117)</v>
      </c>
      <c r="F23" t="str">
        <f>"(0.145)"</f>
        <v>(0.145)</v>
      </c>
      <c r="G23" t="str">
        <f>""</f>
        <v/>
      </c>
      <c r="H23" t="str">
        <f>"(0.080)"</f>
        <v>(0.080)</v>
      </c>
      <c r="I23" t="str">
        <f>"(0.130)"</f>
        <v>(0.130)</v>
      </c>
      <c r="J23" t="str">
        <f>"(0.148)"</f>
        <v>(0.148)</v>
      </c>
      <c r="K23" t="str">
        <f>""</f>
        <v/>
      </c>
      <c r="L23" t="str">
        <f>""</f>
        <v/>
      </c>
      <c r="M23" t="str">
        <f>"(0.108)"</f>
        <v>(0.108)</v>
      </c>
      <c r="N23" t="str">
        <f>"(0.159)"</f>
        <v>(0.159)</v>
      </c>
      <c r="O23" t="str">
        <f>"(0.161)"</f>
        <v>(0.161)</v>
      </c>
    </row>
    <row r="24" spans="2:15" x14ac:dyDescent="0.2">
      <c r="B24" t="str">
        <f>"L2.InfExp_Var_rv"</f>
        <v>L2.InfExp_Var_rv</v>
      </c>
      <c r="C24" t="str">
        <f>""</f>
        <v/>
      </c>
      <c r="D24" t="str">
        <f>""</f>
        <v/>
      </c>
      <c r="E24" t="str">
        <f>"-0.059"</f>
        <v>-0.059</v>
      </c>
      <c r="F24" t="str">
        <f>"-0.209"</f>
        <v>-0.209</v>
      </c>
      <c r="G24" t="str">
        <f>""</f>
        <v/>
      </c>
      <c r="H24" t="str">
        <f>""</f>
        <v/>
      </c>
      <c r="I24" t="str">
        <f>"0.360*"</f>
        <v>0.360*</v>
      </c>
      <c r="J24" t="str">
        <f>"0.205*"</f>
        <v>0.205*</v>
      </c>
      <c r="K24" t="str">
        <f>"L2.InfExp_Var_rv"</f>
        <v>L2.InfExp_Var_rv</v>
      </c>
      <c r="L24" t="str">
        <f>""</f>
        <v/>
      </c>
      <c r="M24" t="str">
        <f>""</f>
        <v/>
      </c>
      <c r="N24" t="str">
        <f>"0.283"</f>
        <v>0.283</v>
      </c>
      <c r="O24" t="str">
        <f>"0.174"</f>
        <v>0.174</v>
      </c>
    </row>
    <row r="25" spans="2:15" x14ac:dyDescent="0.2">
      <c r="B25" t="str">
        <f>""</f>
        <v/>
      </c>
      <c r="C25" t="str">
        <f>""</f>
        <v/>
      </c>
      <c r="D25" t="str">
        <f>""</f>
        <v/>
      </c>
      <c r="E25" t="str">
        <f>"(0.125)"</f>
        <v>(0.125)</v>
      </c>
      <c r="F25" t="str">
        <f>"(0.127)"</f>
        <v>(0.127)</v>
      </c>
      <c r="G25" t="str">
        <f>""</f>
        <v/>
      </c>
      <c r="H25" t="str">
        <f>""</f>
        <v/>
      </c>
      <c r="I25" t="str">
        <f>"(0.143)"</f>
        <v>(0.143)</v>
      </c>
      <c r="J25" t="str">
        <f>"(0.098)"</f>
        <v>(0.098)</v>
      </c>
      <c r="K25" t="str">
        <f>""</f>
        <v/>
      </c>
      <c r="L25" t="str">
        <f>""</f>
        <v/>
      </c>
      <c r="M25" t="str">
        <f>""</f>
        <v/>
      </c>
      <c r="N25" t="str">
        <f>"(0.197)"</f>
        <v>(0.197)</v>
      </c>
      <c r="O25" t="str">
        <f>"(0.246)"</f>
        <v>(0.246)</v>
      </c>
    </row>
    <row r="26" spans="2:15" x14ac:dyDescent="0.2">
      <c r="B26" t="str">
        <f>"L3.InfExp_Var_rv"</f>
        <v>L3.InfExp_Var_rv</v>
      </c>
      <c r="C26" t="str">
        <f>""</f>
        <v/>
      </c>
      <c r="D26" t="str">
        <f>""</f>
        <v/>
      </c>
      <c r="E26" t="str">
        <f>""</f>
        <v/>
      </c>
      <c r="F26" t="str">
        <f>"0.353**"</f>
        <v>0.353**</v>
      </c>
      <c r="G26" t="str">
        <f>""</f>
        <v/>
      </c>
      <c r="H26" t="str">
        <f>""</f>
        <v/>
      </c>
      <c r="I26" t="str">
        <f>""</f>
        <v/>
      </c>
      <c r="J26" t="str">
        <f>"0.390*"</f>
        <v>0.390*</v>
      </c>
      <c r="K26" t="str">
        <f>"L3.InfExp_Var_rv"</f>
        <v>L3.InfExp_Var_rv</v>
      </c>
      <c r="L26" t="str">
        <f>""</f>
        <v/>
      </c>
      <c r="M26" t="str">
        <f>""</f>
        <v/>
      </c>
      <c r="N26" t="str">
        <f>"-0.336"</f>
        <v>-0.336</v>
      </c>
      <c r="O26" t="str">
        <f>"-0.410"</f>
        <v>-0.410</v>
      </c>
    </row>
    <row r="27" spans="2:15" x14ac:dyDescent="0.2">
      <c r="B27" t="str">
        <f>""</f>
        <v/>
      </c>
      <c r="C27" t="str">
        <f>""</f>
        <v/>
      </c>
      <c r="D27" t="str">
        <f>""</f>
        <v/>
      </c>
      <c r="E27" t="str">
        <f>""</f>
        <v/>
      </c>
      <c r="F27" t="str">
        <f>"(0.121)"</f>
        <v>(0.121)</v>
      </c>
      <c r="G27" t="str">
        <f>""</f>
        <v/>
      </c>
      <c r="H27" t="str">
        <f>""</f>
        <v/>
      </c>
      <c r="I27" t="str">
        <f>""</f>
        <v/>
      </c>
      <c r="J27" t="str">
        <f>"(0.149)"</f>
        <v>(0.149)</v>
      </c>
      <c r="K27" t="str">
        <f>""</f>
        <v/>
      </c>
      <c r="L27" t="str">
        <f>""</f>
        <v/>
      </c>
      <c r="M27" t="str">
        <f>""</f>
        <v/>
      </c>
      <c r="N27" t="str">
        <f>"(0.186)"</f>
        <v>(0.186)</v>
      </c>
      <c r="O27" t="str">
        <f>"(0.266)"</f>
        <v>(0.266)</v>
      </c>
    </row>
    <row r="28" spans="2:15" x14ac:dyDescent="0.2">
      <c r="K28" t="str">
        <f>"L4.InfExp_Var_rv"</f>
        <v>L4.InfExp_Var_rv</v>
      </c>
      <c r="L28" t="str">
        <f>""</f>
        <v/>
      </c>
      <c r="M28" t="str">
        <f>""</f>
        <v/>
      </c>
      <c r="N28" t="str">
        <f>""</f>
        <v/>
      </c>
      <c r="O28" t="str">
        <f>"0.270"</f>
        <v>0.270</v>
      </c>
    </row>
    <row r="29" spans="2:15" x14ac:dyDescent="0.2">
      <c r="K29" t="str">
        <f>""</f>
        <v/>
      </c>
      <c r="L29" t="str">
        <f>""</f>
        <v/>
      </c>
      <c r="M29" t="str">
        <f>""</f>
        <v/>
      </c>
      <c r="N29" t="str">
        <f>""</f>
        <v/>
      </c>
      <c r="O29" t="str">
        <f>"(0.219)"</f>
        <v>(0.219)</v>
      </c>
    </row>
    <row r="30" spans="2:15" x14ac:dyDescent="0.2">
      <c r="K30" t="str">
        <f>"L5.InfExp_Var_rv"</f>
        <v>L5.InfExp_Var_rv</v>
      </c>
      <c r="L30" t="str">
        <f>""</f>
        <v/>
      </c>
      <c r="M30" t="str">
        <f>""</f>
        <v/>
      </c>
      <c r="N30" t="str">
        <f>""</f>
        <v/>
      </c>
      <c r="O30" t="str">
        <f>"-0.065"</f>
        <v>-0.065</v>
      </c>
    </row>
    <row r="31" spans="2:15" x14ac:dyDescent="0.2">
      <c r="K31" t="str">
        <f>""</f>
        <v/>
      </c>
      <c r="L31" t="str">
        <f>""</f>
        <v/>
      </c>
      <c r="M31" t="str">
        <f>""</f>
        <v/>
      </c>
      <c r="N31" t="str">
        <f>""</f>
        <v/>
      </c>
      <c r="O31" t="str">
        <f>"(0.248)"</f>
        <v>(0.248)</v>
      </c>
    </row>
    <row r="32" spans="2:15" x14ac:dyDescent="0.2">
      <c r="K32" t="str">
        <f>"L6.InfExp_Var_rv"</f>
        <v>L6.InfExp_Var_rv</v>
      </c>
      <c r="L32" t="str">
        <f>""</f>
        <v/>
      </c>
      <c r="M32" t="str">
        <f>""</f>
        <v/>
      </c>
      <c r="N32" t="str">
        <f>""</f>
        <v/>
      </c>
      <c r="O32" t="str">
        <f>"-0.082"</f>
        <v>-0.082</v>
      </c>
    </row>
    <row r="33" spans="2:15" x14ac:dyDescent="0.2">
      <c r="L33" t="str">
        <f>""</f>
        <v/>
      </c>
      <c r="M33" t="str">
        <f>""</f>
        <v/>
      </c>
      <c r="N33" t="str">
        <f>""</f>
        <v/>
      </c>
      <c r="O33" t="str">
        <f>"(0.172)"</f>
        <v>(0.172)</v>
      </c>
    </row>
    <row r="34" spans="2:15" x14ac:dyDescent="0.2">
      <c r="B34" t="s">
        <v>54</v>
      </c>
      <c r="C34" t="str">
        <f>"-0.034***"</f>
        <v>-0.034***</v>
      </c>
      <c r="D34" t="str">
        <f>"-0.011**"</f>
        <v>-0.011**</v>
      </c>
      <c r="E34" t="str">
        <f>"-0.008*"</f>
        <v>-0.008*</v>
      </c>
      <c r="F34" t="str">
        <f>"-0.005"</f>
        <v>-0.005</v>
      </c>
      <c r="G34" t="str">
        <f>"-0.039***"</f>
        <v>-0.039***</v>
      </c>
      <c r="H34" t="str">
        <f>"-0.019**"</f>
        <v>-0.019**</v>
      </c>
      <c r="I34" t="str">
        <f>"-0.010**"</f>
        <v>-0.010**</v>
      </c>
      <c r="J34" t="str">
        <f>"-0.007*"</f>
        <v>-0.007*</v>
      </c>
      <c r="K34" t="s">
        <v>54</v>
      </c>
      <c r="L34" t="str">
        <f>"-0.590**"</f>
        <v>-0.590**</v>
      </c>
      <c r="M34" t="str">
        <f>"-0.186"</f>
        <v>-0.186</v>
      </c>
      <c r="N34" t="str">
        <f>"-0.199"</f>
        <v>-0.199</v>
      </c>
      <c r="O34" t="str">
        <f>"-0.163"</f>
        <v>-0.163</v>
      </c>
    </row>
    <row r="35" spans="2:15" x14ac:dyDescent="0.2">
      <c r="B35" t="str">
        <f>""</f>
        <v/>
      </c>
      <c r="C35" t="str">
        <f>"(0.005)"</f>
        <v>(0.005)</v>
      </c>
      <c r="D35" t="str">
        <f>"(0.004)"</f>
        <v>(0.004)</v>
      </c>
      <c r="E35" t="str">
        <f>"(0.003)"</f>
        <v>(0.003)</v>
      </c>
      <c r="F35" t="str">
        <f>"(0.004)"</f>
        <v>(0.004)</v>
      </c>
      <c r="G35" t="str">
        <f>"(0.006)"</f>
        <v>(0.006)</v>
      </c>
      <c r="H35" t="str">
        <f>"(0.006)"</f>
        <v>(0.006)</v>
      </c>
      <c r="I35" t="str">
        <f>"(0.003)"</f>
        <v>(0.003)</v>
      </c>
      <c r="J35" t="str">
        <f>"(0.003)"</f>
        <v>(0.003)</v>
      </c>
      <c r="K35" t="str">
        <f>""</f>
        <v/>
      </c>
      <c r="L35" t="str">
        <f>"(0.174)"</f>
        <v>(0.174)</v>
      </c>
      <c r="M35" t="str">
        <f>"(0.155)"</f>
        <v>(0.155)</v>
      </c>
      <c r="N35" t="str">
        <f>"(0.164)"</f>
        <v>(0.164)</v>
      </c>
      <c r="O35" t="str">
        <f>"(0.171)"</f>
        <v>(0.171)</v>
      </c>
    </row>
    <row r="36" spans="2:15" x14ac:dyDescent="0.2">
      <c r="B36" t="str">
        <f>"N"</f>
        <v>N</v>
      </c>
      <c r="C36" t="str">
        <f>"1189"</f>
        <v>1189</v>
      </c>
      <c r="D36" t="str">
        <f>"877"</f>
        <v>877</v>
      </c>
      <c r="E36" t="str">
        <f>"663"</f>
        <v>663</v>
      </c>
      <c r="F36" t="str">
        <f>"504"</f>
        <v>504</v>
      </c>
      <c r="G36" t="str">
        <f>"1082"</f>
        <v>1082</v>
      </c>
      <c r="H36" t="str">
        <f>"801"</f>
        <v>801</v>
      </c>
      <c r="I36" t="str">
        <f>"604"</f>
        <v>604</v>
      </c>
      <c r="J36" t="str">
        <f>"458"</f>
        <v>458</v>
      </c>
      <c r="K36" t="str">
        <f>"N"</f>
        <v>N</v>
      </c>
      <c r="L36" t="str">
        <f>"41"</f>
        <v>41</v>
      </c>
      <c r="M36" t="str">
        <f>"40"</f>
        <v>40</v>
      </c>
      <c r="N36" t="str">
        <f>"38"</f>
        <v>38</v>
      </c>
      <c r="O36" t="str">
        <f>"35"</f>
        <v>35</v>
      </c>
    </row>
    <row r="37" spans="2:15" x14ac:dyDescent="0.2">
      <c r="B37" t="str">
        <f>"r2"</f>
        <v>r2</v>
      </c>
      <c r="C37" t="str">
        <f>"0.000"</f>
        <v>0.000</v>
      </c>
      <c r="D37" t="str">
        <f>"0.124"</f>
        <v>0.124</v>
      </c>
      <c r="E37" t="str">
        <f>"0.284"</f>
        <v>0.284</v>
      </c>
      <c r="F37" t="str">
        <f>"0.408"</f>
        <v>0.408</v>
      </c>
      <c r="G37" t="str">
        <f>"0.000"</f>
        <v>0.000</v>
      </c>
      <c r="H37" t="str">
        <f>"0.353"</f>
        <v>0.353</v>
      </c>
      <c r="I37" t="str">
        <f>"0.583"</f>
        <v>0.583</v>
      </c>
      <c r="J37" t="str">
        <f>"0.723"</f>
        <v>0.723</v>
      </c>
      <c r="K37" t="str">
        <f>"r2"</f>
        <v>r2</v>
      </c>
      <c r="L37" t="str">
        <f>"0.000"</f>
        <v>0.000</v>
      </c>
      <c r="M37" t="str">
        <f>"0.549"</f>
        <v>0.549</v>
      </c>
      <c r="N37" t="str">
        <f>"0.597"</f>
        <v>0.597</v>
      </c>
      <c r="O37" t="str">
        <f>"0.619"</f>
        <v>0.619</v>
      </c>
    </row>
    <row r="38" spans="2:15" ht="80" x14ac:dyDescent="0.2">
      <c r="B38" s="1" t="s">
        <v>8</v>
      </c>
    </row>
    <row r="39" spans="2:15" ht="32" x14ac:dyDescent="0.2">
      <c r="C39" s="4" t="s">
        <v>33</v>
      </c>
      <c r="D39" s="4" t="s">
        <v>30</v>
      </c>
      <c r="E39" s="4" t="s">
        <v>31</v>
      </c>
      <c r="F39" s="4" t="s">
        <v>32</v>
      </c>
      <c r="G39" s="4" t="s">
        <v>29</v>
      </c>
      <c r="H39" s="4" t="s">
        <v>30</v>
      </c>
      <c r="I39" s="4" t="s">
        <v>31</v>
      </c>
      <c r="J39" s="4" t="s">
        <v>32</v>
      </c>
      <c r="L39" s="4" t="s">
        <v>29</v>
      </c>
      <c r="M39" s="4" t="s">
        <v>30</v>
      </c>
      <c r="N39" s="4" t="s">
        <v>31</v>
      </c>
      <c r="O39" s="4" t="s">
        <v>32</v>
      </c>
    </row>
    <row r="40" spans="2:15" x14ac:dyDescent="0.2">
      <c r="B40" t="str">
        <f>"L.InfExp_Mean_ch"</f>
        <v>L.InfExp_Mean_ch</v>
      </c>
      <c r="C40" t="str">
        <f>""</f>
        <v/>
      </c>
      <c r="D40" t="str">
        <f>"-0.295***"</f>
        <v>-0.295***</v>
      </c>
      <c r="E40" t="str">
        <f>"-0.344***"</f>
        <v>-0.344***</v>
      </c>
      <c r="F40" t="str">
        <f>"-0.367***"</f>
        <v>-0.367***</v>
      </c>
      <c r="G40" t="str">
        <f>""</f>
        <v/>
      </c>
      <c r="H40" t="str">
        <f>"-0.303***"</f>
        <v>-0.303***</v>
      </c>
      <c r="I40" t="str">
        <f>"-0.348***"</f>
        <v>-0.348***</v>
      </c>
      <c r="J40" t="str">
        <f>"-0.364***"</f>
        <v>-0.364***</v>
      </c>
      <c r="K40" t="str">
        <f>"L.InfExp_Var_ch"</f>
        <v>L.InfExp_Var_ch</v>
      </c>
      <c r="L40" t="str">
        <f>""</f>
        <v/>
      </c>
      <c r="M40" t="str">
        <f>"-0.382***"</f>
        <v>-0.382***</v>
      </c>
      <c r="N40" t="str">
        <f>"-0.565***"</f>
        <v>-0.565***</v>
      </c>
      <c r="O40" t="str">
        <f>"-0.652***"</f>
        <v>-0.652***</v>
      </c>
    </row>
    <row r="41" spans="2:15" x14ac:dyDescent="0.2">
      <c r="B41" t="str">
        <f>""</f>
        <v/>
      </c>
      <c r="C41" t="str">
        <f>""</f>
        <v/>
      </c>
      <c r="D41" t="str">
        <f>"(0.034)"</f>
        <v>(0.034)</v>
      </c>
      <c r="E41" t="str">
        <f>"(0.044)"</f>
        <v>(0.044)</v>
      </c>
      <c r="F41" t="str">
        <f>"(0.045)"</f>
        <v>(0.045)</v>
      </c>
      <c r="G41" t="str">
        <f>""</f>
        <v/>
      </c>
      <c r="H41" t="str">
        <f>"(0.043)"</f>
        <v>(0.043)</v>
      </c>
      <c r="I41" t="str">
        <f>"(0.059)"</f>
        <v>(0.059)</v>
      </c>
      <c r="J41" t="str">
        <f>"(0.062)"</f>
        <v>(0.062)</v>
      </c>
      <c r="K41" t="str">
        <f>""</f>
        <v/>
      </c>
      <c r="L41" t="str">
        <f>""</f>
        <v/>
      </c>
      <c r="M41" t="str">
        <f>"(0.015)"</f>
        <v>(0.015)</v>
      </c>
      <c r="N41" t="str">
        <f>"(0.022)"</f>
        <v>(0.022)</v>
      </c>
      <c r="O41" t="str">
        <f>"(0.037)"</f>
        <v>(0.037)</v>
      </c>
    </row>
    <row r="42" spans="2:15" x14ac:dyDescent="0.2">
      <c r="B42" t="str">
        <f>"L2.InfExp_Mean_ch"</f>
        <v>L2.InfExp_Mean_ch</v>
      </c>
      <c r="C42" t="str">
        <f>""</f>
        <v/>
      </c>
      <c r="D42" t="str">
        <f>""</f>
        <v/>
      </c>
      <c r="E42" t="str">
        <f>"-0.179***"</f>
        <v>-0.179***</v>
      </c>
      <c r="F42" t="str">
        <f>"-0.242***"</f>
        <v>-0.242***</v>
      </c>
      <c r="G42" t="str">
        <f>""</f>
        <v/>
      </c>
      <c r="H42" t="str">
        <f>""</f>
        <v/>
      </c>
      <c r="I42" t="str">
        <f>"-0.162*"</f>
        <v>-0.162*</v>
      </c>
      <c r="J42" t="str">
        <f>"-0.200**"</f>
        <v>-0.200**</v>
      </c>
      <c r="K42" t="str">
        <f>"L2.InfExp_Var_ch"</f>
        <v>L2.InfExp_Var_ch</v>
      </c>
      <c r="L42" t="str">
        <f>""</f>
        <v/>
      </c>
      <c r="M42" t="str">
        <f>""</f>
        <v/>
      </c>
      <c r="N42" t="str">
        <f>"-0.300***"</f>
        <v>-0.300***</v>
      </c>
      <c r="O42" t="str">
        <f>"-0.406***"</f>
        <v>-0.406***</v>
      </c>
    </row>
    <row r="43" spans="2:15" x14ac:dyDescent="0.2">
      <c r="B43" t="str">
        <f>""</f>
        <v/>
      </c>
      <c r="C43" t="str">
        <f>""</f>
        <v/>
      </c>
      <c r="D43" t="str">
        <f>""</f>
        <v/>
      </c>
      <c r="E43" t="str">
        <f>"(0.047)"</f>
        <v>(0.047)</v>
      </c>
      <c r="F43" t="str">
        <f>"(0.049)"</f>
        <v>(0.049)</v>
      </c>
      <c r="G43" t="str">
        <f>""</f>
        <v/>
      </c>
      <c r="H43" t="str">
        <f>""</f>
        <v/>
      </c>
      <c r="I43" t="str">
        <f>"(0.061)"</f>
        <v>(0.061)</v>
      </c>
      <c r="J43" t="str">
        <f>"(0.067)"</f>
        <v>(0.067)</v>
      </c>
      <c r="K43" t="str">
        <f>""</f>
        <v/>
      </c>
      <c r="L43" t="str">
        <f>""</f>
        <v/>
      </c>
      <c r="M43" t="str">
        <f>""</f>
        <v/>
      </c>
      <c r="N43" t="str">
        <f>"(0.021)"</f>
        <v>(0.021)</v>
      </c>
      <c r="O43" t="str">
        <f>"(0.031)"</f>
        <v>(0.031)</v>
      </c>
    </row>
    <row r="44" spans="2:15" x14ac:dyDescent="0.2">
      <c r="B44" t="str">
        <f>"L3.InfExp_Mean_ch"</f>
        <v>L3.InfExp_Mean_ch</v>
      </c>
      <c r="C44" t="str">
        <f>""</f>
        <v/>
      </c>
      <c r="D44" t="str">
        <f>""</f>
        <v/>
      </c>
      <c r="E44" t="str">
        <f>""</f>
        <v/>
      </c>
      <c r="F44" t="str">
        <f>"-0.097**"</f>
        <v>-0.097**</v>
      </c>
      <c r="G44" t="str">
        <f>""</f>
        <v/>
      </c>
      <c r="H44" t="str">
        <f>""</f>
        <v/>
      </c>
      <c r="I44" t="str">
        <f>""</f>
        <v/>
      </c>
      <c r="J44" t="str">
        <f>"-0.088*"</f>
        <v>-0.088*</v>
      </c>
      <c r="K44" t="str">
        <f>"L3.InfExp_Var_ch"</f>
        <v>L3.InfExp_Var_ch</v>
      </c>
      <c r="L44" t="str">
        <f>""</f>
        <v/>
      </c>
      <c r="M44" t="str">
        <f>""</f>
        <v/>
      </c>
      <c r="N44" t="str">
        <f>"-0.123***"</f>
        <v>-0.123***</v>
      </c>
      <c r="O44" t="str">
        <f>"-0.265***"</f>
        <v>-0.265***</v>
      </c>
    </row>
    <row r="45" spans="2:15" x14ac:dyDescent="0.2">
      <c r="B45" t="str">
        <f>""</f>
        <v/>
      </c>
      <c r="C45" t="str">
        <f>""</f>
        <v/>
      </c>
      <c r="D45" t="str">
        <f>""</f>
        <v/>
      </c>
      <c r="E45" t="str">
        <f>""</f>
        <v/>
      </c>
      <c r="F45" t="str">
        <f>"(0.032)"</f>
        <v>(0.032)</v>
      </c>
      <c r="G45" t="str">
        <f>""</f>
        <v/>
      </c>
      <c r="H45" t="str">
        <f>""</f>
        <v/>
      </c>
      <c r="I45" t="str">
        <f>""</f>
        <v/>
      </c>
      <c r="J45" t="str">
        <f>"(0.036)"</f>
        <v>(0.036)</v>
      </c>
      <c r="K45" t="str">
        <f>""</f>
        <v/>
      </c>
      <c r="L45" t="str">
        <f>""</f>
        <v/>
      </c>
      <c r="M45" t="str">
        <f>""</f>
        <v/>
      </c>
      <c r="N45" t="str">
        <f>"(0.012)"</f>
        <v>(0.012)</v>
      </c>
      <c r="O45" t="str">
        <f>"(0.027)"</f>
        <v>(0.027)</v>
      </c>
    </row>
    <row r="46" spans="2:15" x14ac:dyDescent="0.2">
      <c r="C46" t="str">
        <f>""</f>
        <v/>
      </c>
      <c r="D46" t="str">
        <f>""</f>
        <v/>
      </c>
      <c r="E46" t="str">
        <f>""</f>
        <v/>
      </c>
      <c r="F46" t="str">
        <f>""</f>
        <v/>
      </c>
      <c r="G46" t="str">
        <f>""</f>
        <v/>
      </c>
      <c r="H46" t="str">
        <f>""</f>
        <v/>
      </c>
      <c r="I46" t="str">
        <f>""</f>
        <v/>
      </c>
      <c r="J46" t="str">
        <f>""</f>
        <v/>
      </c>
      <c r="K46" t="str">
        <f>"L4.InfExp_Var_ch"</f>
        <v>L4.InfExp_Var_ch</v>
      </c>
      <c r="L46" t="str">
        <f>""</f>
        <v/>
      </c>
      <c r="M46" t="str">
        <f>""</f>
        <v/>
      </c>
      <c r="N46" t="str">
        <f>""</f>
        <v/>
      </c>
      <c r="O46" t="str">
        <f>"-0.130***"</f>
        <v>-0.130***</v>
      </c>
    </row>
    <row r="47" spans="2:15" x14ac:dyDescent="0.2">
      <c r="B47" t="str">
        <f>""</f>
        <v/>
      </c>
      <c r="C47" t="str">
        <f>""</f>
        <v/>
      </c>
      <c r="D47" t="str">
        <f>""</f>
        <v/>
      </c>
      <c r="E47" t="str">
        <f>""</f>
        <v/>
      </c>
      <c r="F47" t="str">
        <f>""</f>
        <v/>
      </c>
      <c r="G47" t="str">
        <f>""</f>
        <v/>
      </c>
      <c r="H47" t="str">
        <f>""</f>
        <v/>
      </c>
      <c r="I47" t="str">
        <f>""</f>
        <v/>
      </c>
      <c r="J47" t="str">
        <f>""</f>
        <v/>
      </c>
      <c r="K47" t="str">
        <f>""</f>
        <v/>
      </c>
      <c r="L47" t="str">
        <f>""</f>
        <v/>
      </c>
      <c r="M47" t="str">
        <f>""</f>
        <v/>
      </c>
      <c r="N47" t="str">
        <f>""</f>
        <v/>
      </c>
      <c r="O47" t="str">
        <f>"(0.025)"</f>
        <v>(0.025)</v>
      </c>
    </row>
    <row r="48" spans="2:15" x14ac:dyDescent="0.2">
      <c r="C48" t="str">
        <f>""</f>
        <v/>
      </c>
      <c r="D48" t="str">
        <f>""</f>
        <v/>
      </c>
      <c r="E48" t="str">
        <f>""</f>
        <v/>
      </c>
      <c r="F48" t="str">
        <f>""</f>
        <v/>
      </c>
      <c r="G48" t="str">
        <f>""</f>
        <v/>
      </c>
      <c r="H48" t="str">
        <f>""</f>
        <v/>
      </c>
      <c r="I48" t="str">
        <f>""</f>
        <v/>
      </c>
      <c r="J48" t="str">
        <f>""</f>
        <v/>
      </c>
      <c r="K48" t="str">
        <f>"L5.InfExp_Var_ch"</f>
        <v>L5.InfExp_Var_ch</v>
      </c>
      <c r="L48" t="str">
        <f>""</f>
        <v/>
      </c>
      <c r="M48" t="str">
        <f>""</f>
        <v/>
      </c>
      <c r="N48" t="str">
        <f>""</f>
        <v/>
      </c>
      <c r="O48" t="str">
        <f>"-0.058**"</f>
        <v>-0.058**</v>
      </c>
    </row>
    <row r="49" spans="2:15" x14ac:dyDescent="0.2">
      <c r="B49" t="str">
        <f>""</f>
        <v/>
      </c>
      <c r="C49" t="str">
        <f>""</f>
        <v/>
      </c>
      <c r="D49" t="str">
        <f>""</f>
        <v/>
      </c>
      <c r="E49" t="str">
        <f>""</f>
        <v/>
      </c>
      <c r="F49" t="str">
        <f>""</f>
        <v/>
      </c>
      <c r="G49" t="str">
        <f>""</f>
        <v/>
      </c>
      <c r="H49" t="str">
        <f>""</f>
        <v/>
      </c>
      <c r="I49" t="str">
        <f>""</f>
        <v/>
      </c>
      <c r="J49" t="str">
        <f>""</f>
        <v/>
      </c>
      <c r="K49" t="str">
        <f>""</f>
        <v/>
      </c>
      <c r="L49" t="str">
        <f>""</f>
        <v/>
      </c>
      <c r="M49" t="str">
        <f>""</f>
        <v/>
      </c>
      <c r="N49" t="str">
        <f>""</f>
        <v/>
      </c>
      <c r="O49" t="str">
        <f>"(0.018)"</f>
        <v>(0.018)</v>
      </c>
    </row>
    <row r="50" spans="2:15" x14ac:dyDescent="0.2">
      <c r="C50" t="str">
        <f>""</f>
        <v/>
      </c>
      <c r="D50" t="str">
        <f>""</f>
        <v/>
      </c>
      <c r="E50" t="str">
        <f>""</f>
        <v/>
      </c>
      <c r="F50" t="str">
        <f>""</f>
        <v/>
      </c>
      <c r="G50" t="str">
        <f>""</f>
        <v/>
      </c>
      <c r="H50" t="str">
        <f>""</f>
        <v/>
      </c>
      <c r="I50" t="str">
        <f>""</f>
        <v/>
      </c>
      <c r="J50" t="str">
        <f>""</f>
        <v/>
      </c>
      <c r="K50" t="str">
        <f>"L6.InfExp_Var_ch"</f>
        <v>L6.InfExp_Var_ch</v>
      </c>
      <c r="L50" t="str">
        <f>""</f>
        <v/>
      </c>
      <c r="M50" t="str">
        <f>""</f>
        <v/>
      </c>
      <c r="N50" t="str">
        <f>""</f>
        <v/>
      </c>
      <c r="O50" t="str">
        <f>"-0.025"</f>
        <v>-0.025</v>
      </c>
    </row>
    <row r="51" spans="2:15" x14ac:dyDescent="0.2">
      <c r="C51" t="str">
        <f>""</f>
        <v/>
      </c>
      <c r="D51" t="str">
        <f>""</f>
        <v/>
      </c>
      <c r="E51" t="str">
        <f>""</f>
        <v/>
      </c>
      <c r="F51" t="str">
        <f>""</f>
        <v/>
      </c>
      <c r="G51" t="str">
        <f>""</f>
        <v/>
      </c>
      <c r="H51" t="str">
        <f>""</f>
        <v/>
      </c>
      <c r="I51" t="str">
        <f>""</f>
        <v/>
      </c>
      <c r="J51" t="str">
        <f>""</f>
        <v/>
      </c>
      <c r="K51" t="str">
        <f>""</f>
        <v/>
      </c>
      <c r="L51" t="str">
        <f>""</f>
        <v/>
      </c>
      <c r="M51" t="str">
        <f>""</f>
        <v/>
      </c>
      <c r="N51" t="str">
        <f>""</f>
        <v/>
      </c>
      <c r="O51" t="str">
        <f>"(0.012)"</f>
        <v>(0.012)</v>
      </c>
    </row>
    <row r="52" spans="2:15" x14ac:dyDescent="0.2">
      <c r="B52" t="str">
        <f>"_cons"</f>
        <v>_cons</v>
      </c>
      <c r="C52" t="str">
        <f>"-0.005"</f>
        <v>-0.005</v>
      </c>
      <c r="D52" t="str">
        <f>"-0.004"</f>
        <v>-0.004</v>
      </c>
      <c r="E52" t="str">
        <f>"-0.011"</f>
        <v>-0.011</v>
      </c>
      <c r="F52" t="str">
        <f>"-0.015"</f>
        <v>-0.015</v>
      </c>
      <c r="G52" t="str">
        <f>"0.001"</f>
        <v>0.001</v>
      </c>
      <c r="H52" t="str">
        <f>"0.008"</f>
        <v>0.008</v>
      </c>
      <c r="I52" t="str">
        <f>"-0.002"</f>
        <v>-0.002</v>
      </c>
      <c r="J52" t="str">
        <f>"-0.007"</f>
        <v>-0.007</v>
      </c>
      <c r="K52" t="str">
        <f>"_cons"</f>
        <v>_cons</v>
      </c>
      <c r="L52" t="str">
        <f>"-1.339***"</f>
        <v>-1.339***</v>
      </c>
      <c r="M52" t="str">
        <f>"-1.324***"</f>
        <v>-1.324***</v>
      </c>
      <c r="N52" t="str">
        <f>"-1.139***"</f>
        <v>-1.139***</v>
      </c>
      <c r="O52" t="str">
        <f>"-0.839***"</f>
        <v>-0.839***</v>
      </c>
    </row>
    <row r="53" spans="2:15" x14ac:dyDescent="0.2">
      <c r="B53" t="str">
        <f>""</f>
        <v/>
      </c>
      <c r="C53" t="str">
        <f>"(0.023)"</f>
        <v>(0.023)</v>
      </c>
      <c r="D53" t="str">
        <f>"(0.024)"</f>
        <v>(0.024)</v>
      </c>
      <c r="E53" t="str">
        <f>"(0.026)"</f>
        <v>(0.026)</v>
      </c>
      <c r="F53" t="str">
        <f>"(0.026)"</f>
        <v>(0.026)</v>
      </c>
      <c r="G53" t="str">
        <f>"(0.020)"</f>
        <v>(0.020)</v>
      </c>
      <c r="H53" t="str">
        <f>"(0.020)"</f>
        <v>(0.020)</v>
      </c>
      <c r="I53" t="str">
        <f>"(0.022)"</f>
        <v>(0.022)</v>
      </c>
      <c r="J53" t="str">
        <f>"(0.022)"</f>
        <v>(0.022)</v>
      </c>
      <c r="L53" t="str">
        <f>"(0.123)"</f>
        <v>(0.123)</v>
      </c>
      <c r="M53" t="str">
        <f>"(0.110)"</f>
        <v>(0.110)</v>
      </c>
      <c r="N53" t="str">
        <f>"(0.104)"</f>
        <v>(0.104)</v>
      </c>
      <c r="O53" t="str">
        <f>"(0.163)"</f>
        <v>(0.163)</v>
      </c>
    </row>
    <row r="54" spans="2:15" x14ac:dyDescent="0.2">
      <c r="B54" t="str">
        <f>"N"</f>
        <v>N</v>
      </c>
      <c r="C54" t="str">
        <f>"1636"</f>
        <v>1636</v>
      </c>
      <c r="D54" t="str">
        <f>"1430"</f>
        <v>1430</v>
      </c>
      <c r="E54" t="str">
        <f>"1266"</f>
        <v>1266</v>
      </c>
      <c r="F54" t="str">
        <f>"1141"</f>
        <v>1141</v>
      </c>
      <c r="G54" t="str">
        <f>"1402"</f>
        <v>1402</v>
      </c>
      <c r="H54" t="str">
        <f>"1190"</f>
        <v>1190</v>
      </c>
      <c r="I54" t="str">
        <f>"1022"</f>
        <v>1022</v>
      </c>
      <c r="J54" t="str">
        <f>"898"</f>
        <v>898</v>
      </c>
      <c r="K54" t="s">
        <v>6</v>
      </c>
      <c r="L54" t="str">
        <f>"53016"</f>
        <v>53016</v>
      </c>
      <c r="M54" t="str">
        <f>"43166"</f>
        <v>43166</v>
      </c>
      <c r="N54" t="str">
        <f>"28850"</f>
        <v>28850</v>
      </c>
      <c r="O54" t="str">
        <f>"14445"</f>
        <v>14445</v>
      </c>
    </row>
    <row r="55" spans="2:15" x14ac:dyDescent="0.2">
      <c r="B55" t="str">
        <f>"r2"</f>
        <v>r2</v>
      </c>
      <c r="C55" t="str">
        <f>"0.000"</f>
        <v>0.000</v>
      </c>
      <c r="D55" t="str">
        <f>"0.086"</f>
        <v>0.086</v>
      </c>
      <c r="E55" t="str">
        <f>"0.112"</f>
        <v>0.112</v>
      </c>
      <c r="F55" t="str">
        <f>"0.128"</f>
        <v>0.128</v>
      </c>
      <c r="G55" t="str">
        <f>"0.000"</f>
        <v>0.000</v>
      </c>
      <c r="H55" t="str">
        <f>"0.090"</f>
        <v>0.090</v>
      </c>
      <c r="I55" t="str">
        <f>"0.112"</f>
        <v>0.112</v>
      </c>
      <c r="J55" t="str">
        <f>"0.120"</f>
        <v>0.120</v>
      </c>
      <c r="K55" t="s">
        <v>7</v>
      </c>
      <c r="L55" t="str">
        <f>"0.000"</f>
        <v>0.000</v>
      </c>
      <c r="M55" t="str">
        <f>"0.182"</f>
        <v>0.182</v>
      </c>
      <c r="N55" t="str">
        <f>"0.278"</f>
        <v>0.278</v>
      </c>
      <c r="O55" t="str">
        <f>"0.321"</f>
        <v>0.321</v>
      </c>
    </row>
    <row r="57" spans="2:15" ht="96" x14ac:dyDescent="0.2">
      <c r="B57" s="1" t="s">
        <v>9</v>
      </c>
    </row>
    <row r="58" spans="2:15" ht="32" x14ac:dyDescent="0.2">
      <c r="C58" s="4" t="s">
        <v>33</v>
      </c>
      <c r="D58" s="4" t="s">
        <v>30</v>
      </c>
      <c r="E58" s="4" t="s">
        <v>31</v>
      </c>
      <c r="F58" s="4" t="s">
        <v>32</v>
      </c>
      <c r="G58" s="4" t="s">
        <v>33</v>
      </c>
      <c r="H58" s="4" t="s">
        <v>30</v>
      </c>
      <c r="I58" s="4" t="s">
        <v>31</v>
      </c>
      <c r="J58" s="4" t="s">
        <v>32</v>
      </c>
      <c r="L58" s="4" t="s">
        <v>33</v>
      </c>
      <c r="M58" s="4" t="s">
        <v>30</v>
      </c>
      <c r="N58" s="4" t="s">
        <v>31</v>
      </c>
      <c r="O58" s="4" t="s">
        <v>32</v>
      </c>
    </row>
    <row r="59" spans="2:15" x14ac:dyDescent="0.2">
      <c r="B59" t="str">
        <f>"L.InfExp_Var_ch"</f>
        <v>L.InfExp_Var_ch</v>
      </c>
      <c r="C59" t="str">
        <f>""</f>
        <v/>
      </c>
      <c r="D59" t="str">
        <f>"-0.393**"</f>
        <v>-0.393**</v>
      </c>
      <c r="E59" t="str">
        <f>"-0.568***"</f>
        <v>-0.568***</v>
      </c>
      <c r="F59" t="str">
        <f>"-0.543**"</f>
        <v>-0.543**</v>
      </c>
      <c r="G59" t="str">
        <f>""</f>
        <v/>
      </c>
      <c r="H59" t="str">
        <f>"-0.444***"</f>
        <v>-0.444***</v>
      </c>
      <c r="I59" t="str">
        <f>"-0.602***"</f>
        <v>-0.602***</v>
      </c>
      <c r="J59" t="str">
        <f>"-0.658***"</f>
        <v>-0.658***</v>
      </c>
      <c r="K59" t="s">
        <v>23</v>
      </c>
      <c r="M59" t="s">
        <v>10</v>
      </c>
      <c r="N59" t="s">
        <v>11</v>
      </c>
      <c r="O59" t="s">
        <v>12</v>
      </c>
    </row>
    <row r="60" spans="2:15" x14ac:dyDescent="0.2">
      <c r="B60" t="str">
        <f>""</f>
        <v/>
      </c>
      <c r="C60" t="str">
        <f>""</f>
        <v/>
      </c>
      <c r="D60" t="str">
        <f>"(0.136)"</f>
        <v>(0.136)</v>
      </c>
      <c r="E60" t="str">
        <f>"(0.146)"</f>
        <v>(0.146)</v>
      </c>
      <c r="F60" t="str">
        <f>"(0.177)"</f>
        <v>(0.177)</v>
      </c>
      <c r="G60" t="str">
        <f>""</f>
        <v/>
      </c>
      <c r="H60" t="str">
        <f>"(0.094)"</f>
        <v>(0.094)</v>
      </c>
      <c r="I60" t="str">
        <f>"(0.127)"</f>
        <v>(0.127)</v>
      </c>
      <c r="J60" t="str">
        <f>"(0.145)"</f>
        <v>(0.145)</v>
      </c>
      <c r="M60">
        <v>-1.4999999999999999E-2</v>
      </c>
      <c r="N60">
        <v>-2.1999999999999999E-2</v>
      </c>
      <c r="O60">
        <v>-3.6999999999999998E-2</v>
      </c>
    </row>
    <row r="61" spans="2:15" x14ac:dyDescent="0.2">
      <c r="B61" t="str">
        <f>"L2.InfExp_Var_ch"</f>
        <v>L2.InfExp_Var_ch</v>
      </c>
      <c r="C61" t="str">
        <f>""</f>
        <v/>
      </c>
      <c r="D61" t="str">
        <f>""</f>
        <v/>
      </c>
      <c r="E61" t="str">
        <f>"-0.322**"</f>
        <v>-0.322**</v>
      </c>
      <c r="F61" t="str">
        <f>"-0.278*"</f>
        <v>-0.278*</v>
      </c>
      <c r="G61" t="str">
        <f>""</f>
        <v/>
      </c>
      <c r="H61" t="str">
        <f>""</f>
        <v/>
      </c>
      <c r="I61" t="str">
        <f>"-0.289*"</f>
        <v>-0.289*</v>
      </c>
      <c r="J61" t="str">
        <f>"-0.404**"</f>
        <v>-0.404**</v>
      </c>
      <c r="K61" t="s">
        <v>24</v>
      </c>
      <c r="N61" t="s">
        <v>13</v>
      </c>
      <c r="O61" t="s">
        <v>14</v>
      </c>
    </row>
    <row r="62" spans="2:15" x14ac:dyDescent="0.2">
      <c r="B62" t="str">
        <f>""</f>
        <v/>
      </c>
      <c r="C62" t="str">
        <f>""</f>
        <v/>
      </c>
      <c r="D62" t="str">
        <f>""</f>
        <v/>
      </c>
      <c r="E62" t="str">
        <f>"(0.104)"</f>
        <v>(0.104)</v>
      </c>
      <c r="F62" t="str">
        <f>"(0.132)"</f>
        <v>(0.132)</v>
      </c>
      <c r="G62" t="str">
        <f>""</f>
        <v/>
      </c>
      <c r="H62" t="str">
        <f>""</f>
        <v/>
      </c>
      <c r="I62" t="str">
        <f>"(0.110)"</f>
        <v>(0.110)</v>
      </c>
      <c r="J62" t="str">
        <f>"(0.137)"</f>
        <v>(0.137)</v>
      </c>
      <c r="N62">
        <v>-2.1000000000000001E-2</v>
      </c>
      <c r="O62">
        <v>-3.1E-2</v>
      </c>
    </row>
    <row r="63" spans="2:15" x14ac:dyDescent="0.2">
      <c r="B63" t="str">
        <f>"L3.InfExp_Var_ch"</f>
        <v>L3.InfExp_Var_ch</v>
      </c>
      <c r="C63" t="str">
        <f>""</f>
        <v/>
      </c>
      <c r="D63" t="str">
        <f>""</f>
        <v/>
      </c>
      <c r="E63" t="str">
        <f>""</f>
        <v/>
      </c>
      <c r="F63" t="str">
        <f>"0.048"</f>
        <v>0.048</v>
      </c>
      <c r="G63" t="str">
        <f>""</f>
        <v/>
      </c>
      <c r="H63" t="str">
        <f>""</f>
        <v/>
      </c>
      <c r="I63" t="str">
        <f>""</f>
        <v/>
      </c>
      <c r="J63" t="str">
        <f>"-0.292"</f>
        <v>-0.292</v>
      </c>
      <c r="K63" t="s">
        <v>25</v>
      </c>
      <c r="N63" t="s">
        <v>15</v>
      </c>
      <c r="O63" t="s">
        <v>16</v>
      </c>
    </row>
    <row r="64" spans="2:15" x14ac:dyDescent="0.2">
      <c r="B64" t="str">
        <f>""</f>
        <v/>
      </c>
      <c r="C64" t="str">
        <f>""</f>
        <v/>
      </c>
      <c r="D64" t="str">
        <f>""</f>
        <v/>
      </c>
      <c r="E64" t="str">
        <f>""</f>
        <v/>
      </c>
      <c r="F64" t="str">
        <f>"(0.096)"</f>
        <v>(0.096)</v>
      </c>
      <c r="G64" t="str">
        <f>""</f>
        <v/>
      </c>
      <c r="H64" t="str">
        <f>""</f>
        <v/>
      </c>
      <c r="I64" t="str">
        <f>""</f>
        <v/>
      </c>
      <c r="J64" t="str">
        <f>"(0.154)"</f>
        <v>(0.154)</v>
      </c>
      <c r="N64">
        <v>-1.2E-2</v>
      </c>
      <c r="O64">
        <v>-2.7E-2</v>
      </c>
    </row>
    <row r="65" spans="2:15" x14ac:dyDescent="0.2">
      <c r="K65" t="s">
        <v>26</v>
      </c>
      <c r="O65" t="s">
        <v>17</v>
      </c>
    </row>
    <row r="66" spans="2:15" x14ac:dyDescent="0.2">
      <c r="O66">
        <v>-2.5000000000000001E-2</v>
      </c>
    </row>
    <row r="67" spans="2:15" x14ac:dyDescent="0.2">
      <c r="K67" t="s">
        <v>27</v>
      </c>
      <c r="O67" t="s">
        <v>18</v>
      </c>
    </row>
    <row r="68" spans="2:15" x14ac:dyDescent="0.2">
      <c r="O68">
        <v>-1.7999999999999999E-2</v>
      </c>
    </row>
    <row r="69" spans="2:15" x14ac:dyDescent="0.2">
      <c r="K69" t="s">
        <v>28</v>
      </c>
      <c r="O69">
        <v>-2.5000000000000001E-2</v>
      </c>
    </row>
    <row r="70" spans="2:15" x14ac:dyDescent="0.2">
      <c r="O70">
        <v>-1.2E-2</v>
      </c>
    </row>
    <row r="71" spans="2:15" x14ac:dyDescent="0.2">
      <c r="B71" t="str">
        <f>"_cons"</f>
        <v>_cons</v>
      </c>
      <c r="C71" t="str">
        <f>"-0.002"</f>
        <v>-0.002</v>
      </c>
      <c r="D71" t="str">
        <f>"-0.001"</f>
        <v>-0.001</v>
      </c>
      <c r="E71" t="str">
        <f>"0.004"</f>
        <v>0.004</v>
      </c>
      <c r="F71" t="str">
        <f>"0.004"</f>
        <v>0.004</v>
      </c>
      <c r="G71" t="str">
        <f>"0.000"</f>
        <v>0.000</v>
      </c>
      <c r="H71" t="str">
        <f>"0.002"</f>
        <v>0.002</v>
      </c>
      <c r="I71" t="str">
        <f>"0.004"</f>
        <v>0.004</v>
      </c>
      <c r="J71" t="str">
        <f>"0.005"</f>
        <v>0.005</v>
      </c>
      <c r="L71" t="s">
        <v>19</v>
      </c>
      <c r="M71" t="s">
        <v>20</v>
      </c>
      <c r="N71" t="s">
        <v>21</v>
      </c>
      <c r="O71" t="s">
        <v>22</v>
      </c>
    </row>
    <row r="72" spans="2:15" x14ac:dyDescent="0.2">
      <c r="C72" t="str">
        <f>"(0.005)"</f>
        <v>(0.005)</v>
      </c>
      <c r="D72" t="str">
        <f>"(0.005)"</f>
        <v>(0.005)</v>
      </c>
      <c r="E72" t="str">
        <f t="shared" ref="E72:J72" si="0">"(0.004)"</f>
        <v>(0.004)</v>
      </c>
      <c r="F72" t="str">
        <f t="shared" si="0"/>
        <v>(0.004)</v>
      </c>
      <c r="G72" t="str">
        <f t="shared" si="0"/>
        <v>(0.004)</v>
      </c>
      <c r="H72" t="str">
        <f t="shared" si="0"/>
        <v>(0.004)</v>
      </c>
      <c r="I72" t="str">
        <f t="shared" si="0"/>
        <v>(0.004)</v>
      </c>
      <c r="J72" t="str">
        <f t="shared" si="0"/>
        <v>(0.004)</v>
      </c>
      <c r="L72">
        <v>-0.123</v>
      </c>
      <c r="M72">
        <v>-0.11</v>
      </c>
      <c r="N72">
        <v>-0.104</v>
      </c>
      <c r="O72">
        <v>-0.16300000000000001</v>
      </c>
    </row>
    <row r="73" spans="2:15" x14ac:dyDescent="0.2">
      <c r="B73" t="s">
        <v>6</v>
      </c>
      <c r="C73" t="str">
        <f>"1202"</f>
        <v>1202</v>
      </c>
      <c r="D73" t="str">
        <f>"950"</f>
        <v>950</v>
      </c>
      <c r="E73" t="str">
        <f>"765"</f>
        <v>765</v>
      </c>
      <c r="F73" t="str">
        <f>"625"</f>
        <v>625</v>
      </c>
      <c r="G73" t="str">
        <f>"1078"</f>
        <v>1078</v>
      </c>
      <c r="H73" t="str">
        <f>"842"</f>
        <v>842</v>
      </c>
      <c r="I73" t="str">
        <f>"657"</f>
        <v>657</v>
      </c>
      <c r="J73" t="str">
        <f>"519"</f>
        <v>519</v>
      </c>
      <c r="L73">
        <v>53016</v>
      </c>
      <c r="M73">
        <v>43166</v>
      </c>
      <c r="N73">
        <v>28850</v>
      </c>
      <c r="O73">
        <v>14445</v>
      </c>
    </row>
    <row r="74" spans="2:15" x14ac:dyDescent="0.2">
      <c r="B74" t="s">
        <v>7</v>
      </c>
      <c r="C74" t="str">
        <f>"0.000"</f>
        <v>0.000</v>
      </c>
      <c r="D74" t="str">
        <f>"0.120"</f>
        <v>0.120</v>
      </c>
      <c r="E74" t="str">
        <f>"0.265"</f>
        <v>0.265</v>
      </c>
      <c r="F74" t="str">
        <f>"0.242"</f>
        <v>0.242</v>
      </c>
      <c r="G74" t="str">
        <f>"0.000"</f>
        <v>0.000</v>
      </c>
      <c r="H74" t="str">
        <f>"0.233"</f>
        <v>0.233</v>
      </c>
      <c r="I74" t="str">
        <f>"0.321"</f>
        <v>0.321</v>
      </c>
      <c r="J74" t="str">
        <f>"0.385"</f>
        <v>0.385</v>
      </c>
      <c r="L74">
        <v>0</v>
      </c>
      <c r="M74">
        <v>0.182</v>
      </c>
      <c r="N74">
        <v>0.27800000000000002</v>
      </c>
      <c r="O74">
        <v>0.32100000000000001</v>
      </c>
    </row>
  </sheetData>
  <mergeCells count="5">
    <mergeCell ref="C1:F1"/>
    <mergeCell ref="G1:J1"/>
    <mergeCell ref="L1:O1"/>
    <mergeCell ref="B20:O20"/>
    <mergeCell ref="B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9" zoomScale="75" workbookViewId="0">
      <selection activeCell="C21" sqref="C21"/>
    </sheetView>
  </sheetViews>
  <sheetFormatPr baseColWidth="10" defaultRowHeight="16" x14ac:dyDescent="0.2"/>
  <cols>
    <col min="1" max="1" width="18" style="1" customWidth="1"/>
  </cols>
  <sheetData>
    <row r="1" spans="2:15" x14ac:dyDescent="0.2">
      <c r="B1" s="2"/>
      <c r="C1" s="6" t="s">
        <v>2</v>
      </c>
      <c r="D1" s="6"/>
      <c r="E1" s="6"/>
      <c r="F1" s="6"/>
      <c r="G1" s="6" t="s">
        <v>3</v>
      </c>
      <c r="H1" s="6"/>
      <c r="I1" s="6"/>
      <c r="J1" s="6"/>
      <c r="K1" s="3"/>
      <c r="L1" s="6" t="s">
        <v>4</v>
      </c>
      <c r="M1" s="6"/>
      <c r="N1" s="6"/>
      <c r="O1" s="6"/>
    </row>
    <row r="2" spans="2:15" ht="80" x14ac:dyDescent="0.2">
      <c r="B2" s="1" t="s">
        <v>34</v>
      </c>
      <c r="C2" s="5"/>
      <c r="D2" s="5"/>
      <c r="E2" s="5"/>
      <c r="F2" s="5"/>
      <c r="G2" s="5"/>
      <c r="H2" s="5"/>
      <c r="I2" s="5"/>
      <c r="J2" s="5"/>
      <c r="K2" s="3"/>
      <c r="L2" s="5"/>
      <c r="M2" s="5"/>
      <c r="N2" s="5"/>
      <c r="O2" s="5"/>
    </row>
    <row r="3" spans="2:15" ht="32" x14ac:dyDescent="0.2">
      <c r="C3" s="4" t="s">
        <v>33</v>
      </c>
      <c r="D3" s="4" t="s">
        <v>30</v>
      </c>
      <c r="E3" s="4" t="s">
        <v>31</v>
      </c>
      <c r="F3" s="4" t="s">
        <v>32</v>
      </c>
      <c r="G3" s="4" t="s">
        <v>29</v>
      </c>
      <c r="H3" s="4" t="s">
        <v>30</v>
      </c>
      <c r="I3" s="4" t="s">
        <v>31</v>
      </c>
      <c r="J3" s="4" t="s">
        <v>32</v>
      </c>
      <c r="L3" s="4" t="s">
        <v>33</v>
      </c>
      <c r="M3" s="4" t="s">
        <v>30</v>
      </c>
      <c r="N3" s="4" t="s">
        <v>31</v>
      </c>
      <c r="O3" s="4" t="s">
        <v>32</v>
      </c>
    </row>
    <row r="4" spans="2:15" x14ac:dyDescent="0.2">
      <c r="B4" t="str">
        <f>"L.InfExp_Mean_ch"</f>
        <v>L.InfExp_Mean_ch</v>
      </c>
      <c r="C4" t="str">
        <f>""</f>
        <v/>
      </c>
      <c r="D4" t="str">
        <f>"-0.295***"</f>
        <v>-0.295***</v>
      </c>
      <c r="E4" t="str">
        <f>"-0.344***"</f>
        <v>-0.344***</v>
      </c>
      <c r="F4" t="str">
        <f>"-0.367***"</f>
        <v>-0.367***</v>
      </c>
      <c r="G4" t="str">
        <f>""</f>
        <v/>
      </c>
      <c r="H4" t="str">
        <f>"-0.303***"</f>
        <v>-0.303***</v>
      </c>
      <c r="I4" t="str">
        <f>"-0.348***"</f>
        <v>-0.348***</v>
      </c>
      <c r="J4" t="str">
        <f>"-0.364***"</f>
        <v>-0.364***</v>
      </c>
      <c r="K4" t="s">
        <v>35</v>
      </c>
      <c r="M4" t="s">
        <v>36</v>
      </c>
      <c r="N4" t="s">
        <v>37</v>
      </c>
      <c r="O4" t="s">
        <v>38</v>
      </c>
    </row>
    <row r="5" spans="2:15" x14ac:dyDescent="0.2">
      <c r="B5" t="str">
        <f>""</f>
        <v/>
      </c>
      <c r="C5" t="str">
        <f>""</f>
        <v/>
      </c>
      <c r="D5" t="str">
        <f>"(0.034)"</f>
        <v>(0.034)</v>
      </c>
      <c r="E5" t="str">
        <f>"(0.044)"</f>
        <v>(0.044)</v>
      </c>
      <c r="F5" t="str">
        <f>"(0.045)"</f>
        <v>(0.045)</v>
      </c>
      <c r="G5" t="str">
        <f>""</f>
        <v/>
      </c>
      <c r="H5" t="str">
        <f>"(0.043)"</f>
        <v>(0.043)</v>
      </c>
      <c r="I5" t="str">
        <f>"(0.059)"</f>
        <v>(0.059)</v>
      </c>
      <c r="J5" t="str">
        <f>"(0.062)"</f>
        <v>(0.062)</v>
      </c>
      <c r="M5">
        <v>-0.01</v>
      </c>
      <c r="N5">
        <v>-1.2999999999999999E-2</v>
      </c>
      <c r="O5">
        <v>-2.5000000000000001E-2</v>
      </c>
    </row>
    <row r="6" spans="2:15" x14ac:dyDescent="0.2">
      <c r="B6" t="str">
        <f>"L2.InfExp_Mean_ch"</f>
        <v>L2.InfExp_Mean_ch</v>
      </c>
      <c r="C6" t="str">
        <f>""</f>
        <v/>
      </c>
      <c r="D6" t="str">
        <f>""</f>
        <v/>
      </c>
      <c r="E6" t="str">
        <f>"-0.179***"</f>
        <v>-0.179***</v>
      </c>
      <c r="F6" t="str">
        <f>"-0.242***"</f>
        <v>-0.242***</v>
      </c>
      <c r="G6" t="str">
        <f>""</f>
        <v/>
      </c>
      <c r="H6" t="str">
        <f>""</f>
        <v/>
      </c>
      <c r="I6" t="str">
        <f>"-0.162*"</f>
        <v>-0.162*</v>
      </c>
      <c r="J6" t="str">
        <f>"-0.200**"</f>
        <v>-0.200**</v>
      </c>
      <c r="K6" t="s">
        <v>39</v>
      </c>
      <c r="N6" t="s">
        <v>40</v>
      </c>
      <c r="O6" t="s">
        <v>41</v>
      </c>
    </row>
    <row r="7" spans="2:15" x14ac:dyDescent="0.2">
      <c r="B7" t="str">
        <f>""</f>
        <v/>
      </c>
      <c r="C7" t="str">
        <f>""</f>
        <v/>
      </c>
      <c r="D7" t="str">
        <f>""</f>
        <v/>
      </c>
      <c r="E7" t="str">
        <f>"(0.047)"</f>
        <v>(0.047)</v>
      </c>
      <c r="F7" t="str">
        <f>"(0.049)"</f>
        <v>(0.049)</v>
      </c>
      <c r="G7" t="str">
        <f>""</f>
        <v/>
      </c>
      <c r="H7" t="str">
        <f>""</f>
        <v/>
      </c>
      <c r="I7" t="str">
        <f>"(0.061)"</f>
        <v>(0.061)</v>
      </c>
      <c r="J7" t="str">
        <f>"(0.067)"</f>
        <v>(0.067)</v>
      </c>
      <c r="N7">
        <v>-1.7999999999999999E-2</v>
      </c>
      <c r="O7">
        <v>-3.1E-2</v>
      </c>
    </row>
    <row r="8" spans="2:15" x14ac:dyDescent="0.2">
      <c r="B8" t="str">
        <f>"L3.InfExp_Mean_ch"</f>
        <v>L3.InfExp_Mean_ch</v>
      </c>
      <c r="C8" t="str">
        <f>""</f>
        <v/>
      </c>
      <c r="D8" t="str">
        <f>""</f>
        <v/>
      </c>
      <c r="E8" t="str">
        <f>""</f>
        <v/>
      </c>
      <c r="F8" t="str">
        <f>"-0.097**"</f>
        <v>-0.097**</v>
      </c>
      <c r="G8" t="str">
        <f>""</f>
        <v/>
      </c>
      <c r="H8" t="str">
        <f>""</f>
        <v/>
      </c>
      <c r="I8" t="str">
        <f>""</f>
        <v/>
      </c>
      <c r="J8" t="str">
        <f>"-0.088*"</f>
        <v>-0.088*</v>
      </c>
      <c r="K8" t="s">
        <v>42</v>
      </c>
      <c r="N8" t="s">
        <v>43</v>
      </c>
      <c r="O8" t="s">
        <v>44</v>
      </c>
    </row>
    <row r="9" spans="2:15" x14ac:dyDescent="0.2">
      <c r="B9" t="str">
        <f>""</f>
        <v/>
      </c>
      <c r="C9" t="str">
        <f>""</f>
        <v/>
      </c>
      <c r="D9" t="str">
        <f>""</f>
        <v/>
      </c>
      <c r="E9" t="str">
        <f>""</f>
        <v/>
      </c>
      <c r="F9" t="str">
        <f>"(0.032)"</f>
        <v>(0.032)</v>
      </c>
      <c r="G9" t="str">
        <f>""</f>
        <v/>
      </c>
      <c r="H9" t="str">
        <f>""</f>
        <v/>
      </c>
      <c r="I9" t="str">
        <f>""</f>
        <v/>
      </c>
      <c r="J9" t="str">
        <f>"(0.036)"</f>
        <v>(0.036)</v>
      </c>
      <c r="N9">
        <v>-1.2E-2</v>
      </c>
      <c r="O9">
        <v>-2.7E-2</v>
      </c>
    </row>
    <row r="10" spans="2:15" x14ac:dyDescent="0.2">
      <c r="C10" t="str">
        <f>""</f>
        <v/>
      </c>
      <c r="D10" t="str">
        <f>""</f>
        <v/>
      </c>
      <c r="E10" t="str">
        <f>""</f>
        <v/>
      </c>
      <c r="F10" t="str">
        <f>""</f>
        <v/>
      </c>
      <c r="G10" t="str">
        <f>""</f>
        <v/>
      </c>
      <c r="H10" t="str">
        <f>""</f>
        <v/>
      </c>
      <c r="I10" t="str">
        <f>""</f>
        <v/>
      </c>
      <c r="J10" t="str">
        <f>""</f>
        <v/>
      </c>
      <c r="K10" t="s">
        <v>45</v>
      </c>
      <c r="O10" t="s">
        <v>46</v>
      </c>
    </row>
    <row r="11" spans="2:15" x14ac:dyDescent="0.2">
      <c r="B11" t="str">
        <f>""</f>
        <v/>
      </c>
      <c r="C11" t="str">
        <f>""</f>
        <v/>
      </c>
      <c r="D11" t="str">
        <f>""</f>
        <v/>
      </c>
      <c r="E11" t="str">
        <f>""</f>
        <v/>
      </c>
      <c r="F11" t="str">
        <f>""</f>
        <v/>
      </c>
      <c r="G11" t="str">
        <f>""</f>
        <v/>
      </c>
      <c r="H11" t="str">
        <f>""</f>
        <v/>
      </c>
      <c r="I11" t="str">
        <f>""</f>
        <v/>
      </c>
      <c r="J11" t="str">
        <f>""</f>
        <v/>
      </c>
      <c r="O11">
        <v>-2.7E-2</v>
      </c>
    </row>
    <row r="12" spans="2:15" x14ac:dyDescent="0.2">
      <c r="C12" t="str">
        <f>""</f>
        <v/>
      </c>
      <c r="D12" t="str">
        <f>""</f>
        <v/>
      </c>
      <c r="E12" t="str">
        <f>""</f>
        <v/>
      </c>
      <c r="F12" t="str">
        <f>""</f>
        <v/>
      </c>
      <c r="G12" t="str">
        <f>""</f>
        <v/>
      </c>
      <c r="H12" t="str">
        <f>""</f>
        <v/>
      </c>
      <c r="I12" t="str">
        <f>""</f>
        <v/>
      </c>
      <c r="J12" t="str">
        <f>""</f>
        <v/>
      </c>
      <c r="K12" t="s">
        <v>47</v>
      </c>
      <c r="O12" t="s">
        <v>48</v>
      </c>
    </row>
    <row r="13" spans="2:15" x14ac:dyDescent="0.2">
      <c r="B13" t="str">
        <f>""</f>
        <v/>
      </c>
      <c r="C13" t="str">
        <f>""</f>
        <v/>
      </c>
      <c r="D13" t="str">
        <f>""</f>
        <v/>
      </c>
      <c r="E13" t="str">
        <f>""</f>
        <v/>
      </c>
      <c r="F13" t="str">
        <f>""</f>
        <v/>
      </c>
      <c r="G13" t="str">
        <f>""</f>
        <v/>
      </c>
      <c r="H13" t="str">
        <f>""</f>
        <v/>
      </c>
      <c r="I13" t="str">
        <f>""</f>
        <v/>
      </c>
      <c r="J13" t="str">
        <f>""</f>
        <v/>
      </c>
      <c r="O13">
        <v>-2.1000000000000001E-2</v>
      </c>
    </row>
    <row r="14" spans="2:15" x14ac:dyDescent="0.2">
      <c r="C14" t="str">
        <f>""</f>
        <v/>
      </c>
      <c r="D14" t="str">
        <f>""</f>
        <v/>
      </c>
      <c r="E14" t="str">
        <f>""</f>
        <v/>
      </c>
      <c r="F14" t="str">
        <f>""</f>
        <v/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">
        <v>49</v>
      </c>
      <c r="O14" t="s">
        <v>50</v>
      </c>
    </row>
    <row r="15" spans="2:15" x14ac:dyDescent="0.2">
      <c r="C15" t="str">
        <f>""</f>
        <v/>
      </c>
      <c r="D15" t="str">
        <f>""</f>
        <v/>
      </c>
      <c r="E15" t="str">
        <f>""</f>
        <v/>
      </c>
      <c r="F15" t="str">
        <f>""</f>
        <v/>
      </c>
      <c r="G15" t="str">
        <f>""</f>
        <v/>
      </c>
      <c r="H15" t="str">
        <f>""</f>
        <v/>
      </c>
      <c r="I15" t="str">
        <f>""</f>
        <v/>
      </c>
      <c r="J15" t="str">
        <f>""</f>
        <v/>
      </c>
      <c r="O15">
        <v>-1.2999999999999999E-2</v>
      </c>
    </row>
    <row r="16" spans="2:15" x14ac:dyDescent="0.2">
      <c r="B16" t="str">
        <f>"_cons"</f>
        <v>_cons</v>
      </c>
      <c r="C16" t="str">
        <f>"-0.005"</f>
        <v>-0.005</v>
      </c>
      <c r="D16" t="str">
        <f>"-0.004"</f>
        <v>-0.004</v>
      </c>
      <c r="E16" t="str">
        <f>"-0.011"</f>
        <v>-0.011</v>
      </c>
      <c r="F16" t="str">
        <f>"-0.015"</f>
        <v>-0.015</v>
      </c>
      <c r="G16" t="str">
        <f>"0.001"</f>
        <v>0.001</v>
      </c>
      <c r="H16" t="str">
        <f>"0.008"</f>
        <v>0.008</v>
      </c>
      <c r="I16" t="str">
        <f>"-0.002"</f>
        <v>-0.002</v>
      </c>
      <c r="J16" t="str">
        <f>"-0.007"</f>
        <v>-0.007</v>
      </c>
      <c r="K16" t="s">
        <v>51</v>
      </c>
      <c r="L16" t="s">
        <v>52</v>
      </c>
      <c r="M16">
        <v>-3.4000000000000002E-2</v>
      </c>
      <c r="N16">
        <v>-1E-3</v>
      </c>
      <c r="O16">
        <v>-2E-3</v>
      </c>
    </row>
    <row r="17" spans="2:15" x14ac:dyDescent="0.2">
      <c r="B17" t="str">
        <f>""</f>
        <v/>
      </c>
      <c r="C17" t="str">
        <f>"(0.023)"</f>
        <v>(0.023)</v>
      </c>
      <c r="D17" t="str">
        <f>"(0.024)"</f>
        <v>(0.024)</v>
      </c>
      <c r="E17" t="str">
        <f>"(0.026)"</f>
        <v>(0.026)</v>
      </c>
      <c r="F17" t="str">
        <f>"(0.026)"</f>
        <v>(0.026)</v>
      </c>
      <c r="G17" t="str">
        <f>"(0.020)"</f>
        <v>(0.020)</v>
      </c>
      <c r="H17" t="str">
        <f>"(0.020)"</f>
        <v>(0.020)</v>
      </c>
      <c r="I17" t="str">
        <f>"(0.022)"</f>
        <v>(0.022)</v>
      </c>
      <c r="J17" t="str">
        <f>"(0.022)"</f>
        <v>(0.022)</v>
      </c>
      <c r="L17">
        <v>-2.3E-2</v>
      </c>
      <c r="M17">
        <v>-2.3E-2</v>
      </c>
      <c r="N17">
        <v>-2.8000000000000001E-2</v>
      </c>
      <c r="O17">
        <v>-3.3000000000000002E-2</v>
      </c>
    </row>
    <row r="18" spans="2:15" x14ac:dyDescent="0.2">
      <c r="B18" t="str">
        <f>"N"</f>
        <v>N</v>
      </c>
      <c r="C18" t="str">
        <f>"1636"</f>
        <v>1636</v>
      </c>
      <c r="D18" t="str">
        <f>"1430"</f>
        <v>1430</v>
      </c>
      <c r="E18" t="str">
        <f>"1266"</f>
        <v>1266</v>
      </c>
      <c r="F18" t="str">
        <f>"1141"</f>
        <v>1141</v>
      </c>
      <c r="G18" t="str">
        <f>"1402"</f>
        <v>1402</v>
      </c>
      <c r="H18" t="str">
        <f>"1190"</f>
        <v>1190</v>
      </c>
      <c r="I18" t="str">
        <f>"1022"</f>
        <v>1022</v>
      </c>
      <c r="J18" t="str">
        <f>"898"</f>
        <v>898</v>
      </c>
      <c r="K18" t="s">
        <v>6</v>
      </c>
      <c r="L18">
        <v>53016</v>
      </c>
      <c r="M18">
        <v>43166</v>
      </c>
      <c r="N18">
        <v>28850</v>
      </c>
      <c r="O18">
        <v>14445</v>
      </c>
    </row>
    <row r="19" spans="2:15" x14ac:dyDescent="0.2">
      <c r="B19" t="str">
        <f>"r2"</f>
        <v>r2</v>
      </c>
      <c r="C19" t="str">
        <f>"0.000"</f>
        <v>0.000</v>
      </c>
      <c r="D19" t="str">
        <f>"0.086"</f>
        <v>0.086</v>
      </c>
      <c r="E19" t="str">
        <f>"0.112"</f>
        <v>0.112</v>
      </c>
      <c r="F19" t="str">
        <f>"0.128"</f>
        <v>0.128</v>
      </c>
      <c r="G19" t="str">
        <f>"0.000"</f>
        <v>0.000</v>
      </c>
      <c r="H19" t="str">
        <f>"0.090"</f>
        <v>0.090</v>
      </c>
      <c r="I19" t="str">
        <f>"0.112"</f>
        <v>0.112</v>
      </c>
      <c r="J19" t="str">
        <f>"0.120"</f>
        <v>0.120</v>
      </c>
      <c r="K19" t="s">
        <v>53</v>
      </c>
      <c r="L19">
        <v>0</v>
      </c>
      <c r="M19">
        <v>0.20200000000000001</v>
      </c>
      <c r="N19">
        <v>0.27300000000000002</v>
      </c>
      <c r="O19">
        <v>0.30599999999999999</v>
      </c>
    </row>
    <row r="21" spans="2:15" ht="96" x14ac:dyDescent="0.2">
      <c r="B21" s="1" t="s">
        <v>9</v>
      </c>
    </row>
    <row r="22" spans="2:15" ht="32" x14ac:dyDescent="0.2">
      <c r="C22" s="4" t="s">
        <v>33</v>
      </c>
      <c r="D22" s="4" t="s">
        <v>30</v>
      </c>
      <c r="E22" s="4" t="s">
        <v>31</v>
      </c>
      <c r="F22" s="4" t="s">
        <v>32</v>
      </c>
      <c r="G22" s="4" t="s">
        <v>33</v>
      </c>
      <c r="H22" s="4" t="s">
        <v>30</v>
      </c>
      <c r="I22" s="4" t="s">
        <v>31</v>
      </c>
      <c r="J22" s="4" t="s">
        <v>32</v>
      </c>
      <c r="L22" s="4" t="s">
        <v>33</v>
      </c>
      <c r="M22" s="4" t="s">
        <v>30</v>
      </c>
      <c r="N22" s="4" t="s">
        <v>31</v>
      </c>
      <c r="O22" s="4" t="s">
        <v>32</v>
      </c>
    </row>
    <row r="23" spans="2:15" x14ac:dyDescent="0.2">
      <c r="B23" t="str">
        <f>"L.InfExp_Var_ch"</f>
        <v>L.InfExp_Var_ch</v>
      </c>
      <c r="C23" t="str">
        <f>""</f>
        <v/>
      </c>
      <c r="D23" t="str">
        <f>"-0.393**"</f>
        <v>-0.393**</v>
      </c>
      <c r="E23" t="str">
        <f>"-0.568***"</f>
        <v>-0.568***</v>
      </c>
      <c r="F23" t="str">
        <f>"-0.543**"</f>
        <v>-0.543**</v>
      </c>
      <c r="G23" t="str">
        <f>""</f>
        <v/>
      </c>
      <c r="H23" t="str">
        <f>"-0.444***"</f>
        <v>-0.444***</v>
      </c>
      <c r="I23" t="str">
        <f>"-0.602***"</f>
        <v>-0.602***</v>
      </c>
      <c r="J23" t="str">
        <f>"-0.658***"</f>
        <v>-0.658***</v>
      </c>
      <c r="K23" t="s">
        <v>23</v>
      </c>
      <c r="M23" t="s">
        <v>10</v>
      </c>
      <c r="N23" t="s">
        <v>11</v>
      </c>
      <c r="O23" t="s">
        <v>12</v>
      </c>
    </row>
    <row r="24" spans="2:15" x14ac:dyDescent="0.2">
      <c r="B24" t="str">
        <f>""</f>
        <v/>
      </c>
      <c r="C24" t="str">
        <f>""</f>
        <v/>
      </c>
      <c r="D24" t="str">
        <f>"(0.136)"</f>
        <v>(0.136)</v>
      </c>
      <c r="E24" t="str">
        <f>"(0.146)"</f>
        <v>(0.146)</v>
      </c>
      <c r="F24" t="str">
        <f>"(0.177)"</f>
        <v>(0.177)</v>
      </c>
      <c r="G24" t="str">
        <f>""</f>
        <v/>
      </c>
      <c r="H24" t="str">
        <f>"(0.094)"</f>
        <v>(0.094)</v>
      </c>
      <c r="I24" t="str">
        <f>"(0.127)"</f>
        <v>(0.127)</v>
      </c>
      <c r="J24" t="str">
        <f>"(0.145)"</f>
        <v>(0.145)</v>
      </c>
      <c r="M24">
        <v>-1.4999999999999999E-2</v>
      </c>
      <c r="N24">
        <v>-2.1999999999999999E-2</v>
      </c>
      <c r="O24">
        <v>-3.6999999999999998E-2</v>
      </c>
    </row>
    <row r="25" spans="2:15" x14ac:dyDescent="0.2">
      <c r="B25" t="str">
        <f>"L2.InfExp_Var_ch"</f>
        <v>L2.InfExp_Var_ch</v>
      </c>
      <c r="C25" t="str">
        <f>""</f>
        <v/>
      </c>
      <c r="D25" t="str">
        <f>""</f>
        <v/>
      </c>
      <c r="E25" t="str">
        <f>"-0.322**"</f>
        <v>-0.322**</v>
      </c>
      <c r="F25" t="str">
        <f>"-0.278*"</f>
        <v>-0.278*</v>
      </c>
      <c r="G25" t="str">
        <f>""</f>
        <v/>
      </c>
      <c r="H25" t="str">
        <f>""</f>
        <v/>
      </c>
      <c r="I25" t="str">
        <f>"-0.289*"</f>
        <v>-0.289*</v>
      </c>
      <c r="J25" t="str">
        <f>"-0.404**"</f>
        <v>-0.404**</v>
      </c>
      <c r="K25" t="s">
        <v>24</v>
      </c>
      <c r="N25" t="s">
        <v>13</v>
      </c>
      <c r="O25" t="s">
        <v>14</v>
      </c>
    </row>
    <row r="26" spans="2:15" x14ac:dyDescent="0.2">
      <c r="B26" t="str">
        <f>""</f>
        <v/>
      </c>
      <c r="C26" t="str">
        <f>""</f>
        <v/>
      </c>
      <c r="D26" t="str">
        <f>""</f>
        <v/>
      </c>
      <c r="E26" t="str">
        <f>"(0.104)"</f>
        <v>(0.104)</v>
      </c>
      <c r="F26" t="str">
        <f>"(0.132)"</f>
        <v>(0.132)</v>
      </c>
      <c r="G26" t="str">
        <f>""</f>
        <v/>
      </c>
      <c r="H26" t="str">
        <f>""</f>
        <v/>
      </c>
      <c r="I26" t="str">
        <f>"(0.110)"</f>
        <v>(0.110)</v>
      </c>
      <c r="J26" t="str">
        <f>"(0.137)"</f>
        <v>(0.137)</v>
      </c>
      <c r="N26">
        <v>-2.1000000000000001E-2</v>
      </c>
      <c r="O26">
        <v>-3.1E-2</v>
      </c>
    </row>
    <row r="27" spans="2:15" x14ac:dyDescent="0.2">
      <c r="B27" t="str">
        <f>"L3.InfExp_Var_ch"</f>
        <v>L3.InfExp_Var_ch</v>
      </c>
      <c r="C27" t="str">
        <f>""</f>
        <v/>
      </c>
      <c r="D27" t="str">
        <f>""</f>
        <v/>
      </c>
      <c r="E27" t="str">
        <f>""</f>
        <v/>
      </c>
      <c r="F27" t="str">
        <f>"0.048"</f>
        <v>0.048</v>
      </c>
      <c r="G27" t="str">
        <f>""</f>
        <v/>
      </c>
      <c r="H27" t="str">
        <f>""</f>
        <v/>
      </c>
      <c r="I27" t="str">
        <f>""</f>
        <v/>
      </c>
      <c r="J27" t="str">
        <f>"-0.292"</f>
        <v>-0.292</v>
      </c>
      <c r="K27" t="s">
        <v>25</v>
      </c>
      <c r="N27" t="s">
        <v>15</v>
      </c>
      <c r="O27" t="s">
        <v>16</v>
      </c>
    </row>
    <row r="28" spans="2:15" x14ac:dyDescent="0.2">
      <c r="B28" t="str">
        <f>""</f>
        <v/>
      </c>
      <c r="C28" t="str">
        <f>""</f>
        <v/>
      </c>
      <c r="D28" t="str">
        <f>""</f>
        <v/>
      </c>
      <c r="E28" t="str">
        <f>""</f>
        <v/>
      </c>
      <c r="F28" t="str">
        <f>"(0.096)"</f>
        <v>(0.096)</v>
      </c>
      <c r="G28" t="str">
        <f>""</f>
        <v/>
      </c>
      <c r="H28" t="str">
        <f>""</f>
        <v/>
      </c>
      <c r="I28" t="str">
        <f>""</f>
        <v/>
      </c>
      <c r="J28" t="str">
        <f>"(0.154)"</f>
        <v>(0.154)</v>
      </c>
      <c r="N28">
        <v>-1.2E-2</v>
      </c>
      <c r="O28">
        <v>-2.7E-2</v>
      </c>
    </row>
    <row r="29" spans="2:15" x14ac:dyDescent="0.2">
      <c r="K29" t="s">
        <v>26</v>
      </c>
      <c r="O29" t="s">
        <v>17</v>
      </c>
    </row>
    <row r="30" spans="2:15" x14ac:dyDescent="0.2">
      <c r="O30">
        <v>-2.5000000000000001E-2</v>
      </c>
    </row>
    <row r="31" spans="2:15" x14ac:dyDescent="0.2">
      <c r="K31" t="s">
        <v>27</v>
      </c>
      <c r="O31" t="s">
        <v>18</v>
      </c>
    </row>
    <row r="32" spans="2:15" x14ac:dyDescent="0.2">
      <c r="O32">
        <v>-1.7999999999999999E-2</v>
      </c>
    </row>
    <row r="33" spans="2:15" x14ac:dyDescent="0.2">
      <c r="K33" t="s">
        <v>28</v>
      </c>
      <c r="O33">
        <v>-2.5000000000000001E-2</v>
      </c>
    </row>
    <row r="34" spans="2:15" x14ac:dyDescent="0.2">
      <c r="O34">
        <v>-1.2E-2</v>
      </c>
    </row>
    <row r="35" spans="2:15" x14ac:dyDescent="0.2">
      <c r="B35" t="str">
        <f>"_cons"</f>
        <v>_cons</v>
      </c>
      <c r="C35" t="str">
        <f>"-0.002"</f>
        <v>-0.002</v>
      </c>
      <c r="D35" t="str">
        <f>"-0.001"</f>
        <v>-0.001</v>
      </c>
      <c r="E35" t="str">
        <f>"0.004"</f>
        <v>0.004</v>
      </c>
      <c r="F35" t="str">
        <f>"0.004"</f>
        <v>0.004</v>
      </c>
      <c r="G35" t="str">
        <f>"0.000"</f>
        <v>0.000</v>
      </c>
      <c r="H35" t="str">
        <f>"0.002"</f>
        <v>0.002</v>
      </c>
      <c r="I35" t="str">
        <f>"0.004"</f>
        <v>0.004</v>
      </c>
      <c r="J35" t="str">
        <f>"0.005"</f>
        <v>0.005</v>
      </c>
      <c r="L35" t="s">
        <v>19</v>
      </c>
      <c r="M35" t="s">
        <v>20</v>
      </c>
      <c r="N35" t="s">
        <v>21</v>
      </c>
      <c r="O35" t="s">
        <v>22</v>
      </c>
    </row>
    <row r="36" spans="2:15" x14ac:dyDescent="0.2">
      <c r="C36" t="str">
        <f>"(0.005)"</f>
        <v>(0.005)</v>
      </c>
      <c r="D36" t="str">
        <f>"(0.005)"</f>
        <v>(0.005)</v>
      </c>
      <c r="E36" t="str">
        <f t="shared" ref="E36:J36" si="0">"(0.004)"</f>
        <v>(0.004)</v>
      </c>
      <c r="F36" t="str">
        <f t="shared" si="0"/>
        <v>(0.004)</v>
      </c>
      <c r="G36" t="str">
        <f t="shared" si="0"/>
        <v>(0.004)</v>
      </c>
      <c r="H36" t="str">
        <f t="shared" si="0"/>
        <v>(0.004)</v>
      </c>
      <c r="I36" t="str">
        <f t="shared" si="0"/>
        <v>(0.004)</v>
      </c>
      <c r="J36" t="str">
        <f t="shared" si="0"/>
        <v>(0.004)</v>
      </c>
      <c r="L36">
        <v>-0.123</v>
      </c>
      <c r="M36">
        <v>-0.11</v>
      </c>
      <c r="N36">
        <v>-0.104</v>
      </c>
      <c r="O36">
        <v>-0.16300000000000001</v>
      </c>
    </row>
    <row r="37" spans="2:15" x14ac:dyDescent="0.2">
      <c r="B37" t="s">
        <v>6</v>
      </c>
      <c r="C37" t="str">
        <f>"1202"</f>
        <v>1202</v>
      </c>
      <c r="D37" t="str">
        <f>"950"</f>
        <v>950</v>
      </c>
      <c r="E37" t="str">
        <f>"765"</f>
        <v>765</v>
      </c>
      <c r="F37" t="str">
        <f>"625"</f>
        <v>625</v>
      </c>
      <c r="G37" t="str">
        <f>"1078"</f>
        <v>1078</v>
      </c>
      <c r="H37" t="str">
        <f>"842"</f>
        <v>842</v>
      </c>
      <c r="I37" t="str">
        <f>"657"</f>
        <v>657</v>
      </c>
      <c r="J37" t="str">
        <f>"519"</f>
        <v>519</v>
      </c>
      <c r="L37">
        <v>53016</v>
      </c>
      <c r="M37">
        <v>43166</v>
      </c>
      <c r="N37">
        <v>28850</v>
      </c>
      <c r="O37">
        <v>14445</v>
      </c>
    </row>
    <row r="38" spans="2:15" x14ac:dyDescent="0.2">
      <c r="B38" t="s">
        <v>7</v>
      </c>
      <c r="C38" t="str">
        <f>"0.000"</f>
        <v>0.000</v>
      </c>
      <c r="D38" t="str">
        <f>"0.120"</f>
        <v>0.120</v>
      </c>
      <c r="E38" t="str">
        <f>"0.265"</f>
        <v>0.265</v>
      </c>
      <c r="F38" t="str">
        <f>"0.242"</f>
        <v>0.242</v>
      </c>
      <c r="G38" t="str">
        <f>"0.000"</f>
        <v>0.000</v>
      </c>
      <c r="H38" t="str">
        <f>"0.233"</f>
        <v>0.233</v>
      </c>
      <c r="I38" t="str">
        <f>"0.321"</f>
        <v>0.321</v>
      </c>
      <c r="J38" t="str">
        <f>"0.385"</f>
        <v>0.385</v>
      </c>
      <c r="L38">
        <v>0</v>
      </c>
      <c r="M38">
        <v>0.182</v>
      </c>
      <c r="N38">
        <v>0.27800000000000002</v>
      </c>
      <c r="O38">
        <v>0.32100000000000001</v>
      </c>
    </row>
  </sheetData>
  <mergeCells count="3">
    <mergeCell ref="C1:F1"/>
    <mergeCell ref="G1:J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RevEfficiencyTable</vt:lpstr>
      <vt:lpstr>RevEfficiencyTable1</vt:lpstr>
      <vt:lpstr>RevEfficiencyTable2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2019-06-25T14:12:09Z</dcterms:created>
  <dcterms:modified xsi:type="dcterms:W3CDTF">2019-07-10T14:48:24Z</dcterms:modified>
</cp:coreProperties>
</file>